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64885EA9-6DBF-4E26-A838-E9132E76A86D}" xr6:coauthVersionLast="47" xr6:coauthVersionMax="47" xr10:uidLastSave="{00000000-0000-0000-0000-000000000000}"/>
  <bookViews>
    <workbookView xWindow="-28920" yWindow="90" windowWidth="29040" windowHeight="15720" tabRatio="799" activeTab="15" xr2:uid="{8FBB3F1D-E2DD-4222-96F0-ED347AD8E3B8}"/>
  </bookViews>
  <sheets>
    <sheet name="Examples" sheetId="13" r:id="rId1"/>
    <sheet name="07JD" sheetId="14" r:id="rId2"/>
    <sheet name="10deltaT" sheetId="24" r:id="rId3"/>
    <sheet name="13Coords" sheetId="20" r:id="rId4"/>
    <sheet name="22Nutation" sheetId="15" r:id="rId5"/>
    <sheet name="25SolarCoords" sheetId="21" r:id="rId6"/>
    <sheet name="AppIII" sheetId="22" r:id="rId7"/>
    <sheet name="47MoonPos" sheetId="9" r:id="rId8"/>
    <sheet name="47a47b" sheetId="10" r:id="rId9"/>
    <sheet name="48Illumination" sheetId="8" r:id="rId10"/>
    <sheet name="49Phases" sheetId="7" r:id="rId11"/>
    <sheet name="54LunarEclipse" sheetId="23" r:id="rId12"/>
    <sheet name="10a" sheetId="19" r:id="rId13"/>
    <sheet name="22a" sheetId="11" r:id="rId14"/>
    <sheet name="Minkutel" sheetId="17" r:id="rId15"/>
    <sheet name="Lookups" sheetId="16" r:id="rId16"/>
  </sheets>
  <externalReferences>
    <externalReference r:id="rId17"/>
  </externalReferences>
  <definedNames>
    <definedName name="AU2Km">Lookups!$N$4</definedName>
    <definedName name="Deg2Rad">Lookups!$N$2</definedName>
    <definedName name="Km2AU">Lookups!$N$5</definedName>
    <definedName name="Rad2Deg">Lookups!$N$3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" i="16" l="1"/>
  <c r="N14" i="16"/>
  <c r="BG244" i="23"/>
  <c r="BF244" i="23"/>
  <c r="BE244" i="23"/>
  <c r="BD244" i="23"/>
  <c r="BC244" i="23"/>
  <c r="BB244" i="23"/>
  <c r="BA244" i="23"/>
  <c r="AZ244" i="23"/>
  <c r="AY244" i="23"/>
  <c r="AX244" i="23"/>
  <c r="AW244" i="23"/>
  <c r="AV244" i="23"/>
  <c r="AU244" i="23"/>
  <c r="AT244" i="23"/>
  <c r="AS244" i="23"/>
  <c r="AR244" i="23"/>
  <c r="AQ244" i="23"/>
  <c r="AP244" i="23"/>
  <c r="AO244" i="23"/>
  <c r="AN244" i="23"/>
  <c r="AM244" i="23"/>
  <c r="AL244" i="23"/>
  <c r="AK244" i="23"/>
  <c r="AJ244" i="23"/>
  <c r="AI244" i="23"/>
  <c r="AH244" i="23"/>
  <c r="AG244" i="23"/>
  <c r="AF244" i="23"/>
  <c r="AE244" i="23"/>
  <c r="AD244" i="23"/>
  <c r="AC244" i="23"/>
  <c r="AB244" i="23"/>
  <c r="AA244" i="23"/>
  <c r="Z244" i="23"/>
  <c r="Y244" i="23"/>
  <c r="X244" i="23"/>
  <c r="W244" i="23"/>
  <c r="V244" i="23"/>
  <c r="U244" i="23"/>
  <c r="T244" i="23"/>
  <c r="S244" i="23"/>
  <c r="R244" i="23"/>
  <c r="Q244" i="23"/>
  <c r="P244" i="23"/>
  <c r="O244" i="23"/>
  <c r="N244" i="23"/>
  <c r="M244" i="23"/>
  <c r="L244" i="23"/>
  <c r="K244" i="23"/>
  <c r="J244" i="23"/>
  <c r="I244" i="23"/>
  <c r="H244" i="23"/>
  <c r="G244" i="23"/>
  <c r="F244" i="23"/>
  <c r="BG232" i="23"/>
  <c r="BF232" i="23"/>
  <c r="BE232" i="23"/>
  <c r="BD232" i="23"/>
  <c r="BC232" i="23"/>
  <c r="BB232" i="23"/>
  <c r="BA232" i="23"/>
  <c r="AZ232" i="23"/>
  <c r="AY232" i="23"/>
  <c r="AX232" i="23"/>
  <c r="AW232" i="23"/>
  <c r="AV232" i="23"/>
  <c r="AU232" i="23"/>
  <c r="AT232" i="23"/>
  <c r="AS232" i="23"/>
  <c r="AR232" i="23"/>
  <c r="AQ232" i="23"/>
  <c r="AP232" i="23"/>
  <c r="AO232" i="23"/>
  <c r="AN232" i="23"/>
  <c r="AM232" i="23"/>
  <c r="AL232" i="23"/>
  <c r="AK232" i="23"/>
  <c r="AJ232" i="23"/>
  <c r="AI232" i="23"/>
  <c r="AH232" i="23"/>
  <c r="AG232" i="23"/>
  <c r="AF232" i="23"/>
  <c r="AE232" i="23"/>
  <c r="AD232" i="23"/>
  <c r="AC232" i="23"/>
  <c r="AB232" i="23"/>
  <c r="AA232" i="23"/>
  <c r="Z232" i="23"/>
  <c r="Y232" i="23"/>
  <c r="X232" i="23"/>
  <c r="W232" i="23"/>
  <c r="V232" i="23"/>
  <c r="U232" i="23"/>
  <c r="T232" i="23"/>
  <c r="S232" i="23"/>
  <c r="R232" i="23"/>
  <c r="Q232" i="23"/>
  <c r="P232" i="23"/>
  <c r="O232" i="23"/>
  <c r="N232" i="23"/>
  <c r="M232" i="23"/>
  <c r="L232" i="23"/>
  <c r="K232" i="23"/>
  <c r="J232" i="23"/>
  <c r="I232" i="23"/>
  <c r="H232" i="23"/>
  <c r="G232" i="23"/>
  <c r="F232" i="23"/>
  <c r="AH112" i="23"/>
  <c r="AH63" i="23"/>
  <c r="M63" i="23"/>
  <c r="H60" i="23"/>
  <c r="AH57" i="23"/>
  <c r="W55" i="23"/>
  <c r="V55" i="23"/>
  <c r="AY51" i="23"/>
  <c r="AY65" i="23" s="1"/>
  <c r="M50" i="23"/>
  <c r="L50" i="23"/>
  <c r="AG45" i="23"/>
  <c r="AF45" i="23"/>
  <c r="AM38" i="23"/>
  <c r="AL38" i="23"/>
  <c r="AR37" i="23"/>
  <c r="AR43" i="23" s="1"/>
  <c r="AG37" i="23"/>
  <c r="AG43" i="23" s="1"/>
  <c r="AX32" i="23"/>
  <c r="AW32" i="23"/>
  <c r="Q32" i="23"/>
  <c r="P32" i="23"/>
  <c r="BG21" i="23"/>
  <c r="BG192" i="23" s="1"/>
  <c r="BF21" i="23"/>
  <c r="BF192" i="23" s="1"/>
  <c r="BE21" i="23"/>
  <c r="BE192" i="23" s="1"/>
  <c r="BD21" i="23"/>
  <c r="BD192" i="23" s="1"/>
  <c r="BC21" i="23"/>
  <c r="BC192" i="23" s="1"/>
  <c r="BB21" i="23"/>
  <c r="BB192" i="23" s="1"/>
  <c r="BA21" i="23"/>
  <c r="BA192" i="23" s="1"/>
  <c r="AZ21" i="23"/>
  <c r="AZ192" i="23" s="1"/>
  <c r="AY21" i="23"/>
  <c r="AY192" i="23" s="1"/>
  <c r="AX21" i="23"/>
  <c r="AX192" i="23" s="1"/>
  <c r="AW21" i="23"/>
  <c r="AW192" i="23" s="1"/>
  <c r="AV21" i="23"/>
  <c r="AV192" i="23" s="1"/>
  <c r="AU21" i="23"/>
  <c r="AU192" i="23" s="1"/>
  <c r="AT21" i="23"/>
  <c r="AT192" i="23" s="1"/>
  <c r="AS21" i="23"/>
  <c r="AS192" i="23" s="1"/>
  <c r="AR21" i="23"/>
  <c r="AR192" i="23" s="1"/>
  <c r="AQ21" i="23"/>
  <c r="AQ192" i="23" s="1"/>
  <c r="AP21" i="23"/>
  <c r="AP192" i="23" s="1"/>
  <c r="AO21" i="23"/>
  <c r="AO192" i="23" s="1"/>
  <c r="AN21" i="23"/>
  <c r="AN192" i="23" s="1"/>
  <c r="AM21" i="23"/>
  <c r="AM192" i="23" s="1"/>
  <c r="AL21" i="23"/>
  <c r="AL192" i="23" s="1"/>
  <c r="AK21" i="23"/>
  <c r="AK192" i="23" s="1"/>
  <c r="AJ21" i="23"/>
  <c r="AJ192" i="23" s="1"/>
  <c r="AI21" i="23"/>
  <c r="AI192" i="23" s="1"/>
  <c r="AH21" i="23"/>
  <c r="AH192" i="23" s="1"/>
  <c r="AG21" i="23"/>
  <c r="AG192" i="23" s="1"/>
  <c r="AF21" i="23"/>
  <c r="AF192" i="23" s="1"/>
  <c r="AE21" i="23"/>
  <c r="AE192" i="23" s="1"/>
  <c r="AD21" i="23"/>
  <c r="AD192" i="23" s="1"/>
  <c r="AC21" i="23"/>
  <c r="AC192" i="23" s="1"/>
  <c r="AB21" i="23"/>
  <c r="AB192" i="23" s="1"/>
  <c r="AA21" i="23"/>
  <c r="AA192" i="23" s="1"/>
  <c r="Z21" i="23"/>
  <c r="Z192" i="23" s="1"/>
  <c r="Y21" i="23"/>
  <c r="Y192" i="23" s="1"/>
  <c r="X21" i="23"/>
  <c r="X192" i="23" s="1"/>
  <c r="W21" i="23"/>
  <c r="W192" i="23" s="1"/>
  <c r="V21" i="23"/>
  <c r="V192" i="23" s="1"/>
  <c r="U21" i="23"/>
  <c r="U192" i="23" s="1"/>
  <c r="T21" i="23"/>
  <c r="T192" i="23" s="1"/>
  <c r="S21" i="23"/>
  <c r="S192" i="23" s="1"/>
  <c r="R21" i="23"/>
  <c r="R192" i="23" s="1"/>
  <c r="Q21" i="23"/>
  <c r="Q192" i="23" s="1"/>
  <c r="P21" i="23"/>
  <c r="P192" i="23" s="1"/>
  <c r="O21" i="23"/>
  <c r="O192" i="23" s="1"/>
  <c r="N21" i="23"/>
  <c r="N192" i="23" s="1"/>
  <c r="M21" i="23"/>
  <c r="M192" i="23" s="1"/>
  <c r="L21" i="23"/>
  <c r="L192" i="23" s="1"/>
  <c r="K21" i="23"/>
  <c r="K192" i="23" s="1"/>
  <c r="J21" i="23"/>
  <c r="J192" i="23" s="1"/>
  <c r="I21" i="23"/>
  <c r="I192" i="23" s="1"/>
  <c r="H21" i="23"/>
  <c r="H192" i="23" s="1"/>
  <c r="G21" i="23"/>
  <c r="G192" i="23" s="1"/>
  <c r="F21" i="23"/>
  <c r="F192" i="23" s="1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BG19" i="23"/>
  <c r="BF19" i="23"/>
  <c r="BE19" i="23"/>
  <c r="BD19" i="23"/>
  <c r="BC19" i="23"/>
  <c r="BB19" i="23"/>
  <c r="BA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BG18" i="23"/>
  <c r="BF18" i="23"/>
  <c r="BE18" i="23"/>
  <c r="BD18" i="23"/>
  <c r="BC18" i="23"/>
  <c r="BC248" i="23" s="1"/>
  <c r="BB18" i="23"/>
  <c r="BB248" i="23" s="1"/>
  <c r="BA18" i="23"/>
  <c r="BA248" i="23" s="1"/>
  <c r="AZ18" i="23"/>
  <c r="AY18" i="23"/>
  <c r="AY248" i="23" s="1"/>
  <c r="AX18" i="23"/>
  <c r="AX248" i="23" s="1"/>
  <c r="AW18" i="23"/>
  <c r="AW248" i="23" s="1"/>
  <c r="AV18" i="23"/>
  <c r="AV248" i="23" s="1"/>
  <c r="AU18" i="23"/>
  <c r="AU248" i="23" s="1"/>
  <c r="AT18" i="23"/>
  <c r="AT248" i="23" s="1"/>
  <c r="AS18" i="23"/>
  <c r="AR18" i="23"/>
  <c r="AQ18" i="23"/>
  <c r="AP18" i="23"/>
  <c r="AO18" i="23"/>
  <c r="AN18" i="23"/>
  <c r="AM18" i="23"/>
  <c r="AM248" i="23" s="1"/>
  <c r="AL18" i="23"/>
  <c r="AL248" i="23" s="1"/>
  <c r="AK18" i="23"/>
  <c r="AK248" i="23" s="1"/>
  <c r="AJ18" i="23"/>
  <c r="AI18" i="23"/>
  <c r="AI248" i="23" s="1"/>
  <c r="AH18" i="23"/>
  <c r="AH248" i="23" s="1"/>
  <c r="AG18" i="23"/>
  <c r="AG248" i="23" s="1"/>
  <c r="AF18" i="23"/>
  <c r="AF248" i="23" s="1"/>
  <c r="AE18" i="23"/>
  <c r="AE248" i="23" s="1"/>
  <c r="AD18" i="23"/>
  <c r="AD248" i="23" s="1"/>
  <c r="AC18" i="23"/>
  <c r="AB18" i="23"/>
  <c r="AA18" i="23"/>
  <c r="Z18" i="23"/>
  <c r="Y18" i="23"/>
  <c r="X18" i="23"/>
  <c r="W18" i="23"/>
  <c r="W248" i="23" s="1"/>
  <c r="V18" i="23"/>
  <c r="V248" i="23" s="1"/>
  <c r="U18" i="23"/>
  <c r="U248" i="23" s="1"/>
  <c r="T18" i="23"/>
  <c r="T248" i="23" s="1"/>
  <c r="S18" i="23"/>
  <c r="S248" i="23" s="1"/>
  <c r="R18" i="23"/>
  <c r="R248" i="23" s="1"/>
  <c r="Q18" i="23"/>
  <c r="Q248" i="23" s="1"/>
  <c r="P18" i="23"/>
  <c r="P248" i="23" s="1"/>
  <c r="O18" i="23"/>
  <c r="O248" i="23" s="1"/>
  <c r="N18" i="23"/>
  <c r="N248" i="23" s="1"/>
  <c r="M18" i="23"/>
  <c r="L18" i="23"/>
  <c r="K18" i="23"/>
  <c r="J18" i="23"/>
  <c r="I18" i="23"/>
  <c r="H18" i="23"/>
  <c r="G18" i="23"/>
  <c r="G248" i="23" s="1"/>
  <c r="F18" i="23"/>
  <c r="F248" i="23" s="1"/>
  <c r="BG17" i="23"/>
  <c r="BF17" i="23"/>
  <c r="BE17" i="23"/>
  <c r="BD17" i="23"/>
  <c r="BC17" i="23"/>
  <c r="BB17" i="23"/>
  <c r="BA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BG16" i="23"/>
  <c r="BF16" i="23"/>
  <c r="BE16" i="23"/>
  <c r="BD16" i="23"/>
  <c r="BC16" i="23"/>
  <c r="BB16" i="23"/>
  <c r="BA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BG15" i="23"/>
  <c r="BF15" i="23"/>
  <c r="BE15" i="23"/>
  <c r="BE175" i="23" s="1"/>
  <c r="BE189" i="23" s="1"/>
  <c r="BD15" i="23"/>
  <c r="BD175" i="23" s="1"/>
  <c r="BD189" i="23" s="1"/>
  <c r="BC15" i="23"/>
  <c r="BC175" i="23" s="1"/>
  <c r="BC189" i="23" s="1"/>
  <c r="BB15" i="23"/>
  <c r="BB175" i="23" s="1"/>
  <c r="BB189" i="23" s="1"/>
  <c r="BA15" i="23"/>
  <c r="BA175" i="23" s="1"/>
  <c r="BA189" i="23" s="1"/>
  <c r="AZ15" i="23"/>
  <c r="AZ175" i="23" s="1"/>
  <c r="AZ189" i="23" s="1"/>
  <c r="AY15" i="23"/>
  <c r="AY175" i="23" s="1"/>
  <c r="AY189" i="23" s="1"/>
  <c r="AX15" i="23"/>
  <c r="AX175" i="23" s="1"/>
  <c r="AX189" i="23" s="1"/>
  <c r="AW15" i="23"/>
  <c r="AW175" i="23" s="1"/>
  <c r="AW189" i="23" s="1"/>
  <c r="AV15" i="23"/>
  <c r="AV175" i="23" s="1"/>
  <c r="AV189" i="23" s="1"/>
  <c r="AU15" i="23"/>
  <c r="AT15" i="23"/>
  <c r="AS15" i="23"/>
  <c r="AR15" i="23"/>
  <c r="AQ15" i="23"/>
  <c r="AP15" i="23"/>
  <c r="AO15" i="23"/>
  <c r="AO175" i="23" s="1"/>
  <c r="AO189" i="23" s="1"/>
  <c r="AN15" i="23"/>
  <c r="AN175" i="23" s="1"/>
  <c r="AN189" i="23" s="1"/>
  <c r="AM15" i="23"/>
  <c r="AM175" i="23" s="1"/>
  <c r="AM189" i="23" s="1"/>
  <c r="AL15" i="23"/>
  <c r="AL175" i="23" s="1"/>
  <c r="AL189" i="23" s="1"/>
  <c r="AK15" i="23"/>
  <c r="AK175" i="23" s="1"/>
  <c r="AK189" i="23" s="1"/>
  <c r="AJ15" i="23"/>
  <c r="AJ175" i="23" s="1"/>
  <c r="AJ189" i="23" s="1"/>
  <c r="AI15" i="23"/>
  <c r="AI175" i="23" s="1"/>
  <c r="AI189" i="23" s="1"/>
  <c r="AH15" i="23"/>
  <c r="AH175" i="23" s="1"/>
  <c r="AH189" i="23" s="1"/>
  <c r="AG15" i="23"/>
  <c r="AG175" i="23" s="1"/>
  <c r="AG189" i="23" s="1"/>
  <c r="AF15" i="23"/>
  <c r="AF175" i="23" s="1"/>
  <c r="AF189" i="23" s="1"/>
  <c r="AE15" i="23"/>
  <c r="AD15" i="23"/>
  <c r="AC15" i="23"/>
  <c r="AB15" i="23"/>
  <c r="AA15" i="23"/>
  <c r="Z15" i="23"/>
  <c r="Y15" i="23"/>
  <c r="Y175" i="23" s="1"/>
  <c r="Y189" i="23" s="1"/>
  <c r="X15" i="23"/>
  <c r="X175" i="23" s="1"/>
  <c r="X189" i="23" s="1"/>
  <c r="W15" i="23"/>
  <c r="W175" i="23" s="1"/>
  <c r="W189" i="23" s="1"/>
  <c r="V15" i="23"/>
  <c r="V175" i="23" s="1"/>
  <c r="V189" i="23" s="1"/>
  <c r="U15" i="23"/>
  <c r="U175" i="23" s="1"/>
  <c r="U189" i="23" s="1"/>
  <c r="T15" i="23"/>
  <c r="T175" i="23" s="1"/>
  <c r="T189" i="23" s="1"/>
  <c r="S15" i="23"/>
  <c r="S175" i="23" s="1"/>
  <c r="S189" i="23" s="1"/>
  <c r="R15" i="23"/>
  <c r="R175" i="23" s="1"/>
  <c r="R189" i="23" s="1"/>
  <c r="Q15" i="23"/>
  <c r="Q175" i="23" s="1"/>
  <c r="Q189" i="23" s="1"/>
  <c r="P15" i="23"/>
  <c r="P175" i="23" s="1"/>
  <c r="P189" i="23" s="1"/>
  <c r="O15" i="23"/>
  <c r="N15" i="23"/>
  <c r="M15" i="23"/>
  <c r="L15" i="23"/>
  <c r="K15" i="23"/>
  <c r="J15" i="23"/>
  <c r="I15" i="23"/>
  <c r="I175" i="23" s="1"/>
  <c r="I189" i="23" s="1"/>
  <c r="H15" i="23"/>
  <c r="H175" i="23" s="1"/>
  <c r="H189" i="23" s="1"/>
  <c r="G15" i="23"/>
  <c r="G175" i="23" s="1"/>
  <c r="G189" i="23" s="1"/>
  <c r="F15" i="23"/>
  <c r="F175" i="23" s="1"/>
  <c r="F189" i="23" s="1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BG12" i="23"/>
  <c r="BG68" i="23" s="1"/>
  <c r="BF12" i="23"/>
  <c r="BF68" i="23" s="1"/>
  <c r="BE12" i="23"/>
  <c r="BE68" i="23" s="1"/>
  <c r="BD12" i="23"/>
  <c r="BD68" i="23" s="1"/>
  <c r="BC12" i="23"/>
  <c r="BC68" i="23" s="1"/>
  <c r="BB12" i="23"/>
  <c r="BB68" i="23" s="1"/>
  <c r="BA12" i="23"/>
  <c r="BA68" i="23" s="1"/>
  <c r="AZ12" i="23"/>
  <c r="AZ68" i="23" s="1"/>
  <c r="AY12" i="23"/>
  <c r="AY68" i="23" s="1"/>
  <c r="AX12" i="23"/>
  <c r="AX68" i="23" s="1"/>
  <c r="AW12" i="23"/>
  <c r="AW68" i="23" s="1"/>
  <c r="AV12" i="23"/>
  <c r="AV68" i="23" s="1"/>
  <c r="AU12" i="23"/>
  <c r="AU68" i="23" s="1"/>
  <c r="AT12" i="23"/>
  <c r="AT68" i="23" s="1"/>
  <c r="AS12" i="23"/>
  <c r="AS68" i="23" s="1"/>
  <c r="AR12" i="23"/>
  <c r="AR68" i="23" s="1"/>
  <c r="AQ12" i="23"/>
  <c r="AQ68" i="23" s="1"/>
  <c r="AP12" i="23"/>
  <c r="AP68" i="23" s="1"/>
  <c r="AO12" i="23"/>
  <c r="AO68" i="23" s="1"/>
  <c r="AN12" i="23"/>
  <c r="AN68" i="23" s="1"/>
  <c r="AM12" i="23"/>
  <c r="AM68" i="23" s="1"/>
  <c r="AL12" i="23"/>
  <c r="AL68" i="23" s="1"/>
  <c r="AK12" i="23"/>
  <c r="AK68" i="23" s="1"/>
  <c r="AJ12" i="23"/>
  <c r="AJ68" i="23" s="1"/>
  <c r="AI12" i="23"/>
  <c r="AI68" i="23" s="1"/>
  <c r="AH12" i="23"/>
  <c r="AH68" i="23" s="1"/>
  <c r="AG12" i="23"/>
  <c r="AG68" i="23" s="1"/>
  <c r="AF12" i="23"/>
  <c r="AF68" i="23" s="1"/>
  <c r="AE12" i="23"/>
  <c r="AE68" i="23" s="1"/>
  <c r="AD12" i="23"/>
  <c r="AD68" i="23" s="1"/>
  <c r="AC12" i="23"/>
  <c r="AC68" i="23" s="1"/>
  <c r="AB12" i="23"/>
  <c r="AB68" i="23" s="1"/>
  <c r="AA12" i="23"/>
  <c r="AA68" i="23" s="1"/>
  <c r="Z12" i="23"/>
  <c r="Z68" i="23" s="1"/>
  <c r="Y12" i="23"/>
  <c r="Y68" i="23" s="1"/>
  <c r="X12" i="23"/>
  <c r="X68" i="23" s="1"/>
  <c r="W12" i="23"/>
  <c r="W68" i="23" s="1"/>
  <c r="V12" i="23"/>
  <c r="V68" i="23" s="1"/>
  <c r="U12" i="23"/>
  <c r="U68" i="23" s="1"/>
  <c r="T12" i="23"/>
  <c r="T68" i="23" s="1"/>
  <c r="S12" i="23"/>
  <c r="S68" i="23" s="1"/>
  <c r="R12" i="23"/>
  <c r="R68" i="23" s="1"/>
  <c r="Q12" i="23"/>
  <c r="Q68" i="23" s="1"/>
  <c r="P12" i="23"/>
  <c r="P68" i="23" s="1"/>
  <c r="O12" i="23"/>
  <c r="O68" i="23" s="1"/>
  <c r="N12" i="23"/>
  <c r="N68" i="23" s="1"/>
  <c r="M12" i="23"/>
  <c r="M68" i="23" s="1"/>
  <c r="L12" i="23"/>
  <c r="L68" i="23" s="1"/>
  <c r="K12" i="23"/>
  <c r="K68" i="23" s="1"/>
  <c r="J12" i="23"/>
  <c r="J68" i="23" s="1"/>
  <c r="I12" i="23"/>
  <c r="I68" i="23" s="1"/>
  <c r="H12" i="23"/>
  <c r="H68" i="23" s="1"/>
  <c r="G12" i="23"/>
  <c r="G68" i="23" s="1"/>
  <c r="F12" i="23"/>
  <c r="F68" i="23" s="1"/>
  <c r="BG11" i="23"/>
  <c r="BF11" i="23"/>
  <c r="BE11" i="23"/>
  <c r="BE38" i="23" s="1"/>
  <c r="BD11" i="23"/>
  <c r="BC11" i="23"/>
  <c r="BC38" i="23" s="1"/>
  <c r="BB11" i="23"/>
  <c r="BB50" i="23" s="1"/>
  <c r="BA11" i="23"/>
  <c r="AZ11" i="23"/>
  <c r="AZ32" i="23" s="1"/>
  <c r="AY11" i="23"/>
  <c r="AY32" i="23" s="1"/>
  <c r="AX11" i="23"/>
  <c r="AX45" i="23" s="1"/>
  <c r="AW11" i="23"/>
  <c r="AW45" i="23" s="1"/>
  <c r="AV11" i="23"/>
  <c r="AV37" i="23" s="1"/>
  <c r="AV43" i="23" s="1"/>
  <c r="AU11" i="23"/>
  <c r="AU37" i="23" s="1"/>
  <c r="AU43" i="23" s="1"/>
  <c r="AT11" i="23"/>
  <c r="AT45" i="23" s="1"/>
  <c r="AS11" i="23"/>
  <c r="AS45" i="23" s="1"/>
  <c r="AR11" i="23"/>
  <c r="AQ11" i="23"/>
  <c r="AP11" i="23"/>
  <c r="AP38" i="23" s="1"/>
  <c r="AO11" i="23"/>
  <c r="AO38" i="23" s="1"/>
  <c r="AN11" i="23"/>
  <c r="AM11" i="23"/>
  <c r="AL11" i="23"/>
  <c r="AK11" i="23"/>
  <c r="AK50" i="23" s="1"/>
  <c r="AJ11" i="23"/>
  <c r="AJ50" i="23" s="1"/>
  <c r="AI11" i="23"/>
  <c r="AH11" i="23"/>
  <c r="AG11" i="23"/>
  <c r="AF11" i="23"/>
  <c r="AF37" i="23" s="1"/>
  <c r="AF43" i="23" s="1"/>
  <c r="AE11" i="23"/>
  <c r="AD11" i="23"/>
  <c r="AD38" i="23" s="1"/>
  <c r="AC11" i="23"/>
  <c r="AC50" i="23" s="1"/>
  <c r="AB11" i="23"/>
  <c r="AA11" i="23"/>
  <c r="Z11" i="23"/>
  <c r="Z32" i="23" s="1"/>
  <c r="Y11" i="23"/>
  <c r="X11" i="23"/>
  <c r="W11" i="23"/>
  <c r="W38" i="23" s="1"/>
  <c r="V11" i="23"/>
  <c r="V38" i="23" s="1"/>
  <c r="U11" i="23"/>
  <c r="T11" i="23"/>
  <c r="T32" i="23" s="1"/>
  <c r="S11" i="23"/>
  <c r="S32" i="23" s="1"/>
  <c r="R11" i="23"/>
  <c r="R32" i="23" s="1"/>
  <c r="Q11" i="23"/>
  <c r="P11" i="23"/>
  <c r="O11" i="23"/>
  <c r="O32" i="23" s="1"/>
  <c r="N11" i="23"/>
  <c r="M11" i="23"/>
  <c r="L11" i="23"/>
  <c r="K11" i="23"/>
  <c r="J11" i="23"/>
  <c r="J50" i="23" s="1"/>
  <c r="I11" i="23"/>
  <c r="H11" i="23"/>
  <c r="G11" i="23"/>
  <c r="G38" i="23" s="1"/>
  <c r="F11" i="23"/>
  <c r="F38" i="23" s="1"/>
  <c r="BG10" i="23"/>
  <c r="BF10" i="23"/>
  <c r="BE10" i="23"/>
  <c r="BD10" i="23"/>
  <c r="BC10" i="23"/>
  <c r="BC63" i="23" s="1"/>
  <c r="BB10" i="23"/>
  <c r="BA10" i="23"/>
  <c r="AZ10" i="23"/>
  <c r="AY10" i="23"/>
  <c r="AX10" i="23"/>
  <c r="AW10" i="23"/>
  <c r="AV10" i="23"/>
  <c r="AV55" i="23" s="1"/>
  <c r="AU10" i="23"/>
  <c r="AT10" i="23"/>
  <c r="AS10" i="23"/>
  <c r="AR10" i="23"/>
  <c r="AR53" i="23" s="1"/>
  <c r="AQ10" i="23"/>
  <c r="AP10" i="23"/>
  <c r="AO10" i="23"/>
  <c r="AO53" i="23" s="1"/>
  <c r="AN10" i="23"/>
  <c r="AN53" i="23" s="1"/>
  <c r="AM10" i="23"/>
  <c r="AL10" i="23"/>
  <c r="AK10" i="23"/>
  <c r="AJ10" i="23"/>
  <c r="AI10" i="23"/>
  <c r="AI63" i="23" s="1"/>
  <c r="AH10" i="23"/>
  <c r="AG10" i="23"/>
  <c r="AF10" i="23"/>
  <c r="AE10" i="23"/>
  <c r="AD10" i="23"/>
  <c r="AC10" i="23"/>
  <c r="AC55" i="23" s="1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P53" i="23" s="1"/>
  <c r="O10" i="23"/>
  <c r="O53" i="23" s="1"/>
  <c r="N10" i="23"/>
  <c r="M10" i="23"/>
  <c r="L10" i="23"/>
  <c r="L63" i="23" s="1"/>
  <c r="K10" i="23"/>
  <c r="J10" i="23"/>
  <c r="I10" i="23"/>
  <c r="H10" i="23"/>
  <c r="G10" i="23"/>
  <c r="F10" i="23"/>
  <c r="BG9" i="23"/>
  <c r="BG124" i="23" s="1"/>
  <c r="BF9" i="23"/>
  <c r="BF124" i="23" s="1"/>
  <c r="BE9" i="23"/>
  <c r="BE124" i="23" s="1"/>
  <c r="BD9" i="23"/>
  <c r="BD124" i="23" s="1"/>
  <c r="BC9" i="23"/>
  <c r="BC124" i="23" s="1"/>
  <c r="BB9" i="23"/>
  <c r="BB124" i="23" s="1"/>
  <c r="BA9" i="23"/>
  <c r="BA124" i="23" s="1"/>
  <c r="AZ9" i="23"/>
  <c r="AZ124" i="23" s="1"/>
  <c r="AY9" i="23"/>
  <c r="AX9" i="23"/>
  <c r="AW9" i="23"/>
  <c r="AV9" i="23"/>
  <c r="AU9" i="23"/>
  <c r="AT9" i="23"/>
  <c r="AS9" i="23"/>
  <c r="AS124" i="23" s="1"/>
  <c r="AR9" i="23"/>
  <c r="AR124" i="23" s="1"/>
  <c r="AQ9" i="23"/>
  <c r="AQ124" i="23" s="1"/>
  <c r="AP9" i="23"/>
  <c r="AP124" i="23" s="1"/>
  <c r="AO9" i="23"/>
  <c r="AO124" i="23" s="1"/>
  <c r="AN9" i="23"/>
  <c r="AN124" i="23" s="1"/>
  <c r="AM9" i="23"/>
  <c r="AM124" i="23" s="1"/>
  <c r="AL9" i="23"/>
  <c r="AL124" i="23" s="1"/>
  <c r="AK9" i="23"/>
  <c r="AK124" i="23" s="1"/>
  <c r="AJ9" i="23"/>
  <c r="AJ124" i="23" s="1"/>
  <c r="AI9" i="23"/>
  <c r="AH9" i="23"/>
  <c r="AG9" i="23"/>
  <c r="AF9" i="23"/>
  <c r="AE9" i="23"/>
  <c r="AD9" i="23"/>
  <c r="AC9" i="23"/>
  <c r="AC124" i="23" s="1"/>
  <c r="AB9" i="23"/>
  <c r="AB124" i="23" s="1"/>
  <c r="AA9" i="23"/>
  <c r="AA124" i="23" s="1"/>
  <c r="Z9" i="23"/>
  <c r="Z124" i="23" s="1"/>
  <c r="Y9" i="23"/>
  <c r="Y124" i="23" s="1"/>
  <c r="X9" i="23"/>
  <c r="X124" i="23" s="1"/>
  <c r="W9" i="23"/>
  <c r="W124" i="23" s="1"/>
  <c r="V9" i="23"/>
  <c r="V124" i="23" s="1"/>
  <c r="U9" i="23"/>
  <c r="U124" i="23" s="1"/>
  <c r="T9" i="23"/>
  <c r="T124" i="23" s="1"/>
  <c r="S9" i="23"/>
  <c r="R9" i="23"/>
  <c r="Q9" i="23"/>
  <c r="P9" i="23"/>
  <c r="O9" i="23"/>
  <c r="N9" i="23"/>
  <c r="M9" i="23"/>
  <c r="M124" i="23" s="1"/>
  <c r="L9" i="23"/>
  <c r="L124" i="23" s="1"/>
  <c r="K9" i="23"/>
  <c r="K124" i="23" s="1"/>
  <c r="J9" i="23"/>
  <c r="J124" i="23" s="1"/>
  <c r="I9" i="23"/>
  <c r="I124" i="23" s="1"/>
  <c r="H9" i="23"/>
  <c r="H124" i="23" s="1"/>
  <c r="G9" i="23"/>
  <c r="G124" i="23" s="1"/>
  <c r="F9" i="23"/>
  <c r="F124" i="23" s="1"/>
  <c r="BG8" i="23"/>
  <c r="BF8" i="23"/>
  <c r="BE8" i="23"/>
  <c r="BE67" i="23" s="1"/>
  <c r="BD8" i="23"/>
  <c r="BD60" i="23" s="1"/>
  <c r="BC8" i="23"/>
  <c r="BC60" i="23" s="1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O62" i="23" s="1"/>
  <c r="AN8" i="23"/>
  <c r="AM8" i="23"/>
  <c r="AL8" i="23"/>
  <c r="AK8" i="23"/>
  <c r="AJ8" i="23"/>
  <c r="AI8" i="23"/>
  <c r="AI60" i="23" s="1"/>
  <c r="AH8" i="23"/>
  <c r="AH60" i="23" s="1"/>
  <c r="AG8" i="23"/>
  <c r="AG57" i="23" s="1"/>
  <c r="AF8" i="23"/>
  <c r="AE8" i="23"/>
  <c r="AD8" i="23"/>
  <c r="AC8" i="23"/>
  <c r="AB8" i="23"/>
  <c r="AA8" i="23"/>
  <c r="Z8" i="23"/>
  <c r="Y8" i="23"/>
  <c r="X8" i="23"/>
  <c r="W8" i="23"/>
  <c r="V8" i="23"/>
  <c r="U8" i="23"/>
  <c r="U112" i="23" s="1"/>
  <c r="T8" i="23"/>
  <c r="S8" i="23"/>
  <c r="R8" i="23"/>
  <c r="Q8" i="23"/>
  <c r="P8" i="23"/>
  <c r="O8" i="23"/>
  <c r="N8" i="23"/>
  <c r="M8" i="23"/>
  <c r="L8" i="23"/>
  <c r="K8" i="23"/>
  <c r="J8" i="23"/>
  <c r="I8" i="23"/>
  <c r="I57" i="23" s="1"/>
  <c r="H8" i="23"/>
  <c r="H57" i="23" s="1"/>
  <c r="G8" i="23"/>
  <c r="F8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BG6" i="23"/>
  <c r="BG51" i="23" s="1"/>
  <c r="BG65" i="23" s="1"/>
  <c r="BF6" i="23"/>
  <c r="BF51" i="23" s="1"/>
  <c r="BF65" i="23" s="1"/>
  <c r="BE6" i="23"/>
  <c r="BE51" i="23" s="1"/>
  <c r="BE65" i="23" s="1"/>
  <c r="BD6" i="23"/>
  <c r="BD51" i="23" s="1"/>
  <c r="BD65" i="23" s="1"/>
  <c r="BC6" i="23"/>
  <c r="BC51" i="23" s="1"/>
  <c r="BC65" i="23" s="1"/>
  <c r="BB6" i="23"/>
  <c r="BB51" i="23" s="1"/>
  <c r="BB65" i="23" s="1"/>
  <c r="BA6" i="23"/>
  <c r="AZ6" i="23"/>
  <c r="AY6" i="23"/>
  <c r="AX6" i="23"/>
  <c r="AW6" i="23"/>
  <c r="AV6" i="23"/>
  <c r="AV51" i="23" s="1"/>
  <c r="AV65" i="23" s="1"/>
  <c r="AU6" i="23"/>
  <c r="AU51" i="23" s="1"/>
  <c r="AU65" i="23" s="1"/>
  <c r="AT6" i="23"/>
  <c r="AT51" i="23" s="1"/>
  <c r="AT65" i="23" s="1"/>
  <c r="AS6" i="23"/>
  <c r="AS51" i="23" s="1"/>
  <c r="AS65" i="23" s="1"/>
  <c r="AR6" i="23"/>
  <c r="AR51" i="23" s="1"/>
  <c r="AR65" i="23" s="1"/>
  <c r="AQ6" i="23"/>
  <c r="AQ51" i="23" s="1"/>
  <c r="AQ65" i="23" s="1"/>
  <c r="AP6" i="23"/>
  <c r="AP51" i="23" s="1"/>
  <c r="AP65" i="23" s="1"/>
  <c r="AO6" i="23"/>
  <c r="AO51" i="23" s="1"/>
  <c r="AO65" i="23" s="1"/>
  <c r="AN6" i="23"/>
  <c r="AN51" i="23" s="1"/>
  <c r="AN65" i="23" s="1"/>
  <c r="AM6" i="23"/>
  <c r="AM51" i="23" s="1"/>
  <c r="AM65" i="23" s="1"/>
  <c r="AL6" i="23"/>
  <c r="AL51" i="23" s="1"/>
  <c r="AL65" i="23" s="1"/>
  <c r="AK6" i="23"/>
  <c r="AJ6" i="23"/>
  <c r="AI6" i="23"/>
  <c r="AH6" i="23"/>
  <c r="AG6" i="23"/>
  <c r="AF6" i="23"/>
  <c r="AE6" i="23"/>
  <c r="AE51" i="23" s="1"/>
  <c r="AE65" i="23" s="1"/>
  <c r="AD6" i="23"/>
  <c r="AD51" i="23" s="1"/>
  <c r="AD65" i="23" s="1"/>
  <c r="AC6" i="23"/>
  <c r="AC51" i="23" s="1"/>
  <c r="AC65" i="23" s="1"/>
  <c r="AB6" i="23"/>
  <c r="AB51" i="23" s="1"/>
  <c r="AB65" i="23" s="1"/>
  <c r="AA6" i="23"/>
  <c r="AA51" i="23" s="1"/>
  <c r="AA65" i="23" s="1"/>
  <c r="Z6" i="23"/>
  <c r="Z51" i="23" s="1"/>
  <c r="Z65" i="23" s="1"/>
  <c r="Y6" i="23"/>
  <c r="Y51" i="23" s="1"/>
  <c r="Y65" i="23" s="1"/>
  <c r="X6" i="23"/>
  <c r="X51" i="23" s="1"/>
  <c r="X65" i="23" s="1"/>
  <c r="W6" i="23"/>
  <c r="W51" i="23" s="1"/>
  <c r="W65" i="23" s="1"/>
  <c r="V6" i="23"/>
  <c r="V51" i="23" s="1"/>
  <c r="V65" i="23" s="1"/>
  <c r="U6" i="23"/>
  <c r="T6" i="23"/>
  <c r="S6" i="23"/>
  <c r="R6" i="23"/>
  <c r="Q6" i="23"/>
  <c r="P6" i="23"/>
  <c r="O6" i="23"/>
  <c r="O51" i="23" s="1"/>
  <c r="O65" i="23" s="1"/>
  <c r="N6" i="23"/>
  <c r="N51" i="23" s="1"/>
  <c r="N65" i="23" s="1"/>
  <c r="M6" i="23"/>
  <c r="M51" i="23" s="1"/>
  <c r="M65" i="23" s="1"/>
  <c r="L6" i="23"/>
  <c r="L51" i="23" s="1"/>
  <c r="L65" i="23" s="1"/>
  <c r="K6" i="23"/>
  <c r="K51" i="23" s="1"/>
  <c r="K65" i="23" s="1"/>
  <c r="J6" i="23"/>
  <c r="J51" i="23" s="1"/>
  <c r="J65" i="23" s="1"/>
  <c r="I6" i="23"/>
  <c r="I51" i="23" s="1"/>
  <c r="I65" i="23" s="1"/>
  <c r="H6" i="23"/>
  <c r="H51" i="23" s="1"/>
  <c r="H65" i="23" s="1"/>
  <c r="G6" i="23"/>
  <c r="G51" i="23" s="1"/>
  <c r="G65" i="23" s="1"/>
  <c r="F6" i="23"/>
  <c r="F51" i="23" s="1"/>
  <c r="F65" i="23" s="1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BG4" i="23"/>
  <c r="BF4" i="23"/>
  <c r="BE4" i="23"/>
  <c r="BD4" i="23"/>
  <c r="BC4" i="23"/>
  <c r="BB4" i="23"/>
  <c r="BA4" i="23"/>
  <c r="AZ4" i="23"/>
  <c r="AY4" i="23"/>
  <c r="AX4" i="23"/>
  <c r="AW4" i="23"/>
  <c r="AV4" i="23"/>
  <c r="AU4" i="23"/>
  <c r="AT4" i="23"/>
  <c r="AS4" i="23"/>
  <c r="AR4" i="23"/>
  <c r="AQ4" i="23"/>
  <c r="AP4" i="23"/>
  <c r="AO4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44" i="23"/>
  <c r="E232" i="23"/>
  <c r="BK3" i="24"/>
  <c r="BJ3" i="24"/>
  <c r="BI3" i="24"/>
  <c r="BH3" i="24"/>
  <c r="BG3" i="24"/>
  <c r="AW3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I7" i="24" s="1"/>
  <c r="AH3" i="24"/>
  <c r="AG3" i="24"/>
  <c r="AF3" i="24"/>
  <c r="AF4" i="24" s="1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S7" i="24" s="1"/>
  <c r="R3" i="24"/>
  <c r="Q3" i="24"/>
  <c r="P3" i="24"/>
  <c r="P4" i="24" s="1"/>
  <c r="O3" i="24"/>
  <c r="N3" i="24"/>
  <c r="M3" i="24"/>
  <c r="L3" i="24"/>
  <c r="K3" i="24"/>
  <c r="J3" i="24"/>
  <c r="I3" i="24"/>
  <c r="H3" i="24"/>
  <c r="G3" i="24"/>
  <c r="F3" i="24"/>
  <c r="BK2" i="24"/>
  <c r="BJ2" i="24"/>
  <c r="BI2" i="24"/>
  <c r="BH2" i="24"/>
  <c r="BG2" i="24"/>
  <c r="BF2" i="24"/>
  <c r="BE2" i="24"/>
  <c r="BD2" i="24"/>
  <c r="BC2" i="24"/>
  <c r="BB2" i="24"/>
  <c r="BA2" i="24"/>
  <c r="AZ2" i="24"/>
  <c r="AY2" i="24"/>
  <c r="AX2" i="24"/>
  <c r="AW2" i="24"/>
  <c r="AV2" i="24"/>
  <c r="AU2" i="24"/>
  <c r="AT2" i="24"/>
  <c r="AS2" i="24"/>
  <c r="AR2" i="24"/>
  <c r="AQ2" i="24"/>
  <c r="AP2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3" i="24"/>
  <c r="E2" i="24"/>
  <c r="BK6" i="24"/>
  <c r="BJ6" i="24"/>
  <c r="BI6" i="24"/>
  <c r="BH6" i="24"/>
  <c r="BK4" i="24"/>
  <c r="BJ4" i="24"/>
  <c r="BI4" i="24"/>
  <c r="BH4" i="24"/>
  <c r="BG5" i="24"/>
  <c r="AU4" i="24"/>
  <c r="AQ7" i="24"/>
  <c r="AP4" i="24"/>
  <c r="AO7" i="24"/>
  <c r="AN7" i="24"/>
  <c r="AM5" i="24"/>
  <c r="AL5" i="24"/>
  <c r="AK5" i="24"/>
  <c r="AJ5" i="24"/>
  <c r="AH7" i="24"/>
  <c r="AG4" i="24"/>
  <c r="AE4" i="24"/>
  <c r="AD4" i="24"/>
  <c r="AC4" i="24"/>
  <c r="AB4" i="24"/>
  <c r="AA7" i="24"/>
  <c r="Z5" i="24"/>
  <c r="Y7" i="24"/>
  <c r="X5" i="24"/>
  <c r="W5" i="24"/>
  <c r="V5" i="24"/>
  <c r="U5" i="24"/>
  <c r="T5" i="24"/>
  <c r="R7" i="24"/>
  <c r="Q4" i="24"/>
  <c r="O4" i="24"/>
  <c r="N4" i="24"/>
  <c r="M4" i="24"/>
  <c r="L4" i="24"/>
  <c r="K5" i="24"/>
  <c r="J4" i="24"/>
  <c r="I7" i="24"/>
  <c r="H7" i="24"/>
  <c r="G5" i="24"/>
  <c r="D27" i="24"/>
  <c r="D26" i="24"/>
  <c r="E4" i="24"/>
  <c r="N9" i="16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BK2" i="22"/>
  <c r="BJ2" i="22"/>
  <c r="BI2" i="22"/>
  <c r="BH2" i="22"/>
  <c r="BG2" i="22"/>
  <c r="BF2" i="22"/>
  <c r="BE2" i="22"/>
  <c r="BD2" i="22"/>
  <c r="BC2" i="22"/>
  <c r="BB2" i="22"/>
  <c r="BA2" i="22"/>
  <c r="AZ2" i="22"/>
  <c r="AY2" i="22"/>
  <c r="AX2" i="22"/>
  <c r="AW2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C215" i="22"/>
  <c r="C216" i="22" s="1"/>
  <c r="C217" i="22" s="1"/>
  <c r="C218" i="22" s="1"/>
  <c r="C219" i="22" s="1"/>
  <c r="C220" i="22" s="1"/>
  <c r="C203" i="22"/>
  <c r="C204" i="22" s="1"/>
  <c r="C205" i="22" s="1"/>
  <c r="C206" i="22" s="1"/>
  <c r="C207" i="22" s="1"/>
  <c r="C208" i="22" s="1"/>
  <c r="C209" i="22" s="1"/>
  <c r="C210" i="22" s="1"/>
  <c r="C211" i="22" s="1"/>
  <c r="C212" i="22" s="1"/>
  <c r="C161" i="22"/>
  <c r="C162" i="22" s="1"/>
  <c r="C163" i="22" s="1"/>
  <c r="C164" i="22" s="1"/>
  <c r="C165" i="22" s="1"/>
  <c r="C166" i="22" s="1"/>
  <c r="C167" i="22" s="1"/>
  <c r="C168" i="22" s="1"/>
  <c r="C169" i="22" s="1"/>
  <c r="C170" i="22" s="1"/>
  <c r="C171" i="22" s="1"/>
  <c r="C172" i="22" s="1"/>
  <c r="C173" i="22" s="1"/>
  <c r="C174" i="22" s="1"/>
  <c r="C175" i="22" s="1"/>
  <c r="C176" i="22" s="1"/>
  <c r="C177" i="22" s="1"/>
  <c r="C178" i="22" s="1"/>
  <c r="C179" i="22" s="1"/>
  <c r="C180" i="22" s="1"/>
  <c r="C181" i="22" s="1"/>
  <c r="C182" i="22" s="1"/>
  <c r="C183" i="22" s="1"/>
  <c r="C184" i="22" s="1"/>
  <c r="C185" i="22" s="1"/>
  <c r="C186" i="22" s="1"/>
  <c r="C187" i="22" s="1"/>
  <c r="C188" i="22" s="1"/>
  <c r="C189" i="22" s="1"/>
  <c r="C190" i="22" s="1"/>
  <c r="C191" i="22" s="1"/>
  <c r="C192" i="22" s="1"/>
  <c r="C193" i="22" s="1"/>
  <c r="C194" i="22" s="1"/>
  <c r="C195" i="22" s="1"/>
  <c r="C196" i="22" s="1"/>
  <c r="C197" i="22" s="1"/>
  <c r="C198" i="22" s="1"/>
  <c r="C199" i="22" s="1"/>
  <c r="C200" i="22" s="1"/>
  <c r="C157" i="22"/>
  <c r="C158" i="22" s="1"/>
  <c r="C150" i="22"/>
  <c r="C151" i="22" s="1"/>
  <c r="C152" i="22" s="1"/>
  <c r="C153" i="22" s="1"/>
  <c r="C154" i="22" s="1"/>
  <c r="C147" i="22"/>
  <c r="C142" i="22"/>
  <c r="C143" i="22" s="1"/>
  <c r="C144" i="22" s="1"/>
  <c r="C133" i="22"/>
  <c r="C134" i="22" s="1"/>
  <c r="C135" i="22" s="1"/>
  <c r="C136" i="22" s="1"/>
  <c r="C137" i="22" s="1"/>
  <c r="C138" i="22" s="1"/>
  <c r="C139" i="22" s="1"/>
  <c r="C111" i="22"/>
  <c r="C112" i="22" s="1"/>
  <c r="C113" i="22" s="1"/>
  <c r="C114" i="22" s="1"/>
  <c r="C115" i="22" s="1"/>
  <c r="C116" i="22" s="1"/>
  <c r="C117" i="22" s="1"/>
  <c r="C118" i="22" s="1"/>
  <c r="C119" i="22" s="1"/>
  <c r="C120" i="22" s="1"/>
  <c r="C121" i="22" s="1"/>
  <c r="C122" i="22" s="1"/>
  <c r="C123" i="22" s="1"/>
  <c r="C124" i="22" s="1"/>
  <c r="C125" i="22" s="1"/>
  <c r="C126" i="22" s="1"/>
  <c r="C127" i="22" s="1"/>
  <c r="C128" i="22" s="1"/>
  <c r="C129" i="22" s="1"/>
  <c r="C130" i="22" s="1"/>
  <c r="C76" i="22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C95" i="22" s="1"/>
  <c r="C96" i="22" s="1"/>
  <c r="C97" i="22" s="1"/>
  <c r="C98" i="22" s="1"/>
  <c r="C99" i="22" s="1"/>
  <c r="C100" i="22" s="1"/>
  <c r="C101" i="22" s="1"/>
  <c r="C102" i="22" s="1"/>
  <c r="C103" i="22" s="1"/>
  <c r="C104" i="22" s="1"/>
  <c r="C105" i="22" s="1"/>
  <c r="C106" i="22" s="1"/>
  <c r="C107" i="22" s="1"/>
  <c r="C108" i="22" s="1"/>
  <c r="C10" i="22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C47" i="22" s="1"/>
  <c r="C48" i="22" s="1"/>
  <c r="C49" i="22" s="1"/>
  <c r="C50" i="22" s="1"/>
  <c r="C51" i="22" s="1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C71" i="22" s="1"/>
  <c r="C72" i="22" s="1"/>
  <c r="R11" i="16"/>
  <c r="R10" i="16"/>
  <c r="R9" i="16"/>
  <c r="R8" i="16"/>
  <c r="R7" i="16"/>
  <c r="R6" i="16"/>
  <c r="R5" i="16"/>
  <c r="R4" i="16"/>
  <c r="R3" i="16"/>
  <c r="AO3" i="14"/>
  <c r="AO6" i="14" s="1"/>
  <c r="AO173" i="14" s="1"/>
  <c r="AO181" i="14" s="1"/>
  <c r="AN3" i="14"/>
  <c r="AN6" i="14" s="1"/>
  <c r="AN17" i="14" s="1"/>
  <c r="AM3" i="14"/>
  <c r="AM6" i="14" s="1"/>
  <c r="AM173" i="14" s="1"/>
  <c r="AL3" i="14"/>
  <c r="AL6" i="14" s="1"/>
  <c r="AL173" i="14" s="1"/>
  <c r="AK3" i="14"/>
  <c r="AK7" i="14" s="1"/>
  <c r="AR2" i="14"/>
  <c r="AQ2" i="14"/>
  <c r="AP2" i="14"/>
  <c r="AO2" i="14"/>
  <c r="AN2" i="14"/>
  <c r="AM2" i="14"/>
  <c r="AL2" i="14"/>
  <c r="AK2" i="14"/>
  <c r="J115" i="23" l="1"/>
  <c r="J106" i="23"/>
  <c r="J56" i="23"/>
  <c r="AJ115" i="23"/>
  <c r="AJ106" i="23"/>
  <c r="AJ56" i="23"/>
  <c r="AK106" i="23"/>
  <c r="AK115" i="23"/>
  <c r="AK56" i="23"/>
  <c r="BB115" i="23"/>
  <c r="BB106" i="23"/>
  <c r="BB56" i="23"/>
  <c r="AC115" i="23"/>
  <c r="AC106" i="23"/>
  <c r="AC56" i="23"/>
  <c r="AA121" i="23"/>
  <c r="AA104" i="23"/>
  <c r="AA113" i="23"/>
  <c r="AA110" i="23"/>
  <c r="AA101" i="23"/>
  <c r="AA112" i="23"/>
  <c r="AA109" i="23"/>
  <c r="AA100" i="23"/>
  <c r="AA105" i="23"/>
  <c r="AA60" i="23"/>
  <c r="AA67" i="23"/>
  <c r="AA57" i="23"/>
  <c r="AA54" i="23"/>
  <c r="AA62" i="23"/>
  <c r="AU123" i="23"/>
  <c r="AU103" i="23"/>
  <c r="AU122" i="23"/>
  <c r="AU111" i="23"/>
  <c r="AU102" i="23"/>
  <c r="AU141" i="23"/>
  <c r="AU63" i="23"/>
  <c r="AU55" i="23"/>
  <c r="AU53" i="23"/>
  <c r="AK57" i="23"/>
  <c r="J121" i="23"/>
  <c r="J104" i="23"/>
  <c r="J113" i="23"/>
  <c r="J110" i="23"/>
  <c r="J101" i="23"/>
  <c r="J112" i="23"/>
  <c r="J109" i="23"/>
  <c r="J105" i="23"/>
  <c r="J60" i="23"/>
  <c r="J100" i="23"/>
  <c r="J66" i="23"/>
  <c r="J62" i="23"/>
  <c r="J58" i="23"/>
  <c r="J67" i="23"/>
  <c r="J64" i="23"/>
  <c r="J57" i="23"/>
  <c r="J54" i="23"/>
  <c r="Z121" i="23"/>
  <c r="Z104" i="23"/>
  <c r="Z113" i="23"/>
  <c r="Z110" i="23"/>
  <c r="Z101" i="23"/>
  <c r="Z112" i="23"/>
  <c r="Z109" i="23"/>
  <c r="Z105" i="23"/>
  <c r="Z100" i="23"/>
  <c r="Z60" i="23"/>
  <c r="Z67" i="23"/>
  <c r="Z57" i="23"/>
  <c r="Z54" i="23"/>
  <c r="Z62" i="23"/>
  <c r="AP121" i="23"/>
  <c r="AP104" i="23"/>
  <c r="AP110" i="23"/>
  <c r="AP101" i="23"/>
  <c r="AP113" i="23"/>
  <c r="AP112" i="23"/>
  <c r="AP109" i="23"/>
  <c r="AP105" i="23"/>
  <c r="AP60" i="23"/>
  <c r="AP58" i="23"/>
  <c r="AP67" i="23"/>
  <c r="AP57" i="23"/>
  <c r="AP54" i="23"/>
  <c r="BF121" i="23"/>
  <c r="BF104" i="23"/>
  <c r="BF110" i="23"/>
  <c r="BF101" i="23"/>
  <c r="BF113" i="23"/>
  <c r="BF112" i="23"/>
  <c r="BF109" i="23"/>
  <c r="BF105" i="23"/>
  <c r="BF60" i="23"/>
  <c r="BF100" i="23"/>
  <c r="BF62" i="23"/>
  <c r="BF58" i="23"/>
  <c r="BF67" i="23"/>
  <c r="N123" i="23"/>
  <c r="N141" i="23"/>
  <c r="N103" i="23"/>
  <c r="N111" i="23"/>
  <c r="N102" i="23"/>
  <c r="N53" i="23"/>
  <c r="N55" i="23"/>
  <c r="N122" i="23"/>
  <c r="N63" i="23"/>
  <c r="AD123" i="23"/>
  <c r="AD141" i="23"/>
  <c r="AD122" i="23"/>
  <c r="AD103" i="23"/>
  <c r="AD111" i="23"/>
  <c r="AD102" i="23"/>
  <c r="AD63" i="23"/>
  <c r="AD53" i="23"/>
  <c r="AD55" i="23"/>
  <c r="AT123" i="23"/>
  <c r="AT103" i="23"/>
  <c r="AT122" i="23"/>
  <c r="AT111" i="23"/>
  <c r="AT141" i="23"/>
  <c r="AT55" i="23"/>
  <c r="AT63" i="23"/>
  <c r="AT102" i="23"/>
  <c r="AT53" i="23"/>
  <c r="H50" i="23"/>
  <c r="H61" i="23" s="1"/>
  <c r="H45" i="23"/>
  <c r="H37" i="23"/>
  <c r="H43" i="23" s="1"/>
  <c r="H32" i="23"/>
  <c r="X45" i="23"/>
  <c r="X37" i="23"/>
  <c r="X43" i="23" s="1"/>
  <c r="X50" i="23"/>
  <c r="X32" i="23"/>
  <c r="AN37" i="23"/>
  <c r="AN43" i="23" s="1"/>
  <c r="AN45" i="23"/>
  <c r="AN32" i="23"/>
  <c r="AN50" i="23"/>
  <c r="BD37" i="23"/>
  <c r="BD43" i="23" s="1"/>
  <c r="BD45" i="23"/>
  <c r="BD32" i="23"/>
  <c r="T245" i="23"/>
  <c r="T236" i="23"/>
  <c r="T228" i="23"/>
  <c r="T233" i="23"/>
  <c r="T237" i="23"/>
  <c r="T224" i="23"/>
  <c r="T229" i="23"/>
  <c r="T234" i="23"/>
  <c r="T191" i="23"/>
  <c r="T184" i="23"/>
  <c r="T178" i="23"/>
  <c r="T225" i="23"/>
  <c r="T181" i="23"/>
  <c r="T186" i="23"/>
  <c r="T182" i="23"/>
  <c r="AJ245" i="23"/>
  <c r="AJ237" i="23"/>
  <c r="AJ236" i="23"/>
  <c r="AJ238" i="23" s="1"/>
  <c r="AJ228" i="23"/>
  <c r="AJ229" i="23"/>
  <c r="AJ234" i="23"/>
  <c r="AJ225" i="23"/>
  <c r="AJ233" i="23"/>
  <c r="AJ191" i="23"/>
  <c r="AJ224" i="23"/>
  <c r="AJ184" i="23"/>
  <c r="AJ186" i="23"/>
  <c r="AJ178" i="23"/>
  <c r="AJ181" i="23"/>
  <c r="AJ182" i="23"/>
  <c r="AZ245" i="23"/>
  <c r="AZ237" i="23"/>
  <c r="AZ236" i="23"/>
  <c r="AZ228" i="23"/>
  <c r="AZ233" i="23"/>
  <c r="AZ229" i="23"/>
  <c r="AZ224" i="23"/>
  <c r="AZ225" i="23"/>
  <c r="AZ234" i="23"/>
  <c r="AZ191" i="23"/>
  <c r="AZ181" i="23"/>
  <c r="AZ186" i="23"/>
  <c r="AZ184" i="23"/>
  <c r="AZ182" i="23"/>
  <c r="AZ178" i="23"/>
  <c r="H247" i="23"/>
  <c r="H265" i="23"/>
  <c r="H246" i="23"/>
  <c r="H226" i="23"/>
  <c r="H235" i="23"/>
  <c r="H227" i="23"/>
  <c r="H187" i="23"/>
  <c r="H179" i="23"/>
  <c r="H177" i="23"/>
  <c r="X247" i="23"/>
  <c r="X265" i="23"/>
  <c r="X246" i="23"/>
  <c r="X227" i="23"/>
  <c r="X235" i="23"/>
  <c r="X179" i="23"/>
  <c r="X177" i="23"/>
  <c r="X226" i="23"/>
  <c r="X187" i="23"/>
  <c r="AN247" i="23"/>
  <c r="AN265" i="23"/>
  <c r="AN246" i="23"/>
  <c r="AN235" i="23"/>
  <c r="AN226" i="23"/>
  <c r="AN227" i="23"/>
  <c r="AN177" i="23"/>
  <c r="AN179" i="23"/>
  <c r="AN187" i="23"/>
  <c r="BD247" i="23"/>
  <c r="BD265" i="23"/>
  <c r="BD246" i="23"/>
  <c r="BD227" i="23"/>
  <c r="BD226" i="23"/>
  <c r="BD235" i="23"/>
  <c r="BD177" i="23"/>
  <c r="BD179" i="23"/>
  <c r="BD187" i="23"/>
  <c r="R174" i="23"/>
  <c r="R190" i="23" s="1"/>
  <c r="R169" i="23"/>
  <c r="R161" i="23"/>
  <c r="R167" i="23" s="1"/>
  <c r="R156" i="23"/>
  <c r="R162" i="23"/>
  <c r="AH162" i="23"/>
  <c r="AH161" i="23"/>
  <c r="AH167" i="23" s="1"/>
  <c r="AH169" i="23"/>
  <c r="AH174" i="23"/>
  <c r="AH156" i="23"/>
  <c r="AX161" i="23"/>
  <c r="AX167" i="23" s="1"/>
  <c r="AX162" i="23"/>
  <c r="AX156" i="23"/>
  <c r="AX174" i="23"/>
  <c r="AX169" i="23"/>
  <c r="AV32" i="23"/>
  <c r="Z38" i="23"/>
  <c r="AD45" i="23"/>
  <c r="BF54" i="23"/>
  <c r="K104" i="23"/>
  <c r="K113" i="23"/>
  <c r="K110" i="23"/>
  <c r="K101" i="23"/>
  <c r="K112" i="23"/>
  <c r="K109" i="23"/>
  <c r="K100" i="23"/>
  <c r="K105" i="23"/>
  <c r="K121" i="23"/>
  <c r="K60" i="23"/>
  <c r="K62" i="23"/>
  <c r="K58" i="23"/>
  <c r="K67" i="23"/>
  <c r="I45" i="23"/>
  <c r="I37" i="23"/>
  <c r="I43" i="23" s="1"/>
  <c r="I32" i="23"/>
  <c r="AI174" i="23"/>
  <c r="AI156" i="23"/>
  <c r="AI162" i="23"/>
  <c r="AI161" i="23"/>
  <c r="AI167" i="23" s="1"/>
  <c r="AI169" i="23"/>
  <c r="F245" i="23"/>
  <c r="F236" i="23"/>
  <c r="F228" i="23"/>
  <c r="F233" i="23"/>
  <c r="F225" i="23"/>
  <c r="F229" i="23"/>
  <c r="F237" i="23"/>
  <c r="F234" i="23"/>
  <c r="F224" i="23"/>
  <c r="F178" i="23"/>
  <c r="F182" i="23"/>
  <c r="F181" i="23"/>
  <c r="F186" i="23"/>
  <c r="F191" i="23"/>
  <c r="F184" i="23"/>
  <c r="M110" i="23"/>
  <c r="M101" i="23"/>
  <c r="M112" i="23"/>
  <c r="M109" i="23"/>
  <c r="M100" i="23"/>
  <c r="M105" i="23"/>
  <c r="M121" i="23"/>
  <c r="M66" i="23"/>
  <c r="M58" i="23"/>
  <c r="M60" i="23"/>
  <c r="M57" i="23"/>
  <c r="M113" i="23"/>
  <c r="M104" i="23"/>
  <c r="M62" i="23"/>
  <c r="M67" i="23"/>
  <c r="M64" i="23"/>
  <c r="M54" i="23"/>
  <c r="AC113" i="23"/>
  <c r="AC110" i="23"/>
  <c r="AC101" i="23"/>
  <c r="AC112" i="23"/>
  <c r="AC109" i="23"/>
  <c r="AC100" i="23"/>
  <c r="AC105" i="23"/>
  <c r="AC66" i="23"/>
  <c r="AC58" i="23"/>
  <c r="AC121" i="23"/>
  <c r="AC60" i="23"/>
  <c r="AC57" i="23"/>
  <c r="AC104" i="23"/>
  <c r="AC62" i="23"/>
  <c r="AC64" i="23"/>
  <c r="AS110" i="23"/>
  <c r="AS101" i="23"/>
  <c r="AS113" i="23"/>
  <c r="AS121" i="23"/>
  <c r="AS112" i="23"/>
  <c r="AS109" i="23"/>
  <c r="AS100" i="23"/>
  <c r="AS105" i="23"/>
  <c r="AS58" i="23"/>
  <c r="AS104" i="23"/>
  <c r="AS60" i="23"/>
  <c r="AS57" i="23"/>
  <c r="AS67" i="23"/>
  <c r="AS54" i="23"/>
  <c r="AS62" i="23"/>
  <c r="Q122" i="23"/>
  <c r="Q103" i="23"/>
  <c r="Q141" i="23"/>
  <c r="Q123" i="23"/>
  <c r="Q111" i="23"/>
  <c r="Q102" i="23"/>
  <c r="Q55" i="23"/>
  <c r="Q63" i="23"/>
  <c r="Q53" i="23"/>
  <c r="AG141" i="23"/>
  <c r="AG122" i="23"/>
  <c r="AG103" i="23"/>
  <c r="AG111" i="23"/>
  <c r="AG102" i="23"/>
  <c r="AG123" i="23"/>
  <c r="AG63" i="23"/>
  <c r="AG53" i="23"/>
  <c r="AG55" i="23"/>
  <c r="AW122" i="23"/>
  <c r="AW141" i="23"/>
  <c r="AW103" i="23"/>
  <c r="AW111" i="23"/>
  <c r="AW102" i="23"/>
  <c r="AW123" i="23"/>
  <c r="AW63" i="23"/>
  <c r="AW53" i="23"/>
  <c r="K37" i="23"/>
  <c r="K43" i="23" s="1"/>
  <c r="K32" i="23"/>
  <c r="K38" i="23"/>
  <c r="K50" i="23"/>
  <c r="K66" i="23" s="1"/>
  <c r="AA45" i="23"/>
  <c r="AA37" i="23"/>
  <c r="AA43" i="23" s="1"/>
  <c r="AA50" i="23"/>
  <c r="AA66" i="23" s="1"/>
  <c r="AA32" i="23"/>
  <c r="AA38" i="23"/>
  <c r="AQ37" i="23"/>
  <c r="AQ43" i="23" s="1"/>
  <c r="AQ45" i="23"/>
  <c r="AQ32" i="23"/>
  <c r="AQ50" i="23"/>
  <c r="AQ38" i="23"/>
  <c r="BG37" i="23"/>
  <c r="BG43" i="23" s="1"/>
  <c r="BG45" i="23"/>
  <c r="BG32" i="23"/>
  <c r="BG38" i="23"/>
  <c r="G234" i="23"/>
  <c r="G238" i="23" s="1"/>
  <c r="G245" i="23"/>
  <c r="G233" i="23"/>
  <c r="G224" i="23"/>
  <c r="G229" i="23"/>
  <c r="G228" i="23"/>
  <c r="G237" i="23"/>
  <c r="G236" i="23"/>
  <c r="G186" i="23"/>
  <c r="G178" i="23"/>
  <c r="G225" i="23"/>
  <c r="G191" i="23"/>
  <c r="G182" i="23"/>
  <c r="G181" i="23"/>
  <c r="G184" i="23"/>
  <c r="W234" i="23"/>
  <c r="W228" i="23"/>
  <c r="W233" i="23"/>
  <c r="W237" i="23"/>
  <c r="W225" i="23"/>
  <c r="W236" i="23"/>
  <c r="W229" i="23"/>
  <c r="W224" i="23"/>
  <c r="W186" i="23"/>
  <c r="W178" i="23"/>
  <c r="W245" i="23"/>
  <c r="W182" i="23"/>
  <c r="W181" i="23"/>
  <c r="W191" i="23"/>
  <c r="W184" i="23"/>
  <c r="AM234" i="23"/>
  <c r="AM245" i="23"/>
  <c r="AM249" i="23" s="1"/>
  <c r="AM228" i="23"/>
  <c r="AM224" i="23"/>
  <c r="AM237" i="23"/>
  <c r="AM236" i="23"/>
  <c r="AM186" i="23"/>
  <c r="AM178" i="23"/>
  <c r="AM225" i="23"/>
  <c r="AM233" i="23"/>
  <c r="AM229" i="23"/>
  <c r="AM191" i="23"/>
  <c r="AM184" i="23"/>
  <c r="AM182" i="23"/>
  <c r="AM181" i="23"/>
  <c r="BC234" i="23"/>
  <c r="BC245" i="23"/>
  <c r="BC237" i="23"/>
  <c r="BC236" i="23"/>
  <c r="BC229" i="23"/>
  <c r="BC233" i="23"/>
  <c r="BC225" i="23"/>
  <c r="BC186" i="23"/>
  <c r="BC178" i="23"/>
  <c r="BC224" i="23"/>
  <c r="BC191" i="23"/>
  <c r="BC228" i="23"/>
  <c r="BC182" i="23"/>
  <c r="BC184" i="23"/>
  <c r="BC181" i="23"/>
  <c r="K265" i="23"/>
  <c r="K246" i="23"/>
  <c r="K249" i="23" s="1"/>
  <c r="K247" i="23"/>
  <c r="K227" i="23"/>
  <c r="K235" i="23"/>
  <c r="K187" i="23"/>
  <c r="K179" i="23"/>
  <c r="K226" i="23"/>
  <c r="K177" i="23"/>
  <c r="AA265" i="23"/>
  <c r="AA246" i="23"/>
  <c r="AA247" i="23"/>
  <c r="AA226" i="23"/>
  <c r="AA235" i="23"/>
  <c r="AA227" i="23"/>
  <c r="AA177" i="23"/>
  <c r="AA187" i="23"/>
  <c r="AA179" i="23"/>
  <c r="AQ265" i="23"/>
  <c r="AQ246" i="23"/>
  <c r="AQ247" i="23"/>
  <c r="AQ235" i="23"/>
  <c r="AQ226" i="23"/>
  <c r="AQ187" i="23"/>
  <c r="AQ177" i="23"/>
  <c r="AQ179" i="23"/>
  <c r="AQ227" i="23"/>
  <c r="BG265" i="23"/>
  <c r="BG246" i="23"/>
  <c r="BG247" i="23"/>
  <c r="BG227" i="23"/>
  <c r="BG226" i="23"/>
  <c r="BG235" i="23"/>
  <c r="BG179" i="23"/>
  <c r="BG177" i="23"/>
  <c r="BG187" i="23"/>
  <c r="U169" i="23"/>
  <c r="U174" i="23"/>
  <c r="U156" i="23"/>
  <c r="U161" i="23"/>
  <c r="U167" i="23" s="1"/>
  <c r="U162" i="23"/>
  <c r="AK174" i="23"/>
  <c r="AK162" i="23"/>
  <c r="AK161" i="23"/>
  <c r="AK167" i="23" s="1"/>
  <c r="AK169" i="23"/>
  <c r="AK156" i="23"/>
  <c r="BA162" i="23"/>
  <c r="BA161" i="23"/>
  <c r="BA167" i="23" s="1"/>
  <c r="BA169" i="23"/>
  <c r="BA174" i="23"/>
  <c r="BA185" i="23" s="1"/>
  <c r="BA156" i="23"/>
  <c r="AS37" i="23"/>
  <c r="AS43" i="23" s="1"/>
  <c r="AN38" i="23"/>
  <c r="BC57" i="23"/>
  <c r="I60" i="23"/>
  <c r="F67" i="23"/>
  <c r="S174" i="23"/>
  <c r="S156" i="23"/>
  <c r="S162" i="23"/>
  <c r="S169" i="23"/>
  <c r="S161" i="23"/>
  <c r="S167" i="23" s="1"/>
  <c r="J45" i="23"/>
  <c r="J37" i="23"/>
  <c r="J43" i="23" s="1"/>
  <c r="AZ174" i="23"/>
  <c r="AZ188" i="23" s="1"/>
  <c r="AZ162" i="23"/>
  <c r="AZ161" i="23"/>
  <c r="AZ167" i="23" s="1"/>
  <c r="AZ169" i="23"/>
  <c r="AZ156" i="23"/>
  <c r="N112" i="23"/>
  <c r="N109" i="23"/>
  <c r="N100" i="23"/>
  <c r="N105" i="23"/>
  <c r="N121" i="23"/>
  <c r="N104" i="23"/>
  <c r="N57" i="23"/>
  <c r="N110" i="23"/>
  <c r="N113" i="23"/>
  <c r="N62" i="23"/>
  <c r="N54" i="23"/>
  <c r="N101" i="23"/>
  <c r="N67" i="23"/>
  <c r="N58" i="23"/>
  <c r="N60" i="23"/>
  <c r="AD112" i="23"/>
  <c r="AD109" i="23"/>
  <c r="AD100" i="23"/>
  <c r="AD105" i="23"/>
  <c r="AD121" i="23"/>
  <c r="AD104" i="23"/>
  <c r="AD110" i="23"/>
  <c r="AD101" i="23"/>
  <c r="AD113" i="23"/>
  <c r="AD57" i="23"/>
  <c r="AD62" i="23"/>
  <c r="AD54" i="23"/>
  <c r="AD60" i="23"/>
  <c r="AD67" i="23"/>
  <c r="AT113" i="23"/>
  <c r="AT121" i="23"/>
  <c r="AT112" i="23"/>
  <c r="AT109" i="23"/>
  <c r="AT100" i="23"/>
  <c r="AT105" i="23"/>
  <c r="AT104" i="23"/>
  <c r="AT110" i="23"/>
  <c r="AT57" i="23"/>
  <c r="AT62" i="23"/>
  <c r="AT54" i="23"/>
  <c r="AT58" i="23"/>
  <c r="AT67" i="23"/>
  <c r="AT60" i="23"/>
  <c r="AT101" i="23"/>
  <c r="R122" i="23"/>
  <c r="R141" i="23"/>
  <c r="R123" i="23"/>
  <c r="R111" i="23"/>
  <c r="R102" i="23"/>
  <c r="R103" i="23"/>
  <c r="R55" i="23"/>
  <c r="R63" i="23"/>
  <c r="AH141" i="23"/>
  <c r="AH122" i="23"/>
  <c r="AH111" i="23"/>
  <c r="AH102" i="23"/>
  <c r="AH123" i="23"/>
  <c r="AH103" i="23"/>
  <c r="AH53" i="23"/>
  <c r="AH55" i="23"/>
  <c r="AX122" i="23"/>
  <c r="AX141" i="23"/>
  <c r="AX111" i="23"/>
  <c r="AX102" i="23"/>
  <c r="AX123" i="23"/>
  <c r="AX103" i="23"/>
  <c r="AX63" i="23"/>
  <c r="AX53" i="23"/>
  <c r="AX55" i="23"/>
  <c r="L32" i="23"/>
  <c r="L38" i="23"/>
  <c r="AB50" i="23"/>
  <c r="AB32" i="23"/>
  <c r="AB38" i="23"/>
  <c r="AR45" i="23"/>
  <c r="AR32" i="23"/>
  <c r="AR50" i="23"/>
  <c r="AR64" i="23" s="1"/>
  <c r="AR38" i="23"/>
  <c r="H245" i="23"/>
  <c r="H233" i="23"/>
  <c r="H225" i="23"/>
  <c r="H237" i="23"/>
  <c r="H229" i="23"/>
  <c r="H236" i="23"/>
  <c r="H228" i="23"/>
  <c r="H234" i="23"/>
  <c r="H224" i="23"/>
  <c r="H186" i="23"/>
  <c r="H184" i="23"/>
  <c r="H181" i="23"/>
  <c r="H182" i="23"/>
  <c r="H178" i="23"/>
  <c r="H191" i="23"/>
  <c r="X245" i="23"/>
  <c r="X233" i="23"/>
  <c r="X225" i="23"/>
  <c r="X237" i="23"/>
  <c r="X238" i="23" s="1"/>
  <c r="X229" i="23"/>
  <c r="X236" i="23"/>
  <c r="X228" i="23"/>
  <c r="X234" i="23"/>
  <c r="X191" i="23"/>
  <c r="X224" i="23"/>
  <c r="X182" i="23"/>
  <c r="X181" i="23"/>
  <c r="X186" i="23"/>
  <c r="X178" i="23"/>
  <c r="X184" i="23"/>
  <c r="AN245" i="23"/>
  <c r="AN233" i="23"/>
  <c r="AN238" i="23" s="1"/>
  <c r="AN225" i="23"/>
  <c r="AN237" i="23"/>
  <c r="AN229" i="23"/>
  <c r="AN234" i="23"/>
  <c r="AN236" i="23"/>
  <c r="AN228" i="23"/>
  <c r="AN184" i="23"/>
  <c r="AN224" i="23"/>
  <c r="AN191" i="23"/>
  <c r="AN178" i="23"/>
  <c r="AN182" i="23"/>
  <c r="AN181" i="23"/>
  <c r="AN186" i="23"/>
  <c r="BD245" i="23"/>
  <c r="BD233" i="23"/>
  <c r="BD225" i="23"/>
  <c r="BD237" i="23"/>
  <c r="BD229" i="23"/>
  <c r="BD224" i="23"/>
  <c r="BD228" i="23"/>
  <c r="BD236" i="23"/>
  <c r="BD234" i="23"/>
  <c r="BD186" i="23"/>
  <c r="BD191" i="23"/>
  <c r="BD178" i="23"/>
  <c r="BD184" i="23"/>
  <c r="BD182" i="23"/>
  <c r="BD181" i="23"/>
  <c r="L265" i="23"/>
  <c r="L246" i="23"/>
  <c r="L247" i="23"/>
  <c r="L235" i="23"/>
  <c r="L227" i="23"/>
  <c r="L177" i="23"/>
  <c r="L226" i="23"/>
  <c r="L187" i="23"/>
  <c r="L179" i="23"/>
  <c r="AB265" i="23"/>
  <c r="AB246" i="23"/>
  <c r="AB247" i="23"/>
  <c r="AB235" i="23"/>
  <c r="AB227" i="23"/>
  <c r="AB226" i="23"/>
  <c r="AB187" i="23"/>
  <c r="AB179" i="23"/>
  <c r="AB177" i="23"/>
  <c r="AR265" i="23"/>
  <c r="AR246" i="23"/>
  <c r="AR247" i="23"/>
  <c r="AR235" i="23"/>
  <c r="AR227" i="23"/>
  <c r="AR226" i="23"/>
  <c r="AR179" i="23"/>
  <c r="AR187" i="23"/>
  <c r="AR177" i="23"/>
  <c r="F169" i="23"/>
  <c r="F161" i="23"/>
  <c r="F167" i="23" s="1"/>
  <c r="F156" i="23"/>
  <c r="F174" i="23"/>
  <c r="F188" i="23" s="1"/>
  <c r="F162" i="23"/>
  <c r="V174" i="23"/>
  <c r="V162" i="23"/>
  <c r="V161" i="23"/>
  <c r="V167" i="23" s="1"/>
  <c r="V169" i="23"/>
  <c r="V156" i="23"/>
  <c r="AL169" i="23"/>
  <c r="AL174" i="23"/>
  <c r="AL185" i="23" s="1"/>
  <c r="AL162" i="23"/>
  <c r="AL156" i="23"/>
  <c r="AL161" i="23"/>
  <c r="AL167" i="23" s="1"/>
  <c r="BB174" i="23"/>
  <c r="BB188" i="23" s="1"/>
  <c r="BB169" i="23"/>
  <c r="BB161" i="23"/>
  <c r="BB167" i="23" s="1"/>
  <c r="BB156" i="23"/>
  <c r="BB162" i="23"/>
  <c r="AT37" i="23"/>
  <c r="AT43" i="23" s="1"/>
  <c r="AD50" i="23"/>
  <c r="AD66" i="23" s="1"/>
  <c r="R53" i="23"/>
  <c r="BD57" i="23"/>
  <c r="AB67" i="23"/>
  <c r="BA245" i="23"/>
  <c r="BA237" i="23"/>
  <c r="BA229" i="23"/>
  <c r="BA233" i="23"/>
  <c r="BA236" i="23"/>
  <c r="BA225" i="23"/>
  <c r="BA234" i="23"/>
  <c r="BA181" i="23"/>
  <c r="BA191" i="23"/>
  <c r="BA184" i="23"/>
  <c r="BA186" i="23"/>
  <c r="BA228" i="23"/>
  <c r="BA182" i="23"/>
  <c r="BA224" i="23"/>
  <c r="BA178" i="23"/>
  <c r="AV122" i="23"/>
  <c r="AV123" i="23"/>
  <c r="AV103" i="23"/>
  <c r="AV111" i="23"/>
  <c r="AV102" i="23"/>
  <c r="AV141" i="23"/>
  <c r="AV63" i="23"/>
  <c r="AV53" i="23"/>
  <c r="Z265" i="23"/>
  <c r="Z246" i="23"/>
  <c r="Z247" i="23"/>
  <c r="Z235" i="23"/>
  <c r="Z227" i="23"/>
  <c r="Z226" i="23"/>
  <c r="Z187" i="23"/>
  <c r="Z179" i="23"/>
  <c r="Z177" i="23"/>
  <c r="O112" i="23"/>
  <c r="O109" i="23"/>
  <c r="O100" i="23"/>
  <c r="O105" i="23"/>
  <c r="O121" i="23"/>
  <c r="O113" i="23"/>
  <c r="O57" i="23"/>
  <c r="O110" i="23"/>
  <c r="O62" i="23"/>
  <c r="O54" i="23"/>
  <c r="O101" i="23"/>
  <c r="O104" i="23"/>
  <c r="O67" i="23"/>
  <c r="O58" i="23"/>
  <c r="O60" i="23"/>
  <c r="AE112" i="23"/>
  <c r="AE109" i="23"/>
  <c r="AE100" i="23"/>
  <c r="AE105" i="23"/>
  <c r="AE121" i="23"/>
  <c r="AE110" i="23"/>
  <c r="AE101" i="23"/>
  <c r="AE113" i="23"/>
  <c r="AE57" i="23"/>
  <c r="AE62" i="23"/>
  <c r="AE54" i="23"/>
  <c r="AE104" i="23"/>
  <c r="AE60" i="23"/>
  <c r="AE58" i="23"/>
  <c r="AE67" i="23"/>
  <c r="AU121" i="23"/>
  <c r="AU112" i="23"/>
  <c r="AU109" i="23"/>
  <c r="AU100" i="23"/>
  <c r="AU105" i="23"/>
  <c r="AU113" i="23"/>
  <c r="AU104" i="23"/>
  <c r="AU57" i="23"/>
  <c r="AU62" i="23"/>
  <c r="AU54" i="23"/>
  <c r="AU101" i="23"/>
  <c r="AU58" i="23"/>
  <c r="AU110" i="23"/>
  <c r="AU67" i="23"/>
  <c r="AU60" i="23"/>
  <c r="S141" i="23"/>
  <c r="S123" i="23"/>
  <c r="S111" i="23"/>
  <c r="S102" i="23"/>
  <c r="S122" i="23"/>
  <c r="S103" i="23"/>
  <c r="S55" i="23"/>
  <c r="S63" i="23"/>
  <c r="S53" i="23"/>
  <c r="AI141" i="23"/>
  <c r="AI122" i="23"/>
  <c r="AI111" i="23"/>
  <c r="AI102" i="23"/>
  <c r="AI123" i="23"/>
  <c r="AI103" i="23"/>
  <c r="AI53" i="23"/>
  <c r="AI55" i="23"/>
  <c r="AY141" i="23"/>
  <c r="AY111" i="23"/>
  <c r="AY102" i="23"/>
  <c r="AY122" i="23"/>
  <c r="AY123" i="23"/>
  <c r="AY103" i="23"/>
  <c r="AY63" i="23"/>
  <c r="AY53" i="23"/>
  <c r="M32" i="23"/>
  <c r="M38" i="23"/>
  <c r="AC32" i="23"/>
  <c r="AC38" i="23"/>
  <c r="AS32" i="23"/>
  <c r="AS50" i="23"/>
  <c r="AS66" i="23" s="1"/>
  <c r="AS38" i="23"/>
  <c r="I245" i="23"/>
  <c r="I249" i="23" s="1"/>
  <c r="I237" i="23"/>
  <c r="I225" i="23"/>
  <c r="I229" i="23"/>
  <c r="I234" i="23"/>
  <c r="I224" i="23"/>
  <c r="I236" i="23"/>
  <c r="I191" i="23"/>
  <c r="I228" i="23"/>
  <c r="I233" i="23"/>
  <c r="I182" i="23"/>
  <c r="I181" i="23"/>
  <c r="I186" i="23"/>
  <c r="I184" i="23"/>
  <c r="I178" i="23"/>
  <c r="Y237" i="23"/>
  <c r="Y224" i="23"/>
  <c r="Y236" i="23"/>
  <c r="Y225" i="23"/>
  <c r="Y229" i="23"/>
  <c r="Y233" i="23"/>
  <c r="Y238" i="23" s="1"/>
  <c r="Y234" i="23"/>
  <c r="Y245" i="23"/>
  <c r="Y191" i="23"/>
  <c r="Y228" i="23"/>
  <c r="Y178" i="23"/>
  <c r="Y182" i="23"/>
  <c r="Y181" i="23"/>
  <c r="Y186" i="23"/>
  <c r="Y184" i="23"/>
  <c r="AO245" i="23"/>
  <c r="AO237" i="23"/>
  <c r="AO234" i="23"/>
  <c r="AO238" i="23" s="1"/>
  <c r="AO236" i="23"/>
  <c r="AO233" i="23"/>
  <c r="AO191" i="23"/>
  <c r="AO228" i="23"/>
  <c r="AO229" i="23"/>
  <c r="AO225" i="23"/>
  <c r="AO186" i="23"/>
  <c r="AO178" i="23"/>
  <c r="AO182" i="23"/>
  <c r="AO181" i="23"/>
  <c r="AO184" i="23"/>
  <c r="AO224" i="23"/>
  <c r="BE245" i="23"/>
  <c r="BE237" i="23"/>
  <c r="BE234" i="23"/>
  <c r="BE224" i="23"/>
  <c r="BE228" i="23"/>
  <c r="BE236" i="23"/>
  <c r="BE233" i="23"/>
  <c r="BE225" i="23"/>
  <c r="BE229" i="23"/>
  <c r="BE191" i="23"/>
  <c r="BE184" i="23"/>
  <c r="BE186" i="23"/>
  <c r="BE178" i="23"/>
  <c r="BE181" i="23"/>
  <c r="BE182" i="23"/>
  <c r="M265" i="23"/>
  <c r="M246" i="23"/>
  <c r="M247" i="23"/>
  <c r="M227" i="23"/>
  <c r="M235" i="23"/>
  <c r="M226" i="23"/>
  <c r="M177" i="23"/>
  <c r="M187" i="23"/>
  <c r="M179" i="23"/>
  <c r="AC265" i="23"/>
  <c r="AC246" i="23"/>
  <c r="AC247" i="23"/>
  <c r="AC226" i="23"/>
  <c r="AC235" i="23"/>
  <c r="AC177" i="23"/>
  <c r="AC227" i="23"/>
  <c r="AC179" i="23"/>
  <c r="AC187" i="23"/>
  <c r="AS265" i="23"/>
  <c r="AS246" i="23"/>
  <c r="AS226" i="23"/>
  <c r="AS235" i="23"/>
  <c r="AS247" i="23"/>
  <c r="AS177" i="23"/>
  <c r="AS227" i="23"/>
  <c r="AS187" i="23"/>
  <c r="AS179" i="23"/>
  <c r="G174" i="23"/>
  <c r="G156" i="23"/>
  <c r="G162" i="23"/>
  <c r="G169" i="23"/>
  <c r="G161" i="23"/>
  <c r="G167" i="23" s="1"/>
  <c r="W161" i="23"/>
  <c r="W167" i="23" s="1"/>
  <c r="W156" i="23"/>
  <c r="W162" i="23"/>
  <c r="W174" i="23"/>
  <c r="W188" i="23" s="1"/>
  <c r="W169" i="23"/>
  <c r="AM174" i="23"/>
  <c r="AM188" i="23" s="1"/>
  <c r="AM169" i="23"/>
  <c r="AM162" i="23"/>
  <c r="AM156" i="23"/>
  <c r="AM161" i="23"/>
  <c r="AM167" i="23" s="1"/>
  <c r="BC169" i="23"/>
  <c r="BC174" i="23"/>
  <c r="BC162" i="23"/>
  <c r="BC161" i="23"/>
  <c r="BC167" i="23" s="1"/>
  <c r="BC156" i="23"/>
  <c r="AV45" i="23"/>
  <c r="AW55" i="23"/>
  <c r="BF57" i="23"/>
  <c r="AC67" i="23"/>
  <c r="BG104" i="23"/>
  <c r="BG110" i="23"/>
  <c r="BG101" i="23"/>
  <c r="BG113" i="23"/>
  <c r="BG112" i="23"/>
  <c r="BG121" i="23"/>
  <c r="BG109" i="23"/>
  <c r="BG100" i="23"/>
  <c r="BG105" i="23"/>
  <c r="BG60" i="23"/>
  <c r="BG62" i="23"/>
  <c r="BG58" i="23"/>
  <c r="BG57" i="23"/>
  <c r="BG54" i="23"/>
  <c r="BG67" i="23"/>
  <c r="BB245" i="23"/>
  <c r="BB236" i="23"/>
  <c r="BB228" i="23"/>
  <c r="BB233" i="23"/>
  <c r="BB225" i="23"/>
  <c r="BB229" i="23"/>
  <c r="BB237" i="23"/>
  <c r="BB234" i="23"/>
  <c r="BB224" i="23"/>
  <c r="BB184" i="23"/>
  <c r="BB186" i="23"/>
  <c r="BB178" i="23"/>
  <c r="BB191" i="23"/>
  <c r="BB181" i="23"/>
  <c r="BB182" i="23"/>
  <c r="T174" i="23"/>
  <c r="T190" i="23" s="1"/>
  <c r="T169" i="23"/>
  <c r="T161" i="23"/>
  <c r="T167" i="23" s="1"/>
  <c r="T162" i="23"/>
  <c r="T156" i="23"/>
  <c r="P112" i="23"/>
  <c r="P109" i="23"/>
  <c r="P100" i="23"/>
  <c r="P105" i="23"/>
  <c r="P121" i="23"/>
  <c r="P104" i="23"/>
  <c r="P110" i="23"/>
  <c r="P101" i="23"/>
  <c r="P62" i="23"/>
  <c r="P54" i="23"/>
  <c r="P113" i="23"/>
  <c r="P67" i="23"/>
  <c r="P58" i="23"/>
  <c r="P60" i="23"/>
  <c r="P57" i="23"/>
  <c r="AF112" i="23"/>
  <c r="AF109" i="23"/>
  <c r="AF100" i="23"/>
  <c r="AF105" i="23"/>
  <c r="AF121" i="23"/>
  <c r="AF104" i="23"/>
  <c r="AF113" i="23"/>
  <c r="AF110" i="23"/>
  <c r="AF101" i="23"/>
  <c r="AF62" i="23"/>
  <c r="AF54" i="23"/>
  <c r="AF67" i="23"/>
  <c r="AF60" i="23"/>
  <c r="AF57" i="23"/>
  <c r="AF58" i="23"/>
  <c r="AV112" i="23"/>
  <c r="AV109" i="23"/>
  <c r="AV100" i="23"/>
  <c r="AV105" i="23"/>
  <c r="AV104" i="23"/>
  <c r="AV110" i="23"/>
  <c r="AV101" i="23"/>
  <c r="AV121" i="23"/>
  <c r="AV113" i="23"/>
  <c r="AV62" i="23"/>
  <c r="AV54" i="23"/>
  <c r="AV67" i="23"/>
  <c r="AV60" i="23"/>
  <c r="AV57" i="23"/>
  <c r="T122" i="23"/>
  <c r="T141" i="23"/>
  <c r="T123" i="23"/>
  <c r="T111" i="23"/>
  <c r="T102" i="23"/>
  <c r="T103" i="23"/>
  <c r="T53" i="23"/>
  <c r="T55" i="23"/>
  <c r="T63" i="23"/>
  <c r="AJ141" i="23"/>
  <c r="AJ122" i="23"/>
  <c r="AJ111" i="23"/>
  <c r="AJ102" i="23"/>
  <c r="AJ123" i="23"/>
  <c r="AJ103" i="23"/>
  <c r="AJ61" i="23"/>
  <c r="AJ53" i="23"/>
  <c r="AJ59" i="23"/>
  <c r="AJ55" i="23"/>
  <c r="AJ63" i="23"/>
  <c r="AZ122" i="23"/>
  <c r="AZ141" i="23"/>
  <c r="AZ111" i="23"/>
  <c r="AZ102" i="23"/>
  <c r="AZ103" i="23"/>
  <c r="AZ123" i="23"/>
  <c r="AZ53" i="23"/>
  <c r="AZ63" i="23"/>
  <c r="AZ55" i="23"/>
  <c r="N38" i="23"/>
  <c r="N50" i="23"/>
  <c r="AT50" i="23"/>
  <c r="AT64" i="23" s="1"/>
  <c r="AT38" i="23"/>
  <c r="J245" i="23"/>
  <c r="J237" i="23"/>
  <c r="J234" i="23"/>
  <c r="J238" i="23" s="1"/>
  <c r="J224" i="23"/>
  <c r="J236" i="23"/>
  <c r="J225" i="23"/>
  <c r="J233" i="23"/>
  <c r="J229" i="23"/>
  <c r="J184" i="23"/>
  <c r="J178" i="23"/>
  <c r="J186" i="23"/>
  <c r="J191" i="23"/>
  <c r="J228" i="23"/>
  <c r="J182" i="23"/>
  <c r="J181" i="23"/>
  <c r="Z245" i="23"/>
  <c r="Z237" i="23"/>
  <c r="Z234" i="23"/>
  <c r="Z236" i="23"/>
  <c r="Z233" i="23"/>
  <c r="Z225" i="23"/>
  <c r="Z229" i="23"/>
  <c r="Z224" i="23"/>
  <c r="Z184" i="23"/>
  <c r="Z191" i="23"/>
  <c r="Z181" i="23"/>
  <c r="Z186" i="23"/>
  <c r="Z182" i="23"/>
  <c r="Z178" i="23"/>
  <c r="Z228" i="23"/>
  <c r="AP245" i="23"/>
  <c r="AP237" i="23"/>
  <c r="AP234" i="23"/>
  <c r="AP233" i="23"/>
  <c r="AP225" i="23"/>
  <c r="AP236" i="23"/>
  <c r="AP228" i="23"/>
  <c r="AP229" i="23"/>
  <c r="AP224" i="23"/>
  <c r="AP182" i="23"/>
  <c r="AP181" i="23"/>
  <c r="AP178" i="23"/>
  <c r="AP186" i="23"/>
  <c r="AP191" i="23"/>
  <c r="AP184" i="23"/>
  <c r="BF245" i="23"/>
  <c r="BF237" i="23"/>
  <c r="BF234" i="23"/>
  <c r="BF236" i="23"/>
  <c r="BF224" i="23"/>
  <c r="BF228" i="23"/>
  <c r="BF233" i="23"/>
  <c r="BF225" i="23"/>
  <c r="BF184" i="23"/>
  <c r="BF178" i="23"/>
  <c r="BF229" i="23"/>
  <c r="BF191" i="23"/>
  <c r="BF182" i="23"/>
  <c r="BF181" i="23"/>
  <c r="BF186" i="23"/>
  <c r="AJ248" i="23"/>
  <c r="AZ248" i="23"/>
  <c r="N246" i="23"/>
  <c r="N247" i="23"/>
  <c r="N265" i="23"/>
  <c r="N227" i="23"/>
  <c r="N235" i="23"/>
  <c r="N226" i="23"/>
  <c r="N187" i="23"/>
  <c r="N177" i="23"/>
  <c r="N179" i="23"/>
  <c r="AD246" i="23"/>
  <c r="AD247" i="23"/>
  <c r="AD265" i="23"/>
  <c r="AD227" i="23"/>
  <c r="AD235" i="23"/>
  <c r="AD226" i="23"/>
  <c r="AD177" i="23"/>
  <c r="AD187" i="23"/>
  <c r="AD179" i="23"/>
  <c r="AT246" i="23"/>
  <c r="AT247" i="23"/>
  <c r="AT249" i="23" s="1"/>
  <c r="AT265" i="23"/>
  <c r="AT226" i="23"/>
  <c r="AT235" i="23"/>
  <c r="AT227" i="23"/>
  <c r="AT177" i="23"/>
  <c r="AT187" i="23"/>
  <c r="AT179" i="23"/>
  <c r="H174" i="23"/>
  <c r="H183" i="23" s="1"/>
  <c r="H156" i="23"/>
  <c r="H169" i="23"/>
  <c r="H162" i="23"/>
  <c r="H161" i="23"/>
  <c r="H167" i="23" s="1"/>
  <c r="X174" i="23"/>
  <c r="X188" i="23" s="1"/>
  <c r="X169" i="23"/>
  <c r="X156" i="23"/>
  <c r="X161" i="23"/>
  <c r="X167" i="23" s="1"/>
  <c r="X162" i="23"/>
  <c r="AN174" i="23"/>
  <c r="AN190" i="23" s="1"/>
  <c r="AN162" i="23"/>
  <c r="AN161" i="23"/>
  <c r="AN167" i="23" s="1"/>
  <c r="AN156" i="23"/>
  <c r="AN169" i="23"/>
  <c r="BD174" i="23"/>
  <c r="BD185" i="23" s="1"/>
  <c r="BD161" i="23"/>
  <c r="BD167" i="23" s="1"/>
  <c r="BD169" i="23"/>
  <c r="BD156" i="23"/>
  <c r="BD162" i="23"/>
  <c r="L37" i="23"/>
  <c r="L43" i="23" s="1"/>
  <c r="BB38" i="23"/>
  <c r="AY55" i="23"/>
  <c r="Z58" i="23"/>
  <c r="AA64" i="23"/>
  <c r="BD67" i="23"/>
  <c r="Y45" i="23"/>
  <c r="Y37" i="23"/>
  <c r="Y43" i="23" s="1"/>
  <c r="Y50" i="23"/>
  <c r="Y59" i="23" s="1"/>
  <c r="Y32" i="23"/>
  <c r="Y247" i="23"/>
  <c r="Y265" i="23"/>
  <c r="Y246" i="23"/>
  <c r="Y235" i="23"/>
  <c r="Y227" i="23"/>
  <c r="Y226" i="23"/>
  <c r="Y177" i="23"/>
  <c r="Y179" i="23"/>
  <c r="Y187" i="23"/>
  <c r="L113" i="23"/>
  <c r="L110" i="23"/>
  <c r="L101" i="23"/>
  <c r="L112" i="23"/>
  <c r="L109" i="23"/>
  <c r="L100" i="23"/>
  <c r="L121" i="23"/>
  <c r="L60" i="23"/>
  <c r="L57" i="23"/>
  <c r="L104" i="23"/>
  <c r="L62" i="23"/>
  <c r="L105" i="23"/>
  <c r="L58" i="23"/>
  <c r="L67" i="23"/>
  <c r="L64" i="23"/>
  <c r="L54" i="23"/>
  <c r="AP37" i="23"/>
  <c r="AP43" i="23" s="1"/>
  <c r="AP45" i="23"/>
  <c r="AP32" i="23"/>
  <c r="AP50" i="23"/>
  <c r="AP66" i="23" s="1"/>
  <c r="Q112" i="23"/>
  <c r="Q109" i="23"/>
  <c r="Q100" i="23"/>
  <c r="Q105" i="23"/>
  <c r="Q121" i="23"/>
  <c r="Q104" i="23"/>
  <c r="Q113" i="23"/>
  <c r="Q60" i="23"/>
  <c r="Q110" i="23"/>
  <c r="Q62" i="23"/>
  <c r="Q54" i="23"/>
  <c r="Q101" i="23"/>
  <c r="Q67" i="23"/>
  <c r="Q58" i="23"/>
  <c r="Q57" i="23"/>
  <c r="AG112" i="23"/>
  <c r="AG109" i="23"/>
  <c r="AG100" i="23"/>
  <c r="AG105" i="23"/>
  <c r="AG121" i="23"/>
  <c r="AG104" i="23"/>
  <c r="AG60" i="23"/>
  <c r="AG110" i="23"/>
  <c r="AG101" i="23"/>
  <c r="AG113" i="23"/>
  <c r="AG62" i="23"/>
  <c r="AG54" i="23"/>
  <c r="AG67" i="23"/>
  <c r="AG58" i="23"/>
  <c r="AW112" i="23"/>
  <c r="AW109" i="23"/>
  <c r="AW100" i="23"/>
  <c r="AW105" i="23"/>
  <c r="AW104" i="23"/>
  <c r="AW113" i="23"/>
  <c r="AW121" i="23"/>
  <c r="AW60" i="23"/>
  <c r="AW62" i="23"/>
  <c r="AW54" i="23"/>
  <c r="AW67" i="23"/>
  <c r="AW101" i="23"/>
  <c r="AW110" i="23"/>
  <c r="AW57" i="23"/>
  <c r="U141" i="23"/>
  <c r="U123" i="23"/>
  <c r="U111" i="23"/>
  <c r="U102" i="23"/>
  <c r="U53" i="23"/>
  <c r="U103" i="23"/>
  <c r="U122" i="23"/>
  <c r="U55" i="23"/>
  <c r="U63" i="23"/>
  <c r="AK122" i="23"/>
  <c r="AK111" i="23"/>
  <c r="AK102" i="23"/>
  <c r="AK123" i="23"/>
  <c r="AK103" i="23"/>
  <c r="AK61" i="23"/>
  <c r="AK53" i="23"/>
  <c r="AK141" i="23"/>
  <c r="AK59" i="23"/>
  <c r="AK55" i="23"/>
  <c r="AK63" i="23"/>
  <c r="BA141" i="23"/>
  <c r="BA111" i="23"/>
  <c r="BA102" i="23"/>
  <c r="BA122" i="23"/>
  <c r="BA123" i="23"/>
  <c r="BA53" i="23"/>
  <c r="BA63" i="23"/>
  <c r="BA103" i="23"/>
  <c r="BA55" i="23"/>
  <c r="O45" i="23"/>
  <c r="O38" i="23"/>
  <c r="O50" i="23"/>
  <c r="O64" i="23" s="1"/>
  <c r="AE45" i="23"/>
  <c r="AE38" i="23"/>
  <c r="AE50" i="23"/>
  <c r="AE66" i="23" s="1"/>
  <c r="AU45" i="23"/>
  <c r="AU50" i="23"/>
  <c r="AU66" i="23" s="1"/>
  <c r="AU38" i="23"/>
  <c r="K245" i="23"/>
  <c r="K236" i="23"/>
  <c r="K228" i="23"/>
  <c r="K234" i="23"/>
  <c r="K237" i="23"/>
  <c r="K224" i="23"/>
  <c r="K233" i="23"/>
  <c r="K225" i="23"/>
  <c r="K229" i="23"/>
  <c r="K178" i="23"/>
  <c r="K184" i="23"/>
  <c r="K191" i="23"/>
  <c r="K186" i="23"/>
  <c r="K182" i="23"/>
  <c r="K181" i="23"/>
  <c r="AA245" i="23"/>
  <c r="AA249" i="23" s="1"/>
  <c r="AA236" i="23"/>
  <c r="AA228" i="23"/>
  <c r="AA225" i="23"/>
  <c r="AA237" i="23"/>
  <c r="AA233" i="23"/>
  <c r="AA234" i="23"/>
  <c r="AA224" i="23"/>
  <c r="AA184" i="23"/>
  <c r="AA178" i="23"/>
  <c r="AA229" i="23"/>
  <c r="AA182" i="23"/>
  <c r="AA181" i="23"/>
  <c r="AA191" i="23"/>
  <c r="AA186" i="23"/>
  <c r="AQ245" i="23"/>
  <c r="AQ236" i="23"/>
  <c r="AQ228" i="23"/>
  <c r="AQ237" i="23"/>
  <c r="AQ224" i="23"/>
  <c r="AQ234" i="23"/>
  <c r="AQ225" i="23"/>
  <c r="AQ233" i="23"/>
  <c r="AQ191" i="23"/>
  <c r="AQ178" i="23"/>
  <c r="AQ182" i="23"/>
  <c r="AQ181" i="23"/>
  <c r="AQ229" i="23"/>
  <c r="AQ184" i="23"/>
  <c r="AQ186" i="23"/>
  <c r="BG245" i="23"/>
  <c r="BG236" i="23"/>
  <c r="BG228" i="23"/>
  <c r="BG229" i="23"/>
  <c r="BG237" i="23"/>
  <c r="BG233" i="23"/>
  <c r="BG234" i="23"/>
  <c r="BG224" i="23"/>
  <c r="BG225" i="23"/>
  <c r="BG186" i="23"/>
  <c r="BG178" i="23"/>
  <c r="BG191" i="23"/>
  <c r="BG182" i="23"/>
  <c r="BG181" i="23"/>
  <c r="BG190" i="23"/>
  <c r="BG184" i="23"/>
  <c r="O246" i="23"/>
  <c r="O247" i="23"/>
  <c r="O235" i="23"/>
  <c r="O238" i="23" s="1"/>
  <c r="O265" i="23"/>
  <c r="O227" i="23"/>
  <c r="O226" i="23"/>
  <c r="O179" i="23"/>
  <c r="O177" i="23"/>
  <c r="O187" i="23"/>
  <c r="AE246" i="23"/>
  <c r="AE247" i="23"/>
  <c r="AE265" i="23"/>
  <c r="AE235" i="23"/>
  <c r="AE187" i="23"/>
  <c r="AE227" i="23"/>
  <c r="AE226" i="23"/>
  <c r="AE179" i="23"/>
  <c r="AE177" i="23"/>
  <c r="AU246" i="23"/>
  <c r="AU249" i="23" s="1"/>
  <c r="AU247" i="23"/>
  <c r="AU265" i="23"/>
  <c r="AU226" i="23"/>
  <c r="AU235" i="23"/>
  <c r="AU227" i="23"/>
  <c r="AU177" i="23"/>
  <c r="AU187" i="23"/>
  <c r="AU179" i="23"/>
  <c r="I156" i="23"/>
  <c r="I169" i="23"/>
  <c r="I161" i="23"/>
  <c r="I167" i="23" s="1"/>
  <c r="I162" i="23"/>
  <c r="I174" i="23"/>
  <c r="I188" i="23" s="1"/>
  <c r="Y156" i="23"/>
  <c r="Y162" i="23"/>
  <c r="Y161" i="23"/>
  <c r="Y167" i="23" s="1"/>
  <c r="Y174" i="23"/>
  <c r="Y183" i="23" s="1"/>
  <c r="Y169" i="23"/>
  <c r="AO174" i="23"/>
  <c r="AO183" i="23" s="1"/>
  <c r="AO156" i="23"/>
  <c r="AO169" i="23"/>
  <c r="AO162" i="23"/>
  <c r="AO161" i="23"/>
  <c r="AO167" i="23" s="1"/>
  <c r="BE174" i="23"/>
  <c r="BE188" i="23" s="1"/>
  <c r="BE169" i="23"/>
  <c r="BE156" i="23"/>
  <c r="BE161" i="23"/>
  <c r="BE167" i="23" s="1"/>
  <c r="BE162" i="23"/>
  <c r="AD32" i="23"/>
  <c r="M37" i="23"/>
  <c r="M43" i="23" s="1"/>
  <c r="AA58" i="23"/>
  <c r="O103" i="23"/>
  <c r="O141" i="23"/>
  <c r="O123" i="23"/>
  <c r="O111" i="23"/>
  <c r="O102" i="23"/>
  <c r="O63" i="23"/>
  <c r="O55" i="23"/>
  <c r="O122" i="23"/>
  <c r="O61" i="23"/>
  <c r="AY161" i="23"/>
  <c r="AY167" i="23" s="1"/>
  <c r="AY156" i="23"/>
  <c r="AY162" i="23"/>
  <c r="AY174" i="23"/>
  <c r="AY190" i="23" s="1"/>
  <c r="AY169" i="23"/>
  <c r="BF37" i="23"/>
  <c r="BF43" i="23" s="1"/>
  <c r="BF45" i="23"/>
  <c r="BF32" i="23"/>
  <c r="BF265" i="23"/>
  <c r="BF246" i="23"/>
  <c r="BF247" i="23"/>
  <c r="BF235" i="23"/>
  <c r="BF227" i="23"/>
  <c r="BF226" i="23"/>
  <c r="BF179" i="23"/>
  <c r="BF177" i="23"/>
  <c r="BF187" i="23"/>
  <c r="M106" i="23"/>
  <c r="M115" i="23"/>
  <c r="M56" i="23"/>
  <c r="R113" i="23"/>
  <c r="R109" i="23"/>
  <c r="R100" i="23"/>
  <c r="R105" i="23"/>
  <c r="R121" i="23"/>
  <c r="R110" i="23"/>
  <c r="R112" i="23"/>
  <c r="R101" i="23"/>
  <c r="R67" i="23"/>
  <c r="R104" i="23"/>
  <c r="R62" i="23"/>
  <c r="R58" i="23"/>
  <c r="R57" i="23"/>
  <c r="R54" i="23"/>
  <c r="R60" i="23"/>
  <c r="AH113" i="23"/>
  <c r="AH109" i="23"/>
  <c r="AH100" i="23"/>
  <c r="AH105" i="23"/>
  <c r="AH121" i="23"/>
  <c r="AH110" i="23"/>
  <c r="AH101" i="23"/>
  <c r="AH67" i="23"/>
  <c r="AH104" i="23"/>
  <c r="AH62" i="23"/>
  <c r="AH58" i="23"/>
  <c r="AX113" i="23"/>
  <c r="AX109" i="23"/>
  <c r="AX100" i="23"/>
  <c r="AX105" i="23"/>
  <c r="AX110" i="23"/>
  <c r="AX121" i="23"/>
  <c r="AX104" i="23"/>
  <c r="AX67" i="23"/>
  <c r="AX112" i="23"/>
  <c r="AX101" i="23"/>
  <c r="AX57" i="23"/>
  <c r="AX54" i="23"/>
  <c r="AX60" i="23"/>
  <c r="AX62" i="23"/>
  <c r="AX58" i="23"/>
  <c r="F141" i="23"/>
  <c r="F111" i="23"/>
  <c r="F102" i="23"/>
  <c r="F122" i="23"/>
  <c r="F103" i="23"/>
  <c r="F123" i="23"/>
  <c r="F53" i="23"/>
  <c r="F63" i="23"/>
  <c r="F55" i="23"/>
  <c r="V123" i="23"/>
  <c r="V111" i="23"/>
  <c r="V102" i="23"/>
  <c r="V141" i="23"/>
  <c r="V122" i="23"/>
  <c r="V103" i="23"/>
  <c r="V53" i="23"/>
  <c r="V63" i="23"/>
  <c r="AL141" i="23"/>
  <c r="AL111" i="23"/>
  <c r="AL102" i="23"/>
  <c r="AL123" i="23"/>
  <c r="AL103" i="23"/>
  <c r="AL53" i="23"/>
  <c r="AL122" i="23"/>
  <c r="AL55" i="23"/>
  <c r="AL63" i="23"/>
  <c r="BB141" i="23"/>
  <c r="BB111" i="23"/>
  <c r="BB102" i="23"/>
  <c r="BB122" i="23"/>
  <c r="BB123" i="23"/>
  <c r="BB103" i="23"/>
  <c r="BB61" i="23"/>
  <c r="BB53" i="23"/>
  <c r="BB63" i="23"/>
  <c r="BB59" i="23"/>
  <c r="BB55" i="23"/>
  <c r="P50" i="23"/>
  <c r="P64" i="23" s="1"/>
  <c r="P38" i="23"/>
  <c r="AF50" i="23"/>
  <c r="AF66" i="23" s="1"/>
  <c r="AF38" i="23"/>
  <c r="AV50" i="23"/>
  <c r="AV66" i="23" s="1"/>
  <c r="AV38" i="23"/>
  <c r="L245" i="23"/>
  <c r="L224" i="23"/>
  <c r="L237" i="23"/>
  <c r="L234" i="23"/>
  <c r="L236" i="23"/>
  <c r="L233" i="23"/>
  <c r="L229" i="23"/>
  <c r="L228" i="23"/>
  <c r="L182" i="23"/>
  <c r="L181" i="23"/>
  <c r="L186" i="23"/>
  <c r="L191" i="23"/>
  <c r="L225" i="23"/>
  <c r="L178" i="23"/>
  <c r="L184" i="23"/>
  <c r="AB245" i="23"/>
  <c r="AB224" i="23"/>
  <c r="AB229" i="23"/>
  <c r="AB236" i="23"/>
  <c r="AB228" i="23"/>
  <c r="AB233" i="23"/>
  <c r="AB234" i="23"/>
  <c r="AB237" i="23"/>
  <c r="AB225" i="23"/>
  <c r="AB184" i="23"/>
  <c r="AB186" i="23"/>
  <c r="AB191" i="23"/>
  <c r="AB181" i="23"/>
  <c r="AB182" i="23"/>
  <c r="AB178" i="23"/>
  <c r="AR245" i="23"/>
  <c r="AR224" i="23"/>
  <c r="AR237" i="23"/>
  <c r="AR233" i="23"/>
  <c r="AR234" i="23"/>
  <c r="AR225" i="23"/>
  <c r="AR236" i="23"/>
  <c r="AR228" i="23"/>
  <c r="AR229" i="23"/>
  <c r="AR184" i="23"/>
  <c r="AR178" i="23"/>
  <c r="AR186" i="23"/>
  <c r="AR182" i="23"/>
  <c r="AR191" i="23"/>
  <c r="AR181" i="23"/>
  <c r="P247" i="23"/>
  <c r="P265" i="23"/>
  <c r="P246" i="23"/>
  <c r="P249" i="23" s="1"/>
  <c r="P226" i="23"/>
  <c r="P235" i="23"/>
  <c r="P227" i="23"/>
  <c r="P179" i="23"/>
  <c r="P187" i="23"/>
  <c r="P177" i="23"/>
  <c r="AF247" i="23"/>
  <c r="AF265" i="23"/>
  <c r="AF246" i="23"/>
  <c r="AF226" i="23"/>
  <c r="AF227" i="23"/>
  <c r="AF235" i="23"/>
  <c r="AF238" i="23" s="1"/>
  <c r="AF187" i="23"/>
  <c r="AF177" i="23"/>
  <c r="AF179" i="23"/>
  <c r="AV247" i="23"/>
  <c r="AV265" i="23"/>
  <c r="AV246" i="23"/>
  <c r="AV226" i="23"/>
  <c r="AV235" i="23"/>
  <c r="AV227" i="23"/>
  <c r="AV187" i="23"/>
  <c r="AV179" i="23"/>
  <c r="AV177" i="23"/>
  <c r="J174" i="23"/>
  <c r="J190" i="23" s="1"/>
  <c r="J162" i="23"/>
  <c r="J169" i="23"/>
  <c r="J161" i="23"/>
  <c r="J167" i="23" s="1"/>
  <c r="J156" i="23"/>
  <c r="Z156" i="23"/>
  <c r="Z174" i="23"/>
  <c r="Z161" i="23"/>
  <c r="Z167" i="23" s="1"/>
  <c r="Z162" i="23"/>
  <c r="Z169" i="23"/>
  <c r="AP174" i="23"/>
  <c r="AP169" i="23"/>
  <c r="AP156" i="23"/>
  <c r="AP162" i="23"/>
  <c r="AP161" i="23"/>
  <c r="AP167" i="23" s="1"/>
  <c r="BF174" i="23"/>
  <c r="BF185" i="23" s="1"/>
  <c r="BF162" i="23"/>
  <c r="BF161" i="23"/>
  <c r="BF167" i="23" s="1"/>
  <c r="BF156" i="23"/>
  <c r="BF169" i="23"/>
  <c r="AE32" i="23"/>
  <c r="N37" i="23"/>
  <c r="N43" i="23" s="1"/>
  <c r="BD38" i="23"/>
  <c r="BD50" i="23"/>
  <c r="BD59" i="23" s="1"/>
  <c r="H54" i="23"/>
  <c r="AD58" i="23"/>
  <c r="AE141" i="23"/>
  <c r="AE122" i="23"/>
  <c r="AE103" i="23"/>
  <c r="AE111" i="23"/>
  <c r="AE102" i="23"/>
  <c r="AE63" i="23"/>
  <c r="AE55" i="23"/>
  <c r="AE123" i="23"/>
  <c r="AE53" i="23"/>
  <c r="AE61" i="23"/>
  <c r="V245" i="23"/>
  <c r="V236" i="23"/>
  <c r="V228" i="23"/>
  <c r="V233" i="23"/>
  <c r="V225" i="23"/>
  <c r="V234" i="23"/>
  <c r="V229" i="23"/>
  <c r="V237" i="23"/>
  <c r="V190" i="23"/>
  <c r="V188" i="23"/>
  <c r="V224" i="23"/>
  <c r="V178" i="23"/>
  <c r="V182" i="23"/>
  <c r="V181" i="23"/>
  <c r="V186" i="23"/>
  <c r="V191" i="23"/>
  <c r="V184" i="23"/>
  <c r="AJ174" i="23"/>
  <c r="AJ188" i="23" s="1"/>
  <c r="AJ169" i="23"/>
  <c r="AJ161" i="23"/>
  <c r="AJ167" i="23" s="1"/>
  <c r="AJ162" i="23"/>
  <c r="AJ156" i="23"/>
  <c r="S109" i="23"/>
  <c r="S100" i="23"/>
  <c r="S105" i="23"/>
  <c r="S121" i="23"/>
  <c r="S104" i="23"/>
  <c r="S113" i="23"/>
  <c r="S110" i="23"/>
  <c r="S101" i="23"/>
  <c r="S112" i="23"/>
  <c r="S57" i="23"/>
  <c r="S67" i="23"/>
  <c r="S58" i="23"/>
  <c r="S54" i="23"/>
  <c r="S60" i="23"/>
  <c r="AI109" i="23"/>
  <c r="AI100" i="23"/>
  <c r="AI105" i="23"/>
  <c r="AI121" i="23"/>
  <c r="AI104" i="23"/>
  <c r="AI110" i="23"/>
  <c r="AI101" i="23"/>
  <c r="AI113" i="23"/>
  <c r="AI57" i="23"/>
  <c r="AI67" i="23"/>
  <c r="AI64" i="23"/>
  <c r="AI112" i="23"/>
  <c r="AI62" i="23"/>
  <c r="AI58" i="23"/>
  <c r="AI54" i="23"/>
  <c r="AY109" i="23"/>
  <c r="AY100" i="23"/>
  <c r="AY105" i="23"/>
  <c r="AY104" i="23"/>
  <c r="AY110" i="23"/>
  <c r="AY101" i="23"/>
  <c r="AY113" i="23"/>
  <c r="AY57" i="23"/>
  <c r="AY67" i="23"/>
  <c r="AY112" i="23"/>
  <c r="AY54" i="23"/>
  <c r="AY66" i="23"/>
  <c r="AY60" i="23"/>
  <c r="AY121" i="23"/>
  <c r="AY62" i="23"/>
  <c r="G141" i="23"/>
  <c r="G111" i="23"/>
  <c r="G102" i="23"/>
  <c r="G122" i="23"/>
  <c r="G103" i="23"/>
  <c r="G53" i="23"/>
  <c r="G123" i="23"/>
  <c r="G63" i="23"/>
  <c r="G55" i="23"/>
  <c r="W141" i="23"/>
  <c r="W123" i="23"/>
  <c r="W111" i="23"/>
  <c r="W102" i="23"/>
  <c r="W122" i="23"/>
  <c r="W103" i="23"/>
  <c r="W53" i="23"/>
  <c r="W63" i="23"/>
  <c r="AM111" i="23"/>
  <c r="AM102" i="23"/>
  <c r="AM123" i="23"/>
  <c r="AM103" i="23"/>
  <c r="AM53" i="23"/>
  <c r="AM122" i="23"/>
  <c r="AM141" i="23"/>
  <c r="AM55" i="23"/>
  <c r="AM63" i="23"/>
  <c r="BC141" i="23"/>
  <c r="BC111" i="23"/>
  <c r="BC102" i="23"/>
  <c r="BC122" i="23"/>
  <c r="BC123" i="23"/>
  <c r="BC103" i="23"/>
  <c r="BC53" i="23"/>
  <c r="BC55" i="23"/>
  <c r="Q50" i="23"/>
  <c r="Q66" i="23" s="1"/>
  <c r="Q38" i="23"/>
  <c r="Q45" i="23"/>
  <c r="AG50" i="23"/>
  <c r="AG59" i="23" s="1"/>
  <c r="AG38" i="23"/>
  <c r="AW50" i="23"/>
  <c r="AW59" i="23" s="1"/>
  <c r="AW38" i="23"/>
  <c r="AW37" i="23"/>
  <c r="AW43" i="23" s="1"/>
  <c r="M245" i="23"/>
  <c r="M233" i="23"/>
  <c r="M237" i="23"/>
  <c r="M229" i="23"/>
  <c r="M234" i="23"/>
  <c r="M224" i="23"/>
  <c r="M236" i="23"/>
  <c r="M225" i="23"/>
  <c r="M184" i="23"/>
  <c r="M191" i="23"/>
  <c r="M181" i="23"/>
  <c r="M182" i="23"/>
  <c r="M178" i="23"/>
  <c r="M228" i="23"/>
  <c r="M186" i="23"/>
  <c r="AC245" i="23"/>
  <c r="AC233" i="23"/>
  <c r="AC237" i="23"/>
  <c r="AC229" i="23"/>
  <c r="AC236" i="23"/>
  <c r="AC228" i="23"/>
  <c r="AC234" i="23"/>
  <c r="AC224" i="23"/>
  <c r="AC225" i="23"/>
  <c r="AC178" i="23"/>
  <c r="AC184" i="23"/>
  <c r="AC186" i="23"/>
  <c r="AC191" i="23"/>
  <c r="AC181" i="23"/>
  <c r="AC182" i="23"/>
  <c r="AS245" i="23"/>
  <c r="AS233" i="23"/>
  <c r="AS237" i="23"/>
  <c r="AS229" i="23"/>
  <c r="AS234" i="23"/>
  <c r="AS228" i="23"/>
  <c r="AS225" i="23"/>
  <c r="AS236" i="23"/>
  <c r="AS224" i="23"/>
  <c r="AS191" i="23"/>
  <c r="AS182" i="23"/>
  <c r="AS181" i="23"/>
  <c r="AS178" i="23"/>
  <c r="AS186" i="23"/>
  <c r="AS184" i="23"/>
  <c r="Q247" i="23"/>
  <c r="Q235" i="23"/>
  <c r="Q246" i="23"/>
  <c r="Q265" i="23"/>
  <c r="Q226" i="23"/>
  <c r="Q187" i="23"/>
  <c r="Q179" i="23"/>
  <c r="Q227" i="23"/>
  <c r="Q177" i="23"/>
  <c r="AG247" i="23"/>
  <c r="AG235" i="23"/>
  <c r="AG227" i="23"/>
  <c r="AG246" i="23"/>
  <c r="AG265" i="23"/>
  <c r="AG226" i="23"/>
  <c r="AG187" i="23"/>
  <c r="AG179" i="23"/>
  <c r="AG177" i="23"/>
  <c r="AW247" i="23"/>
  <c r="AW235" i="23"/>
  <c r="AW227" i="23"/>
  <c r="AW246" i="23"/>
  <c r="AW265" i="23"/>
  <c r="AW226" i="23"/>
  <c r="AW187" i="23"/>
  <c r="AW179" i="23"/>
  <c r="AW177" i="23"/>
  <c r="K169" i="23"/>
  <c r="K156" i="23"/>
  <c r="K174" i="23"/>
  <c r="K183" i="23" s="1"/>
  <c r="K161" i="23"/>
  <c r="K167" i="23" s="1"/>
  <c r="K162" i="23"/>
  <c r="AA169" i="23"/>
  <c r="AA174" i="23"/>
  <c r="AA188" i="23" s="1"/>
  <c r="AA161" i="23"/>
  <c r="AA167" i="23" s="1"/>
  <c r="AA162" i="23"/>
  <c r="AA156" i="23"/>
  <c r="AQ169" i="23"/>
  <c r="AQ156" i="23"/>
  <c r="AQ162" i="23"/>
  <c r="AQ161" i="23"/>
  <c r="AQ167" i="23" s="1"/>
  <c r="AQ174" i="23"/>
  <c r="AQ190" i="23" s="1"/>
  <c r="BG169" i="23"/>
  <c r="BG174" i="23"/>
  <c r="BG156" i="23"/>
  <c r="BG161" i="23"/>
  <c r="BG167" i="23" s="1"/>
  <c r="BG162" i="23"/>
  <c r="AF32" i="23"/>
  <c r="O37" i="23"/>
  <c r="O43" i="23" s="1"/>
  <c r="H38" i="23"/>
  <c r="K45" i="23"/>
  <c r="BF50" i="23"/>
  <c r="BF66" i="23" s="1"/>
  <c r="I54" i="23"/>
  <c r="AV58" i="23"/>
  <c r="AW64" i="23"/>
  <c r="AQ104" i="23"/>
  <c r="AQ110" i="23"/>
  <c r="AQ101" i="23"/>
  <c r="AQ113" i="23"/>
  <c r="AQ121" i="23"/>
  <c r="AQ112" i="23"/>
  <c r="AQ109" i="23"/>
  <c r="AQ100" i="23"/>
  <c r="AQ105" i="23"/>
  <c r="AQ60" i="23"/>
  <c r="AQ58" i="23"/>
  <c r="AQ64" i="23"/>
  <c r="AQ67" i="23"/>
  <c r="AQ57" i="23"/>
  <c r="AQ54" i="23"/>
  <c r="AQ66" i="23"/>
  <c r="AQ62" i="23"/>
  <c r="AO37" i="23"/>
  <c r="AO43" i="23" s="1"/>
  <c r="AO45" i="23"/>
  <c r="AO32" i="23"/>
  <c r="AO50" i="23"/>
  <c r="U245" i="23"/>
  <c r="U237" i="23"/>
  <c r="U229" i="23"/>
  <c r="U233" i="23"/>
  <c r="U236" i="23"/>
  <c r="U225" i="23"/>
  <c r="U228" i="23"/>
  <c r="U234" i="23"/>
  <c r="U181" i="23"/>
  <c r="U224" i="23"/>
  <c r="U186" i="23"/>
  <c r="U191" i="23"/>
  <c r="U190" i="23"/>
  <c r="U178" i="23"/>
  <c r="U184" i="23"/>
  <c r="U182" i="23"/>
  <c r="U188" i="23"/>
  <c r="AL245" i="23"/>
  <c r="AL236" i="23"/>
  <c r="AL228" i="23"/>
  <c r="AL233" i="23"/>
  <c r="AL225" i="23"/>
  <c r="AL229" i="23"/>
  <c r="AL234" i="23"/>
  <c r="AL224" i="23"/>
  <c r="AL237" i="23"/>
  <c r="AL186" i="23"/>
  <c r="AL191" i="23"/>
  <c r="AL178" i="23"/>
  <c r="AL181" i="23"/>
  <c r="AL184" i="23"/>
  <c r="AL182" i="23"/>
  <c r="AP265" i="23"/>
  <c r="AP246" i="23"/>
  <c r="AP247" i="23"/>
  <c r="AP235" i="23"/>
  <c r="AP227" i="23"/>
  <c r="AP226" i="23"/>
  <c r="AP177" i="23"/>
  <c r="AP185" i="23"/>
  <c r="AP179" i="23"/>
  <c r="AP187" i="23"/>
  <c r="AP183" i="23"/>
  <c r="P51" i="23"/>
  <c r="P65" i="23" s="1"/>
  <c r="AF51" i="23"/>
  <c r="AF65" i="23" s="1"/>
  <c r="T105" i="23"/>
  <c r="T121" i="23"/>
  <c r="T104" i="23"/>
  <c r="T113" i="23"/>
  <c r="T110" i="23"/>
  <c r="T112" i="23"/>
  <c r="T101" i="23"/>
  <c r="T100" i="23"/>
  <c r="T58" i="23"/>
  <c r="T109" i="23"/>
  <c r="T67" i="23"/>
  <c r="T54" i="23"/>
  <c r="T60" i="23"/>
  <c r="T57" i="23"/>
  <c r="AJ105" i="23"/>
  <c r="AJ121" i="23"/>
  <c r="AJ125" i="23" s="1"/>
  <c r="AJ104" i="23"/>
  <c r="AJ110" i="23"/>
  <c r="AJ113" i="23"/>
  <c r="AJ112" i="23"/>
  <c r="AJ100" i="23"/>
  <c r="AJ64" i="23"/>
  <c r="AJ109" i="23"/>
  <c r="AJ62" i="23"/>
  <c r="AJ58" i="23"/>
  <c r="AJ67" i="23"/>
  <c r="AJ101" i="23"/>
  <c r="AJ66" i="23"/>
  <c r="AJ60" i="23"/>
  <c r="AJ57" i="23"/>
  <c r="AZ105" i="23"/>
  <c r="AZ104" i="23"/>
  <c r="AZ110" i="23"/>
  <c r="AZ121" i="23"/>
  <c r="AZ125" i="23" s="1"/>
  <c r="AZ113" i="23"/>
  <c r="AZ112" i="23"/>
  <c r="AZ109" i="23"/>
  <c r="AZ101" i="23"/>
  <c r="AZ100" i="23"/>
  <c r="AZ67" i="23"/>
  <c r="AZ54" i="23"/>
  <c r="AZ60" i="23"/>
  <c r="AZ57" i="23"/>
  <c r="AZ62" i="23"/>
  <c r="AZ58" i="23"/>
  <c r="N124" i="23"/>
  <c r="AD124" i="23"/>
  <c r="AT124" i="23"/>
  <c r="H141" i="23"/>
  <c r="H122" i="23"/>
  <c r="H123" i="23"/>
  <c r="H63" i="23"/>
  <c r="H55" i="23"/>
  <c r="H102" i="23"/>
  <c r="H103" i="23"/>
  <c r="H111" i="23"/>
  <c r="H53" i="23"/>
  <c r="X141" i="23"/>
  <c r="X122" i="23"/>
  <c r="X123" i="23"/>
  <c r="X102" i="23"/>
  <c r="X103" i="23"/>
  <c r="X63" i="23"/>
  <c r="X55" i="23"/>
  <c r="X111" i="23"/>
  <c r="X61" i="23"/>
  <c r="X53" i="23"/>
  <c r="X59" i="23"/>
  <c r="AN141" i="23"/>
  <c r="AN123" i="23"/>
  <c r="AN122" i="23"/>
  <c r="AN102" i="23"/>
  <c r="AN103" i="23"/>
  <c r="AN111" i="23"/>
  <c r="AN63" i="23"/>
  <c r="AN55" i="23"/>
  <c r="AN59" i="23"/>
  <c r="AN61" i="23"/>
  <c r="BD122" i="23"/>
  <c r="BD123" i="23"/>
  <c r="BD141" i="23"/>
  <c r="BD111" i="23"/>
  <c r="BD63" i="23"/>
  <c r="BD55" i="23"/>
  <c r="BD102" i="23"/>
  <c r="BD53" i="23"/>
  <c r="BD103" i="23"/>
  <c r="R38" i="23"/>
  <c r="R50" i="23"/>
  <c r="R64" i="23" s="1"/>
  <c r="R45" i="23"/>
  <c r="R37" i="23"/>
  <c r="R43" i="23" s="1"/>
  <c r="AH50" i="23"/>
  <c r="AH59" i="23" s="1"/>
  <c r="AH38" i="23"/>
  <c r="AH37" i="23"/>
  <c r="AH43" i="23" s="1"/>
  <c r="AH45" i="23"/>
  <c r="AX50" i="23"/>
  <c r="AX38" i="23"/>
  <c r="AX37" i="23"/>
  <c r="AX43" i="23" s="1"/>
  <c r="J175" i="23"/>
  <c r="J189" i="23" s="1"/>
  <c r="Z175" i="23"/>
  <c r="Z189" i="23" s="1"/>
  <c r="AP175" i="23"/>
  <c r="AP189" i="23" s="1"/>
  <c r="BF175" i="23"/>
  <c r="BF189" i="23" s="1"/>
  <c r="N245" i="23"/>
  <c r="N249" i="23" s="1"/>
  <c r="N224" i="23"/>
  <c r="N237" i="23"/>
  <c r="N229" i="23"/>
  <c r="N236" i="23"/>
  <c r="N228" i="23"/>
  <c r="N234" i="23"/>
  <c r="N225" i="23"/>
  <c r="N233" i="23"/>
  <c r="N186" i="23"/>
  <c r="N178" i="23"/>
  <c r="N191" i="23"/>
  <c r="N181" i="23"/>
  <c r="N182" i="23"/>
  <c r="N184" i="23"/>
  <c r="AD245" i="23"/>
  <c r="AD224" i="23"/>
  <c r="AD237" i="23"/>
  <c r="AD229" i="23"/>
  <c r="AD236" i="23"/>
  <c r="AD228" i="23"/>
  <c r="AD233" i="23"/>
  <c r="AD234" i="23"/>
  <c r="AD182" i="23"/>
  <c r="AD181" i="23"/>
  <c r="AD184" i="23"/>
  <c r="AD186" i="23"/>
  <c r="AD225" i="23"/>
  <c r="AD178" i="23"/>
  <c r="AD191" i="23"/>
  <c r="AT245" i="23"/>
  <c r="AT224" i="23"/>
  <c r="AT237" i="23"/>
  <c r="AT229" i="23"/>
  <c r="AT236" i="23"/>
  <c r="AT228" i="23"/>
  <c r="AT233" i="23"/>
  <c r="AT225" i="23"/>
  <c r="AT234" i="23"/>
  <c r="AT191" i="23"/>
  <c r="AT181" i="23"/>
  <c r="AT182" i="23"/>
  <c r="AT186" i="23"/>
  <c r="AT184" i="23"/>
  <c r="AT178" i="23"/>
  <c r="H248" i="23"/>
  <c r="X248" i="23"/>
  <c r="AN248" i="23"/>
  <c r="BD248" i="23"/>
  <c r="R247" i="23"/>
  <c r="R265" i="23"/>
  <c r="R246" i="23"/>
  <c r="R249" i="23" s="1"/>
  <c r="R226" i="23"/>
  <c r="R235" i="23"/>
  <c r="R238" i="23" s="1"/>
  <c r="R227" i="23"/>
  <c r="R179" i="23"/>
  <c r="R187" i="23"/>
  <c r="R177" i="23"/>
  <c r="AH247" i="23"/>
  <c r="AH265" i="23"/>
  <c r="AH246" i="23"/>
  <c r="AH226" i="23"/>
  <c r="AH227" i="23"/>
  <c r="AH235" i="23"/>
  <c r="AH185" i="23"/>
  <c r="AH183" i="23"/>
  <c r="AH187" i="23"/>
  <c r="AH177" i="23"/>
  <c r="AH179" i="23"/>
  <c r="AX247" i="23"/>
  <c r="AX249" i="23" s="1"/>
  <c r="AX265" i="23"/>
  <c r="AX246" i="23"/>
  <c r="AX226" i="23"/>
  <c r="AX235" i="23"/>
  <c r="AX227" i="23"/>
  <c r="AX183" i="23"/>
  <c r="AX177" i="23"/>
  <c r="AX187" i="23"/>
  <c r="AX179" i="23"/>
  <c r="AX185" i="23"/>
  <c r="L162" i="23"/>
  <c r="L174" i="23"/>
  <c r="L190" i="23" s="1"/>
  <c r="L169" i="23"/>
  <c r="L156" i="23"/>
  <c r="L161" i="23"/>
  <c r="L167" i="23" s="1"/>
  <c r="AB156" i="23"/>
  <c r="AB174" i="23"/>
  <c r="AB188" i="23" s="1"/>
  <c r="AB169" i="23"/>
  <c r="AB161" i="23"/>
  <c r="AB167" i="23" s="1"/>
  <c r="AB162" i="23"/>
  <c r="AR162" i="23"/>
  <c r="AR169" i="23"/>
  <c r="AR156" i="23"/>
  <c r="AR174" i="23"/>
  <c r="AR188" i="23" s="1"/>
  <c r="AR161" i="23"/>
  <c r="AR167" i="23" s="1"/>
  <c r="AG32" i="23"/>
  <c r="P37" i="23"/>
  <c r="P43" i="23" s="1"/>
  <c r="I38" i="23"/>
  <c r="BF38" i="23"/>
  <c r="L45" i="23"/>
  <c r="BG50" i="23"/>
  <c r="BG64" i="23" s="1"/>
  <c r="K54" i="23"/>
  <c r="AW58" i="23"/>
  <c r="P141" i="23"/>
  <c r="P122" i="23"/>
  <c r="P103" i="23"/>
  <c r="P123" i="23"/>
  <c r="P111" i="23"/>
  <c r="P102" i="23"/>
  <c r="P59" i="23"/>
  <c r="P61" i="23"/>
  <c r="P55" i="23"/>
  <c r="P63" i="23"/>
  <c r="J265" i="23"/>
  <c r="J246" i="23"/>
  <c r="J247" i="23"/>
  <c r="J235" i="23"/>
  <c r="J227" i="23"/>
  <c r="J226" i="23"/>
  <c r="J183" i="23"/>
  <c r="J177" i="23"/>
  <c r="J185" i="23"/>
  <c r="J179" i="23"/>
  <c r="J187" i="23"/>
  <c r="Q51" i="23"/>
  <c r="Q65" i="23" s="1"/>
  <c r="AG51" i="23"/>
  <c r="AG65" i="23" s="1"/>
  <c r="AW51" i="23"/>
  <c r="AW65" i="23" s="1"/>
  <c r="U105" i="23"/>
  <c r="U121" i="23"/>
  <c r="U104" i="23"/>
  <c r="U113" i="23"/>
  <c r="U110" i="23"/>
  <c r="U101" i="23"/>
  <c r="U62" i="23"/>
  <c r="U54" i="23"/>
  <c r="U100" i="23"/>
  <c r="U58" i="23"/>
  <c r="U109" i="23"/>
  <c r="U67" i="23"/>
  <c r="U60" i="23"/>
  <c r="U57" i="23"/>
  <c r="AK105" i="23"/>
  <c r="AK121" i="23"/>
  <c r="AK125" i="23" s="1"/>
  <c r="AK104" i="23"/>
  <c r="AK110" i="23"/>
  <c r="AK101" i="23"/>
  <c r="AK113" i="23"/>
  <c r="AK62" i="23"/>
  <c r="AK54" i="23"/>
  <c r="AK100" i="23"/>
  <c r="AK64" i="23"/>
  <c r="AK109" i="23"/>
  <c r="AK112" i="23"/>
  <c r="AK58" i="23"/>
  <c r="AK67" i="23"/>
  <c r="AK66" i="23"/>
  <c r="AK60" i="23"/>
  <c r="BA105" i="23"/>
  <c r="BA104" i="23"/>
  <c r="BA110" i="23"/>
  <c r="BA101" i="23"/>
  <c r="BA121" i="23"/>
  <c r="BA125" i="23" s="1"/>
  <c r="BA113" i="23"/>
  <c r="BA62" i="23"/>
  <c r="BA54" i="23"/>
  <c r="BA109" i="23"/>
  <c r="BA112" i="23"/>
  <c r="BA100" i="23"/>
  <c r="BA67" i="23"/>
  <c r="BA60" i="23"/>
  <c r="BA57" i="23"/>
  <c r="BA58" i="23"/>
  <c r="O124" i="23"/>
  <c r="AE124" i="23"/>
  <c r="AU124" i="23"/>
  <c r="I141" i="23"/>
  <c r="I122" i="23"/>
  <c r="I103" i="23"/>
  <c r="I123" i="23"/>
  <c r="I63" i="23"/>
  <c r="I55" i="23"/>
  <c r="I102" i="23"/>
  <c r="I111" i="23"/>
  <c r="I53" i="23"/>
  <c r="Y141" i="23"/>
  <c r="Y122" i="23"/>
  <c r="Y103" i="23"/>
  <c r="Y123" i="23"/>
  <c r="Y102" i="23"/>
  <c r="Y63" i="23"/>
  <c r="Y55" i="23"/>
  <c r="Y111" i="23"/>
  <c r="Y53" i="23"/>
  <c r="AO123" i="23"/>
  <c r="AO141" i="23"/>
  <c r="AO103" i="23"/>
  <c r="AO102" i="23"/>
  <c r="AO111" i="23"/>
  <c r="AO63" i="23"/>
  <c r="AO55" i="23"/>
  <c r="AO122" i="23"/>
  <c r="BE141" i="23"/>
  <c r="BE123" i="23"/>
  <c r="BE122" i="23"/>
  <c r="BE103" i="23"/>
  <c r="BE111" i="23"/>
  <c r="BE63" i="23"/>
  <c r="BE55" i="23"/>
  <c r="BE102" i="23"/>
  <c r="BE53" i="23"/>
  <c r="BE61" i="23"/>
  <c r="S50" i="23"/>
  <c r="S66" i="23" s="1"/>
  <c r="S38" i="23"/>
  <c r="S45" i="23"/>
  <c r="S37" i="23"/>
  <c r="S43" i="23" s="1"/>
  <c r="AI50" i="23"/>
  <c r="AI59" i="23" s="1"/>
  <c r="AI38" i="23"/>
  <c r="AI37" i="23"/>
  <c r="AI43" i="23" s="1"/>
  <c r="AI45" i="23"/>
  <c r="AY50" i="23"/>
  <c r="AY59" i="23" s="1"/>
  <c r="AY38" i="23"/>
  <c r="AY37" i="23"/>
  <c r="AY43" i="23" s="1"/>
  <c r="AY45" i="23"/>
  <c r="K175" i="23"/>
  <c r="K189" i="23" s="1"/>
  <c r="AA175" i="23"/>
  <c r="AA189" i="23" s="1"/>
  <c r="AQ175" i="23"/>
  <c r="AQ189" i="23" s="1"/>
  <c r="BG175" i="23"/>
  <c r="BG189" i="23" s="1"/>
  <c r="O245" i="23"/>
  <c r="O234" i="23"/>
  <c r="O229" i="23"/>
  <c r="O236" i="23"/>
  <c r="O225" i="23"/>
  <c r="O233" i="23"/>
  <c r="O228" i="23"/>
  <c r="O182" i="23"/>
  <c r="O224" i="23"/>
  <c r="O237" i="23"/>
  <c r="O191" i="23"/>
  <c r="O181" i="23"/>
  <c r="O184" i="23"/>
  <c r="O186" i="23"/>
  <c r="O178" i="23"/>
  <c r="AE245" i="23"/>
  <c r="AE249" i="23" s="1"/>
  <c r="AE237" i="23"/>
  <c r="AE234" i="23"/>
  <c r="AE229" i="23"/>
  <c r="AE236" i="23"/>
  <c r="AE228" i="23"/>
  <c r="AE233" i="23"/>
  <c r="AE224" i="23"/>
  <c r="AE182" i="23"/>
  <c r="AE186" i="23"/>
  <c r="AE191" i="23"/>
  <c r="AE225" i="23"/>
  <c r="AE181" i="23"/>
  <c r="AE184" i="23"/>
  <c r="AE178" i="23"/>
  <c r="AU245" i="23"/>
  <c r="AU237" i="23"/>
  <c r="AU234" i="23"/>
  <c r="AU238" i="23" s="1"/>
  <c r="AU236" i="23"/>
  <c r="AU228" i="23"/>
  <c r="AU229" i="23"/>
  <c r="AU233" i="23"/>
  <c r="AU182" i="23"/>
  <c r="AU225" i="23"/>
  <c r="AU224" i="23"/>
  <c r="AU178" i="23"/>
  <c r="AU184" i="23"/>
  <c r="AU186" i="23"/>
  <c r="AU191" i="23"/>
  <c r="AU181" i="23"/>
  <c r="I248" i="23"/>
  <c r="Y248" i="23"/>
  <c r="AO248" i="23"/>
  <c r="BE248" i="23"/>
  <c r="S247" i="23"/>
  <c r="S265" i="23"/>
  <c r="S246" i="23"/>
  <c r="S235" i="23"/>
  <c r="S226" i="23"/>
  <c r="S187" i="23"/>
  <c r="S227" i="23"/>
  <c r="S185" i="23"/>
  <c r="S177" i="23"/>
  <c r="S179" i="23"/>
  <c r="S183" i="23"/>
  <c r="AI247" i="23"/>
  <c r="AI265" i="23"/>
  <c r="AI246" i="23"/>
  <c r="AI227" i="23"/>
  <c r="AI235" i="23"/>
  <c r="AI226" i="23"/>
  <c r="AI183" i="23"/>
  <c r="AI187" i="23"/>
  <c r="AI177" i="23"/>
  <c r="AI185" i="23"/>
  <c r="AI179" i="23"/>
  <c r="AY247" i="23"/>
  <c r="AY265" i="23"/>
  <c r="AY246" i="23"/>
  <c r="AY235" i="23"/>
  <c r="AY227" i="23"/>
  <c r="AY226" i="23"/>
  <c r="AY185" i="23"/>
  <c r="AY187" i="23"/>
  <c r="AY179" i="23"/>
  <c r="AY177" i="23"/>
  <c r="M162" i="23"/>
  <c r="M174" i="23"/>
  <c r="M156" i="23"/>
  <c r="M169" i="23"/>
  <c r="M161" i="23"/>
  <c r="M167" i="23" s="1"/>
  <c r="AC162" i="23"/>
  <c r="AC174" i="23"/>
  <c r="AC161" i="23"/>
  <c r="AC167" i="23" s="1"/>
  <c r="AC169" i="23"/>
  <c r="AC156" i="23"/>
  <c r="AS162" i="23"/>
  <c r="AS174" i="23"/>
  <c r="AS185" i="23" s="1"/>
  <c r="AS156" i="23"/>
  <c r="AS169" i="23"/>
  <c r="AS161" i="23"/>
  <c r="AS167" i="23" s="1"/>
  <c r="AH32" i="23"/>
  <c r="Q37" i="23"/>
  <c r="Q43" i="23" s="1"/>
  <c r="J38" i="23"/>
  <c r="M45" i="23"/>
  <c r="AC54" i="23"/>
  <c r="AY58" i="23"/>
  <c r="AW61" i="23"/>
  <c r="BE37" i="23"/>
  <c r="BE43" i="23" s="1"/>
  <c r="BE45" i="23"/>
  <c r="BE32" i="23"/>
  <c r="BE50" i="23"/>
  <c r="BE59" i="23" s="1"/>
  <c r="BE247" i="23"/>
  <c r="BE249" i="23" s="1"/>
  <c r="BE265" i="23"/>
  <c r="BE246" i="23"/>
  <c r="BE235" i="23"/>
  <c r="BE227" i="23"/>
  <c r="BE226" i="23"/>
  <c r="BE183" i="23"/>
  <c r="BE177" i="23"/>
  <c r="BE179" i="23"/>
  <c r="BE185" i="23"/>
  <c r="BE187" i="23"/>
  <c r="R51" i="23"/>
  <c r="R65" i="23" s="1"/>
  <c r="AH51" i="23"/>
  <c r="AH65" i="23" s="1"/>
  <c r="AX51" i="23"/>
  <c r="AX65" i="23" s="1"/>
  <c r="F121" i="23"/>
  <c r="F104" i="23"/>
  <c r="F113" i="23"/>
  <c r="F110" i="23"/>
  <c r="F101" i="23"/>
  <c r="F112" i="23"/>
  <c r="F109" i="23"/>
  <c r="F105" i="23"/>
  <c r="F58" i="23"/>
  <c r="F100" i="23"/>
  <c r="F60" i="23"/>
  <c r="F57" i="23"/>
  <c r="F54" i="23"/>
  <c r="F62" i="23"/>
  <c r="V121" i="23"/>
  <c r="V104" i="23"/>
  <c r="V113" i="23"/>
  <c r="V110" i="23"/>
  <c r="V101" i="23"/>
  <c r="V112" i="23"/>
  <c r="V109" i="23"/>
  <c r="V67" i="23"/>
  <c r="V100" i="23"/>
  <c r="V58" i="23"/>
  <c r="V105" i="23"/>
  <c r="V60" i="23"/>
  <c r="V57" i="23"/>
  <c r="V54" i="23"/>
  <c r="V62" i="23"/>
  <c r="AL121" i="23"/>
  <c r="AL104" i="23"/>
  <c r="AL110" i="23"/>
  <c r="AL101" i="23"/>
  <c r="AL113" i="23"/>
  <c r="AL112" i="23"/>
  <c r="AL109" i="23"/>
  <c r="AL114" i="23" s="1"/>
  <c r="AL100" i="23"/>
  <c r="AL67" i="23"/>
  <c r="AL58" i="23"/>
  <c r="AL105" i="23"/>
  <c r="AL62" i="23"/>
  <c r="AL60" i="23"/>
  <c r="AL57" i="23"/>
  <c r="AL54" i="23"/>
  <c r="BB121" i="23"/>
  <c r="BB104" i="23"/>
  <c r="BB110" i="23"/>
  <c r="BB101" i="23"/>
  <c r="BB113" i="23"/>
  <c r="BB112" i="23"/>
  <c r="BB109" i="23"/>
  <c r="BB100" i="23"/>
  <c r="BB67" i="23"/>
  <c r="BB105" i="23"/>
  <c r="BB66" i="23"/>
  <c r="BB58" i="23"/>
  <c r="BB60" i="23"/>
  <c r="BB57" i="23"/>
  <c r="BB54" i="23"/>
  <c r="BB62" i="23"/>
  <c r="BB64" i="23"/>
  <c r="P124" i="23"/>
  <c r="AF124" i="23"/>
  <c r="AV124" i="23"/>
  <c r="J123" i="23"/>
  <c r="J141" i="23"/>
  <c r="J122" i="23"/>
  <c r="J103" i="23"/>
  <c r="J111" i="23"/>
  <c r="J102" i="23"/>
  <c r="J63" i="23"/>
  <c r="J55" i="23"/>
  <c r="J53" i="23"/>
  <c r="J59" i="23"/>
  <c r="J61" i="23"/>
  <c r="Z123" i="23"/>
  <c r="Z141" i="23"/>
  <c r="Z122" i="23"/>
  <c r="Z103" i="23"/>
  <c r="Z111" i="23"/>
  <c r="Z102" i="23"/>
  <c r="Z63" i="23"/>
  <c r="Z55" i="23"/>
  <c r="Z53" i="23"/>
  <c r="AP141" i="23"/>
  <c r="AP123" i="23"/>
  <c r="AP103" i="23"/>
  <c r="AP122" i="23"/>
  <c r="AP111" i="23"/>
  <c r="AP102" i="23"/>
  <c r="AP63" i="23"/>
  <c r="AP55" i="23"/>
  <c r="AP61" i="23"/>
  <c r="AP53" i="23"/>
  <c r="BF141" i="23"/>
  <c r="BF123" i="23"/>
  <c r="BF103" i="23"/>
  <c r="BF111" i="23"/>
  <c r="BF102" i="23"/>
  <c r="BF63" i="23"/>
  <c r="BF55" i="23"/>
  <c r="BF122" i="23"/>
  <c r="BF53" i="23"/>
  <c r="BF59" i="23"/>
  <c r="BF61" i="23"/>
  <c r="T38" i="23"/>
  <c r="T50" i="23"/>
  <c r="T64" i="23" s="1"/>
  <c r="T45" i="23"/>
  <c r="T37" i="23"/>
  <c r="T43" i="23" s="1"/>
  <c r="AJ38" i="23"/>
  <c r="AJ37" i="23"/>
  <c r="AJ43" i="23" s="1"/>
  <c r="AJ45" i="23"/>
  <c r="AZ50" i="23"/>
  <c r="AZ66" i="23" s="1"/>
  <c r="AZ38" i="23"/>
  <c r="AZ37" i="23"/>
  <c r="AZ43" i="23" s="1"/>
  <c r="AZ45" i="23"/>
  <c r="L175" i="23"/>
  <c r="L189" i="23" s="1"/>
  <c r="AB175" i="23"/>
  <c r="AB189" i="23" s="1"/>
  <c r="AR175" i="23"/>
  <c r="AR189" i="23" s="1"/>
  <c r="P245" i="23"/>
  <c r="P237" i="23"/>
  <c r="P229" i="23"/>
  <c r="P234" i="23"/>
  <c r="P236" i="23"/>
  <c r="P233" i="23"/>
  <c r="P225" i="23"/>
  <c r="P228" i="23"/>
  <c r="P182" i="23"/>
  <c r="P186" i="23"/>
  <c r="P184" i="23"/>
  <c r="P224" i="23"/>
  <c r="P178" i="23"/>
  <c r="P191" i="23"/>
  <c r="P181" i="23"/>
  <c r="AF245" i="23"/>
  <c r="AF237" i="23"/>
  <c r="AF229" i="23"/>
  <c r="AF234" i="23"/>
  <c r="AF236" i="23"/>
  <c r="AF233" i="23"/>
  <c r="AF228" i="23"/>
  <c r="AF224" i="23"/>
  <c r="AF225" i="23"/>
  <c r="AF184" i="23"/>
  <c r="AF186" i="23"/>
  <c r="AF191" i="23"/>
  <c r="AF181" i="23"/>
  <c r="AF182" i="23"/>
  <c r="AF178" i="23"/>
  <c r="AV245" i="23"/>
  <c r="AV249" i="23" s="1"/>
  <c r="AV237" i="23"/>
  <c r="AV229" i="23"/>
  <c r="AV234" i="23"/>
  <c r="AV236" i="23"/>
  <c r="AV233" i="23"/>
  <c r="AV228" i="23"/>
  <c r="AV224" i="23"/>
  <c r="AV225" i="23"/>
  <c r="AV186" i="23"/>
  <c r="AV181" i="23"/>
  <c r="AV184" i="23"/>
  <c r="AV191" i="23"/>
  <c r="AV178" i="23"/>
  <c r="AV182" i="23"/>
  <c r="J248" i="23"/>
  <c r="Z248" i="23"/>
  <c r="AP248" i="23"/>
  <c r="BF248" i="23"/>
  <c r="T247" i="23"/>
  <c r="T265" i="23"/>
  <c r="T246" i="23"/>
  <c r="T235" i="23"/>
  <c r="T226" i="23"/>
  <c r="T227" i="23"/>
  <c r="T185" i="23"/>
  <c r="T177" i="23"/>
  <c r="T179" i="23"/>
  <c r="T183" i="23"/>
  <c r="T187" i="23"/>
  <c r="AJ247" i="23"/>
  <c r="AJ265" i="23"/>
  <c r="AJ246" i="23"/>
  <c r="AJ249" i="23" s="1"/>
  <c r="AJ235" i="23"/>
  <c r="AJ227" i="23"/>
  <c r="AJ226" i="23"/>
  <c r="AJ187" i="23"/>
  <c r="AJ177" i="23"/>
  <c r="AJ179" i="23"/>
  <c r="AZ247" i="23"/>
  <c r="AZ265" i="23"/>
  <c r="AZ246" i="23"/>
  <c r="AZ235" i="23"/>
  <c r="AZ227" i="23"/>
  <c r="AZ226" i="23"/>
  <c r="AZ185" i="23"/>
  <c r="AZ187" i="23"/>
  <c r="AZ183" i="23"/>
  <c r="AZ177" i="23"/>
  <c r="AZ179" i="23"/>
  <c r="N156" i="23"/>
  <c r="N162" i="23"/>
  <c r="N161" i="23"/>
  <c r="N167" i="23" s="1"/>
  <c r="N169" i="23"/>
  <c r="N174" i="23"/>
  <c r="N185" i="23" s="1"/>
  <c r="AD162" i="23"/>
  <c r="AD174" i="23"/>
  <c r="AD183" i="23" s="1"/>
  <c r="AD161" i="23"/>
  <c r="AD167" i="23" s="1"/>
  <c r="AD169" i="23"/>
  <c r="AD156" i="23"/>
  <c r="AT174" i="23"/>
  <c r="AT185" i="23" s="1"/>
  <c r="AT169" i="23"/>
  <c r="AT156" i="23"/>
  <c r="AT161" i="23"/>
  <c r="AT167" i="23" s="1"/>
  <c r="AT162" i="23"/>
  <c r="AI32" i="23"/>
  <c r="AB37" i="23"/>
  <c r="AB43" i="23" s="1"/>
  <c r="N45" i="23"/>
  <c r="AH54" i="23"/>
  <c r="O59" i="23"/>
  <c r="S62" i="23"/>
  <c r="I247" i="23"/>
  <c r="I265" i="23"/>
  <c r="I246" i="23"/>
  <c r="I235" i="23"/>
  <c r="I227" i="23"/>
  <c r="I226" i="23"/>
  <c r="I177" i="23"/>
  <c r="I187" i="23"/>
  <c r="I179" i="23"/>
  <c r="AF141" i="23"/>
  <c r="AF122" i="23"/>
  <c r="AF103" i="23"/>
  <c r="AF111" i="23"/>
  <c r="AF102" i="23"/>
  <c r="AF123" i="23"/>
  <c r="AF63" i="23"/>
  <c r="AF53" i="23"/>
  <c r="AF61" i="23"/>
  <c r="AF55" i="23"/>
  <c r="S51" i="23"/>
  <c r="S65" i="23" s="1"/>
  <c r="AI51" i="23"/>
  <c r="AI65" i="23" s="1"/>
  <c r="G121" i="23"/>
  <c r="G125" i="23" s="1"/>
  <c r="G104" i="23"/>
  <c r="G113" i="23"/>
  <c r="G110" i="23"/>
  <c r="G101" i="23"/>
  <c r="G112" i="23"/>
  <c r="G109" i="23"/>
  <c r="G114" i="23" s="1"/>
  <c r="G105" i="23"/>
  <c r="G67" i="23"/>
  <c r="G58" i="23"/>
  <c r="G100" i="23"/>
  <c r="G60" i="23"/>
  <c r="G57" i="23"/>
  <c r="G54" i="23"/>
  <c r="G62" i="23"/>
  <c r="W121" i="23"/>
  <c r="W104" i="23"/>
  <c r="W113" i="23"/>
  <c r="W110" i="23"/>
  <c r="W101" i="23"/>
  <c r="W112" i="23"/>
  <c r="W67" i="23"/>
  <c r="W100" i="23"/>
  <c r="W58" i="23"/>
  <c r="W105" i="23"/>
  <c r="W109" i="23"/>
  <c r="W60" i="23"/>
  <c r="W57" i="23"/>
  <c r="W54" i="23"/>
  <c r="W62" i="23"/>
  <c r="AM121" i="23"/>
  <c r="AM104" i="23"/>
  <c r="AM110" i="23"/>
  <c r="AM101" i="23"/>
  <c r="AM113" i="23"/>
  <c r="AM112" i="23"/>
  <c r="AM100" i="23"/>
  <c r="AM67" i="23"/>
  <c r="AM58" i="23"/>
  <c r="AM105" i="23"/>
  <c r="AM109" i="23"/>
  <c r="AM62" i="23"/>
  <c r="AM60" i="23"/>
  <c r="AM57" i="23"/>
  <c r="AM54" i="23"/>
  <c r="BC121" i="23"/>
  <c r="BC104" i="23"/>
  <c r="BC110" i="23"/>
  <c r="BC101" i="23"/>
  <c r="BC113" i="23"/>
  <c r="BC112" i="23"/>
  <c r="BC67" i="23"/>
  <c r="BC105" i="23"/>
  <c r="BC58" i="23"/>
  <c r="BC109" i="23"/>
  <c r="BC100" i="23"/>
  <c r="BC62" i="23"/>
  <c r="Q124" i="23"/>
  <c r="AG124" i="23"/>
  <c r="AW124" i="23"/>
  <c r="K123" i="23"/>
  <c r="K141" i="23"/>
  <c r="K122" i="23"/>
  <c r="K103" i="23"/>
  <c r="K61" i="23"/>
  <c r="K53" i="23"/>
  <c r="K63" i="23"/>
  <c r="K55" i="23"/>
  <c r="K102" i="23"/>
  <c r="K111" i="23"/>
  <c r="K59" i="23"/>
  <c r="AA123" i="23"/>
  <c r="AA141" i="23"/>
  <c r="AA122" i="23"/>
  <c r="AA103" i="23"/>
  <c r="AA61" i="23"/>
  <c r="AA53" i="23"/>
  <c r="AA102" i="23"/>
  <c r="AA63" i="23"/>
  <c r="AA55" i="23"/>
  <c r="AA111" i="23"/>
  <c r="AA59" i="23"/>
  <c r="AQ123" i="23"/>
  <c r="AQ141" i="23"/>
  <c r="AQ103" i="23"/>
  <c r="AQ122" i="23"/>
  <c r="AQ61" i="23"/>
  <c r="AQ53" i="23"/>
  <c r="AQ63" i="23"/>
  <c r="AQ55" i="23"/>
  <c r="AQ111" i="23"/>
  <c r="AQ102" i="23"/>
  <c r="AQ59" i="23"/>
  <c r="BG141" i="23"/>
  <c r="BG123" i="23"/>
  <c r="BG103" i="23"/>
  <c r="BG61" i="23"/>
  <c r="BG53" i="23"/>
  <c r="BG111" i="23"/>
  <c r="BG63" i="23"/>
  <c r="BG55" i="23"/>
  <c r="BG122" i="23"/>
  <c r="BG102" i="23"/>
  <c r="BG59" i="23"/>
  <c r="U38" i="23"/>
  <c r="U50" i="23"/>
  <c r="U61" i="23" s="1"/>
  <c r="U45" i="23"/>
  <c r="U37" i="23"/>
  <c r="U43" i="23" s="1"/>
  <c r="U32" i="23"/>
  <c r="AK38" i="23"/>
  <c r="AK37" i="23"/>
  <c r="AK43" i="23" s="1"/>
  <c r="AK45" i="23"/>
  <c r="AK32" i="23"/>
  <c r="BA50" i="23"/>
  <c r="BA61" i="23" s="1"/>
  <c r="BA38" i="23"/>
  <c r="BA37" i="23"/>
  <c r="BA43" i="23" s="1"/>
  <c r="BA45" i="23"/>
  <c r="BA32" i="23"/>
  <c r="M175" i="23"/>
  <c r="M189" i="23" s="1"/>
  <c r="AC175" i="23"/>
  <c r="AC189" i="23" s="1"/>
  <c r="AS175" i="23"/>
  <c r="AS189" i="23" s="1"/>
  <c r="Q245" i="23"/>
  <c r="Q249" i="23" s="1"/>
  <c r="Q236" i="23"/>
  <c r="Q225" i="23"/>
  <c r="Q233" i="23"/>
  <c r="Q228" i="23"/>
  <c r="Q229" i="23"/>
  <c r="Q224" i="23"/>
  <c r="Q237" i="23"/>
  <c r="Q186" i="23"/>
  <c r="Q191" i="23"/>
  <c r="Q234" i="23"/>
  <c r="Q182" i="23"/>
  <c r="Q181" i="23"/>
  <c r="Q178" i="23"/>
  <c r="Q184" i="23"/>
  <c r="AG245" i="23"/>
  <c r="AG237" i="23"/>
  <c r="AG236" i="23"/>
  <c r="AG233" i="23"/>
  <c r="AG229" i="23"/>
  <c r="AG234" i="23"/>
  <c r="AG224" i="23"/>
  <c r="AG225" i="23"/>
  <c r="AG182" i="23"/>
  <c r="AG186" i="23"/>
  <c r="AG228" i="23"/>
  <c r="AG191" i="23"/>
  <c r="AG181" i="23"/>
  <c r="AG184" i="23"/>
  <c r="AG178" i="23"/>
  <c r="AW245" i="23"/>
  <c r="AW237" i="23"/>
  <c r="AW236" i="23"/>
  <c r="AW228" i="23"/>
  <c r="AW229" i="23"/>
  <c r="AW224" i="23"/>
  <c r="AW233" i="23"/>
  <c r="AW234" i="23"/>
  <c r="AW225" i="23"/>
  <c r="AW182" i="23"/>
  <c r="AW184" i="23"/>
  <c r="AW186" i="23"/>
  <c r="AW178" i="23"/>
  <c r="AW191" i="23"/>
  <c r="AW181" i="23"/>
  <c r="K248" i="23"/>
  <c r="AA248" i="23"/>
  <c r="AQ248" i="23"/>
  <c r="BG248" i="23"/>
  <c r="U247" i="23"/>
  <c r="U265" i="23"/>
  <c r="U246" i="23"/>
  <c r="U249" i="23" s="1"/>
  <c r="U235" i="23"/>
  <c r="U226" i="23"/>
  <c r="U227" i="23"/>
  <c r="U177" i="23"/>
  <c r="U179" i="23"/>
  <c r="U187" i="23"/>
  <c r="U183" i="23"/>
  <c r="U185" i="23"/>
  <c r="AK247" i="23"/>
  <c r="AK265" i="23"/>
  <c r="AK246" i="23"/>
  <c r="AK227" i="23"/>
  <c r="AK235" i="23"/>
  <c r="AK226" i="23"/>
  <c r="AK185" i="23"/>
  <c r="AK177" i="23"/>
  <c r="AK187" i="23"/>
  <c r="AK179" i="23"/>
  <c r="AK183" i="23"/>
  <c r="BA247" i="23"/>
  <c r="BA265" i="23"/>
  <c r="BA246" i="23"/>
  <c r="BA227" i="23"/>
  <c r="BA235" i="23"/>
  <c r="BA226" i="23"/>
  <c r="BA187" i="23"/>
  <c r="BA177" i="23"/>
  <c r="BA179" i="23"/>
  <c r="O162" i="23"/>
  <c r="O161" i="23"/>
  <c r="O167" i="23" s="1"/>
  <c r="O169" i="23"/>
  <c r="O174" i="23"/>
  <c r="O185" i="23" s="1"/>
  <c r="O156" i="23"/>
  <c r="AE156" i="23"/>
  <c r="AE161" i="23"/>
  <c r="AE167" i="23" s="1"/>
  <c r="AE169" i="23"/>
  <c r="AE162" i="23"/>
  <c r="AE174" i="23"/>
  <c r="AE190" i="23" s="1"/>
  <c r="AU162" i="23"/>
  <c r="AU156" i="23"/>
  <c r="AU174" i="23"/>
  <c r="AU190" i="23" s="1"/>
  <c r="AU161" i="23"/>
  <c r="AU167" i="23" s="1"/>
  <c r="AU169" i="23"/>
  <c r="AJ32" i="23"/>
  <c r="AC37" i="23"/>
  <c r="AC43" i="23" s="1"/>
  <c r="P45" i="23"/>
  <c r="AJ54" i="23"/>
  <c r="T59" i="23"/>
  <c r="T62" i="23"/>
  <c r="AK245" i="23"/>
  <c r="AK237" i="23"/>
  <c r="AK229" i="23"/>
  <c r="AK233" i="23"/>
  <c r="AK234" i="23"/>
  <c r="AK228" i="23"/>
  <c r="AK224" i="23"/>
  <c r="AK181" i="23"/>
  <c r="AK225" i="23"/>
  <c r="AK191" i="23"/>
  <c r="AK190" i="23"/>
  <c r="AK184" i="23"/>
  <c r="AK236" i="23"/>
  <c r="AK188" i="23"/>
  <c r="AK178" i="23"/>
  <c r="AK182" i="23"/>
  <c r="AK186" i="23"/>
  <c r="AB113" i="23"/>
  <c r="AB110" i="23"/>
  <c r="AB101" i="23"/>
  <c r="AB112" i="23"/>
  <c r="AB109" i="23"/>
  <c r="AB100" i="23"/>
  <c r="AB105" i="23"/>
  <c r="AB121" i="23"/>
  <c r="AB60" i="23"/>
  <c r="AB57" i="23"/>
  <c r="AB104" i="23"/>
  <c r="AB54" i="23"/>
  <c r="AB66" i="23"/>
  <c r="AB62" i="23"/>
  <c r="AB58" i="23"/>
  <c r="Z45" i="23"/>
  <c r="Z37" i="23"/>
  <c r="Z43" i="23" s="1"/>
  <c r="Z50" i="23"/>
  <c r="Z64" i="23" s="1"/>
  <c r="T51" i="23"/>
  <c r="T65" i="23" s="1"/>
  <c r="AJ51" i="23"/>
  <c r="AJ65" i="23" s="1"/>
  <c r="AZ51" i="23"/>
  <c r="AZ65" i="23" s="1"/>
  <c r="H121" i="23"/>
  <c r="H125" i="23" s="1"/>
  <c r="H104" i="23"/>
  <c r="H113" i="23"/>
  <c r="H110" i="23"/>
  <c r="H101" i="23"/>
  <c r="H112" i="23"/>
  <c r="H109" i="23"/>
  <c r="H105" i="23"/>
  <c r="H58" i="23"/>
  <c r="H100" i="23"/>
  <c r="H62" i="23"/>
  <c r="H67" i="23"/>
  <c r="X121" i="23"/>
  <c r="X104" i="23"/>
  <c r="X113" i="23"/>
  <c r="X110" i="23"/>
  <c r="X101" i="23"/>
  <c r="X112" i="23"/>
  <c r="X109" i="23"/>
  <c r="X105" i="23"/>
  <c r="X100" i="23"/>
  <c r="X66" i="23"/>
  <c r="X58" i="23"/>
  <c r="X64" i="23"/>
  <c r="X67" i="23"/>
  <c r="X60" i="23"/>
  <c r="X57" i="23"/>
  <c r="X54" i="23"/>
  <c r="X62" i="23"/>
  <c r="AN121" i="23"/>
  <c r="AN104" i="23"/>
  <c r="AN110" i="23"/>
  <c r="AN101" i="23"/>
  <c r="AN113" i="23"/>
  <c r="AN112" i="23"/>
  <c r="AN109" i="23"/>
  <c r="AN105" i="23"/>
  <c r="AN66" i="23"/>
  <c r="AN58" i="23"/>
  <c r="AN62" i="23"/>
  <c r="AN64" i="23"/>
  <c r="AN67" i="23"/>
  <c r="AN60" i="23"/>
  <c r="AN57" i="23"/>
  <c r="AN54" i="23"/>
  <c r="BD112" i="23"/>
  <c r="BD121" i="23"/>
  <c r="BD104" i="23"/>
  <c r="BD110" i="23"/>
  <c r="BD101" i="23"/>
  <c r="BD113" i="23"/>
  <c r="BD109" i="23"/>
  <c r="BD105" i="23"/>
  <c r="BD58" i="23"/>
  <c r="BD100" i="23"/>
  <c r="BD62" i="23"/>
  <c r="BD64" i="23"/>
  <c r="R124" i="23"/>
  <c r="AH124" i="23"/>
  <c r="AX124" i="23"/>
  <c r="L123" i="23"/>
  <c r="L141" i="23"/>
  <c r="L122" i="23"/>
  <c r="L103" i="23"/>
  <c r="L111" i="23"/>
  <c r="L102" i="23"/>
  <c r="L59" i="23"/>
  <c r="L53" i="23"/>
  <c r="L55" i="23"/>
  <c r="L61" i="23"/>
  <c r="AB123" i="23"/>
  <c r="AB141" i="23"/>
  <c r="AB122" i="23"/>
  <c r="AB103" i="23"/>
  <c r="AB111" i="23"/>
  <c r="AB102" i="23"/>
  <c r="AB63" i="23"/>
  <c r="AB59" i="23"/>
  <c r="AB53" i="23"/>
  <c r="AB55" i="23"/>
  <c r="AR123" i="23"/>
  <c r="AR103" i="23"/>
  <c r="AR122" i="23"/>
  <c r="AR111" i="23"/>
  <c r="AR102" i="23"/>
  <c r="AR141" i="23"/>
  <c r="AR55" i="23"/>
  <c r="AR61" i="23"/>
  <c r="AR63" i="23"/>
  <c r="F50" i="23"/>
  <c r="F64" i="23" s="1"/>
  <c r="F45" i="23"/>
  <c r="F37" i="23"/>
  <c r="F43" i="23" s="1"/>
  <c r="F32" i="23"/>
  <c r="V50" i="23"/>
  <c r="V61" i="23" s="1"/>
  <c r="V45" i="23"/>
  <c r="V37" i="23"/>
  <c r="V43" i="23" s="1"/>
  <c r="V32" i="23"/>
  <c r="AL37" i="23"/>
  <c r="AL43" i="23" s="1"/>
  <c r="AL45" i="23"/>
  <c r="AL32" i="23"/>
  <c r="AL50" i="23"/>
  <c r="AL64" i="23" s="1"/>
  <c r="BB37" i="23"/>
  <c r="BB43" i="23" s="1"/>
  <c r="BB45" i="23"/>
  <c r="BB32" i="23"/>
  <c r="N175" i="23"/>
  <c r="N189" i="23" s="1"/>
  <c r="AD175" i="23"/>
  <c r="AD189" i="23" s="1"/>
  <c r="AT175" i="23"/>
  <c r="AT189" i="23" s="1"/>
  <c r="R245" i="23"/>
  <c r="R237" i="23"/>
  <c r="R234" i="23"/>
  <c r="R233" i="23"/>
  <c r="R224" i="23"/>
  <c r="R236" i="23"/>
  <c r="R228" i="23"/>
  <c r="R229" i="23"/>
  <c r="R181" i="23"/>
  <c r="R186" i="23"/>
  <c r="R225" i="23"/>
  <c r="R182" i="23"/>
  <c r="R191" i="23"/>
  <c r="R184" i="23"/>
  <c r="R178" i="23"/>
  <c r="AH245" i="23"/>
  <c r="AH237" i="23"/>
  <c r="AH234" i="23"/>
  <c r="AH233" i="23"/>
  <c r="AH229" i="23"/>
  <c r="AH225" i="23"/>
  <c r="AH236" i="23"/>
  <c r="AH228" i="23"/>
  <c r="AH186" i="23"/>
  <c r="AH224" i="23"/>
  <c r="AH191" i="23"/>
  <c r="AH188" i="23"/>
  <c r="AH181" i="23"/>
  <c r="AH190" i="23"/>
  <c r="AH184" i="23"/>
  <c r="AH178" i="23"/>
  <c r="AH182" i="23"/>
  <c r="AX245" i="23"/>
  <c r="AX237" i="23"/>
  <c r="AX234" i="23"/>
  <c r="AX236" i="23"/>
  <c r="AX228" i="23"/>
  <c r="AX229" i="23"/>
  <c r="AX224" i="23"/>
  <c r="AX233" i="23"/>
  <c r="AX225" i="23"/>
  <c r="AX188" i="23"/>
  <c r="AX182" i="23"/>
  <c r="AX186" i="23"/>
  <c r="AX184" i="23"/>
  <c r="AX191" i="23"/>
  <c r="AX181" i="23"/>
  <c r="AX190" i="23"/>
  <c r="AX178" i="23"/>
  <c r="L248" i="23"/>
  <c r="AB248" i="23"/>
  <c r="AR248" i="23"/>
  <c r="F247" i="23"/>
  <c r="F265" i="23"/>
  <c r="F246" i="23"/>
  <c r="F235" i="23"/>
  <c r="F227" i="23"/>
  <c r="F177" i="23"/>
  <c r="F183" i="23"/>
  <c r="F226" i="23"/>
  <c r="F187" i="23"/>
  <c r="F185" i="23"/>
  <c r="F179" i="23"/>
  <c r="V247" i="23"/>
  <c r="V265" i="23"/>
  <c r="V246" i="23"/>
  <c r="V226" i="23"/>
  <c r="V227" i="23"/>
  <c r="V185" i="23"/>
  <c r="V177" i="23"/>
  <c r="V179" i="23"/>
  <c r="V187" i="23"/>
  <c r="V235" i="23"/>
  <c r="V183" i="23"/>
  <c r="AL247" i="23"/>
  <c r="AL265" i="23"/>
  <c r="AL246" i="23"/>
  <c r="AL249" i="23" s="1"/>
  <c r="AL235" i="23"/>
  <c r="AL226" i="23"/>
  <c r="AL177" i="23"/>
  <c r="AL179" i="23"/>
  <c r="AL187" i="23"/>
  <c r="AL227" i="23"/>
  <c r="BB247" i="23"/>
  <c r="BB265" i="23"/>
  <c r="BB246" i="23"/>
  <c r="BB235" i="23"/>
  <c r="BB227" i="23"/>
  <c r="BB185" i="23"/>
  <c r="BB226" i="23"/>
  <c r="BB183" i="23"/>
  <c r="BB179" i="23"/>
  <c r="BB177" i="23"/>
  <c r="BB187" i="23"/>
  <c r="P162" i="23"/>
  <c r="P161" i="23"/>
  <c r="P167" i="23" s="1"/>
  <c r="P169" i="23"/>
  <c r="P156" i="23"/>
  <c r="P174" i="23"/>
  <c r="P190" i="23" s="1"/>
  <c r="AF174" i="23"/>
  <c r="AF190" i="23" s="1"/>
  <c r="AF161" i="23"/>
  <c r="AF167" i="23" s="1"/>
  <c r="AF162" i="23"/>
  <c r="AF169" i="23"/>
  <c r="AF156" i="23"/>
  <c r="AV156" i="23"/>
  <c r="AV161" i="23"/>
  <c r="AV167" i="23" s="1"/>
  <c r="AV174" i="23"/>
  <c r="AV185" i="23" s="1"/>
  <c r="AV162" i="23"/>
  <c r="AV169" i="23"/>
  <c r="J32" i="23"/>
  <c r="AT32" i="23"/>
  <c r="AD37" i="23"/>
  <c r="AD43" i="23" s="1"/>
  <c r="X38" i="23"/>
  <c r="AB45" i="23"/>
  <c r="BC54" i="23"/>
  <c r="L66" i="23"/>
  <c r="AN100" i="23"/>
  <c r="AO247" i="23"/>
  <c r="AO265" i="23"/>
  <c r="AO246" i="23"/>
  <c r="AO249" i="23" s="1"/>
  <c r="AO235" i="23"/>
  <c r="AO227" i="23"/>
  <c r="AO226" i="23"/>
  <c r="AO179" i="23"/>
  <c r="AO187" i="23"/>
  <c r="AO177" i="23"/>
  <c r="L115" i="23"/>
  <c r="L106" i="23"/>
  <c r="L56" i="23"/>
  <c r="AR110" i="23"/>
  <c r="AR101" i="23"/>
  <c r="AR113" i="23"/>
  <c r="AR121" i="23"/>
  <c r="AR112" i="23"/>
  <c r="AR109" i="23"/>
  <c r="AR100" i="23"/>
  <c r="AR105" i="23"/>
  <c r="AR104" i="23"/>
  <c r="AR60" i="23"/>
  <c r="AR57" i="23"/>
  <c r="AR58" i="23"/>
  <c r="AR67" i="23"/>
  <c r="AR54" i="23"/>
  <c r="AR62" i="23"/>
  <c r="U51" i="23"/>
  <c r="U65" i="23" s="1"/>
  <c r="AK51" i="23"/>
  <c r="AK65" i="23" s="1"/>
  <c r="BA51" i="23"/>
  <c r="BA65" i="23" s="1"/>
  <c r="I104" i="23"/>
  <c r="I113" i="23"/>
  <c r="I110" i="23"/>
  <c r="I101" i="23"/>
  <c r="I112" i="23"/>
  <c r="I109" i="23"/>
  <c r="I100" i="23"/>
  <c r="I121" i="23"/>
  <c r="I58" i="23"/>
  <c r="I62" i="23"/>
  <c r="I105" i="23"/>
  <c r="I67" i="23"/>
  <c r="Y121" i="23"/>
  <c r="Y125" i="23" s="1"/>
  <c r="Y104" i="23"/>
  <c r="Y113" i="23"/>
  <c r="Y110" i="23"/>
  <c r="Y101" i="23"/>
  <c r="Y112" i="23"/>
  <c r="Y109" i="23"/>
  <c r="Y100" i="23"/>
  <c r="Y58" i="23"/>
  <c r="Y105" i="23"/>
  <c r="Y67" i="23"/>
  <c r="Y60" i="23"/>
  <c r="Y57" i="23"/>
  <c r="Y54" i="23"/>
  <c r="Y62" i="23"/>
  <c r="AO104" i="23"/>
  <c r="AO110" i="23"/>
  <c r="AO101" i="23"/>
  <c r="AO121" i="23"/>
  <c r="AO125" i="23" s="1"/>
  <c r="AO113" i="23"/>
  <c r="AO112" i="23"/>
  <c r="AO109" i="23"/>
  <c r="AO100" i="23"/>
  <c r="AO64" i="23"/>
  <c r="AO66" i="23"/>
  <c r="AO58" i="23"/>
  <c r="AO105" i="23"/>
  <c r="AO67" i="23"/>
  <c r="AO60" i="23"/>
  <c r="AO57" i="23"/>
  <c r="AO54" i="23"/>
  <c r="BE104" i="23"/>
  <c r="BE110" i="23"/>
  <c r="BE101" i="23"/>
  <c r="BE113" i="23"/>
  <c r="BE121" i="23"/>
  <c r="BE112" i="23"/>
  <c r="BE109" i="23"/>
  <c r="BE100" i="23"/>
  <c r="BE64" i="23"/>
  <c r="BE66" i="23"/>
  <c r="BE58" i="23"/>
  <c r="BE105" i="23"/>
  <c r="BE62" i="23"/>
  <c r="BE60" i="23"/>
  <c r="BE57" i="23"/>
  <c r="BE54" i="23"/>
  <c r="S124" i="23"/>
  <c r="AI124" i="23"/>
  <c r="AY124" i="23"/>
  <c r="M141" i="23"/>
  <c r="M122" i="23"/>
  <c r="M103" i="23"/>
  <c r="M123" i="23"/>
  <c r="M111" i="23"/>
  <c r="M102" i="23"/>
  <c r="M59" i="23"/>
  <c r="M53" i="23"/>
  <c r="M55" i="23"/>
  <c r="M61" i="23"/>
  <c r="AC141" i="23"/>
  <c r="AC122" i="23"/>
  <c r="AC103" i="23"/>
  <c r="AC111" i="23"/>
  <c r="AC102" i="23"/>
  <c r="AC123" i="23"/>
  <c r="AC63" i="23"/>
  <c r="AC59" i="23"/>
  <c r="AC53" i="23"/>
  <c r="AC61" i="23"/>
  <c r="AS141" i="23"/>
  <c r="AS123" i="23"/>
  <c r="AS103" i="23"/>
  <c r="AS122" i="23"/>
  <c r="AS111" i="23"/>
  <c r="AS102" i="23"/>
  <c r="AS55" i="23"/>
  <c r="AS61" i="23"/>
  <c r="AS63" i="23"/>
  <c r="AS59" i="23"/>
  <c r="AS53" i="23"/>
  <c r="G50" i="23"/>
  <c r="G64" i="23" s="1"/>
  <c r="G45" i="23"/>
  <c r="G37" i="23"/>
  <c r="G43" i="23" s="1"/>
  <c r="G32" i="23"/>
  <c r="W50" i="23"/>
  <c r="W59" i="23" s="1"/>
  <c r="W45" i="23"/>
  <c r="W37" i="23"/>
  <c r="W43" i="23" s="1"/>
  <c r="W32" i="23"/>
  <c r="AM50" i="23"/>
  <c r="AM66" i="23" s="1"/>
  <c r="AM37" i="23"/>
  <c r="AM43" i="23" s="1"/>
  <c r="AM45" i="23"/>
  <c r="AM32" i="23"/>
  <c r="BC50" i="23"/>
  <c r="BC64" i="23" s="1"/>
  <c r="BC37" i="23"/>
  <c r="BC43" i="23" s="1"/>
  <c r="BC45" i="23"/>
  <c r="BC32" i="23"/>
  <c r="O175" i="23"/>
  <c r="O189" i="23" s="1"/>
  <c r="AE175" i="23"/>
  <c r="AE189" i="23" s="1"/>
  <c r="AU175" i="23"/>
  <c r="AU189" i="23" s="1"/>
  <c r="S245" i="23"/>
  <c r="S236" i="23"/>
  <c r="S228" i="23"/>
  <c r="S224" i="23"/>
  <c r="S233" i="23"/>
  <c r="S229" i="23"/>
  <c r="S237" i="23"/>
  <c r="S184" i="23"/>
  <c r="S191" i="23"/>
  <c r="S225" i="23"/>
  <c r="S188" i="23"/>
  <c r="S190" i="23"/>
  <c r="S178" i="23"/>
  <c r="S234" i="23"/>
  <c r="S181" i="23"/>
  <c r="S186" i="23"/>
  <c r="S182" i="23"/>
  <c r="AI245" i="23"/>
  <c r="AI249" i="23" s="1"/>
  <c r="AI236" i="23"/>
  <c r="AI228" i="23"/>
  <c r="AI234" i="23"/>
  <c r="AI233" i="23"/>
  <c r="AI229" i="23"/>
  <c r="AI225" i="23"/>
  <c r="AI237" i="23"/>
  <c r="AI224" i="23"/>
  <c r="AI184" i="23"/>
  <c r="AI181" i="23"/>
  <c r="AI191" i="23"/>
  <c r="AI188" i="23"/>
  <c r="AI182" i="23"/>
  <c r="AI190" i="23"/>
  <c r="AI178" i="23"/>
  <c r="AI186" i="23"/>
  <c r="AY245" i="23"/>
  <c r="AY249" i="23" s="1"/>
  <c r="AY236" i="23"/>
  <c r="AY228" i="23"/>
  <c r="AY237" i="23"/>
  <c r="AY229" i="23"/>
  <c r="AY224" i="23"/>
  <c r="AY233" i="23"/>
  <c r="AY225" i="23"/>
  <c r="AY234" i="23"/>
  <c r="AY184" i="23"/>
  <c r="AY186" i="23"/>
  <c r="AY191" i="23"/>
  <c r="AY181" i="23"/>
  <c r="AY178" i="23"/>
  <c r="AY182" i="23"/>
  <c r="M248" i="23"/>
  <c r="M249" i="23" s="1"/>
  <c r="AC248" i="23"/>
  <c r="AC249" i="23" s="1"/>
  <c r="AS248" i="23"/>
  <c r="G247" i="23"/>
  <c r="G265" i="23"/>
  <c r="G246" i="23"/>
  <c r="G235" i="23"/>
  <c r="G226" i="23"/>
  <c r="G185" i="23"/>
  <c r="G179" i="23"/>
  <c r="G227" i="23"/>
  <c r="G183" i="23"/>
  <c r="G177" i="23"/>
  <c r="G187" i="23"/>
  <c r="W247" i="23"/>
  <c r="W265" i="23"/>
  <c r="W246" i="23"/>
  <c r="W227" i="23"/>
  <c r="W226" i="23"/>
  <c r="W235" i="23"/>
  <c r="W179" i="23"/>
  <c r="W187" i="23"/>
  <c r="W183" i="23"/>
  <c r="W185" i="23"/>
  <c r="W177" i="23"/>
  <c r="AM247" i="23"/>
  <c r="AM265" i="23"/>
  <c r="AM246" i="23"/>
  <c r="AM235" i="23"/>
  <c r="AM226" i="23"/>
  <c r="AM227" i="23"/>
  <c r="AM177" i="23"/>
  <c r="AM185" i="23"/>
  <c r="AM179" i="23"/>
  <c r="AM187" i="23"/>
  <c r="BC247" i="23"/>
  <c r="BC265" i="23"/>
  <c r="BC246" i="23"/>
  <c r="BC227" i="23"/>
  <c r="BC187" i="23"/>
  <c r="BC226" i="23"/>
  <c r="BC235" i="23"/>
  <c r="BC177" i="23"/>
  <c r="BC183" i="23"/>
  <c r="BC185" i="23"/>
  <c r="BC179" i="23"/>
  <c r="Q161" i="23"/>
  <c r="Q167" i="23" s="1"/>
  <c r="Q162" i="23"/>
  <c r="Q169" i="23"/>
  <c r="Q156" i="23"/>
  <c r="Q174" i="23"/>
  <c r="Q188" i="23" s="1"/>
  <c r="AG161" i="23"/>
  <c r="AG167" i="23" s="1"/>
  <c r="AG162" i="23"/>
  <c r="AG169" i="23"/>
  <c r="AG174" i="23"/>
  <c r="AG188" i="23" s="1"/>
  <c r="AG156" i="23"/>
  <c r="AW161" i="23"/>
  <c r="AW167" i="23" s="1"/>
  <c r="AW174" i="23"/>
  <c r="AW188" i="23" s="1"/>
  <c r="AW156" i="23"/>
  <c r="AW162" i="23"/>
  <c r="AW169" i="23"/>
  <c r="N32" i="23"/>
  <c r="AU32" i="23"/>
  <c r="AE37" i="23"/>
  <c r="AE43" i="23" s="1"/>
  <c r="Y38" i="23"/>
  <c r="AC45" i="23"/>
  <c r="I50" i="23"/>
  <c r="I59" i="23" s="1"/>
  <c r="BD54" i="23"/>
  <c r="K57" i="23"/>
  <c r="AO59" i="23"/>
  <c r="AP62" i="23"/>
  <c r="N66" i="23"/>
  <c r="AP100" i="23"/>
  <c r="AV238" i="23"/>
  <c r="BA238" i="23"/>
  <c r="H238" i="23"/>
  <c r="AM238" i="23"/>
  <c r="AD249" i="23"/>
  <c r="AH249" i="23"/>
  <c r="AZ249" i="23"/>
  <c r="AK249" i="23"/>
  <c r="BA249" i="23"/>
  <c r="F249" i="23"/>
  <c r="BB249" i="23"/>
  <c r="BD249" i="23"/>
  <c r="AP249" i="23"/>
  <c r="E7" i="24"/>
  <c r="AO5" i="24"/>
  <c r="AQ5" i="24"/>
  <c r="J7" i="24"/>
  <c r="AP5" i="24"/>
  <c r="K7" i="24"/>
  <c r="K4" i="24"/>
  <c r="K16" i="24" s="1"/>
  <c r="R4" i="24"/>
  <c r="R10" i="24" s="1"/>
  <c r="R12" i="24" s="1"/>
  <c r="S4" i="24"/>
  <c r="S10" i="24" s="1"/>
  <c r="S14" i="24" s="1"/>
  <c r="AH4" i="24"/>
  <c r="AH17" i="24" s="1"/>
  <c r="AQ4" i="24"/>
  <c r="AQ16" i="24" s="1"/>
  <c r="AA5" i="24"/>
  <c r="AN5" i="24"/>
  <c r="J16" i="24"/>
  <c r="J10" i="24"/>
  <c r="J12" i="24" s="1"/>
  <c r="AP16" i="24"/>
  <c r="AP10" i="24"/>
  <c r="AP12" i="24" s="1"/>
  <c r="T7" i="24"/>
  <c r="U7" i="24"/>
  <c r="V4" i="24"/>
  <c r="V10" i="24" s="1"/>
  <c r="V12" i="24" s="1"/>
  <c r="V7" i="24"/>
  <c r="X4" i="24"/>
  <c r="X10" i="24" s="1"/>
  <c r="X12" i="24" s="1"/>
  <c r="W7" i="24"/>
  <c r="Y4" i="24"/>
  <c r="Y10" i="24" s="1"/>
  <c r="Y14" i="24" s="1"/>
  <c r="X7" i="24"/>
  <c r="BG7" i="24"/>
  <c r="Z4" i="24"/>
  <c r="Z7" i="24"/>
  <c r="AA4" i="24"/>
  <c r="BG4" i="24"/>
  <c r="BG17" i="24" s="1"/>
  <c r="BG23" i="24" s="1"/>
  <c r="H5" i="24"/>
  <c r="AJ7" i="24"/>
  <c r="U4" i="24"/>
  <c r="U10" i="24" s="1"/>
  <c r="U12" i="24" s="1"/>
  <c r="E5" i="24"/>
  <c r="AI4" i="24"/>
  <c r="AI10" i="24" s="1"/>
  <c r="AI14" i="24" s="1"/>
  <c r="I5" i="24"/>
  <c r="AK7" i="24"/>
  <c r="AK4" i="24"/>
  <c r="AK10" i="24" s="1"/>
  <c r="AK12" i="24" s="1"/>
  <c r="J5" i="24"/>
  <c r="AL7" i="24"/>
  <c r="AL4" i="24"/>
  <c r="AL10" i="24" s="1"/>
  <c r="AL14" i="24" s="1"/>
  <c r="AM7" i="24"/>
  <c r="H4" i="24"/>
  <c r="H10" i="24" s="1"/>
  <c r="H12" i="24" s="1"/>
  <c r="AN4" i="24"/>
  <c r="AN10" i="24" s="1"/>
  <c r="AN14" i="24" s="1"/>
  <c r="I4" i="24"/>
  <c r="I10" i="24" s="1"/>
  <c r="I12" i="24" s="1"/>
  <c r="AO4" i="24"/>
  <c r="AO10" i="24" s="1"/>
  <c r="AO12" i="24" s="1"/>
  <c r="Y5" i="24"/>
  <c r="G7" i="24"/>
  <c r="AP7" i="24"/>
  <c r="L16" i="24"/>
  <c r="L17" i="24"/>
  <c r="L23" i="24" s="1"/>
  <c r="L10" i="24"/>
  <c r="AB17" i="24"/>
  <c r="AB23" i="24" s="1"/>
  <c r="AB16" i="24"/>
  <c r="AB10" i="24"/>
  <c r="BH17" i="24"/>
  <c r="BH23" i="24" s="1"/>
  <c r="BH16" i="24"/>
  <c r="BH10" i="24"/>
  <c r="M17" i="24"/>
  <c r="M23" i="24" s="1"/>
  <c r="M16" i="24"/>
  <c r="M10" i="24"/>
  <c r="AC17" i="24"/>
  <c r="AC23" i="24" s="1"/>
  <c r="AC10" i="24"/>
  <c r="AC16" i="24"/>
  <c r="BI17" i="24"/>
  <c r="BI23" i="24" s="1"/>
  <c r="BI10" i="24"/>
  <c r="BI16" i="24"/>
  <c r="N17" i="24"/>
  <c r="N23" i="24" s="1"/>
  <c r="N10" i="24"/>
  <c r="N16" i="24"/>
  <c r="AD17" i="24"/>
  <c r="AD23" i="24" s="1"/>
  <c r="AD10" i="24"/>
  <c r="AD16" i="24"/>
  <c r="BJ17" i="24"/>
  <c r="BJ23" i="24" s="1"/>
  <c r="BJ10" i="24"/>
  <c r="BJ16" i="24"/>
  <c r="BK17" i="24"/>
  <c r="BK23" i="24" s="1"/>
  <c r="BK10" i="24"/>
  <c r="BK16" i="24"/>
  <c r="Q17" i="24"/>
  <c r="Q23" i="24" s="1"/>
  <c r="Q10" i="24"/>
  <c r="Q16" i="24"/>
  <c r="AG17" i="24"/>
  <c r="AG23" i="24" s="1"/>
  <c r="AG10" i="24"/>
  <c r="AG16" i="24"/>
  <c r="O17" i="24"/>
  <c r="O23" i="24" s="1"/>
  <c r="O10" i="24"/>
  <c r="O16" i="24"/>
  <c r="AK14" i="24"/>
  <c r="AF17" i="24"/>
  <c r="AF23" i="24" s="1"/>
  <c r="AF10" i="24"/>
  <c r="AF16" i="24"/>
  <c r="AE17" i="24"/>
  <c r="AE23" i="24" s="1"/>
  <c r="AE10" i="24"/>
  <c r="AE16" i="24"/>
  <c r="AU17" i="24"/>
  <c r="AU10" i="24"/>
  <c r="AU16" i="24"/>
  <c r="P17" i="24"/>
  <c r="P23" i="24" s="1"/>
  <c r="P10" i="24"/>
  <c r="P16" i="24"/>
  <c r="R14" i="24"/>
  <c r="U14" i="24"/>
  <c r="R17" i="24"/>
  <c r="R23" i="24" s="1"/>
  <c r="T4" i="24"/>
  <c r="AJ4" i="24"/>
  <c r="L5" i="24"/>
  <c r="AB5" i="24"/>
  <c r="BH5" i="24"/>
  <c r="G4" i="24"/>
  <c r="W4" i="24"/>
  <c r="AM4" i="24"/>
  <c r="M5" i="24"/>
  <c r="AC5" i="24"/>
  <c r="BI5" i="24"/>
  <c r="R16" i="24"/>
  <c r="N5" i="24"/>
  <c r="AD5" i="24"/>
  <c r="BJ5" i="24"/>
  <c r="O5" i="24"/>
  <c r="AE5" i="24"/>
  <c r="AU5" i="24"/>
  <c r="BK5" i="24"/>
  <c r="P5" i="24"/>
  <c r="AF5" i="24"/>
  <c r="L7" i="24"/>
  <c r="AB7" i="24"/>
  <c r="BH7" i="24"/>
  <c r="J17" i="24"/>
  <c r="AP17" i="24"/>
  <c r="AP23" i="24" s="1"/>
  <c r="Q5" i="24"/>
  <c r="AG5" i="24"/>
  <c r="M7" i="24"/>
  <c r="AC7" i="24"/>
  <c r="BI7" i="24"/>
  <c r="R5" i="24"/>
  <c r="AH5" i="24"/>
  <c r="N7" i="24"/>
  <c r="AD7" i="24"/>
  <c r="BJ7" i="24"/>
  <c r="S5" i="24"/>
  <c r="AI5" i="24"/>
  <c r="O7" i="24"/>
  <c r="AE7" i="24"/>
  <c r="AU7" i="24"/>
  <c r="BK7" i="24"/>
  <c r="P7" i="24"/>
  <c r="AF7" i="24"/>
  <c r="X16" i="24"/>
  <c r="Q7" i="24"/>
  <c r="AG7" i="24"/>
  <c r="E17" i="24"/>
  <c r="E16" i="24"/>
  <c r="E10" i="24"/>
  <c r="AL12" i="14"/>
  <c r="AN12" i="14"/>
  <c r="AK65" i="14"/>
  <c r="AM65" i="14"/>
  <c r="AO65" i="14"/>
  <c r="AM10" i="14"/>
  <c r="AO10" i="14"/>
  <c r="AK10" i="14"/>
  <c r="AK11" i="14"/>
  <c r="AL11" i="14"/>
  <c r="AM11" i="14"/>
  <c r="AN11" i="14"/>
  <c r="AO11" i="14"/>
  <c r="AM7" i="14"/>
  <c r="AK8" i="14"/>
  <c r="AN173" i="14"/>
  <c r="AK169" i="14"/>
  <c r="AL169" i="14"/>
  <c r="AM169" i="14"/>
  <c r="AK174" i="14"/>
  <c r="AN169" i="14"/>
  <c r="AO169" i="14"/>
  <c r="AL17" i="14"/>
  <c r="AM17" i="14"/>
  <c r="AL7" i="14"/>
  <c r="AN7" i="14"/>
  <c r="AL8" i="14"/>
  <c r="AM8" i="14"/>
  <c r="AN8" i="14"/>
  <c r="AK5" i="14"/>
  <c r="AK9" i="14"/>
  <c r="AL5" i="14"/>
  <c r="AL10" i="14" s="1"/>
  <c r="AL9" i="14"/>
  <c r="AM5" i="14"/>
  <c r="AM16" i="14" s="1"/>
  <c r="AM18" i="14" s="1"/>
  <c r="AM19" i="14" s="1"/>
  <c r="AM9" i="14"/>
  <c r="AN5" i="14"/>
  <c r="AN10" i="14" s="1"/>
  <c r="AN9" i="14"/>
  <c r="AK6" i="14"/>
  <c r="AO8" i="14"/>
  <c r="AO17" i="14"/>
  <c r="AO9" i="14"/>
  <c r="AO5" i="14"/>
  <c r="AO7" i="14"/>
  <c r="AO174" i="14" s="1"/>
  <c r="D24" i="13"/>
  <c r="A55" i="16"/>
  <c r="A54" i="16"/>
  <c r="A53" i="16"/>
  <c r="A52" i="16"/>
  <c r="AI2" i="8"/>
  <c r="AI51" i="8" s="1"/>
  <c r="BG3" i="17"/>
  <c r="BG5" i="17" s="1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H3" i="17"/>
  <c r="AH5" i="17" s="1"/>
  <c r="AG3" i="17"/>
  <c r="AG5" i="17" s="1"/>
  <c r="AF3" i="17"/>
  <c r="AF5" i="17" s="1"/>
  <c r="AE3" i="17"/>
  <c r="AE5" i="17" s="1"/>
  <c r="AD3" i="17"/>
  <c r="AD5" i="17" s="1"/>
  <c r="AC3" i="17"/>
  <c r="AC5" i="17" s="1"/>
  <c r="AB3" i="17"/>
  <c r="AB5" i="17" s="1"/>
  <c r="AA3" i="17"/>
  <c r="AA5" i="17" s="1"/>
  <c r="Z3" i="17"/>
  <c r="Z5" i="17" s="1"/>
  <c r="Y3" i="17"/>
  <c r="Y5" i="17" s="1"/>
  <c r="X3" i="17"/>
  <c r="X5" i="17" s="1"/>
  <c r="W3" i="17"/>
  <c r="W5" i="17" s="1"/>
  <c r="V3" i="17"/>
  <c r="V5" i="17" s="1"/>
  <c r="U3" i="17"/>
  <c r="U5" i="17" s="1"/>
  <c r="T3" i="17"/>
  <c r="T5" i="17" s="1"/>
  <c r="S3" i="17"/>
  <c r="S5" i="17" s="1"/>
  <c r="R3" i="17"/>
  <c r="R5" i="17" s="1"/>
  <c r="Q3" i="17"/>
  <c r="Q5" i="17" s="1"/>
  <c r="P3" i="17"/>
  <c r="P5" i="17" s="1"/>
  <c r="O3" i="17"/>
  <c r="O5" i="17" s="1"/>
  <c r="N3" i="17"/>
  <c r="N5" i="17" s="1"/>
  <c r="M3" i="17"/>
  <c r="M5" i="17" s="1"/>
  <c r="L3" i="17"/>
  <c r="L5" i="17" s="1"/>
  <c r="K3" i="17"/>
  <c r="K5" i="17" s="1"/>
  <c r="J3" i="17"/>
  <c r="J5" i="17" s="1"/>
  <c r="I3" i="17"/>
  <c r="I5" i="17" s="1"/>
  <c r="H3" i="17"/>
  <c r="H5" i="17" s="1"/>
  <c r="G3" i="17"/>
  <c r="G5" i="17" s="1"/>
  <c r="F3" i="17"/>
  <c r="F5" i="17" s="1"/>
  <c r="AM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BG3" i="7"/>
  <c r="BG9" i="7" s="1"/>
  <c r="BG13" i="7" s="1"/>
  <c r="BG14" i="7" s="1"/>
  <c r="BG15" i="7" s="1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H3" i="7"/>
  <c r="AH9" i="7" s="1"/>
  <c r="AG3" i="7"/>
  <c r="AG9" i="7" s="1"/>
  <c r="AF3" i="7"/>
  <c r="AF12" i="7" s="1"/>
  <c r="AP2" i="7"/>
  <c r="AO2" i="7"/>
  <c r="AM2" i="7"/>
  <c r="AK2" i="7"/>
  <c r="AJ2" i="7"/>
  <c r="AI2" i="7"/>
  <c r="AH2" i="7"/>
  <c r="AG2" i="7"/>
  <c r="AF2" i="7"/>
  <c r="BG2" i="8"/>
  <c r="BG51" i="8" s="1"/>
  <c r="BF2" i="8"/>
  <c r="BF51" i="8" s="1"/>
  <c r="BE2" i="8"/>
  <c r="BE51" i="8" s="1"/>
  <c r="BD2" i="8"/>
  <c r="BD51" i="8" s="1"/>
  <c r="BC2" i="8"/>
  <c r="BC51" i="8" s="1"/>
  <c r="BB2" i="8"/>
  <c r="BB51" i="8" s="1"/>
  <c r="BA2" i="8"/>
  <c r="BA51" i="8" s="1"/>
  <c r="AZ2" i="8"/>
  <c r="AZ51" i="8" s="1"/>
  <c r="AY2" i="8"/>
  <c r="AY51" i="8" s="1"/>
  <c r="AX2" i="8"/>
  <c r="AX51" i="8" s="1"/>
  <c r="AW2" i="8"/>
  <c r="AW51" i="8" s="1"/>
  <c r="AV2" i="8"/>
  <c r="AV51" i="8" s="1"/>
  <c r="AU2" i="8"/>
  <c r="AU51" i="8" s="1"/>
  <c r="AT2" i="8"/>
  <c r="AT51" i="8" s="1"/>
  <c r="AS2" i="8"/>
  <c r="AS51" i="8" s="1"/>
  <c r="AR2" i="8"/>
  <c r="AR51" i="8" s="1"/>
  <c r="AQ2" i="8"/>
  <c r="AQ51" i="8" s="1"/>
  <c r="AP2" i="8"/>
  <c r="AP51" i="8" s="1"/>
  <c r="AO2" i="8"/>
  <c r="AO51" i="8" s="1"/>
  <c r="AM2" i="8"/>
  <c r="AM51" i="8" s="1"/>
  <c r="AK2" i="8"/>
  <c r="AK51" i="8" s="1"/>
  <c r="AJ2" i="8"/>
  <c r="AJ51" i="8" s="1"/>
  <c r="AH2" i="8"/>
  <c r="AG2" i="8"/>
  <c r="AF2" i="8"/>
  <c r="AE2" i="8"/>
  <c r="AD2" i="8"/>
  <c r="AC2" i="8"/>
  <c r="AB2" i="8"/>
  <c r="AA2" i="8"/>
  <c r="Z2" i="8"/>
  <c r="BG2" i="9"/>
  <c r="BK1" i="10" s="1"/>
  <c r="BF2" i="9"/>
  <c r="BJ1" i="10" s="1"/>
  <c r="BE2" i="9"/>
  <c r="BI1" i="10" s="1"/>
  <c r="BD2" i="9"/>
  <c r="BH1" i="10" s="1"/>
  <c r="BC2" i="9"/>
  <c r="BG1" i="10" s="1"/>
  <c r="BB2" i="9"/>
  <c r="BF1" i="10" s="1"/>
  <c r="BA2" i="9"/>
  <c r="BE1" i="10" s="1"/>
  <c r="AZ2" i="9"/>
  <c r="BD1" i="10" s="1"/>
  <c r="AY2" i="9"/>
  <c r="BC1" i="10" s="1"/>
  <c r="AX2" i="9"/>
  <c r="BB1" i="10" s="1"/>
  <c r="AW2" i="9"/>
  <c r="BA1" i="10" s="1"/>
  <c r="AV2" i="9"/>
  <c r="AZ1" i="10" s="1"/>
  <c r="AU2" i="9"/>
  <c r="AY1" i="10" s="1"/>
  <c r="AT2" i="9"/>
  <c r="AX1" i="10" s="1"/>
  <c r="AS2" i="9"/>
  <c r="AW1" i="10" s="1"/>
  <c r="AR2" i="9"/>
  <c r="AV1" i="10" s="1"/>
  <c r="AQ2" i="9"/>
  <c r="AU1" i="10" s="1"/>
  <c r="BG2" i="21"/>
  <c r="BF2" i="21"/>
  <c r="BE2" i="21"/>
  <c r="BD2" i="21"/>
  <c r="BC2" i="21"/>
  <c r="BB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M2" i="21"/>
  <c r="BG2" i="15"/>
  <c r="BF2" i="15"/>
  <c r="BE2" i="15"/>
  <c r="BD2" i="15"/>
  <c r="BC2" i="15"/>
  <c r="BB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M2" i="15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M2" i="20"/>
  <c r="AK2" i="20"/>
  <c r="AJ2" i="20"/>
  <c r="AI2" i="20"/>
  <c r="AH2" i="20"/>
  <c r="AG2" i="20"/>
  <c r="AF2" i="20"/>
  <c r="AE2" i="20"/>
  <c r="BG3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N5" i="16"/>
  <c r="X76" i="9"/>
  <c r="AP2" i="9"/>
  <c r="AT1" i="10" s="1"/>
  <c r="AO2" i="9"/>
  <c r="AS1" i="10" s="1"/>
  <c r="AM2" i="9"/>
  <c r="AQ1" i="10" s="1"/>
  <c r="AK2" i="9"/>
  <c r="AO1" i="10" s="1"/>
  <c r="AJ2" i="9"/>
  <c r="AN1" i="10" s="1"/>
  <c r="AI2" i="9"/>
  <c r="AM1" i="10" s="1"/>
  <c r="AH2" i="9"/>
  <c r="AL1" i="10" s="1"/>
  <c r="AG2" i="9"/>
  <c r="AK1" i="10" s="1"/>
  <c r="AF2" i="9"/>
  <c r="AJ1" i="10" s="1"/>
  <c r="AE2" i="9"/>
  <c r="AI1" i="10" s="1"/>
  <c r="AD2" i="9"/>
  <c r="AH1" i="10" s="1"/>
  <c r="AC2" i="9"/>
  <c r="AG1" i="10" s="1"/>
  <c r="AB2" i="9"/>
  <c r="AF1" i="10" s="1"/>
  <c r="AH3" i="14"/>
  <c r="AG3" i="14"/>
  <c r="AF3" i="14"/>
  <c r="AE3" i="14"/>
  <c r="AJ2" i="14"/>
  <c r="AI2" i="14"/>
  <c r="AH2" i="14"/>
  <c r="AG2" i="14"/>
  <c r="AF2" i="14"/>
  <c r="AE2" i="14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C77" i="21"/>
  <c r="C78" i="21" s="1"/>
  <c r="C79" i="21" s="1"/>
  <c r="C80" i="21" s="1"/>
  <c r="C72" i="21"/>
  <c r="E2" i="21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Y75" i="9"/>
  <c r="E2" i="20"/>
  <c r="AE3" i="7"/>
  <c r="AE10" i="7" s="1"/>
  <c r="AD3" i="7"/>
  <c r="AD12" i="7" s="1"/>
  <c r="AC3" i="7"/>
  <c r="AB3" i="7"/>
  <c r="AB9" i="7" s="1"/>
  <c r="AA3" i="7"/>
  <c r="Z3" i="7"/>
  <c r="Z9" i="7" s="1"/>
  <c r="AE2" i="7"/>
  <c r="AD2" i="7"/>
  <c r="AC2" i="7"/>
  <c r="AB2" i="7"/>
  <c r="AA2" i="7"/>
  <c r="Z2" i="7"/>
  <c r="X3" i="7"/>
  <c r="X12" i="7" s="1"/>
  <c r="W3" i="7"/>
  <c r="W10" i="7" s="1"/>
  <c r="V3" i="7"/>
  <c r="V9" i="7" s="1"/>
  <c r="U3" i="7"/>
  <c r="U9" i="7" s="1"/>
  <c r="T3" i="7"/>
  <c r="T12" i="7" s="1"/>
  <c r="S3" i="7"/>
  <c r="S12" i="7" s="1"/>
  <c r="R3" i="7"/>
  <c r="R9" i="7" s="1"/>
  <c r="Q3" i="7"/>
  <c r="Q9" i="7" s="1"/>
  <c r="P3" i="7"/>
  <c r="P10" i="7" s="1"/>
  <c r="O3" i="7"/>
  <c r="O10" i="7" s="1"/>
  <c r="N3" i="7"/>
  <c r="M3" i="7"/>
  <c r="M12" i="7" s="1"/>
  <c r="L3" i="7"/>
  <c r="L12" i="7" s="1"/>
  <c r="K3" i="7"/>
  <c r="K9" i="7" s="1"/>
  <c r="J3" i="7"/>
  <c r="J9" i="7" s="1"/>
  <c r="I3" i="7"/>
  <c r="I12" i="7" s="1"/>
  <c r="H3" i="7"/>
  <c r="H12" i="7" s="1"/>
  <c r="G3" i="7"/>
  <c r="F3" i="7"/>
  <c r="F9" i="7" s="1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C389" i="7"/>
  <c r="C289" i="7"/>
  <c r="C195" i="7"/>
  <c r="D100" i="7"/>
  <c r="C100" i="7"/>
  <c r="N3" i="16"/>
  <c r="N2" i="16"/>
  <c r="W42" i="15"/>
  <c r="V36" i="15"/>
  <c r="X9" i="16"/>
  <c r="X8" i="16"/>
  <c r="E138" i="11"/>
  <c r="D138" i="11"/>
  <c r="C138" i="11"/>
  <c r="B138" i="11"/>
  <c r="A138" i="11"/>
  <c r="E137" i="11"/>
  <c r="D137" i="11"/>
  <c r="C137" i="11"/>
  <c r="B137" i="11"/>
  <c r="A137" i="11"/>
  <c r="E136" i="11"/>
  <c r="D136" i="11"/>
  <c r="C136" i="11"/>
  <c r="B136" i="11"/>
  <c r="A136" i="11"/>
  <c r="E135" i="11"/>
  <c r="D135" i="11"/>
  <c r="C135" i="11"/>
  <c r="B135" i="11"/>
  <c r="A135" i="11"/>
  <c r="E134" i="11"/>
  <c r="D134" i="11"/>
  <c r="C134" i="11"/>
  <c r="B134" i="11"/>
  <c r="A134" i="11"/>
  <c r="E133" i="11"/>
  <c r="D133" i="11"/>
  <c r="C133" i="11"/>
  <c r="B133" i="11"/>
  <c r="A133" i="11"/>
  <c r="E132" i="11"/>
  <c r="D132" i="11"/>
  <c r="C132" i="11"/>
  <c r="B132" i="11"/>
  <c r="A132" i="11"/>
  <c r="E131" i="11"/>
  <c r="D131" i="11"/>
  <c r="C131" i="11"/>
  <c r="B131" i="11"/>
  <c r="A131" i="11"/>
  <c r="E130" i="11"/>
  <c r="D130" i="11"/>
  <c r="C130" i="11"/>
  <c r="B130" i="11"/>
  <c r="A130" i="11"/>
  <c r="E129" i="11"/>
  <c r="D129" i="11"/>
  <c r="C129" i="11"/>
  <c r="B129" i="11"/>
  <c r="A129" i="11"/>
  <c r="E128" i="11"/>
  <c r="D128" i="11"/>
  <c r="C128" i="11"/>
  <c r="B128" i="11"/>
  <c r="A128" i="11"/>
  <c r="E127" i="11"/>
  <c r="D127" i="11"/>
  <c r="C127" i="11"/>
  <c r="B127" i="11"/>
  <c r="A127" i="11"/>
  <c r="E126" i="11"/>
  <c r="D126" i="11"/>
  <c r="C126" i="11"/>
  <c r="B126" i="11"/>
  <c r="A126" i="11"/>
  <c r="E125" i="11"/>
  <c r="D125" i="11"/>
  <c r="C125" i="11"/>
  <c r="B125" i="11"/>
  <c r="A125" i="11"/>
  <c r="E124" i="11"/>
  <c r="D124" i="11"/>
  <c r="C124" i="11"/>
  <c r="B124" i="11"/>
  <c r="A124" i="11"/>
  <c r="E123" i="11"/>
  <c r="D123" i="11"/>
  <c r="C123" i="11"/>
  <c r="B123" i="11"/>
  <c r="A123" i="11"/>
  <c r="E122" i="11"/>
  <c r="D122" i="11"/>
  <c r="C122" i="11"/>
  <c r="B122" i="11"/>
  <c r="A122" i="11"/>
  <c r="E121" i="11"/>
  <c r="D121" i="11"/>
  <c r="C121" i="11"/>
  <c r="B121" i="11"/>
  <c r="A121" i="11"/>
  <c r="E120" i="11"/>
  <c r="D120" i="11"/>
  <c r="C120" i="11"/>
  <c r="B120" i="11"/>
  <c r="A120" i="11"/>
  <c r="E119" i="11"/>
  <c r="D119" i="11"/>
  <c r="C119" i="11"/>
  <c r="B119" i="11"/>
  <c r="A119" i="11"/>
  <c r="E118" i="11"/>
  <c r="D118" i="11"/>
  <c r="C118" i="11"/>
  <c r="B118" i="11"/>
  <c r="A118" i="11"/>
  <c r="E117" i="11"/>
  <c r="D117" i="11"/>
  <c r="C117" i="11"/>
  <c r="B117" i="11"/>
  <c r="A117" i="11"/>
  <c r="E116" i="11"/>
  <c r="D116" i="11"/>
  <c r="C116" i="11"/>
  <c r="B116" i="11"/>
  <c r="A116" i="11"/>
  <c r="E115" i="11"/>
  <c r="D115" i="11"/>
  <c r="C115" i="11"/>
  <c r="B115" i="11"/>
  <c r="A115" i="11"/>
  <c r="E114" i="11"/>
  <c r="D114" i="11"/>
  <c r="C114" i="11"/>
  <c r="B114" i="11"/>
  <c r="A114" i="11"/>
  <c r="E113" i="11"/>
  <c r="D113" i="11"/>
  <c r="C113" i="11"/>
  <c r="B113" i="11"/>
  <c r="A113" i="11"/>
  <c r="E112" i="11"/>
  <c r="D112" i="11"/>
  <c r="C112" i="11"/>
  <c r="B112" i="11"/>
  <c r="A112" i="11"/>
  <c r="E111" i="11"/>
  <c r="D111" i="11"/>
  <c r="C111" i="11"/>
  <c r="B111" i="11"/>
  <c r="A111" i="11"/>
  <c r="E110" i="11"/>
  <c r="D110" i="11"/>
  <c r="C110" i="11"/>
  <c r="B110" i="11"/>
  <c r="A110" i="11"/>
  <c r="E109" i="11"/>
  <c r="D109" i="11"/>
  <c r="C109" i="11"/>
  <c r="B109" i="11"/>
  <c r="A109" i="11"/>
  <c r="E108" i="11"/>
  <c r="D108" i="11"/>
  <c r="C108" i="11"/>
  <c r="B108" i="11"/>
  <c r="A108" i="11"/>
  <c r="E107" i="11"/>
  <c r="D107" i="11"/>
  <c r="C107" i="11"/>
  <c r="B107" i="11"/>
  <c r="A107" i="11"/>
  <c r="E106" i="11"/>
  <c r="D106" i="11"/>
  <c r="C106" i="11"/>
  <c r="B106" i="11"/>
  <c r="A106" i="11"/>
  <c r="E105" i="11"/>
  <c r="D105" i="11"/>
  <c r="C105" i="11"/>
  <c r="B105" i="11"/>
  <c r="A105" i="11"/>
  <c r="E104" i="11"/>
  <c r="D104" i="11"/>
  <c r="C104" i="11"/>
  <c r="B104" i="11"/>
  <c r="A104" i="11"/>
  <c r="E103" i="11"/>
  <c r="D103" i="11"/>
  <c r="C103" i="11"/>
  <c r="B103" i="11"/>
  <c r="A103" i="11"/>
  <c r="E102" i="11"/>
  <c r="D102" i="11"/>
  <c r="C102" i="11"/>
  <c r="B102" i="11"/>
  <c r="A102" i="11"/>
  <c r="E101" i="11"/>
  <c r="D101" i="11"/>
  <c r="C101" i="11"/>
  <c r="B101" i="11"/>
  <c r="A101" i="11"/>
  <c r="E100" i="11"/>
  <c r="D100" i="11"/>
  <c r="C100" i="11"/>
  <c r="B100" i="11"/>
  <c r="A100" i="11"/>
  <c r="E99" i="11"/>
  <c r="D99" i="11"/>
  <c r="C99" i="11"/>
  <c r="B99" i="11"/>
  <c r="A99" i="11"/>
  <c r="E98" i="11"/>
  <c r="D98" i="11"/>
  <c r="C98" i="11"/>
  <c r="B98" i="11"/>
  <c r="A98" i="11"/>
  <c r="E97" i="11"/>
  <c r="D97" i="11"/>
  <c r="C97" i="11"/>
  <c r="B97" i="11"/>
  <c r="A97" i="11"/>
  <c r="E96" i="11"/>
  <c r="D96" i="11"/>
  <c r="C96" i="11"/>
  <c r="B96" i="11"/>
  <c r="A96" i="11"/>
  <c r="E95" i="11"/>
  <c r="D95" i="11"/>
  <c r="C95" i="11"/>
  <c r="B95" i="11"/>
  <c r="A95" i="11"/>
  <c r="E94" i="11"/>
  <c r="D94" i="11"/>
  <c r="C94" i="11"/>
  <c r="B94" i="11"/>
  <c r="A94" i="11"/>
  <c r="E93" i="11"/>
  <c r="D93" i="11"/>
  <c r="C93" i="11"/>
  <c r="B93" i="11"/>
  <c r="A93" i="11"/>
  <c r="E92" i="11"/>
  <c r="D92" i="11"/>
  <c r="C92" i="11"/>
  <c r="B92" i="11"/>
  <c r="A92" i="11"/>
  <c r="E91" i="11"/>
  <c r="D91" i="11"/>
  <c r="C91" i="11"/>
  <c r="B91" i="11"/>
  <c r="A91" i="11"/>
  <c r="E90" i="11"/>
  <c r="D90" i="11"/>
  <c r="C90" i="11"/>
  <c r="B90" i="11"/>
  <c r="A90" i="11"/>
  <c r="E89" i="11"/>
  <c r="D89" i="11"/>
  <c r="C89" i="11"/>
  <c r="B89" i="11"/>
  <c r="A89" i="11"/>
  <c r="E88" i="11"/>
  <c r="D88" i="11"/>
  <c r="C88" i="11"/>
  <c r="B88" i="11"/>
  <c r="A88" i="11"/>
  <c r="E87" i="11"/>
  <c r="D87" i="11"/>
  <c r="C87" i="11"/>
  <c r="B87" i="11"/>
  <c r="A87" i="11"/>
  <c r="E86" i="11"/>
  <c r="D86" i="11"/>
  <c r="C86" i="11"/>
  <c r="B86" i="11"/>
  <c r="A86" i="11"/>
  <c r="E85" i="11"/>
  <c r="D85" i="11"/>
  <c r="C85" i="11"/>
  <c r="B85" i="11"/>
  <c r="A85" i="11"/>
  <c r="E84" i="11"/>
  <c r="D84" i="11"/>
  <c r="C84" i="11"/>
  <c r="B84" i="11"/>
  <c r="A84" i="11"/>
  <c r="E83" i="11"/>
  <c r="D83" i="11"/>
  <c r="C83" i="11"/>
  <c r="B83" i="11"/>
  <c r="A83" i="11"/>
  <c r="E82" i="11"/>
  <c r="D82" i="11"/>
  <c r="C82" i="11"/>
  <c r="B82" i="11"/>
  <c r="A82" i="11"/>
  <c r="E81" i="11"/>
  <c r="D81" i="11"/>
  <c r="C81" i="11"/>
  <c r="B81" i="11"/>
  <c r="A81" i="11"/>
  <c r="E80" i="11"/>
  <c r="D80" i="11"/>
  <c r="C80" i="11"/>
  <c r="B80" i="11"/>
  <c r="E79" i="11"/>
  <c r="D79" i="11"/>
  <c r="C79" i="11"/>
  <c r="B79" i="11"/>
  <c r="A78" i="11"/>
  <c r="A79" i="11"/>
  <c r="A80" i="11"/>
  <c r="K2" i="11"/>
  <c r="A5" i="19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C18" i="16"/>
  <c r="C16" i="16"/>
  <c r="C15" i="16"/>
  <c r="AI10" i="16"/>
  <c r="AI11" i="16" s="1"/>
  <c r="AI9" i="16"/>
  <c r="AI8" i="16"/>
  <c r="AI7" i="16"/>
  <c r="AI6" i="16"/>
  <c r="AI5" i="16"/>
  <c r="AI16" i="16" s="1"/>
  <c r="AI4" i="16"/>
  <c r="E2" i="17"/>
  <c r="Y2" i="8"/>
  <c r="E290" i="7"/>
  <c r="F290" i="7" s="1"/>
  <c r="G290" i="7" s="1"/>
  <c r="H290" i="7" s="1"/>
  <c r="I290" i="7" s="1"/>
  <c r="J290" i="7" s="1"/>
  <c r="K290" i="7" s="1"/>
  <c r="L290" i="7" s="1"/>
  <c r="M290" i="7" s="1"/>
  <c r="N290" i="7" s="1"/>
  <c r="O290" i="7" s="1"/>
  <c r="P290" i="7" s="1"/>
  <c r="Q290" i="7" s="1"/>
  <c r="R290" i="7" s="1"/>
  <c r="S290" i="7" s="1"/>
  <c r="T290" i="7" s="1"/>
  <c r="U290" i="7" s="1"/>
  <c r="V290" i="7" s="1"/>
  <c r="W290" i="7" s="1"/>
  <c r="X290" i="7" s="1"/>
  <c r="E196" i="7"/>
  <c r="F196" i="7" s="1"/>
  <c r="G196" i="7" s="1"/>
  <c r="H196" i="7" s="1"/>
  <c r="I196" i="7" s="1"/>
  <c r="J196" i="7" s="1"/>
  <c r="K196" i="7" s="1"/>
  <c r="L196" i="7" s="1"/>
  <c r="M196" i="7" s="1"/>
  <c r="N196" i="7" s="1"/>
  <c r="O196" i="7" s="1"/>
  <c r="P196" i="7" s="1"/>
  <c r="Q196" i="7" s="1"/>
  <c r="R196" i="7" s="1"/>
  <c r="S196" i="7" s="1"/>
  <c r="T196" i="7" s="1"/>
  <c r="U196" i="7" s="1"/>
  <c r="V196" i="7" s="1"/>
  <c r="W196" i="7" s="1"/>
  <c r="X196" i="7" s="1"/>
  <c r="Y3" i="7"/>
  <c r="Y12" i="7" s="1"/>
  <c r="Y2" i="7"/>
  <c r="E2" i="7"/>
  <c r="E2" i="23" s="1"/>
  <c r="AA2" i="9"/>
  <c r="AE1" i="10" s="1"/>
  <c r="Z2" i="9"/>
  <c r="AD1" i="10" s="1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Y2" i="9"/>
  <c r="AC1" i="10" s="1"/>
  <c r="X2" i="9"/>
  <c r="AB1" i="10" s="1"/>
  <c r="W2" i="9"/>
  <c r="AA1" i="10" s="1"/>
  <c r="V2" i="9"/>
  <c r="Z1" i="10" s="1"/>
  <c r="U2" i="9"/>
  <c r="Y1" i="10" s="1"/>
  <c r="T2" i="9"/>
  <c r="X1" i="10" s="1"/>
  <c r="S2" i="9"/>
  <c r="W1" i="10" s="1"/>
  <c r="R2" i="9"/>
  <c r="V1" i="10" s="1"/>
  <c r="Q2" i="9"/>
  <c r="U1" i="10" s="1"/>
  <c r="P2" i="9"/>
  <c r="T1" i="10" s="1"/>
  <c r="O2" i="9"/>
  <c r="S1" i="10" s="1"/>
  <c r="N2" i="9"/>
  <c r="R1" i="10" s="1"/>
  <c r="M2" i="9"/>
  <c r="Q1" i="10" s="1"/>
  <c r="L2" i="9"/>
  <c r="P1" i="10" s="1"/>
  <c r="K2" i="9"/>
  <c r="O1" i="10" s="1"/>
  <c r="J2" i="9"/>
  <c r="N1" i="10" s="1"/>
  <c r="I2" i="9"/>
  <c r="M1" i="10" s="1"/>
  <c r="H2" i="9"/>
  <c r="L1" i="10" s="1"/>
  <c r="G2" i="9"/>
  <c r="K1" i="10" s="1"/>
  <c r="F2" i="9"/>
  <c r="J1" i="10" s="1"/>
  <c r="E2" i="9"/>
  <c r="I1" i="10" s="1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AD3" i="14"/>
  <c r="AC3" i="14"/>
  <c r="AB3" i="14"/>
  <c r="AA3" i="14"/>
  <c r="Z3" i="14"/>
  <c r="Y3" i="14"/>
  <c r="X3" i="14"/>
  <c r="W3" i="14"/>
  <c r="V3" i="14"/>
  <c r="V65" i="14" s="1"/>
  <c r="U3" i="14"/>
  <c r="U65" i="14" s="1"/>
  <c r="T3" i="14"/>
  <c r="T65" i="14" s="1"/>
  <c r="S3" i="14"/>
  <c r="S65" i="14" s="1"/>
  <c r="R3" i="14"/>
  <c r="R65" i="14" s="1"/>
  <c r="Q3" i="14"/>
  <c r="Q65" i="14" s="1"/>
  <c r="P3" i="14"/>
  <c r="P65" i="14" s="1"/>
  <c r="O3" i="14"/>
  <c r="O65" i="14" s="1"/>
  <c r="N3" i="14"/>
  <c r="N65" i="14" s="1"/>
  <c r="M3" i="14"/>
  <c r="L3" i="14"/>
  <c r="K3" i="14"/>
  <c r="J3" i="14"/>
  <c r="I3" i="14"/>
  <c r="H3" i="14"/>
  <c r="G3" i="14"/>
  <c r="F3" i="14"/>
  <c r="F65" i="14" s="1"/>
  <c r="E3" i="13"/>
  <c r="E3" i="14" s="1"/>
  <c r="AD238" i="23" l="1"/>
  <c r="AL188" i="23"/>
  <c r="W249" i="23"/>
  <c r="Y66" i="23"/>
  <c r="I183" i="23"/>
  <c r="AM183" i="23"/>
  <c r="Y64" i="23"/>
  <c r="AG238" i="23"/>
  <c r="Z59" i="23"/>
  <c r="V114" i="23"/>
  <c r="AY183" i="23"/>
  <c r="O249" i="23"/>
  <c r="O254" i="23" s="1"/>
  <c r="BG249" i="23"/>
  <c r="BG256" i="23" s="1"/>
  <c r="BD66" i="23"/>
  <c r="AY188" i="23"/>
  <c r="L69" i="23"/>
  <c r="Y61" i="23"/>
  <c r="U125" i="23"/>
  <c r="AE59" i="23"/>
  <c r="AN249" i="23"/>
  <c r="H249" i="23"/>
  <c r="AS238" i="23"/>
  <c r="W114" i="23"/>
  <c r="AF59" i="23"/>
  <c r="BD61" i="23"/>
  <c r="BA188" i="23"/>
  <c r="BA183" i="23"/>
  <c r="AQ249" i="23"/>
  <c r="AQ263" i="23" s="1"/>
  <c r="AG249" i="23"/>
  <c r="AG254" i="23" s="1"/>
  <c r="AW249" i="23"/>
  <c r="AJ114" i="23"/>
  <c r="AP238" i="23"/>
  <c r="T238" i="23"/>
  <c r="AJ183" i="23"/>
  <c r="AL125" i="23"/>
  <c r="AL183" i="23"/>
  <c r="AR66" i="23"/>
  <c r="BD125" i="23"/>
  <c r="AJ185" i="23"/>
  <c r="T249" i="23"/>
  <c r="T256" i="23" s="1"/>
  <c r="U114" i="23"/>
  <c r="AL190" i="23"/>
  <c r="BC249" i="23"/>
  <c r="X125" i="23"/>
  <c r="X140" i="23" s="1"/>
  <c r="P238" i="23"/>
  <c r="J69" i="23"/>
  <c r="AZ238" i="23"/>
  <c r="W238" i="23"/>
  <c r="I185" i="23"/>
  <c r="AR238" i="23"/>
  <c r="I125" i="23"/>
  <c r="AV61" i="23"/>
  <c r="AD59" i="23"/>
  <c r="AL66" i="23"/>
  <c r="V66" i="23"/>
  <c r="F66" i="23"/>
  <c r="Z249" i="23"/>
  <c r="Z263" i="23" s="1"/>
  <c r="AS249" i="23"/>
  <c r="AS254" i="23" s="1"/>
  <c r="M69" i="23"/>
  <c r="I64" i="23"/>
  <c r="AM64" i="23"/>
  <c r="F114" i="23"/>
  <c r="I61" i="23"/>
  <c r="N188" i="23"/>
  <c r="AH114" i="23"/>
  <c r="BB190" i="23"/>
  <c r="I238" i="23"/>
  <c r="V249" i="23"/>
  <c r="V264" i="23" s="1"/>
  <c r="AX238" i="23"/>
  <c r="AH238" i="23"/>
  <c r="AX125" i="23"/>
  <c r="F238" i="23"/>
  <c r="AM114" i="23"/>
  <c r="AF249" i="23"/>
  <c r="AF266" i="23" s="1"/>
  <c r="P114" i="23"/>
  <c r="BE190" i="23"/>
  <c r="AO185" i="23"/>
  <c r="BC114" i="23"/>
  <c r="P188" i="23"/>
  <c r="U238" i="23"/>
  <c r="AQ114" i="23"/>
  <c r="AV183" i="23"/>
  <c r="AE238" i="23"/>
  <c r="AW66" i="23"/>
  <c r="AG64" i="23"/>
  <c r="BF238" i="23"/>
  <c r="AF114" i="23"/>
  <c r="Y249" i="23"/>
  <c r="Y263" i="23" s="1"/>
  <c r="Z125" i="23"/>
  <c r="H64" i="23"/>
  <c r="Q238" i="23"/>
  <c r="AK69" i="23"/>
  <c r="AK84" i="23" s="1"/>
  <c r="BD238" i="23"/>
  <c r="S249" i="23"/>
  <c r="S254" i="23" s="1"/>
  <c r="AC69" i="23"/>
  <c r="AC84" i="23" s="1"/>
  <c r="Q190" i="23"/>
  <c r="L185" i="23"/>
  <c r="AZ190" i="23"/>
  <c r="AJ190" i="23"/>
  <c r="AP125" i="23"/>
  <c r="AP130" i="23" s="1"/>
  <c r="BE125" i="23"/>
  <c r="J249" i="23"/>
  <c r="J256" i="23" s="1"/>
  <c r="AY114" i="23"/>
  <c r="AV64" i="23"/>
  <c r="BE238" i="23"/>
  <c r="R61" i="23"/>
  <c r="R114" i="23"/>
  <c r="V125" i="23"/>
  <c r="V132" i="23" s="1"/>
  <c r="L238" i="23"/>
  <c r="AD185" i="23"/>
  <c r="AJ69" i="23"/>
  <c r="AJ84" i="23" s="1"/>
  <c r="H66" i="23"/>
  <c r="AC238" i="23"/>
  <c r="M238" i="23"/>
  <c r="AT114" i="23"/>
  <c r="BC238" i="23"/>
  <c r="X249" i="23"/>
  <c r="X263" i="23" s="1"/>
  <c r="BB69" i="23"/>
  <c r="BB84" i="23" s="1"/>
  <c r="AU188" i="23"/>
  <c r="S64" i="23"/>
  <c r="AR249" i="23"/>
  <c r="AR264" i="23" s="1"/>
  <c r="AP59" i="23"/>
  <c r="BF249" i="23"/>
  <c r="BF254" i="23" s="1"/>
  <c r="AI61" i="23"/>
  <c r="Z61" i="23"/>
  <c r="H59" i="23"/>
  <c r="X114" i="23"/>
  <c r="BC125" i="23"/>
  <c r="AB249" i="23"/>
  <c r="AB256" i="23" s="1"/>
  <c r="L249" i="23"/>
  <c r="L254" i="23" s="1"/>
  <c r="AA125" i="23"/>
  <c r="G249" i="23"/>
  <c r="G264" i="23" s="1"/>
  <c r="V59" i="23"/>
  <c r="Z238" i="23"/>
  <c r="AA183" i="23"/>
  <c r="BC266" i="23"/>
  <c r="BC263" i="23"/>
  <c r="BC256" i="23"/>
  <c r="BC254" i="23"/>
  <c r="BC264" i="23"/>
  <c r="Z256" i="23"/>
  <c r="Z254" i="23"/>
  <c r="Z264" i="23"/>
  <c r="Z266" i="23"/>
  <c r="M71" i="23"/>
  <c r="M84" i="23"/>
  <c r="AL193" i="23"/>
  <c r="V266" i="23"/>
  <c r="V256" i="23"/>
  <c r="AF254" i="23"/>
  <c r="AF264" i="23"/>
  <c r="AI264" i="23"/>
  <c r="AI266" i="23"/>
  <c r="AI263" i="23"/>
  <c r="AI256" i="23"/>
  <c r="AI254" i="23"/>
  <c r="AY264" i="23"/>
  <c r="AY266" i="23"/>
  <c r="AY263" i="23"/>
  <c r="AY256" i="23"/>
  <c r="AY254" i="23"/>
  <c r="S264" i="23"/>
  <c r="S266" i="23"/>
  <c r="S263" i="23"/>
  <c r="Y256" i="23"/>
  <c r="Y254" i="23"/>
  <c r="Y264" i="23"/>
  <c r="Y266" i="23"/>
  <c r="J254" i="23"/>
  <c r="J266" i="23"/>
  <c r="J263" i="23"/>
  <c r="T266" i="23"/>
  <c r="T263" i="23"/>
  <c r="X254" i="23"/>
  <c r="X264" i="23"/>
  <c r="X266" i="23"/>
  <c r="AR254" i="23"/>
  <c r="AR263" i="23"/>
  <c r="AR256" i="23"/>
  <c r="L84" i="23"/>
  <c r="L71" i="23"/>
  <c r="BF256" i="23"/>
  <c r="AB254" i="23"/>
  <c r="K256" i="23"/>
  <c r="K254" i="23"/>
  <c r="K264" i="23"/>
  <c r="K266" i="23"/>
  <c r="K263" i="23"/>
  <c r="R264" i="23"/>
  <c r="R266" i="23"/>
  <c r="R263" i="23"/>
  <c r="R256" i="23"/>
  <c r="R254" i="23"/>
  <c r="AU254" i="23"/>
  <c r="AU264" i="23"/>
  <c r="AU266" i="23"/>
  <c r="AU263" i="23"/>
  <c r="AU256" i="23"/>
  <c r="BB114" i="23"/>
  <c r="O188" i="23"/>
  <c r="BA66" i="23"/>
  <c r="U66" i="23"/>
  <c r="L239" i="23"/>
  <c r="L230" i="23"/>
  <c r="L180" i="23"/>
  <c r="AT188" i="23"/>
  <c r="T114" i="23"/>
  <c r="Q115" i="23"/>
  <c r="Q106" i="23"/>
  <c r="Q107" i="23" s="1"/>
  <c r="Q56" i="23"/>
  <c r="AM61" i="23"/>
  <c r="V238" i="23"/>
  <c r="BA59" i="23"/>
  <c r="AG66" i="23"/>
  <c r="AF64" i="23"/>
  <c r="P66" i="23"/>
  <c r="AU114" i="23"/>
  <c r="O125" i="23"/>
  <c r="AD115" i="23"/>
  <c r="AD106" i="23"/>
  <c r="AD56" i="23"/>
  <c r="V239" i="23"/>
  <c r="V230" i="23"/>
  <c r="V180" i="23"/>
  <c r="V193" i="23" s="1"/>
  <c r="AR106" i="23"/>
  <c r="AR107" i="23" s="1"/>
  <c r="AR115" i="23"/>
  <c r="AR56" i="23"/>
  <c r="AR59" i="23"/>
  <c r="AA185" i="23"/>
  <c r="AS64" i="23"/>
  <c r="T188" i="23"/>
  <c r="H115" i="23"/>
  <c r="H106" i="23"/>
  <c r="H107" i="23" s="1"/>
  <c r="H56" i="23"/>
  <c r="BF125" i="23"/>
  <c r="J125" i="23"/>
  <c r="BB266" i="23"/>
  <c r="BB263" i="23"/>
  <c r="BB256" i="23"/>
  <c r="BB254" i="23"/>
  <c r="BB264" i="23"/>
  <c r="AV254" i="23"/>
  <c r="AV264" i="23"/>
  <c r="AV266" i="23"/>
  <c r="AV263" i="23"/>
  <c r="AV256" i="23"/>
  <c r="AE254" i="23"/>
  <c r="AE264" i="23"/>
  <c r="AE266" i="23"/>
  <c r="AE263" i="23"/>
  <c r="AE256" i="23"/>
  <c r="AY238" i="23"/>
  <c r="W64" i="23"/>
  <c r="AZ115" i="23"/>
  <c r="AZ106" i="23"/>
  <c r="AZ107" i="23" s="1"/>
  <c r="AZ56" i="23"/>
  <c r="AT238" i="23"/>
  <c r="N238" i="23"/>
  <c r="AO106" i="23"/>
  <c r="AO115" i="23"/>
  <c r="AO56" i="23"/>
  <c r="AQ125" i="23"/>
  <c r="BG239" i="23"/>
  <c r="BG230" i="23"/>
  <c r="BG180" i="23"/>
  <c r="AM59" i="23"/>
  <c r="AY64" i="23"/>
  <c r="AP230" i="23"/>
  <c r="AP239" i="23"/>
  <c r="AP180" i="23"/>
  <c r="AB190" i="23"/>
  <c r="R66" i="23"/>
  <c r="AU183" i="23"/>
  <c r="Q64" i="23"/>
  <c r="L125" i="23"/>
  <c r="H239" i="23"/>
  <c r="H230" i="23"/>
  <c r="H231" i="23" s="1"/>
  <c r="H243" i="23" s="1"/>
  <c r="H180" i="23"/>
  <c r="AZ59" i="23"/>
  <c r="H188" i="23"/>
  <c r="R59" i="23"/>
  <c r="AQ106" i="23"/>
  <c r="AQ115" i="23"/>
  <c r="AQ56" i="23"/>
  <c r="AQ69" i="23" s="1"/>
  <c r="K125" i="23"/>
  <c r="AX239" i="23"/>
  <c r="AX230" i="23"/>
  <c r="AX231" i="23" s="1"/>
  <c r="AX243" i="23" s="1"/>
  <c r="AX180" i="23"/>
  <c r="AX193" i="23" s="1"/>
  <c r="Z66" i="23"/>
  <c r="AC239" i="23"/>
  <c r="AC230" i="23"/>
  <c r="AC231" i="23" s="1"/>
  <c r="AC243" i="23" s="1"/>
  <c r="AC258" i="23" s="1"/>
  <c r="AC171" i="23" s="1"/>
  <c r="AC180" i="23"/>
  <c r="N106" i="23"/>
  <c r="N107" i="23" s="1"/>
  <c r="N115" i="23"/>
  <c r="N56" i="23"/>
  <c r="AL266" i="23"/>
  <c r="AL263" i="23"/>
  <c r="AL256" i="23"/>
  <c r="AL254" i="23"/>
  <c r="AL264" i="23"/>
  <c r="Y139" i="23"/>
  <c r="Y132" i="23"/>
  <c r="Y140" i="23"/>
  <c r="Y130" i="23"/>
  <c r="Y142" i="23"/>
  <c r="V115" i="23"/>
  <c r="V106" i="23"/>
  <c r="V107" i="23" s="1"/>
  <c r="V56" i="23"/>
  <c r="BD132" i="23"/>
  <c r="BD139" i="23"/>
  <c r="BD130" i="23"/>
  <c r="BD142" i="23"/>
  <c r="BD140" i="23"/>
  <c r="H130" i="23"/>
  <c r="H139" i="23"/>
  <c r="H142" i="23"/>
  <c r="H140" i="23"/>
  <c r="H145" i="23" s="1"/>
  <c r="H132" i="23"/>
  <c r="AW238" i="23"/>
  <c r="AW185" i="23"/>
  <c r="AJ239" i="23"/>
  <c r="AJ230" i="23"/>
  <c r="AJ231" i="23" s="1"/>
  <c r="AJ180" i="23"/>
  <c r="AX114" i="23"/>
  <c r="AO239" i="23"/>
  <c r="AO230" i="23"/>
  <c r="AO231" i="23" s="1"/>
  <c r="AO243" i="23" s="1"/>
  <c r="AO260" i="23" s="1"/>
  <c r="AO172" i="23" s="1"/>
  <c r="AO180" i="23"/>
  <c r="L107" i="23"/>
  <c r="BD239" i="23"/>
  <c r="BD230" i="23"/>
  <c r="BD180" i="23"/>
  <c r="AT183" i="23"/>
  <c r="BB231" i="23"/>
  <c r="BC239" i="23"/>
  <c r="BC230" i="23"/>
  <c r="BC231" i="23" s="1"/>
  <c r="BC180" i="23"/>
  <c r="G239" i="23"/>
  <c r="G230" i="23"/>
  <c r="G180" i="23"/>
  <c r="AU125" i="23"/>
  <c r="AE114" i="23"/>
  <c r="F239" i="23"/>
  <c r="F230" i="23"/>
  <c r="F180" i="23"/>
  <c r="AB185" i="23"/>
  <c r="BD231" i="23"/>
  <c r="AK239" i="23"/>
  <c r="AK230" i="23"/>
  <c r="AK231" i="23" s="1"/>
  <c r="AK180" i="23"/>
  <c r="AK193" i="23" s="1"/>
  <c r="H185" i="23"/>
  <c r="AT59" i="23"/>
  <c r="AG239" i="23"/>
  <c r="AG230" i="23"/>
  <c r="AG231" i="23" s="1"/>
  <c r="AG180" i="23"/>
  <c r="AP256" i="23"/>
  <c r="AP254" i="23"/>
  <c r="AP264" i="23"/>
  <c r="AP266" i="23"/>
  <c r="AP263" i="23"/>
  <c r="O256" i="23"/>
  <c r="AY231" i="23"/>
  <c r="P254" i="23"/>
  <c r="P264" i="23"/>
  <c r="P266" i="23"/>
  <c r="P263" i="23"/>
  <c r="P256" i="23"/>
  <c r="I115" i="23"/>
  <c r="I106" i="23"/>
  <c r="I56" i="23"/>
  <c r="Q239" i="23"/>
  <c r="Q230" i="23"/>
  <c r="Q180" i="23"/>
  <c r="BC106" i="23"/>
  <c r="BC107" i="23" s="1"/>
  <c r="BC56" i="23"/>
  <c r="BC115" i="23"/>
  <c r="AR114" i="23"/>
  <c r="AV239" i="23"/>
  <c r="AV180" i="23"/>
  <c r="AV230" i="23"/>
  <c r="AV231" i="23" s="1"/>
  <c r="AV243" i="23" s="1"/>
  <c r="AN125" i="23"/>
  <c r="BC66" i="23"/>
  <c r="M239" i="23"/>
  <c r="M230" i="23"/>
  <c r="M231" i="23" s="1"/>
  <c r="M180" i="23"/>
  <c r="AK114" i="23"/>
  <c r="AX115" i="23"/>
  <c r="AX106" i="23"/>
  <c r="AX107" i="23" s="1"/>
  <c r="AX56" i="23"/>
  <c r="AZ114" i="23"/>
  <c r="AQ239" i="23"/>
  <c r="AQ180" i="23"/>
  <c r="AQ230" i="23"/>
  <c r="AQ231" i="23" s="1"/>
  <c r="AW183" i="23"/>
  <c r="AW193" i="23" s="1"/>
  <c r="BC61" i="23"/>
  <c r="O183" i="23"/>
  <c r="L114" i="23"/>
  <c r="AC185" i="23"/>
  <c r="AY61" i="23"/>
  <c r="O114" i="23"/>
  <c r="AD125" i="23"/>
  <c r="N125" i="23"/>
  <c r="S239" i="23"/>
  <c r="S230" i="23"/>
  <c r="S180" i="23"/>
  <c r="S193" i="23" s="1"/>
  <c r="AQ185" i="23"/>
  <c r="AC125" i="23"/>
  <c r="BD183" i="23"/>
  <c r="BF64" i="23"/>
  <c r="AH264" i="23"/>
  <c r="AH266" i="23"/>
  <c r="AH263" i="23"/>
  <c r="AH256" i="23"/>
  <c r="AH254" i="23"/>
  <c r="G115" i="23"/>
  <c r="G106" i="23"/>
  <c r="G107" i="23" s="1"/>
  <c r="G119" i="23" s="1"/>
  <c r="G56" i="23"/>
  <c r="F266" i="23"/>
  <c r="F263" i="23"/>
  <c r="F256" i="23"/>
  <c r="F254" i="23"/>
  <c r="F264" i="23"/>
  <c r="AT254" i="23"/>
  <c r="AT264" i="23"/>
  <c r="AT266" i="23"/>
  <c r="AT263" i="23"/>
  <c r="AT256" i="23"/>
  <c r="AI238" i="23"/>
  <c r="R188" i="23"/>
  <c r="Q231" i="23"/>
  <c r="Q243" i="23" s="1"/>
  <c r="BA114" i="23"/>
  <c r="AR239" i="23"/>
  <c r="AR230" i="23"/>
  <c r="AR231" i="23" s="1"/>
  <c r="AR243" i="23" s="1"/>
  <c r="AR180" i="23"/>
  <c r="AZ64" i="23"/>
  <c r="AJ107" i="23"/>
  <c r="BC59" i="23"/>
  <c r="G61" i="23"/>
  <c r="BD106" i="23"/>
  <c r="BD107" i="23" s="1"/>
  <c r="BD115" i="23"/>
  <c r="BD56" i="23"/>
  <c r="P183" i="23"/>
  <c r="AR190" i="23"/>
  <c r="AV115" i="23"/>
  <c r="AV106" i="23"/>
  <c r="AV107" i="23" s="1"/>
  <c r="AV56" i="23"/>
  <c r="AV69" i="23" s="1"/>
  <c r="Y239" i="23"/>
  <c r="Y230" i="23"/>
  <c r="Y231" i="23" s="1"/>
  <c r="Y180" i="23"/>
  <c r="K190" i="23"/>
  <c r="U59" i="23"/>
  <c r="AP106" i="23"/>
  <c r="AP107" i="23" s="1"/>
  <c r="AP119" i="23" s="1"/>
  <c r="AP134" i="23" s="1"/>
  <c r="AP47" i="23" s="1"/>
  <c r="AP115" i="23"/>
  <c r="AP56" i="23"/>
  <c r="AZ61" i="23"/>
  <c r="BG114" i="23"/>
  <c r="AS183" i="23"/>
  <c r="O66" i="23"/>
  <c r="AV59" i="23"/>
  <c r="AB183" i="23"/>
  <c r="AH61" i="23"/>
  <c r="G231" i="23"/>
  <c r="G243" i="23" s="1"/>
  <c r="K114" i="23"/>
  <c r="G142" i="23"/>
  <c r="G140" i="23"/>
  <c r="G132" i="23"/>
  <c r="G130" i="23"/>
  <c r="G139" i="23"/>
  <c r="G145" i="23" s="1"/>
  <c r="BE263" i="23"/>
  <c r="BE256" i="23"/>
  <c r="BE254" i="23"/>
  <c r="BE264" i="23"/>
  <c r="BE266" i="23"/>
  <c r="BA266" i="23"/>
  <c r="BA263" i="23"/>
  <c r="BA256" i="23"/>
  <c r="BA264" i="23"/>
  <c r="BA254" i="23"/>
  <c r="S238" i="23"/>
  <c r="AR125" i="23"/>
  <c r="AB125" i="23"/>
  <c r="BA106" i="23"/>
  <c r="BA107" i="23" s="1"/>
  <c r="BA115" i="23"/>
  <c r="BA56" i="23"/>
  <c r="W66" i="23"/>
  <c r="G66" i="23"/>
  <c r="AT239" i="23"/>
  <c r="AT230" i="23"/>
  <c r="AT231" i="23" s="1"/>
  <c r="AT180" i="23"/>
  <c r="AV188" i="23"/>
  <c r="O190" i="23"/>
  <c r="BA64" i="23"/>
  <c r="AK107" i="23"/>
  <c r="AK119" i="23" s="1"/>
  <c r="U64" i="23"/>
  <c r="M190" i="23"/>
  <c r="G59" i="23"/>
  <c r="Z230" i="23"/>
  <c r="Z231" i="23" s="1"/>
  <c r="Z239" i="23"/>
  <c r="Z180" i="23"/>
  <c r="Y115" i="23"/>
  <c r="Y106" i="23"/>
  <c r="Y107" i="23" s="1"/>
  <c r="Y56" i="23"/>
  <c r="Y69" i="23" s="1"/>
  <c r="BF190" i="23"/>
  <c r="BG125" i="23"/>
  <c r="AO188" i="23"/>
  <c r="AE64" i="23"/>
  <c r="AB115" i="23"/>
  <c r="AB106" i="23"/>
  <c r="AB107" i="23" s="1"/>
  <c r="AB56" i="23"/>
  <c r="AD107" i="23"/>
  <c r="Q61" i="23"/>
  <c r="X183" i="23"/>
  <c r="AN106" i="23"/>
  <c r="AN115" i="23"/>
  <c r="AN56" i="23"/>
  <c r="AN69" i="23" s="1"/>
  <c r="AT61" i="23"/>
  <c r="AP64" i="23"/>
  <c r="AB64" i="23"/>
  <c r="AA256" i="23"/>
  <c r="AA254" i="23"/>
  <c r="AA264" i="23"/>
  <c r="AA266" i="23"/>
  <c r="AA263" i="23"/>
  <c r="AD254" i="23"/>
  <c r="AD264" i="23"/>
  <c r="AD266" i="23"/>
  <c r="AD263" i="23"/>
  <c r="AD256" i="23"/>
  <c r="AO263" i="23"/>
  <c r="AO256" i="23"/>
  <c r="AO254" i="23"/>
  <c r="AO264" i="23"/>
  <c r="AO266" i="23"/>
  <c r="AK266" i="23"/>
  <c r="AK263" i="23"/>
  <c r="AK256" i="23"/>
  <c r="AK264" i="23"/>
  <c r="AK254" i="23"/>
  <c r="N254" i="23"/>
  <c r="N264" i="23"/>
  <c r="N266" i="23"/>
  <c r="N263" i="23"/>
  <c r="N256" i="23"/>
  <c r="S231" i="23"/>
  <c r="F115" i="23"/>
  <c r="F106" i="23"/>
  <c r="F56" i="23"/>
  <c r="AU230" i="23"/>
  <c r="AU231" i="23" s="1"/>
  <c r="AU239" i="23"/>
  <c r="AU180" i="23"/>
  <c r="AU193" i="23" s="1"/>
  <c r="AM107" i="23"/>
  <c r="AM119" i="23" s="1"/>
  <c r="AF188" i="23"/>
  <c r="BB125" i="23"/>
  <c r="AS190" i="23"/>
  <c r="AI125" i="23"/>
  <c r="S125" i="23"/>
  <c r="P185" i="23"/>
  <c r="AF106" i="23"/>
  <c r="AF115" i="23"/>
  <c r="AF56" i="23"/>
  <c r="AL59" i="23"/>
  <c r="AX66" i="23"/>
  <c r="AH64" i="23"/>
  <c r="BG231" i="23"/>
  <c r="AU106" i="23"/>
  <c r="AU107" i="23" s="1"/>
  <c r="AU115" i="23"/>
  <c r="AU56" i="23"/>
  <c r="BB239" i="23"/>
  <c r="BB230" i="23"/>
  <c r="BB180" i="23"/>
  <c r="AT125" i="23"/>
  <c r="AD114" i="23"/>
  <c r="N114" i="23"/>
  <c r="U239" i="23"/>
  <c r="U230" i="23"/>
  <c r="U180" i="23"/>
  <c r="U193" i="23" s="1"/>
  <c r="BC188" i="23"/>
  <c r="Q59" i="23"/>
  <c r="AI239" i="23"/>
  <c r="AI230" i="23"/>
  <c r="AI231" i="23" s="1"/>
  <c r="AI243" i="23" s="1"/>
  <c r="AI180" i="23"/>
  <c r="AI193" i="23" s="1"/>
  <c r="AH239" i="23"/>
  <c r="AH230" i="23"/>
  <c r="AH231" i="23" s="1"/>
  <c r="AH243" i="23" s="1"/>
  <c r="AH260" i="23" s="1"/>
  <c r="AH172" i="23" s="1"/>
  <c r="AH180" i="23"/>
  <c r="AH193" i="23" s="1"/>
  <c r="AU59" i="23"/>
  <c r="AX142" i="23"/>
  <c r="AX139" i="23"/>
  <c r="AX132" i="23"/>
  <c r="AX130" i="23"/>
  <c r="AX140" i="23"/>
  <c r="Z140" i="23"/>
  <c r="Z142" i="23"/>
  <c r="Z130" i="23"/>
  <c r="Z132" i="23"/>
  <c r="Z139" i="23"/>
  <c r="Z145" i="23" s="1"/>
  <c r="U266" i="23"/>
  <c r="U270" i="23" s="1"/>
  <c r="U263" i="23"/>
  <c r="U256" i="23"/>
  <c r="U264" i="23"/>
  <c r="U254" i="23"/>
  <c r="AM106" i="23"/>
  <c r="AM115" i="23"/>
  <c r="AM56" i="23"/>
  <c r="I66" i="23"/>
  <c r="T115" i="23"/>
  <c r="T106" i="23"/>
  <c r="T107" i="23" s="1"/>
  <c r="T56" i="23"/>
  <c r="AL132" i="23"/>
  <c r="AL142" i="23"/>
  <c r="AL140" i="23"/>
  <c r="AL139" i="23"/>
  <c r="AL145" i="23" s="1"/>
  <c r="AL130" i="23"/>
  <c r="F125" i="23"/>
  <c r="AY115" i="23"/>
  <c r="AY56" i="23"/>
  <c r="AY69" i="23" s="1"/>
  <c r="AY106" i="23"/>
  <c r="AY107" i="23" s="1"/>
  <c r="AH115" i="23"/>
  <c r="AH106" i="23"/>
  <c r="AH56" i="23"/>
  <c r="AZ142" i="23"/>
  <c r="AZ132" i="23"/>
  <c r="AZ139" i="23"/>
  <c r="AZ130" i="23"/>
  <c r="AZ140" i="23"/>
  <c r="AZ145" i="23" s="1"/>
  <c r="U231" i="23"/>
  <c r="U243" i="23" s="1"/>
  <c r="U258" i="23" s="1"/>
  <c r="U171" i="23" s="1"/>
  <c r="AF185" i="23"/>
  <c r="L188" i="23"/>
  <c r="BF183" i="23"/>
  <c r="AY239" i="23"/>
  <c r="AY230" i="23"/>
  <c r="AY180" i="23"/>
  <c r="BG188" i="23"/>
  <c r="AQ188" i="23"/>
  <c r="AA190" i="23"/>
  <c r="AW125" i="23"/>
  <c r="AN239" i="23"/>
  <c r="AN230" i="23"/>
  <c r="AN231" i="23" s="1"/>
  <c r="AN243" i="23" s="1"/>
  <c r="AN260" i="23" s="1"/>
  <c r="AN172" i="23" s="1"/>
  <c r="AN180" i="23"/>
  <c r="AV125" i="23"/>
  <c r="BB238" i="23"/>
  <c r="AU64" i="23"/>
  <c r="AR183" i="23"/>
  <c r="AQ183" i="23"/>
  <c r="AQ193" i="23" s="1"/>
  <c r="G188" i="23"/>
  <c r="AA115" i="23"/>
  <c r="AA106" i="23"/>
  <c r="AA56" i="23"/>
  <c r="AA69" i="23" s="1"/>
  <c r="AC107" i="23"/>
  <c r="M125" i="23"/>
  <c r="J107" i="23"/>
  <c r="AU61" i="23"/>
  <c r="AA107" i="23"/>
  <c r="AB61" i="23"/>
  <c r="AC254" i="23"/>
  <c r="AC264" i="23"/>
  <c r="AC266" i="23"/>
  <c r="AC263" i="23"/>
  <c r="AC256" i="23"/>
  <c r="I263" i="23"/>
  <c r="I256" i="23"/>
  <c r="I254" i="23"/>
  <c r="I264" i="23"/>
  <c r="I266" i="23"/>
  <c r="AZ266" i="23"/>
  <c r="AZ263" i="23"/>
  <c r="AZ256" i="23"/>
  <c r="AZ254" i="23"/>
  <c r="AZ264" i="23"/>
  <c r="AN107" i="23"/>
  <c r="AB114" i="23"/>
  <c r="AW254" i="23"/>
  <c r="AW264" i="23"/>
  <c r="AW266" i="23"/>
  <c r="AW263" i="23"/>
  <c r="AW256" i="23"/>
  <c r="W61" i="23"/>
  <c r="P115" i="23"/>
  <c r="P106" i="23"/>
  <c r="P107" i="23" s="1"/>
  <c r="P56" i="23"/>
  <c r="P69" i="23" s="1"/>
  <c r="I239" i="23"/>
  <c r="I230" i="23"/>
  <c r="I231" i="23" s="1"/>
  <c r="I243" i="23" s="1"/>
  <c r="I180" i="23"/>
  <c r="AQ238" i="23"/>
  <c r="AE115" i="23"/>
  <c r="AE106" i="23"/>
  <c r="AE107" i="23" s="1"/>
  <c r="AE56" i="23"/>
  <c r="AM239" i="23"/>
  <c r="AM230" i="23"/>
  <c r="AM231" i="23" s="1"/>
  <c r="AM180" i="23"/>
  <c r="AO190" i="23"/>
  <c r="Z183" i="23"/>
  <c r="AT66" i="23"/>
  <c r="BC190" i="23"/>
  <c r="AG61" i="23"/>
  <c r="AS114" i="23"/>
  <c r="AC114" i="23"/>
  <c r="F231" i="23"/>
  <c r="F243" i="23" s="1"/>
  <c r="F258" i="23" s="1"/>
  <c r="F171" i="23" s="1"/>
  <c r="T231" i="23"/>
  <c r="AA114" i="23"/>
  <c r="AQ256" i="23"/>
  <c r="AQ264" i="23"/>
  <c r="AQ107" i="23"/>
  <c r="O230" i="23"/>
  <c r="O231" i="23" s="1"/>
  <c r="O239" i="23"/>
  <c r="O180" i="23"/>
  <c r="M254" i="23"/>
  <c r="M264" i="23"/>
  <c r="M266" i="23"/>
  <c r="M256" i="23"/>
  <c r="M263" i="23"/>
  <c r="BD263" i="23"/>
  <c r="BD256" i="23"/>
  <c r="BD254" i="23"/>
  <c r="BD264" i="23"/>
  <c r="BD266" i="23"/>
  <c r="AJ266" i="23"/>
  <c r="AJ263" i="23"/>
  <c r="AJ256" i="23"/>
  <c r="AJ254" i="23"/>
  <c r="AJ264" i="23"/>
  <c r="I139" i="23"/>
  <c r="I145" i="23" s="1"/>
  <c r="I132" i="23"/>
  <c r="I140" i="23"/>
  <c r="I142" i="23"/>
  <c r="I130" i="23"/>
  <c r="J84" i="23"/>
  <c r="J71" i="23"/>
  <c r="AE230" i="23"/>
  <c r="AE231" i="23" s="1"/>
  <c r="AE239" i="23"/>
  <c r="AE180" i="23"/>
  <c r="AD239" i="23"/>
  <c r="AD230" i="23"/>
  <c r="AD231" i="23" s="1"/>
  <c r="AD180" i="23"/>
  <c r="AS239" i="23"/>
  <c r="AS230" i="23"/>
  <c r="AS180" i="23"/>
  <c r="BA132" i="23"/>
  <c r="BA139" i="23"/>
  <c r="BA130" i="23"/>
  <c r="BA142" i="23"/>
  <c r="BA140" i="23"/>
  <c r="AJ139" i="23"/>
  <c r="AJ132" i="23"/>
  <c r="AJ142" i="23"/>
  <c r="AJ140" i="23"/>
  <c r="AJ145" i="23" s="1"/>
  <c r="AJ130" i="23"/>
  <c r="T125" i="23"/>
  <c r="AL238" i="23"/>
  <c r="BF106" i="23"/>
  <c r="BF107" i="23" s="1"/>
  <c r="BF115" i="23"/>
  <c r="BF56" i="23"/>
  <c r="Q183" i="23"/>
  <c r="AI114" i="23"/>
  <c r="S114" i="23"/>
  <c r="V231" i="23"/>
  <c r="V243" i="23" s="1"/>
  <c r="AB238" i="23"/>
  <c r="AL61" i="23"/>
  <c r="F59" i="23"/>
  <c r="BG238" i="23"/>
  <c r="AG125" i="23"/>
  <c r="Z190" i="23"/>
  <c r="T61" i="23"/>
  <c r="T239" i="23"/>
  <c r="T230" i="23"/>
  <c r="T180" i="23"/>
  <c r="I190" i="23"/>
  <c r="AX61" i="23"/>
  <c r="AD64" i="23"/>
  <c r="M107" i="23"/>
  <c r="F190" i="23"/>
  <c r="N61" i="23"/>
  <c r="AP114" i="23"/>
  <c r="Z114" i="23"/>
  <c r="AM266" i="23"/>
  <c r="AM263" i="23"/>
  <c r="AM256" i="23"/>
  <c r="AM254" i="23"/>
  <c r="AM264" i="23"/>
  <c r="L231" i="23"/>
  <c r="R239" i="23"/>
  <c r="R230" i="23"/>
  <c r="R180" i="23"/>
  <c r="W266" i="23"/>
  <c r="W263" i="23"/>
  <c r="W256" i="23"/>
  <c r="W254" i="23"/>
  <c r="W264" i="23"/>
  <c r="K230" i="23"/>
  <c r="K239" i="23"/>
  <c r="K180" i="23"/>
  <c r="AO107" i="23"/>
  <c r="I107" i="23"/>
  <c r="AF239" i="23"/>
  <c r="AF230" i="23"/>
  <c r="AF231" i="23" s="1"/>
  <c r="AF180" i="23"/>
  <c r="AK238" i="23"/>
  <c r="Q254" i="23"/>
  <c r="Q264" i="23"/>
  <c r="Q268" i="23" s="1"/>
  <c r="Q258" i="23"/>
  <c r="Q171" i="23" s="1"/>
  <c r="Q266" i="23"/>
  <c r="Q270" i="23" s="1"/>
  <c r="Q263" i="23"/>
  <c r="Q269" i="23" s="1"/>
  <c r="Q256" i="23"/>
  <c r="Q260" i="23"/>
  <c r="Q172" i="23" s="1"/>
  <c r="Q170" i="23" s="1"/>
  <c r="AV190" i="23"/>
  <c r="AD190" i="23"/>
  <c r="R115" i="23"/>
  <c r="R106" i="23"/>
  <c r="R107" i="23" s="1"/>
  <c r="R56" i="23"/>
  <c r="Q185" i="23"/>
  <c r="AS188" i="23"/>
  <c r="AC190" i="23"/>
  <c r="AF183" i="23"/>
  <c r="AE183" i="23"/>
  <c r="K188" i="23"/>
  <c r="Q125" i="23"/>
  <c r="AP190" i="23"/>
  <c r="W239" i="23"/>
  <c r="W230" i="23"/>
  <c r="W231" i="23" s="1"/>
  <c r="W180" i="23"/>
  <c r="W193" i="23" s="1"/>
  <c r="S61" i="23"/>
  <c r="AL239" i="23"/>
  <c r="AL230" i="23"/>
  <c r="AL231" i="23" s="1"/>
  <c r="AL180" i="23"/>
  <c r="AR185" i="23"/>
  <c r="X190" i="23"/>
  <c r="H190" i="23"/>
  <c r="N64" i="23"/>
  <c r="BA239" i="23"/>
  <c r="BA230" i="23"/>
  <c r="BA231" i="23" s="1"/>
  <c r="BA180" i="23"/>
  <c r="BG183" i="23"/>
  <c r="AM190" i="23"/>
  <c r="K115" i="23"/>
  <c r="K106" i="23"/>
  <c r="K107" i="23" s="1"/>
  <c r="K56" i="23"/>
  <c r="K69" i="23" s="1"/>
  <c r="AS125" i="23"/>
  <c r="M114" i="23"/>
  <c r="AN183" i="23"/>
  <c r="X185" i="23"/>
  <c r="X115" i="23"/>
  <c r="X106" i="23"/>
  <c r="X107" i="23" s="1"/>
  <c r="X56" i="23"/>
  <c r="X69" i="23" s="1"/>
  <c r="BF114" i="23"/>
  <c r="J114" i="23"/>
  <c r="AX264" i="23"/>
  <c r="AX266" i="23"/>
  <c r="AX263" i="23"/>
  <c r="AX256" i="23"/>
  <c r="AX254" i="23"/>
  <c r="AO139" i="23"/>
  <c r="AO132" i="23"/>
  <c r="AO140" i="23"/>
  <c r="AO130" i="23"/>
  <c r="AO142" i="23"/>
  <c r="W115" i="23"/>
  <c r="W106" i="23"/>
  <c r="W107" i="23" s="1"/>
  <c r="W119" i="23" s="1"/>
  <c r="W56" i="23"/>
  <c r="BE114" i="23"/>
  <c r="AO114" i="23"/>
  <c r="I114" i="23"/>
  <c r="P239" i="23"/>
  <c r="P230" i="23"/>
  <c r="P231" i="23" s="1"/>
  <c r="P180" i="23"/>
  <c r="AL115" i="23"/>
  <c r="AL106" i="23"/>
  <c r="AL107" i="23" s="1"/>
  <c r="AL56" i="23"/>
  <c r="Z115" i="23"/>
  <c r="Z106" i="23"/>
  <c r="Z107" i="23" s="1"/>
  <c r="Z56" i="23"/>
  <c r="BC142" i="23"/>
  <c r="BC132" i="23"/>
  <c r="BC139" i="23"/>
  <c r="BC130" i="23"/>
  <c r="BC140" i="23"/>
  <c r="N239" i="23"/>
  <c r="N230" i="23"/>
  <c r="N231" i="23" s="1"/>
  <c r="N180" i="23"/>
  <c r="BE106" i="23"/>
  <c r="BE107" i="23" s="1"/>
  <c r="BE56" i="23"/>
  <c r="BE69" i="23" s="1"/>
  <c r="BE115" i="23"/>
  <c r="AI115" i="23"/>
  <c r="AI56" i="23"/>
  <c r="AI106" i="23"/>
  <c r="AI107" i="23" s="1"/>
  <c r="AI66" i="23"/>
  <c r="AO61" i="23"/>
  <c r="AB239" i="23"/>
  <c r="AB230" i="23"/>
  <c r="AB180" i="23"/>
  <c r="R183" i="23"/>
  <c r="AT190" i="23"/>
  <c r="AD188" i="23"/>
  <c r="AA230" i="23"/>
  <c r="AA231" i="23" s="1"/>
  <c r="AA239" i="23"/>
  <c r="AA180" i="23"/>
  <c r="AA193" i="23" s="1"/>
  <c r="AS231" i="23"/>
  <c r="AC188" i="23"/>
  <c r="M188" i="23"/>
  <c r="AW115" i="23"/>
  <c r="AW106" i="23"/>
  <c r="AW107" i="23" s="1"/>
  <c r="AW56" i="23"/>
  <c r="J230" i="23"/>
  <c r="J231" i="23" s="1"/>
  <c r="J239" i="23"/>
  <c r="J180" i="23"/>
  <c r="AX64" i="23"/>
  <c r="AH125" i="23"/>
  <c r="AE185" i="23"/>
  <c r="AA238" i="23"/>
  <c r="K238" i="23"/>
  <c r="O106" i="23"/>
  <c r="O107" i="23" s="1"/>
  <c r="O119" i="23" s="1"/>
  <c r="O115" i="23"/>
  <c r="O56" i="23"/>
  <c r="O69" i="23" s="1"/>
  <c r="N183" i="23"/>
  <c r="AF125" i="23"/>
  <c r="M183" i="23"/>
  <c r="Y190" i="23"/>
  <c r="Z185" i="23"/>
  <c r="BD188" i="23"/>
  <c r="BG185" i="23"/>
  <c r="K185" i="23"/>
  <c r="W190" i="23"/>
  <c r="G190" i="23"/>
  <c r="K64" i="23"/>
  <c r="AH66" i="23"/>
  <c r="AA139" i="23"/>
  <c r="AA145" i="23" s="1"/>
  <c r="AA130" i="23"/>
  <c r="AA142" i="23"/>
  <c r="AA132" i="23"/>
  <c r="AA140" i="23"/>
  <c r="S115" i="23"/>
  <c r="S106" i="23"/>
  <c r="S107" i="23" s="1"/>
  <c r="S56" i="23"/>
  <c r="AG185" i="23"/>
  <c r="AN263" i="23"/>
  <c r="AN256" i="23"/>
  <c r="AN254" i="23"/>
  <c r="AN264" i="23"/>
  <c r="AN266" i="23"/>
  <c r="H263" i="23"/>
  <c r="H256" i="23"/>
  <c r="H254" i="23"/>
  <c r="H264" i="23"/>
  <c r="H266" i="23"/>
  <c r="AW239" i="23"/>
  <c r="AW230" i="23"/>
  <c r="AW231" i="23" s="1"/>
  <c r="AW180" i="23"/>
  <c r="Y114" i="23"/>
  <c r="H114" i="23"/>
  <c r="AW190" i="23"/>
  <c r="AG190" i="23"/>
  <c r="AM125" i="23"/>
  <c r="V64" i="23"/>
  <c r="AE188" i="23"/>
  <c r="AK134" i="23"/>
  <c r="AK47" i="23" s="1"/>
  <c r="AK142" i="23"/>
  <c r="AK146" i="23" s="1"/>
  <c r="AK139" i="23"/>
  <c r="AK132" i="23"/>
  <c r="AK130" i="23"/>
  <c r="AK136" i="23"/>
  <c r="AK48" i="23" s="1"/>
  <c r="AK140" i="23"/>
  <c r="U142" i="23"/>
  <c r="U132" i="23"/>
  <c r="U140" i="23"/>
  <c r="U130" i="23"/>
  <c r="U139" i="23"/>
  <c r="U145" i="23" s="1"/>
  <c r="R185" i="23"/>
  <c r="AY125" i="23"/>
  <c r="BF239" i="23"/>
  <c r="BF230" i="23"/>
  <c r="BF231" i="23" s="1"/>
  <c r="BF180" i="23"/>
  <c r="F61" i="23"/>
  <c r="R125" i="23"/>
  <c r="K231" i="23"/>
  <c r="AW114" i="23"/>
  <c r="AG114" i="23"/>
  <c r="Y185" i="23"/>
  <c r="X239" i="23"/>
  <c r="X230" i="23"/>
  <c r="X231" i="23" s="1"/>
  <c r="X243" i="23" s="1"/>
  <c r="X180" i="23"/>
  <c r="BF188" i="23"/>
  <c r="P125" i="23"/>
  <c r="S59" i="23"/>
  <c r="BA190" i="23"/>
  <c r="L183" i="23"/>
  <c r="BD190" i="23"/>
  <c r="AN188" i="23"/>
  <c r="AX59" i="23"/>
  <c r="AZ239" i="23"/>
  <c r="AZ230" i="23"/>
  <c r="AZ231" i="23" s="1"/>
  <c r="AZ180" i="23"/>
  <c r="AD61" i="23"/>
  <c r="N59" i="23"/>
  <c r="AP231" i="23"/>
  <c r="BB107" i="23"/>
  <c r="AC183" i="23"/>
  <c r="AE125" i="23"/>
  <c r="BE139" i="23"/>
  <c r="BE142" i="23"/>
  <c r="BE132" i="23"/>
  <c r="BE130" i="23"/>
  <c r="BE140" i="23"/>
  <c r="R231" i="23"/>
  <c r="R243" i="23" s="1"/>
  <c r="R258" i="23" s="1"/>
  <c r="R171" i="23" s="1"/>
  <c r="BD114" i="23"/>
  <c r="AN114" i="23"/>
  <c r="U115" i="23"/>
  <c r="U106" i="23"/>
  <c r="U107" i="23" s="1"/>
  <c r="U56" i="23"/>
  <c r="U69" i="23" s="1"/>
  <c r="W125" i="23"/>
  <c r="F107" i="23"/>
  <c r="F119" i="23" s="1"/>
  <c r="BG106" i="23"/>
  <c r="BG107" i="23" s="1"/>
  <c r="BG115" i="23"/>
  <c r="BG56" i="23"/>
  <c r="N190" i="23"/>
  <c r="T66" i="23"/>
  <c r="AG183" i="23"/>
  <c r="AG106" i="23"/>
  <c r="AG107" i="23" s="1"/>
  <c r="AG115" i="23"/>
  <c r="AG56" i="23"/>
  <c r="AG69" i="23" s="1"/>
  <c r="BG66" i="23"/>
  <c r="AB231" i="23"/>
  <c r="AB243" i="23" s="1"/>
  <c r="AH107" i="23"/>
  <c r="BE239" i="23"/>
  <c r="BE230" i="23"/>
  <c r="BE231" i="23" s="1"/>
  <c r="BE180" i="23"/>
  <c r="AU185" i="23"/>
  <c r="Q114" i="23"/>
  <c r="AP188" i="23"/>
  <c r="Z188" i="23"/>
  <c r="J188" i="23"/>
  <c r="AT106" i="23"/>
  <c r="AT107" i="23" s="1"/>
  <c r="AT115" i="23"/>
  <c r="AT56" i="23"/>
  <c r="AV114" i="23"/>
  <c r="AF107" i="23"/>
  <c r="AF119" i="23" s="1"/>
  <c r="M185" i="23"/>
  <c r="Y188" i="23"/>
  <c r="AS106" i="23"/>
  <c r="AS107" i="23" s="1"/>
  <c r="AS119" i="23" s="1"/>
  <c r="AS115" i="23"/>
  <c r="AS56" i="23"/>
  <c r="AN185" i="23"/>
  <c r="J23" i="24"/>
  <c r="AH18" i="24"/>
  <c r="AH20" i="24" s="1"/>
  <c r="AH23" i="24"/>
  <c r="AH6" i="13" s="1"/>
  <c r="AH7" i="13" s="1"/>
  <c r="AH8" i="13" s="1"/>
  <c r="Y17" i="24"/>
  <c r="Y23" i="24" s="1"/>
  <c r="K10" i="24"/>
  <c r="K12" i="24" s="1"/>
  <c r="K17" i="24"/>
  <c r="K23" i="24" s="1"/>
  <c r="AK17" i="24"/>
  <c r="AK23" i="24" s="1"/>
  <c r="AK16" i="24"/>
  <c r="S17" i="24"/>
  <c r="S23" i="24" s="1"/>
  <c r="S6" i="13" s="1"/>
  <c r="S7" i="13" s="1"/>
  <c r="S8" i="13" s="1"/>
  <c r="AI12" i="24"/>
  <c r="V16" i="24"/>
  <c r="V14" i="24"/>
  <c r="AQ10" i="24"/>
  <c r="AQ12" i="24" s="1"/>
  <c r="AQ17" i="24"/>
  <c r="AQ23" i="24" s="1"/>
  <c r="AI16" i="24"/>
  <c r="S16" i="24"/>
  <c r="V17" i="24"/>
  <c r="V23" i="24" s="1"/>
  <c r="U16" i="24"/>
  <c r="AL16" i="24"/>
  <c r="U17" i="24"/>
  <c r="AL12" i="24"/>
  <c r="AH19" i="24"/>
  <c r="AH21" i="24" s="1"/>
  <c r="AH10" i="24"/>
  <c r="AH14" i="24" s="1"/>
  <c r="AH16" i="24"/>
  <c r="J14" i="24"/>
  <c r="I16" i="24"/>
  <c r="K14" i="24"/>
  <c r="I17" i="24"/>
  <c r="I14" i="24"/>
  <c r="S12" i="24"/>
  <c r="Y12" i="24"/>
  <c r="AP14" i="24"/>
  <c r="AP6" i="13" s="1"/>
  <c r="AP7" i="13" s="1"/>
  <c r="AP8" i="13" s="1"/>
  <c r="AN16" i="24"/>
  <c r="Z16" i="24"/>
  <c r="Z10" i="24"/>
  <c r="H16" i="24"/>
  <c r="AN17" i="24"/>
  <c r="X14" i="24"/>
  <c r="AA16" i="24"/>
  <c r="AA10" i="24"/>
  <c r="AO17" i="24"/>
  <c r="X17" i="24"/>
  <c r="H17" i="24"/>
  <c r="Z17" i="24"/>
  <c r="AL17" i="24"/>
  <c r="AI17" i="24"/>
  <c r="AN12" i="24"/>
  <c r="AO16" i="24"/>
  <c r="AO14" i="24"/>
  <c r="H14" i="24"/>
  <c r="Y16" i="24"/>
  <c r="AA17" i="24"/>
  <c r="BG16" i="24"/>
  <c r="BG10" i="24"/>
  <c r="BG19" i="24"/>
  <c r="BG21" i="24" s="1"/>
  <c r="BG6" i="13"/>
  <c r="BG7" i="13" s="1"/>
  <c r="BG18" i="24"/>
  <c r="BG20" i="24" s="1"/>
  <c r="AE6" i="13"/>
  <c r="AE7" i="13" s="1"/>
  <c r="AE8" i="13" s="1"/>
  <c r="AE18" i="24"/>
  <c r="AE20" i="24" s="1"/>
  <c r="AE19" i="24"/>
  <c r="AE21" i="24" s="1"/>
  <c r="R18" i="24"/>
  <c r="R20" i="24" s="1"/>
  <c r="R19" i="24"/>
  <c r="R21" i="24" s="1"/>
  <c r="R6" i="13"/>
  <c r="R7" i="13" s="1"/>
  <c r="R8" i="13" s="1"/>
  <c r="BJ12" i="24"/>
  <c r="BJ14" i="24"/>
  <c r="BI19" i="24"/>
  <c r="BI21" i="24" s="1"/>
  <c r="BI18" i="24"/>
  <c r="BI20" i="24" s="1"/>
  <c r="AB12" i="24"/>
  <c r="AB14" i="24"/>
  <c r="AB6" i="13" s="1"/>
  <c r="AB7" i="13" s="1"/>
  <c r="AB8" i="13" s="1"/>
  <c r="BI12" i="24"/>
  <c r="BI14" i="24"/>
  <c r="K19" i="24"/>
  <c r="K21" i="24" s="1"/>
  <c r="K18" i="24"/>
  <c r="K20" i="24" s="1"/>
  <c r="BJ19" i="24"/>
  <c r="BJ21" i="24" s="1"/>
  <c r="BJ18" i="24"/>
  <c r="BJ20" i="24" s="1"/>
  <c r="J19" i="24"/>
  <c r="J21" i="24" s="1"/>
  <c r="J18" i="24"/>
  <c r="J20" i="24" s="1"/>
  <c r="AB19" i="24"/>
  <c r="AB21" i="24" s="1"/>
  <c r="AB18" i="24"/>
  <c r="AB20" i="24" s="1"/>
  <c r="L12" i="24"/>
  <c r="L14" i="24"/>
  <c r="L19" i="24"/>
  <c r="L21" i="24" s="1"/>
  <c r="L6" i="13"/>
  <c r="L7" i="13" s="1"/>
  <c r="L8" i="13" s="1"/>
  <c r="L18" i="24"/>
  <c r="L20" i="24" s="1"/>
  <c r="P14" i="24"/>
  <c r="P6" i="13" s="1"/>
  <c r="P7" i="13" s="1"/>
  <c r="P8" i="13" s="1"/>
  <c r="P12" i="24"/>
  <c r="AG12" i="24"/>
  <c r="AG14" i="24"/>
  <c r="AC12" i="24"/>
  <c r="AC14" i="24"/>
  <c r="P18" i="24"/>
  <c r="P20" i="24" s="1"/>
  <c r="P19" i="24"/>
  <c r="P21" i="24" s="1"/>
  <c r="AF12" i="24"/>
  <c r="AF14" i="24"/>
  <c r="AG18" i="24"/>
  <c r="AG20" i="24" s="1"/>
  <c r="AG19" i="24"/>
  <c r="AG21" i="24" s="1"/>
  <c r="AG6" i="13"/>
  <c r="AG7" i="13" s="1"/>
  <c r="AG8" i="13" s="1"/>
  <c r="AD12" i="24"/>
  <c r="AD14" i="24"/>
  <c r="AC19" i="24"/>
  <c r="AC21" i="24" s="1"/>
  <c r="AC6" i="13"/>
  <c r="AC7" i="13" s="1"/>
  <c r="AC8" i="13" s="1"/>
  <c r="AC18" i="24"/>
  <c r="AC20" i="24" s="1"/>
  <c r="AF18" i="24"/>
  <c r="AF20" i="24" s="1"/>
  <c r="AF6" i="13"/>
  <c r="AF7" i="13" s="1"/>
  <c r="AF8" i="13" s="1"/>
  <c r="AF19" i="24"/>
  <c r="AF21" i="24" s="1"/>
  <c r="AD6" i="13"/>
  <c r="AD7" i="13" s="1"/>
  <c r="AD8" i="13" s="1"/>
  <c r="AD18" i="24"/>
  <c r="AD20" i="24" s="1"/>
  <c r="AD19" i="24"/>
  <c r="AD21" i="24" s="1"/>
  <c r="M12" i="24"/>
  <c r="M14" i="24"/>
  <c r="S18" i="24"/>
  <c r="S20" i="24" s="1"/>
  <c r="S19" i="24"/>
  <c r="S21" i="24" s="1"/>
  <c r="AM10" i="24"/>
  <c r="AM16" i="24"/>
  <c r="AM17" i="24"/>
  <c r="AM23" i="24" s="1"/>
  <c r="AU12" i="24"/>
  <c r="AU14" i="24"/>
  <c r="Q14" i="24"/>
  <c r="Q6" i="13" s="1"/>
  <c r="Q7" i="13" s="1"/>
  <c r="Q8" i="13" s="1"/>
  <c r="Q12" i="24"/>
  <c r="X19" i="24"/>
  <c r="X21" i="24" s="1"/>
  <c r="W10" i="24"/>
  <c r="W16" i="24"/>
  <c r="W17" i="24"/>
  <c r="AK18" i="24"/>
  <c r="AK20" i="24" s="1"/>
  <c r="AK19" i="24"/>
  <c r="AK21" i="24" s="1"/>
  <c r="AU18" i="24"/>
  <c r="AU20" i="24" s="1"/>
  <c r="AU23" i="24" s="1"/>
  <c r="AU6" i="13" s="1"/>
  <c r="AU7" i="13" s="1"/>
  <c r="AU19" i="24"/>
  <c r="AU21" i="24" s="1"/>
  <c r="Q18" i="24"/>
  <c r="Q20" i="24" s="1"/>
  <c r="Q19" i="24"/>
  <c r="Q21" i="24" s="1"/>
  <c r="N12" i="24"/>
  <c r="N14" i="24"/>
  <c r="N6" i="13" s="1"/>
  <c r="N7" i="13" s="1"/>
  <c r="N8" i="13" s="1"/>
  <c r="M19" i="24"/>
  <c r="M21" i="24" s="1"/>
  <c r="M6" i="13"/>
  <c r="M7" i="13" s="1"/>
  <c r="M8" i="13" s="1"/>
  <c r="M18" i="24"/>
  <c r="M20" i="24" s="1"/>
  <c r="Y19" i="24"/>
  <c r="Y21" i="24" s="1"/>
  <c r="Y6" i="13"/>
  <c r="Y7" i="13" s="1"/>
  <c r="Y8" i="13" s="1"/>
  <c r="Y18" i="24"/>
  <c r="Y20" i="24" s="1"/>
  <c r="G10" i="24"/>
  <c r="G16" i="24"/>
  <c r="G17" i="24"/>
  <c r="G23" i="24" s="1"/>
  <c r="N18" i="24"/>
  <c r="N20" i="24" s="1"/>
  <c r="N19" i="24"/>
  <c r="N21" i="24" s="1"/>
  <c r="BH12" i="24"/>
  <c r="BH14" i="24"/>
  <c r="AQ19" i="24"/>
  <c r="AQ21" i="24" s="1"/>
  <c r="AQ18" i="24"/>
  <c r="AQ20" i="24" s="1"/>
  <c r="I18" i="24"/>
  <c r="I20" i="24" s="1"/>
  <c r="O12" i="24"/>
  <c r="O14" i="24"/>
  <c r="O6" i="13" s="1"/>
  <c r="O7" i="13" s="1"/>
  <c r="O8" i="13" s="1"/>
  <c r="BK12" i="24"/>
  <c r="BK14" i="24"/>
  <c r="AJ10" i="24"/>
  <c r="AJ16" i="24"/>
  <c r="AJ17" i="24"/>
  <c r="O18" i="24"/>
  <c r="O20" i="24" s="1"/>
  <c r="O19" i="24"/>
  <c r="O21" i="24" s="1"/>
  <c r="BK18" i="24"/>
  <c r="BK20" i="24" s="1"/>
  <c r="BK19" i="24"/>
  <c r="BK21" i="24" s="1"/>
  <c r="BH19" i="24"/>
  <c r="BH21" i="24" s="1"/>
  <c r="BH18" i="24"/>
  <c r="BH20" i="24" s="1"/>
  <c r="AP19" i="24"/>
  <c r="AP21" i="24" s="1"/>
  <c r="AP18" i="24"/>
  <c r="AP20" i="24" s="1"/>
  <c r="T10" i="24"/>
  <c r="T16" i="24"/>
  <c r="T17" i="24"/>
  <c r="T23" i="24" s="1"/>
  <c r="AE12" i="24"/>
  <c r="AE14" i="24"/>
  <c r="E14" i="24"/>
  <c r="E12" i="24"/>
  <c r="E19" i="24"/>
  <c r="E21" i="24" s="1"/>
  <c r="E18" i="24"/>
  <c r="E20" i="24" s="1"/>
  <c r="E23" i="24" s="1"/>
  <c r="E6" i="13" s="1"/>
  <c r="E7" i="13" s="1"/>
  <c r="Y196" i="7"/>
  <c r="Z196" i="7" s="1"/>
  <c r="AA196" i="7" s="1"/>
  <c r="AB196" i="7" s="1"/>
  <c r="AC196" i="7" s="1"/>
  <c r="AD196" i="7" s="1"/>
  <c r="AE196" i="7" s="1"/>
  <c r="AF196" i="7" s="1"/>
  <c r="AG196" i="7" s="1"/>
  <c r="AH196" i="7" s="1"/>
  <c r="AI196" i="7" s="1"/>
  <c r="AJ196" i="7" s="1"/>
  <c r="AK196" i="7" s="1"/>
  <c r="AL196" i="7" s="1"/>
  <c r="AM196" i="7" s="1"/>
  <c r="AN196" i="7" s="1"/>
  <c r="AO196" i="7" s="1"/>
  <c r="AP196" i="7" s="1"/>
  <c r="AQ196" i="7" s="1"/>
  <c r="AR196" i="7" s="1"/>
  <c r="AS196" i="7" s="1"/>
  <c r="AT196" i="7" s="1"/>
  <c r="AU196" i="7" s="1"/>
  <c r="AV196" i="7" s="1"/>
  <c r="AW196" i="7" s="1"/>
  <c r="AX196" i="7" s="1"/>
  <c r="AY196" i="7" s="1"/>
  <c r="AZ196" i="7" s="1"/>
  <c r="BA196" i="7" s="1"/>
  <c r="BB196" i="7" s="1"/>
  <c r="BC196" i="7" s="1"/>
  <c r="BD196" i="7" s="1"/>
  <c r="BE196" i="7" s="1"/>
  <c r="BF196" i="7" s="1"/>
  <c r="BG196" i="7" s="1"/>
  <c r="Y290" i="7"/>
  <c r="Z290" i="7" s="1"/>
  <c r="AA290" i="7" s="1"/>
  <c r="AB290" i="7" s="1"/>
  <c r="AC290" i="7" s="1"/>
  <c r="AD290" i="7" s="1"/>
  <c r="AE290" i="7" s="1"/>
  <c r="AF290" i="7" s="1"/>
  <c r="AG290" i="7" s="1"/>
  <c r="AH290" i="7" s="1"/>
  <c r="AI290" i="7" s="1"/>
  <c r="AJ290" i="7" s="1"/>
  <c r="AK290" i="7" s="1"/>
  <c r="AL290" i="7" s="1"/>
  <c r="AM290" i="7" s="1"/>
  <c r="AN290" i="7" s="1"/>
  <c r="AO290" i="7" s="1"/>
  <c r="AP290" i="7" s="1"/>
  <c r="AQ290" i="7" s="1"/>
  <c r="AR290" i="7" s="1"/>
  <c r="AS290" i="7" s="1"/>
  <c r="AT290" i="7" s="1"/>
  <c r="AU290" i="7" s="1"/>
  <c r="AV290" i="7" s="1"/>
  <c r="AW290" i="7" s="1"/>
  <c r="AX290" i="7" s="1"/>
  <c r="AY290" i="7" s="1"/>
  <c r="AZ290" i="7" s="1"/>
  <c r="BA290" i="7" s="1"/>
  <c r="BB290" i="7" s="1"/>
  <c r="BC290" i="7" s="1"/>
  <c r="BD290" i="7" s="1"/>
  <c r="BE290" i="7" s="1"/>
  <c r="BF290" i="7" s="1"/>
  <c r="BG290" i="7" s="1"/>
  <c r="BG10" i="7"/>
  <c r="G12" i="14"/>
  <c r="I12" i="14"/>
  <c r="Y12" i="14"/>
  <c r="K12" i="14"/>
  <c r="AA12" i="14"/>
  <c r="BG12" i="14"/>
  <c r="M12" i="14"/>
  <c r="N10" i="14"/>
  <c r="AD12" i="14"/>
  <c r="O10" i="14"/>
  <c r="AO12" i="14"/>
  <c r="AB12" i="14"/>
  <c r="AC12" i="14"/>
  <c r="Q10" i="14"/>
  <c r="AM12" i="14"/>
  <c r="AM14" i="14" s="1"/>
  <c r="P10" i="14"/>
  <c r="R10" i="14"/>
  <c r="S10" i="14"/>
  <c r="AK12" i="14"/>
  <c r="T10" i="14"/>
  <c r="E12" i="14"/>
  <c r="AF12" i="14"/>
  <c r="U10" i="14"/>
  <c r="F10" i="14"/>
  <c r="V10" i="14"/>
  <c r="AG12" i="14"/>
  <c r="L12" i="14"/>
  <c r="AH12" i="14"/>
  <c r="H12" i="14"/>
  <c r="X12" i="14"/>
  <c r="AE12" i="14"/>
  <c r="W12" i="14"/>
  <c r="J12" i="14"/>
  <c r="Z12" i="14"/>
  <c r="AN16" i="14"/>
  <c r="AN18" i="14" s="1"/>
  <c r="AN19" i="14" s="1"/>
  <c r="AN21" i="14" s="1"/>
  <c r="E11" i="14"/>
  <c r="V169" i="14"/>
  <c r="V11" i="14"/>
  <c r="AK172" i="14"/>
  <c r="AH11" i="14"/>
  <c r="AH169" i="14"/>
  <c r="H169" i="14"/>
  <c r="H11" i="14"/>
  <c r="X169" i="14"/>
  <c r="X11" i="14"/>
  <c r="AO16" i="14"/>
  <c r="AO18" i="14" s="1"/>
  <c r="AO19" i="14" s="1"/>
  <c r="AO21" i="14" s="1"/>
  <c r="AO172" i="14"/>
  <c r="G169" i="14"/>
  <c r="G11" i="14"/>
  <c r="I169" i="14"/>
  <c r="I11" i="14"/>
  <c r="K169" i="14"/>
  <c r="K11" i="14"/>
  <c r="AA169" i="14"/>
  <c r="AA11" i="14"/>
  <c r="BG169" i="14"/>
  <c r="BG11" i="14"/>
  <c r="AM21" i="14"/>
  <c r="AN174" i="14"/>
  <c r="AL174" i="14"/>
  <c r="AG11" i="14"/>
  <c r="AG169" i="14"/>
  <c r="Z169" i="14"/>
  <c r="Z11" i="14"/>
  <c r="AB11" i="14"/>
  <c r="AB169" i="14"/>
  <c r="M169" i="14"/>
  <c r="M11" i="14"/>
  <c r="AC11" i="14"/>
  <c r="AC169" i="14"/>
  <c r="AK173" i="14"/>
  <c r="AK181" i="14" s="1"/>
  <c r="L169" i="14"/>
  <c r="L11" i="14"/>
  <c r="N11" i="14"/>
  <c r="N169" i="14"/>
  <c r="AD11" i="14"/>
  <c r="AD169" i="14"/>
  <c r="AM174" i="14"/>
  <c r="W169" i="14"/>
  <c r="W11" i="14"/>
  <c r="O11" i="14"/>
  <c r="O169" i="14"/>
  <c r="AN172" i="14"/>
  <c r="F169" i="14"/>
  <c r="F11" i="14"/>
  <c r="P11" i="14"/>
  <c r="P169" i="14"/>
  <c r="AK17" i="14"/>
  <c r="AN171" i="14"/>
  <c r="Y169" i="14"/>
  <c r="Y11" i="14"/>
  <c r="Q11" i="14"/>
  <c r="Q169" i="14"/>
  <c r="AM172" i="14"/>
  <c r="J169" i="14"/>
  <c r="J11" i="14"/>
  <c r="R11" i="14"/>
  <c r="R169" i="14"/>
  <c r="S11" i="14"/>
  <c r="S169" i="14"/>
  <c r="AE11" i="14"/>
  <c r="AE169" i="14"/>
  <c r="AL172" i="14"/>
  <c r="T169" i="14"/>
  <c r="T11" i="14"/>
  <c r="U169" i="14"/>
  <c r="U11" i="14"/>
  <c r="AF11" i="14"/>
  <c r="AF169" i="14"/>
  <c r="R7" i="14"/>
  <c r="R174" i="14" s="1"/>
  <c r="R6" i="14"/>
  <c r="R173" i="14" s="1"/>
  <c r="R181" i="14" s="1"/>
  <c r="R9" i="14"/>
  <c r="R5" i="14"/>
  <c r="R172" i="14" s="1"/>
  <c r="R8" i="14"/>
  <c r="BG6" i="14"/>
  <c r="BG173" i="14" s="1"/>
  <c r="BG7" i="14"/>
  <c r="BG174" i="14" s="1"/>
  <c r="BG9" i="14"/>
  <c r="BG5" i="14"/>
  <c r="BG172" i="14" s="1"/>
  <c r="BG8" i="14"/>
  <c r="T7" i="14"/>
  <c r="T174" i="14" s="1"/>
  <c r="T6" i="14"/>
  <c r="T173" i="14" s="1"/>
  <c r="T9" i="14"/>
  <c r="T5" i="14"/>
  <c r="T172" i="14" s="1"/>
  <c r="T8" i="14"/>
  <c r="G6" i="14"/>
  <c r="G173" i="14" s="1"/>
  <c r="G181" i="14" s="1"/>
  <c r="G9" i="14"/>
  <c r="G5" i="14"/>
  <c r="G10" i="14" s="1"/>
  <c r="G7" i="14"/>
  <c r="G174" i="14" s="1"/>
  <c r="G8" i="14"/>
  <c r="W7" i="14"/>
  <c r="W174" i="14" s="1"/>
  <c r="W6" i="14"/>
  <c r="W173" i="14" s="1"/>
  <c r="W9" i="14"/>
  <c r="W5" i="14"/>
  <c r="W172" i="14" s="1"/>
  <c r="W8" i="14"/>
  <c r="S7" i="14"/>
  <c r="S174" i="14" s="1"/>
  <c r="S6" i="14"/>
  <c r="S173" i="14" s="1"/>
  <c r="S9" i="14"/>
  <c r="S5" i="14"/>
  <c r="S172" i="14" s="1"/>
  <c r="S8" i="14"/>
  <c r="Y6" i="14"/>
  <c r="Y173" i="14" s="1"/>
  <c r="Y9" i="14"/>
  <c r="Y5" i="14"/>
  <c r="Y172" i="14" s="1"/>
  <c r="Y8" i="14"/>
  <c r="Y7" i="14"/>
  <c r="Y174" i="14" s="1"/>
  <c r="J9" i="14"/>
  <c r="J5" i="14"/>
  <c r="J10" i="14" s="1"/>
  <c r="J8" i="14"/>
  <c r="J7" i="14"/>
  <c r="J174" i="14" s="1"/>
  <c r="J6" i="14"/>
  <c r="J173" i="14" s="1"/>
  <c r="Z9" i="14"/>
  <c r="Z5" i="14"/>
  <c r="Z172" i="14" s="1"/>
  <c r="Z8" i="14"/>
  <c r="Z7" i="14"/>
  <c r="Z174" i="14" s="1"/>
  <c r="Z6" i="14"/>
  <c r="Z173" i="14" s="1"/>
  <c r="Z181" i="14" s="1"/>
  <c r="I6" i="14"/>
  <c r="I173" i="14" s="1"/>
  <c r="I181" i="14" s="1"/>
  <c r="I9" i="14"/>
  <c r="I5" i="14"/>
  <c r="I10" i="14" s="1"/>
  <c r="I8" i="14"/>
  <c r="I7" i="14"/>
  <c r="I174" i="14" s="1"/>
  <c r="K9" i="14"/>
  <c r="K5" i="14"/>
  <c r="K172" i="14" s="1"/>
  <c r="K6" i="14"/>
  <c r="K173" i="14" s="1"/>
  <c r="K181" i="14" s="1"/>
  <c r="K8" i="14"/>
  <c r="K7" i="14"/>
  <c r="K174" i="14" s="1"/>
  <c r="AA9" i="14"/>
  <c r="AA5" i="14"/>
  <c r="AA172" i="14" s="1"/>
  <c r="AA8" i="14"/>
  <c r="AA6" i="14"/>
  <c r="AA173" i="14" s="1"/>
  <c r="AA181" i="14" s="1"/>
  <c r="AA7" i="14"/>
  <c r="AA174" i="14" s="1"/>
  <c r="L9" i="14"/>
  <c r="L5" i="14"/>
  <c r="L172" i="14" s="1"/>
  <c r="L8" i="14"/>
  <c r="L7" i="14"/>
  <c r="L174" i="14" s="1"/>
  <c r="L6" i="14"/>
  <c r="L173" i="14" s="1"/>
  <c r="AB9" i="14"/>
  <c r="AB5" i="14"/>
  <c r="AB172" i="14" s="1"/>
  <c r="AB8" i="14"/>
  <c r="AB7" i="14"/>
  <c r="AB6" i="14"/>
  <c r="AB173" i="14" s="1"/>
  <c r="AE8" i="14"/>
  <c r="AE5" i="14"/>
  <c r="AE172" i="14" s="1"/>
  <c r="AE7" i="14"/>
  <c r="AE174" i="14" s="1"/>
  <c r="AE6" i="14"/>
  <c r="AE173" i="14" s="1"/>
  <c r="AE9" i="14"/>
  <c r="X6" i="14"/>
  <c r="X173" i="14" s="1"/>
  <c r="X9" i="14"/>
  <c r="X5" i="14"/>
  <c r="X10" i="14" s="1"/>
  <c r="X8" i="14"/>
  <c r="X7" i="14"/>
  <c r="X174" i="14" s="1"/>
  <c r="M9" i="14"/>
  <c r="M5" i="14"/>
  <c r="M172" i="14" s="1"/>
  <c r="M6" i="14"/>
  <c r="M173" i="14" s="1"/>
  <c r="M181" i="14" s="1"/>
  <c r="M8" i="14"/>
  <c r="M7" i="14"/>
  <c r="M174" i="14" s="1"/>
  <c r="AC9" i="14"/>
  <c r="AC5" i="14"/>
  <c r="AC172" i="14" s="1"/>
  <c r="AC6" i="14"/>
  <c r="AC173" i="14" s="1"/>
  <c r="AC8" i="14"/>
  <c r="AC7" i="14"/>
  <c r="AF8" i="14"/>
  <c r="AF7" i="14"/>
  <c r="AF174" i="14" s="1"/>
  <c r="AF6" i="14"/>
  <c r="AF173" i="14" s="1"/>
  <c r="AF9" i="14"/>
  <c r="AF5" i="14"/>
  <c r="AF172" i="14" s="1"/>
  <c r="AK16" i="14"/>
  <c r="AK18" i="14" s="1"/>
  <c r="AK19" i="14" s="1"/>
  <c r="AK21" i="14" s="1"/>
  <c r="E169" i="14"/>
  <c r="E8" i="14"/>
  <c r="E7" i="14"/>
  <c r="E6" i="14"/>
  <c r="E5" i="14"/>
  <c r="E10" i="14" s="1"/>
  <c r="E9" i="14"/>
  <c r="H6" i="14"/>
  <c r="H173" i="14" s="1"/>
  <c r="H181" i="14" s="1"/>
  <c r="H9" i="14"/>
  <c r="H5" i="14"/>
  <c r="H172" i="14" s="1"/>
  <c r="H8" i="14"/>
  <c r="H7" i="14"/>
  <c r="H174" i="14" s="1"/>
  <c r="N8" i="14"/>
  <c r="N7" i="14"/>
  <c r="N174" i="14" s="1"/>
  <c r="N6" i="14"/>
  <c r="N173" i="14" s="1"/>
  <c r="N181" i="14" s="1"/>
  <c r="N9" i="14"/>
  <c r="N5" i="14"/>
  <c r="N172" i="14" s="1"/>
  <c r="AD8" i="14"/>
  <c r="AD7" i="14"/>
  <c r="AD174" i="14" s="1"/>
  <c r="AD6" i="14"/>
  <c r="AD173" i="14" s="1"/>
  <c r="AD9" i="14"/>
  <c r="AD5" i="14"/>
  <c r="AD172" i="14" s="1"/>
  <c r="AG8" i="14"/>
  <c r="AG9" i="14"/>
  <c r="AG7" i="14"/>
  <c r="AG174" i="14" s="1"/>
  <c r="AG5" i="14"/>
  <c r="AG172" i="14" s="1"/>
  <c r="AG6" i="14"/>
  <c r="U7" i="14"/>
  <c r="U174" i="14" s="1"/>
  <c r="U6" i="14"/>
  <c r="U173" i="14" s="1"/>
  <c r="U8" i="14"/>
  <c r="U9" i="14"/>
  <c r="U5" i="14"/>
  <c r="U172" i="14" s="1"/>
  <c r="F6" i="14"/>
  <c r="F173" i="14" s="1"/>
  <c r="F181" i="14" s="1"/>
  <c r="F9" i="14"/>
  <c r="F5" i="14"/>
  <c r="F172" i="14" s="1"/>
  <c r="F8" i="14"/>
  <c r="F7" i="14"/>
  <c r="F174" i="14" s="1"/>
  <c r="O5" i="14"/>
  <c r="O172" i="14" s="1"/>
  <c r="O8" i="14"/>
  <c r="O7" i="14"/>
  <c r="O174" i="14" s="1"/>
  <c r="O6" i="14"/>
  <c r="O173" i="14" s="1"/>
  <c r="O9" i="14"/>
  <c r="AH7" i="14"/>
  <c r="AH174" i="14" s="1"/>
  <c r="AH6" i="14"/>
  <c r="AH173" i="14" s="1"/>
  <c r="AH9" i="14"/>
  <c r="AH5" i="14"/>
  <c r="AH172" i="14" s="1"/>
  <c r="AH8" i="14"/>
  <c r="AL16" i="14"/>
  <c r="AL18" i="14" s="1"/>
  <c r="AL19" i="14" s="1"/>
  <c r="AL21" i="14" s="1"/>
  <c r="P8" i="14"/>
  <c r="P7" i="14"/>
  <c r="P174" i="14" s="1"/>
  <c r="P6" i="14"/>
  <c r="P173" i="14" s="1"/>
  <c r="P9" i="14"/>
  <c r="P5" i="14"/>
  <c r="P172" i="14" s="1"/>
  <c r="V6" i="14"/>
  <c r="V173" i="14" s="1"/>
  <c r="V181" i="14" s="1"/>
  <c r="V9" i="14"/>
  <c r="V5" i="14"/>
  <c r="V172" i="14" s="1"/>
  <c r="V8" i="14"/>
  <c r="V7" i="14"/>
  <c r="V174" i="14" s="1"/>
  <c r="Q8" i="14"/>
  <c r="Q9" i="14"/>
  <c r="Q7" i="14"/>
  <c r="Q174" i="14" s="1"/>
  <c r="Q5" i="14"/>
  <c r="Q172" i="14" s="1"/>
  <c r="Q6" i="14"/>
  <c r="Q173" i="14" s="1"/>
  <c r="R12" i="7"/>
  <c r="AD9" i="7"/>
  <c r="AD13" i="7" s="1"/>
  <c r="AD14" i="7" s="1"/>
  <c r="AD15" i="7" s="1"/>
  <c r="AD10" i="7"/>
  <c r="R10" i="7"/>
  <c r="BG12" i="7"/>
  <c r="T9" i="7"/>
  <c r="H10" i="7"/>
  <c r="I10" i="7"/>
  <c r="V10" i="7"/>
  <c r="K12" i="7"/>
  <c r="U12" i="7"/>
  <c r="J10" i="7"/>
  <c r="AB13" i="7"/>
  <c r="AB14" i="7" s="1"/>
  <c r="AB15" i="7" s="1"/>
  <c r="K10" i="7"/>
  <c r="Q10" i="7"/>
  <c r="V12" i="7"/>
  <c r="U10" i="7"/>
  <c r="AA9" i="7"/>
  <c r="AA13" i="7" s="1"/>
  <c r="AA14" i="7" s="1"/>
  <c r="AA15" i="7" s="1"/>
  <c r="X10" i="7"/>
  <c r="I9" i="7"/>
  <c r="I13" i="7" s="1"/>
  <c r="I14" i="7" s="1"/>
  <c r="I15" i="7" s="1"/>
  <c r="AA10" i="7"/>
  <c r="AF9" i="7"/>
  <c r="AF13" i="7" s="1"/>
  <c r="AF14" i="7" s="1"/>
  <c r="AF15" i="7" s="1"/>
  <c r="P9" i="7"/>
  <c r="F12" i="7"/>
  <c r="AF10" i="7"/>
  <c r="P12" i="7"/>
  <c r="F10" i="7"/>
  <c r="Q12" i="7"/>
  <c r="AI3" i="17"/>
  <c r="AI5" i="17" s="1"/>
  <c r="BG72" i="7"/>
  <c r="BG87" i="7" s="1"/>
  <c r="BG71" i="7"/>
  <c r="BG86" i="7" s="1"/>
  <c r="BG70" i="7"/>
  <c r="BG85" i="7" s="1"/>
  <c r="BG74" i="7"/>
  <c r="BG89" i="7" s="1"/>
  <c r="BG69" i="7"/>
  <c r="BG84" i="7" s="1"/>
  <c r="BG75" i="7"/>
  <c r="BG90" i="7" s="1"/>
  <c r="BG103" i="7"/>
  <c r="BG106" i="7" s="1"/>
  <c r="BG201" i="7"/>
  <c r="BG202" i="7" s="1"/>
  <c r="BG295" i="7"/>
  <c r="BG296" i="7" s="1"/>
  <c r="BG81" i="7"/>
  <c r="BG96" i="7" s="1"/>
  <c r="BG80" i="7"/>
  <c r="BG95" i="7" s="1"/>
  <c r="BG79" i="7"/>
  <c r="BG94" i="7" s="1"/>
  <c r="BG17" i="7"/>
  <c r="BG78" i="7"/>
  <c r="BG93" i="7" s="1"/>
  <c r="BG73" i="7"/>
  <c r="BG88" i="7" s="1"/>
  <c r="BG77" i="7"/>
  <c r="BG92" i="7" s="1"/>
  <c r="BG76" i="7"/>
  <c r="BG91" i="7" s="1"/>
  <c r="AG13" i="7"/>
  <c r="AG14" i="7" s="1"/>
  <c r="AG15" i="7" s="1"/>
  <c r="AH13" i="7"/>
  <c r="AH14" i="7" s="1"/>
  <c r="AH15" i="7" s="1"/>
  <c r="AG10" i="7"/>
  <c r="AH10" i="7"/>
  <c r="AG12" i="7"/>
  <c r="AH12" i="7"/>
  <c r="AI3" i="7"/>
  <c r="AI3" i="14"/>
  <c r="Z75" i="9"/>
  <c r="AA75" i="9" s="1"/>
  <c r="Z13" i="7"/>
  <c r="Z14" i="7" s="1"/>
  <c r="Z15" i="7" s="1"/>
  <c r="Z12" i="7"/>
  <c r="Z10" i="7"/>
  <c r="AC9" i="7"/>
  <c r="AC13" i="7" s="1"/>
  <c r="AC14" i="7" s="1"/>
  <c r="AC15" i="7" s="1"/>
  <c r="AA12" i="7"/>
  <c r="AB12" i="7"/>
  <c r="AE9" i="7"/>
  <c r="AE13" i="7" s="1"/>
  <c r="AE14" i="7" s="1"/>
  <c r="AE15" i="7" s="1"/>
  <c r="AC12" i="7"/>
  <c r="AE12" i="7"/>
  <c r="AB10" i="7"/>
  <c r="AC10" i="7"/>
  <c r="N12" i="7"/>
  <c r="N10" i="7"/>
  <c r="H9" i="7"/>
  <c r="H13" i="7" s="1"/>
  <c r="H14" i="7" s="1"/>
  <c r="H15" i="7" s="1"/>
  <c r="L10" i="7"/>
  <c r="M10" i="7"/>
  <c r="L9" i="7"/>
  <c r="L13" i="7" s="1"/>
  <c r="L14" i="7" s="1"/>
  <c r="L15" i="7" s="1"/>
  <c r="S10" i="7"/>
  <c r="S9" i="7"/>
  <c r="M9" i="7"/>
  <c r="M13" i="7" s="1"/>
  <c r="M14" i="7" s="1"/>
  <c r="M15" i="7" s="1"/>
  <c r="T10" i="7"/>
  <c r="N9" i="7"/>
  <c r="O9" i="7"/>
  <c r="G9" i="7"/>
  <c r="G13" i="7" s="1"/>
  <c r="G14" i="7" s="1"/>
  <c r="G15" i="7" s="1"/>
  <c r="G12" i="7"/>
  <c r="X9" i="7"/>
  <c r="X13" i="7" s="1"/>
  <c r="X14" i="7" s="1"/>
  <c r="X15" i="7" s="1"/>
  <c r="O12" i="7"/>
  <c r="W9" i="7"/>
  <c r="W13" i="7" s="1"/>
  <c r="W14" i="7" s="1"/>
  <c r="W15" i="7" s="1"/>
  <c r="W12" i="7"/>
  <c r="J13" i="7"/>
  <c r="J14" i="7" s="1"/>
  <c r="J15" i="7" s="1"/>
  <c r="J12" i="7"/>
  <c r="K13" i="7"/>
  <c r="K14" i="7" s="1"/>
  <c r="K15" i="7" s="1"/>
  <c r="G10" i="7"/>
  <c r="E3" i="7"/>
  <c r="E9" i="7" s="1"/>
  <c r="E3" i="17"/>
  <c r="E5" i="17" s="1"/>
  <c r="A45" i="19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I13" i="16"/>
  <c r="AI15" i="16"/>
  <c r="Y10" i="7"/>
  <c r="Y9" i="7"/>
  <c r="Y13" i="7" s="1"/>
  <c r="G8" i="10"/>
  <c r="AX258" i="23" l="1"/>
  <c r="AX171" i="23" s="1"/>
  <c r="AX260" i="23"/>
  <c r="AX172" i="23" s="1"/>
  <c r="AX170" i="23" s="1"/>
  <c r="AX268" i="23"/>
  <c r="U119" i="23"/>
  <c r="U134" i="23" s="1"/>
  <c r="U47" i="23" s="1"/>
  <c r="AL119" i="23"/>
  <c r="AQ266" i="23"/>
  <c r="V142" i="23"/>
  <c r="U269" i="23"/>
  <c r="AT243" i="23"/>
  <c r="BC193" i="23"/>
  <c r="BC208" i="23" s="1"/>
  <c r="S256" i="23"/>
  <c r="AZ243" i="23"/>
  <c r="AZ268" i="23" s="1"/>
  <c r="P193" i="23"/>
  <c r="P195" i="23" s="1"/>
  <c r="K119" i="23"/>
  <c r="K134" i="23" s="1"/>
  <c r="K47" i="23" s="1"/>
  <c r="AQ254" i="23"/>
  <c r="N243" i="23"/>
  <c r="AX270" i="23"/>
  <c r="T243" i="23"/>
  <c r="I193" i="23"/>
  <c r="Z193" i="23"/>
  <c r="O263" i="23"/>
  <c r="J264" i="23"/>
  <c r="R193" i="23"/>
  <c r="AR193" i="23"/>
  <c r="O266" i="23"/>
  <c r="O270" i="23" s="1"/>
  <c r="BD243" i="23"/>
  <c r="BD260" i="23" s="1"/>
  <c r="BD172" i="23" s="1"/>
  <c r="V270" i="23"/>
  <c r="AG119" i="23"/>
  <c r="AG134" i="23" s="1"/>
  <c r="AG47" i="23" s="1"/>
  <c r="L193" i="23"/>
  <c r="L195" i="23" s="1"/>
  <c r="L196" i="23" s="1"/>
  <c r="BC144" i="23"/>
  <c r="Z243" i="23"/>
  <c r="Y193" i="23"/>
  <c r="BC119" i="23"/>
  <c r="BC136" i="23" s="1"/>
  <c r="BC48" i="23" s="1"/>
  <c r="O264" i="23"/>
  <c r="BB71" i="23"/>
  <c r="BB72" i="23" s="1"/>
  <c r="AS256" i="23"/>
  <c r="AJ119" i="23"/>
  <c r="AJ134" i="23" s="1"/>
  <c r="AJ47" i="23" s="1"/>
  <c r="AT119" i="23"/>
  <c r="AD243" i="23"/>
  <c r="Y243" i="23"/>
  <c r="H69" i="23"/>
  <c r="AS266" i="23"/>
  <c r="AW270" i="23"/>
  <c r="BE145" i="23"/>
  <c r="W69" i="23"/>
  <c r="W84" i="23" s="1"/>
  <c r="L243" i="23"/>
  <c r="P119" i="23"/>
  <c r="AM69" i="23"/>
  <c r="AX119" i="23"/>
  <c r="AX134" i="23" s="1"/>
  <c r="AX47" i="23" s="1"/>
  <c r="H119" i="23"/>
  <c r="H136" i="23" s="1"/>
  <c r="H48" i="23" s="1"/>
  <c r="AS264" i="23"/>
  <c r="BF193" i="23"/>
  <c r="BG69" i="23"/>
  <c r="AG256" i="23"/>
  <c r="BG263" i="23"/>
  <c r="J243" i="23"/>
  <c r="J268" i="23" s="1"/>
  <c r="BC146" i="23"/>
  <c r="X119" i="23"/>
  <c r="X144" i="23" s="1"/>
  <c r="AG263" i="23"/>
  <c r="O193" i="23"/>
  <c r="O208" i="23" s="1"/>
  <c r="X139" i="23"/>
  <c r="X145" i="23" s="1"/>
  <c r="AF69" i="23"/>
  <c r="BG266" i="23"/>
  <c r="Z69" i="23"/>
  <c r="R69" i="23"/>
  <c r="R71" i="23" s="1"/>
  <c r="R72" i="23" s="1"/>
  <c r="AG266" i="23"/>
  <c r="V139" i="23"/>
  <c r="X130" i="23"/>
  <c r="N119" i="23"/>
  <c r="BF263" i="23"/>
  <c r="X256" i="23"/>
  <c r="BG264" i="23"/>
  <c r="V268" i="23"/>
  <c r="AX269" i="23"/>
  <c r="AG264" i="23"/>
  <c r="AG268" i="23" s="1"/>
  <c r="V130" i="23"/>
  <c r="AY193" i="23"/>
  <c r="AY208" i="23" s="1"/>
  <c r="X142" i="23"/>
  <c r="BF266" i="23"/>
  <c r="T264" i="23"/>
  <c r="AC71" i="23"/>
  <c r="BG254" i="23"/>
  <c r="BE193" i="23"/>
  <c r="AP243" i="23"/>
  <c r="AP258" i="23" s="1"/>
  <c r="AP171" i="23" s="1"/>
  <c r="AI119" i="23"/>
  <c r="AL243" i="23"/>
  <c r="V140" i="23"/>
  <c r="U260" i="23"/>
  <c r="U172" i="23" s="1"/>
  <c r="U168" i="23" s="1"/>
  <c r="X132" i="23"/>
  <c r="BF264" i="23"/>
  <c r="BF268" i="23" s="1"/>
  <c r="T254" i="23"/>
  <c r="AF256" i="23"/>
  <c r="AU243" i="23"/>
  <c r="AU269" i="23" s="1"/>
  <c r="BE243" i="23"/>
  <c r="AW243" i="23"/>
  <c r="BA145" i="23"/>
  <c r="AE193" i="23"/>
  <c r="BD69" i="23"/>
  <c r="AR69" i="23"/>
  <c r="AF263" i="23"/>
  <c r="H269" i="23"/>
  <c r="H258" i="23"/>
  <c r="H171" i="23" s="1"/>
  <c r="U144" i="23"/>
  <c r="AV268" i="23"/>
  <c r="AV270" i="23"/>
  <c r="AV269" i="23"/>
  <c r="Z119" i="23"/>
  <c r="Z146" i="23" s="1"/>
  <c r="R119" i="23"/>
  <c r="R127" i="23" s="1"/>
  <c r="AF243" i="23"/>
  <c r="AF269" i="23" s="1"/>
  <c r="AE119" i="23"/>
  <c r="U268" i="23"/>
  <c r="AP132" i="23"/>
  <c r="V119" i="23"/>
  <c r="V146" i="23" s="1"/>
  <c r="AB263" i="23"/>
  <c r="AB269" i="23" s="1"/>
  <c r="V254" i="23"/>
  <c r="AB266" i="23"/>
  <c r="AB270" i="23" s="1"/>
  <c r="BF243" i="23"/>
  <c r="BF270" i="23" s="1"/>
  <c r="AS243" i="23"/>
  <c r="AI69" i="23"/>
  <c r="AI84" i="23" s="1"/>
  <c r="AJ136" i="23"/>
  <c r="AJ48" i="23" s="1"/>
  <c r="AJ46" i="23" s="1"/>
  <c r="AD193" i="23"/>
  <c r="AD208" i="23" s="1"/>
  <c r="AC193" i="23"/>
  <c r="AC195" i="23" s="1"/>
  <c r="AC196" i="23" s="1"/>
  <c r="AO69" i="23"/>
  <c r="AO84" i="23" s="1"/>
  <c r="AE268" i="23"/>
  <c r="AB264" i="23"/>
  <c r="AB268" i="23" s="1"/>
  <c r="V263" i="23"/>
  <c r="V269" i="23" s="1"/>
  <c r="BB243" i="23"/>
  <c r="BB258" i="23" s="1"/>
  <c r="BB171" i="23" s="1"/>
  <c r="AS69" i="23"/>
  <c r="BG119" i="23"/>
  <c r="AA243" i="23"/>
  <c r="W243" i="23"/>
  <c r="W268" i="23" s="1"/>
  <c r="AJ146" i="23"/>
  <c r="T69" i="23"/>
  <c r="T84" i="23" s="1"/>
  <c r="Y145" i="23"/>
  <c r="G254" i="23"/>
  <c r="BB119" i="23"/>
  <c r="BE119" i="23"/>
  <c r="BE134" i="23" s="1"/>
  <c r="BE47" i="23" s="1"/>
  <c r="P243" i="23"/>
  <c r="P251" i="23" s="1"/>
  <c r="F69" i="23"/>
  <c r="F84" i="23" s="1"/>
  <c r="AN193" i="23"/>
  <c r="T119" i="23"/>
  <c r="AT193" i="23"/>
  <c r="AT208" i="23" s="1"/>
  <c r="BC69" i="23"/>
  <c r="BC84" i="23" s="1"/>
  <c r="H144" i="23"/>
  <c r="G260" i="23"/>
  <c r="G172" i="23" s="1"/>
  <c r="G170" i="23" s="1"/>
  <c r="AN269" i="23"/>
  <c r="N193" i="23"/>
  <c r="AO268" i="23"/>
  <c r="G268" i="23"/>
  <c r="G256" i="23"/>
  <c r="AN270" i="23"/>
  <c r="BC243" i="23"/>
  <c r="BC258" i="23" s="1"/>
  <c r="BC171" i="23" s="1"/>
  <c r="Q168" i="23"/>
  <c r="O243" i="23"/>
  <c r="O260" i="23" s="1"/>
  <c r="O172" i="23" s="1"/>
  <c r="AV119" i="23"/>
  <c r="AV35" i="23" s="1"/>
  <c r="AX69" i="23"/>
  <c r="AX84" i="23" s="1"/>
  <c r="Q193" i="23"/>
  <c r="Q208" i="23" s="1"/>
  <c r="AB193" i="23"/>
  <c r="AB208" i="23" s="1"/>
  <c r="R268" i="23"/>
  <c r="Q69" i="23"/>
  <c r="G263" i="23"/>
  <c r="G269" i="23" s="1"/>
  <c r="AB260" i="23"/>
  <c r="AB172" i="23" s="1"/>
  <c r="AB170" i="23" s="1"/>
  <c r="S69" i="23"/>
  <c r="J119" i="23"/>
  <c r="J134" i="23" s="1"/>
  <c r="J47" i="23" s="1"/>
  <c r="AH69" i="23"/>
  <c r="F193" i="23"/>
  <c r="F208" i="23" s="1"/>
  <c r="AP193" i="23"/>
  <c r="AP195" i="23" s="1"/>
  <c r="AP196" i="23" s="1"/>
  <c r="R269" i="23"/>
  <c r="G266" i="23"/>
  <c r="G270" i="23" s="1"/>
  <c r="Q119" i="23"/>
  <c r="Q136" i="23" s="1"/>
  <c r="Q48" i="23" s="1"/>
  <c r="Q46" i="23" s="1"/>
  <c r="U146" i="23"/>
  <c r="S119" i="23"/>
  <c r="J193" i="23"/>
  <c r="BA243" i="23"/>
  <c r="BA268" i="23" s="1"/>
  <c r="M119" i="23"/>
  <c r="V145" i="23"/>
  <c r="AO269" i="23"/>
  <c r="G69" i="23"/>
  <c r="G71" i="23" s="1"/>
  <c r="G72" i="23" s="1"/>
  <c r="AO193" i="23"/>
  <c r="AZ69" i="23"/>
  <c r="AZ84" i="23" s="1"/>
  <c r="L256" i="23"/>
  <c r="AS263" i="23"/>
  <c r="AS269" i="23" s="1"/>
  <c r="AZ193" i="23"/>
  <c r="BA69" i="23"/>
  <c r="BA84" i="23" s="1"/>
  <c r="AP139" i="23"/>
  <c r="L263" i="23"/>
  <c r="AK145" i="23"/>
  <c r="F270" i="23"/>
  <c r="AE243" i="23"/>
  <c r="AE270" i="23" s="1"/>
  <c r="AM193" i="23"/>
  <c r="AM195" i="23" s="1"/>
  <c r="AM196" i="23" s="1"/>
  <c r="AY119" i="23"/>
  <c r="AY136" i="23" s="1"/>
  <c r="AY48" i="23" s="1"/>
  <c r="AP136" i="23"/>
  <c r="AP48" i="23" s="1"/>
  <c r="AP44" i="23" s="1"/>
  <c r="AS193" i="23"/>
  <c r="AS195" i="23" s="1"/>
  <c r="AS196" i="23" s="1"/>
  <c r="M193" i="23"/>
  <c r="M195" i="23" s="1"/>
  <c r="M196" i="23" s="1"/>
  <c r="L266" i="23"/>
  <c r="L270" i="23" s="1"/>
  <c r="AJ72" i="23"/>
  <c r="AO145" i="23"/>
  <c r="AN268" i="23"/>
  <c r="AU119" i="23"/>
  <c r="AU134" i="23" s="1"/>
  <c r="AU47" i="23" s="1"/>
  <c r="AK46" i="23"/>
  <c r="H270" i="23"/>
  <c r="AW69" i="23"/>
  <c r="F268" i="23"/>
  <c r="BF69" i="23"/>
  <c r="AM243" i="23"/>
  <c r="I268" i="23"/>
  <c r="AX145" i="23"/>
  <c r="N269" i="23"/>
  <c r="BA119" i="23"/>
  <c r="BA127" i="23" s="1"/>
  <c r="AP140" i="23"/>
  <c r="AP145" i="23" s="1"/>
  <c r="M243" i="23"/>
  <c r="M251" i="23" s="1"/>
  <c r="BD145" i="23"/>
  <c r="AD69" i="23"/>
  <c r="AD84" i="23" s="1"/>
  <c r="L264" i="23"/>
  <c r="AJ71" i="23"/>
  <c r="K193" i="23"/>
  <c r="K208" i="23" s="1"/>
  <c r="K243" i="23"/>
  <c r="K251" i="23" s="1"/>
  <c r="AW119" i="23"/>
  <c r="AW35" i="23" s="1"/>
  <c r="F269" i="23"/>
  <c r="T193" i="23"/>
  <c r="BB193" i="23"/>
  <c r="N270" i="23"/>
  <c r="AD268" i="23"/>
  <c r="AD119" i="23"/>
  <c r="AD35" i="23" s="1"/>
  <c r="AP142" i="23"/>
  <c r="AP146" i="23" s="1"/>
  <c r="AG193" i="23"/>
  <c r="AG195" i="23" s="1"/>
  <c r="AG196" i="23" s="1"/>
  <c r="G193" i="23"/>
  <c r="G208" i="23" s="1"/>
  <c r="AJ193" i="23"/>
  <c r="BG193" i="23"/>
  <c r="AR266" i="23"/>
  <c r="AK71" i="23"/>
  <c r="AK72" i="23" s="1"/>
  <c r="H268" i="23"/>
  <c r="AE69" i="23"/>
  <c r="N268" i="23"/>
  <c r="AB69" i="23"/>
  <c r="AB71" i="23" s="1"/>
  <c r="AB72" i="23" s="1"/>
  <c r="AG243" i="23"/>
  <c r="AJ243" i="23"/>
  <c r="AJ268" i="23" s="1"/>
  <c r="V69" i="23"/>
  <c r="V84" i="23" s="1"/>
  <c r="Y269" i="23"/>
  <c r="AG127" i="23"/>
  <c r="AG35" i="23"/>
  <c r="AW127" i="23"/>
  <c r="Z251" i="23"/>
  <c r="Z159" i="23"/>
  <c r="Z269" i="23"/>
  <c r="Z258" i="23"/>
  <c r="Z171" i="23" s="1"/>
  <c r="Z268" i="23"/>
  <c r="Z270" i="23"/>
  <c r="Z260" i="23"/>
  <c r="Z172" i="23" s="1"/>
  <c r="AJ208" i="23"/>
  <c r="AJ195" i="23"/>
  <c r="BG208" i="23"/>
  <c r="BF195" i="23"/>
  <c r="BF196" i="23" s="1"/>
  <c r="BF208" i="23"/>
  <c r="AI127" i="23"/>
  <c r="AI35" i="23"/>
  <c r="AL251" i="23"/>
  <c r="AL159" i="23"/>
  <c r="AL258" i="23"/>
  <c r="AL171" i="23" s="1"/>
  <c r="AL269" i="23"/>
  <c r="AL260" i="23"/>
  <c r="AL172" i="23" s="1"/>
  <c r="AL170" i="23" s="1"/>
  <c r="AL270" i="23"/>
  <c r="AM268" i="23"/>
  <c r="AQ208" i="23"/>
  <c r="AQ195" i="23"/>
  <c r="BC195" i="23"/>
  <c r="BF258" i="23"/>
  <c r="BF171" i="23" s="1"/>
  <c r="BF269" i="23"/>
  <c r="BF260" i="23"/>
  <c r="BF172" i="23" s="1"/>
  <c r="AA268" i="23"/>
  <c r="AC208" i="23"/>
  <c r="AO71" i="23"/>
  <c r="O127" i="23"/>
  <c r="O35" i="23"/>
  <c r="AA208" i="23"/>
  <c r="AA195" i="23"/>
  <c r="AL127" i="23"/>
  <c r="AL35" i="23"/>
  <c r="AL134" i="23"/>
  <c r="AL47" i="23" s="1"/>
  <c r="AL136" i="23"/>
  <c r="AL48" i="23" s="1"/>
  <c r="AL144" i="23"/>
  <c r="AL146" i="23"/>
  <c r="AD251" i="23"/>
  <c r="AD159" i="23"/>
  <c r="AD258" i="23"/>
  <c r="AD171" i="23" s="1"/>
  <c r="AD260" i="23"/>
  <c r="AD172" i="23" s="1"/>
  <c r="AD170" i="23" s="1"/>
  <c r="I195" i="23"/>
  <c r="I208" i="23"/>
  <c r="AR208" i="23"/>
  <c r="AR195" i="23"/>
  <c r="AT268" i="23"/>
  <c r="AF84" i="23"/>
  <c r="AF71" i="23"/>
  <c r="AF72" i="23" s="1"/>
  <c r="W208" i="23"/>
  <c r="W195" i="23"/>
  <c r="I251" i="23"/>
  <c r="I159" i="23"/>
  <c r="I260" i="23"/>
  <c r="I172" i="23" s="1"/>
  <c r="I269" i="23"/>
  <c r="I258" i="23"/>
  <c r="I171" i="23" s="1"/>
  <c r="I168" i="23" s="1"/>
  <c r="AI251" i="23"/>
  <c r="AI159" i="23"/>
  <c r="AI258" i="23"/>
  <c r="AI171" i="23" s="1"/>
  <c r="AI168" i="23" s="1"/>
  <c r="AI270" i="23"/>
  <c r="AI269" i="23"/>
  <c r="AI260" i="23"/>
  <c r="AI172" i="23" s="1"/>
  <c r="AI268" i="23"/>
  <c r="Y208" i="23"/>
  <c r="Y195" i="23"/>
  <c r="Y196" i="23" s="1"/>
  <c r="AR251" i="23"/>
  <c r="AR159" i="23"/>
  <c r="AR258" i="23"/>
  <c r="AR171" i="23" s="1"/>
  <c r="AR260" i="23"/>
  <c r="AR172" i="23" s="1"/>
  <c r="AR170" i="23" s="1"/>
  <c r="AR268" i="23"/>
  <c r="AR270" i="23"/>
  <c r="AR269" i="23"/>
  <c r="BG127" i="23"/>
  <c r="BG35" i="23"/>
  <c r="AA251" i="23"/>
  <c r="AA159" i="23"/>
  <c r="AA269" i="23"/>
  <c r="AA260" i="23"/>
  <c r="AA172" i="23" s="1"/>
  <c r="AA170" i="23" s="1"/>
  <c r="AA270" i="23"/>
  <c r="AA258" i="23"/>
  <c r="AA171" i="23" s="1"/>
  <c r="BE84" i="23"/>
  <c r="BE71" i="23"/>
  <c r="BE72" i="23" s="1"/>
  <c r="W251" i="23"/>
  <c r="W159" i="23"/>
  <c r="W260" i="23"/>
  <c r="W172" i="23" s="1"/>
  <c r="W258" i="23"/>
  <c r="W171" i="23" s="1"/>
  <c r="Y251" i="23"/>
  <c r="Y159" i="23"/>
  <c r="Y258" i="23"/>
  <c r="Y171" i="23" s="1"/>
  <c r="Y268" i="23"/>
  <c r="Y270" i="23"/>
  <c r="Y260" i="23"/>
  <c r="Y172" i="23" s="1"/>
  <c r="BE195" i="23"/>
  <c r="BE208" i="23"/>
  <c r="BE127" i="23"/>
  <c r="T127" i="23"/>
  <c r="T35" i="23"/>
  <c r="Y84" i="23"/>
  <c r="Y71" i="23"/>
  <c r="AX208" i="23"/>
  <c r="AX195" i="23"/>
  <c r="AX196" i="23" s="1"/>
  <c r="J269" i="23"/>
  <c r="AG260" i="23"/>
  <c r="AG172" i="23" s="1"/>
  <c r="AG270" i="23"/>
  <c r="X251" i="23"/>
  <c r="X159" i="23"/>
  <c r="X268" i="23"/>
  <c r="X270" i="23"/>
  <c r="X260" i="23"/>
  <c r="X172" i="23" s="1"/>
  <c r="X258" i="23"/>
  <c r="X171" i="23" s="1"/>
  <c r="X269" i="23"/>
  <c r="AT251" i="23"/>
  <c r="AT159" i="23"/>
  <c r="AT270" i="23"/>
  <c r="AT269" i="23"/>
  <c r="AT258" i="23"/>
  <c r="AT171" i="23" s="1"/>
  <c r="AT260" i="23"/>
  <c r="AT172" i="23" s="1"/>
  <c r="AT170" i="23" s="1"/>
  <c r="BC127" i="23"/>
  <c r="BC35" i="23"/>
  <c r="BC134" i="23"/>
  <c r="BC47" i="23" s="1"/>
  <c r="AR84" i="23"/>
  <c r="AR71" i="23"/>
  <c r="N251" i="23"/>
  <c r="N159" i="23"/>
  <c r="N258" i="23"/>
  <c r="N171" i="23" s="1"/>
  <c r="N260" i="23"/>
  <c r="N172" i="23" s="1"/>
  <c r="N170" i="23" s="1"/>
  <c r="O258" i="23"/>
  <c r="O171" i="23" s="1"/>
  <c r="AN84" i="23"/>
  <c r="AN71" i="23"/>
  <c r="AV127" i="23"/>
  <c r="S196" i="23"/>
  <c r="S208" i="23"/>
  <c r="S195" i="23"/>
  <c r="Q71" i="23"/>
  <c r="Q84" i="23"/>
  <c r="Q72" i="23"/>
  <c r="V35" i="23"/>
  <c r="N208" i="23"/>
  <c r="N195" i="23"/>
  <c r="N196" i="23" s="1"/>
  <c r="S71" i="23"/>
  <c r="S72" i="23" s="1"/>
  <c r="S84" i="23"/>
  <c r="AH84" i="23"/>
  <c r="AL268" i="23"/>
  <c r="J195" i="23"/>
  <c r="J196" i="23" s="1"/>
  <c r="J208" i="23"/>
  <c r="AQ84" i="23"/>
  <c r="AQ71" i="23"/>
  <c r="AQ72" i="23" s="1"/>
  <c r="V196" i="23"/>
  <c r="V208" i="23"/>
  <c r="V195" i="23"/>
  <c r="BE251" i="23"/>
  <c r="BE159" i="23"/>
  <c r="BE269" i="23"/>
  <c r="BE260" i="23"/>
  <c r="BE172" i="23" s="1"/>
  <c r="BE268" i="23"/>
  <c r="BE270" i="23"/>
  <c r="BE258" i="23"/>
  <c r="BE171" i="23" s="1"/>
  <c r="BE168" i="23" s="1"/>
  <c r="S127" i="23"/>
  <c r="S35" i="23"/>
  <c r="AJ270" i="23"/>
  <c r="G84" i="23"/>
  <c r="AZ71" i="23"/>
  <c r="AZ72" i="23" s="1"/>
  <c r="AW251" i="23"/>
  <c r="AW159" i="23"/>
  <c r="AW268" i="23"/>
  <c r="AW258" i="23"/>
  <c r="AW171" i="23" s="1"/>
  <c r="AW269" i="23"/>
  <c r="AW260" i="23"/>
  <c r="AW172" i="23" s="1"/>
  <c r="AW170" i="23" s="1"/>
  <c r="W270" i="23"/>
  <c r="G127" i="23"/>
  <c r="G35" i="23"/>
  <c r="G134" i="23"/>
  <c r="G47" i="23" s="1"/>
  <c r="G144" i="23"/>
  <c r="G146" i="23"/>
  <c r="G136" i="23"/>
  <c r="G48" i="23" s="1"/>
  <c r="G46" i="23" s="1"/>
  <c r="AB84" i="23"/>
  <c r="AT127" i="23"/>
  <c r="AT35" i="23"/>
  <c r="AS127" i="23"/>
  <c r="AS35" i="23"/>
  <c r="BA260" i="23"/>
  <c r="BA172" i="23" s="1"/>
  <c r="BA269" i="23"/>
  <c r="BA270" i="23"/>
  <c r="AZ269" i="23"/>
  <c r="AZ260" i="23"/>
  <c r="AZ172" i="23" s="1"/>
  <c r="AZ270" i="23"/>
  <c r="J251" i="23"/>
  <c r="J159" i="23"/>
  <c r="J270" i="23"/>
  <c r="J260" i="23"/>
  <c r="J172" i="23" s="1"/>
  <c r="J258" i="23"/>
  <c r="J171" i="23" s="1"/>
  <c r="AE251" i="23"/>
  <c r="AE159" i="23"/>
  <c r="AE260" i="23"/>
  <c r="AE172" i="23" s="1"/>
  <c r="AE258" i="23"/>
  <c r="AE171" i="23" s="1"/>
  <c r="AM208" i="23"/>
  <c r="V144" i="23"/>
  <c r="I270" i="23"/>
  <c r="AD269" i="23"/>
  <c r="AS208" i="23"/>
  <c r="BD71" i="23"/>
  <c r="BD72" i="23" s="1"/>
  <c r="BD84" i="23"/>
  <c r="AE127" i="23"/>
  <c r="AE35" i="23"/>
  <c r="AW84" i="23"/>
  <c r="AW71" i="23"/>
  <c r="AW72" i="23" s="1"/>
  <c r="AM251" i="23"/>
  <c r="AM159" i="23"/>
  <c r="AM269" i="23"/>
  <c r="AM270" i="23"/>
  <c r="AM258" i="23"/>
  <c r="AM171" i="23" s="1"/>
  <c r="AM260" i="23"/>
  <c r="AM172" i="23" s="1"/>
  <c r="AM170" i="23" s="1"/>
  <c r="AY84" i="23"/>
  <c r="AY71" i="23"/>
  <c r="AY72" i="23" s="1"/>
  <c r="AD270" i="23"/>
  <c r="BA35" i="23"/>
  <c r="BA134" i="23"/>
  <c r="BA47" i="23" s="1"/>
  <c r="AD71" i="23"/>
  <c r="AD72" i="23" s="1"/>
  <c r="T251" i="23"/>
  <c r="T159" i="23"/>
  <c r="AV251" i="23"/>
  <c r="AV159" i="23"/>
  <c r="AK144" i="23"/>
  <c r="P127" i="23"/>
  <c r="P35" i="23"/>
  <c r="T142" i="23"/>
  <c r="T146" i="23" s="1"/>
  <c r="T134" i="23"/>
  <c r="T47" i="23" s="1"/>
  <c r="T132" i="23"/>
  <c r="T140" i="23"/>
  <c r="T144" i="23" s="1"/>
  <c r="T130" i="23"/>
  <c r="T136" i="23"/>
  <c r="T48" i="23" s="1"/>
  <c r="T46" i="23" s="1"/>
  <c r="T139" i="23"/>
  <c r="S140" i="23"/>
  <c r="S144" i="23" s="1"/>
  <c r="S134" i="23"/>
  <c r="S47" i="23" s="1"/>
  <c r="S44" i="23" s="1"/>
  <c r="S139" i="23"/>
  <c r="S142" i="23"/>
  <c r="S146" i="23" s="1"/>
  <c r="S132" i="23"/>
  <c r="S136" i="23"/>
  <c r="S48" i="23" s="1"/>
  <c r="S130" i="23"/>
  <c r="AZ119" i="23"/>
  <c r="O136" i="23"/>
  <c r="O48" i="23" s="1"/>
  <c r="O130" i="23"/>
  <c r="O139" i="23"/>
  <c r="O134" i="23"/>
  <c r="O47" i="23" s="1"/>
  <c r="O142" i="23"/>
  <c r="O146" i="23" s="1"/>
  <c r="O132" i="23"/>
  <c r="O140" i="23"/>
  <c r="O144" i="23" s="1"/>
  <c r="AB258" i="23"/>
  <c r="AB171" i="23" s="1"/>
  <c r="AB168" i="23" s="1"/>
  <c r="L251" i="23"/>
  <c r="L159" i="23"/>
  <c r="Q139" i="23"/>
  <c r="Q142" i="23"/>
  <c r="Q132" i="23"/>
  <c r="Q130" i="23"/>
  <c r="Q140" i="23"/>
  <c r="AM127" i="23"/>
  <c r="AM35" i="23"/>
  <c r="AX127" i="23"/>
  <c r="AX35" i="23"/>
  <c r="BD251" i="23"/>
  <c r="BD159" i="23"/>
  <c r="R208" i="23"/>
  <c r="R195" i="23"/>
  <c r="F127" i="23"/>
  <c r="F35" i="23"/>
  <c r="AQ243" i="23"/>
  <c r="J127" i="23"/>
  <c r="J35" i="23"/>
  <c r="AJ144" i="23"/>
  <c r="P139" i="23"/>
  <c r="P145" i="23" s="1"/>
  <c r="P134" i="23"/>
  <c r="P47" i="23" s="1"/>
  <c r="P142" i="23"/>
  <c r="P146" i="23" s="1"/>
  <c r="P136" i="23"/>
  <c r="P48" i="23" s="1"/>
  <c r="P132" i="23"/>
  <c r="P130" i="23"/>
  <c r="P140" i="23"/>
  <c r="P144" i="23" s="1"/>
  <c r="Y119" i="23"/>
  <c r="AC269" i="23"/>
  <c r="AK243" i="23"/>
  <c r="H146" i="23"/>
  <c r="BD193" i="23"/>
  <c r="H134" i="23"/>
  <c r="H47" i="23" s="1"/>
  <c r="H44" i="23" s="1"/>
  <c r="R270" i="23"/>
  <c r="AJ73" i="23"/>
  <c r="AJ74" i="23" s="1"/>
  <c r="AJ75" i="23" s="1"/>
  <c r="AJ76" i="23" s="1"/>
  <c r="Z84" i="23"/>
  <c r="Z71" i="23"/>
  <c r="Z72" i="23" s="1"/>
  <c r="R142" i="23"/>
  <c r="R140" i="23"/>
  <c r="R132" i="23"/>
  <c r="R130" i="23"/>
  <c r="R139" i="23"/>
  <c r="AU69" i="23"/>
  <c r="AF127" i="23"/>
  <c r="AF35" i="23"/>
  <c r="AS140" i="23"/>
  <c r="AS144" i="23" s="1"/>
  <c r="AS136" i="23"/>
  <c r="AS48" i="23" s="1"/>
  <c r="AS139" i="23"/>
  <c r="AS132" i="23"/>
  <c r="AS130" i="23"/>
  <c r="AS142" i="23"/>
  <c r="AS146" i="23" s="1"/>
  <c r="AS134" i="23"/>
  <c r="AS47" i="23" s="1"/>
  <c r="AC270" i="23"/>
  <c r="AN119" i="23"/>
  <c r="AN134" i="23" s="1"/>
  <c r="AN47" i="23" s="1"/>
  <c r="BF119" i="23"/>
  <c r="BF136" i="23" s="1"/>
  <c r="BF48" i="23" s="1"/>
  <c r="AV139" i="23"/>
  <c r="AV136" i="23"/>
  <c r="AV48" i="23" s="1"/>
  <c r="AV132" i="23"/>
  <c r="AV130" i="23"/>
  <c r="AV142" i="23"/>
  <c r="AV146" i="23" s="1"/>
  <c r="AV134" i="23"/>
  <c r="AV47" i="23" s="1"/>
  <c r="AV44" i="23" s="1"/>
  <c r="AV140" i="23"/>
  <c r="AV144" i="23" s="1"/>
  <c r="F140" i="23"/>
  <c r="F144" i="23" s="1"/>
  <c r="F136" i="23"/>
  <c r="F48" i="23" s="1"/>
  <c r="F130" i="23"/>
  <c r="F139" i="23"/>
  <c r="F134" i="23"/>
  <c r="F47" i="23" s="1"/>
  <c r="F142" i="23"/>
  <c r="F146" i="23" s="1"/>
  <c r="F132" i="23"/>
  <c r="AB119" i="23"/>
  <c r="AB134" i="23" s="1"/>
  <c r="AB47" i="23" s="1"/>
  <c r="AP69" i="23"/>
  <c r="L73" i="23"/>
  <c r="L74" i="23" s="1"/>
  <c r="L75" i="23" s="1"/>
  <c r="L76" i="23" s="1"/>
  <c r="BB86" i="23"/>
  <c r="BB87" i="23" s="1"/>
  <c r="AJ86" i="23"/>
  <c r="AJ87" i="23" s="1"/>
  <c r="M86" i="23"/>
  <c r="M87" i="23" s="1"/>
  <c r="K35" i="23"/>
  <c r="AC139" i="23"/>
  <c r="AC140" i="23"/>
  <c r="AC142" i="23"/>
  <c r="AC132" i="23"/>
  <c r="AC130" i="23"/>
  <c r="AW208" i="23"/>
  <c r="AW195" i="23"/>
  <c r="U84" i="23"/>
  <c r="U71" i="23"/>
  <c r="U72" i="23" s="1"/>
  <c r="AH139" i="23"/>
  <c r="AH132" i="23"/>
  <c r="AH140" i="23"/>
  <c r="AH130" i="23"/>
  <c r="AH142" i="23"/>
  <c r="T195" i="23"/>
  <c r="T208" i="23"/>
  <c r="V251" i="23"/>
  <c r="V159" i="23"/>
  <c r="J73" i="23"/>
  <c r="J74" i="23" s="1"/>
  <c r="J75" i="23" s="1"/>
  <c r="J76" i="23" s="1"/>
  <c r="AQ119" i="23"/>
  <c r="AQ134" i="23" s="1"/>
  <c r="AQ47" i="23" s="1"/>
  <c r="AC268" i="23"/>
  <c r="U251" i="23"/>
  <c r="U159" i="23"/>
  <c r="AH251" i="23"/>
  <c r="AH159" i="23"/>
  <c r="BG243" i="23"/>
  <c r="AR119" i="23"/>
  <c r="AR134" i="23" s="1"/>
  <c r="AR47" i="23" s="1"/>
  <c r="AR44" i="23" s="1"/>
  <c r="H193" i="23"/>
  <c r="J139" i="23"/>
  <c r="J145" i="23" s="1"/>
  <c r="J130" i="23"/>
  <c r="J142" i="23"/>
  <c r="J146" i="23" s="1"/>
  <c r="J136" i="23"/>
  <c r="J48" i="23" s="1"/>
  <c r="J140" i="23"/>
  <c r="J144" i="23" s="1"/>
  <c r="J132" i="23"/>
  <c r="L72" i="23"/>
  <c r="M73" i="23"/>
  <c r="M74" i="23" s="1"/>
  <c r="M75" i="23" s="1"/>
  <c r="M76" i="23" s="1"/>
  <c r="H127" i="23"/>
  <c r="H35" i="23"/>
  <c r="AV84" i="23"/>
  <c r="AV71" i="23"/>
  <c r="AV72" i="23"/>
  <c r="X84" i="23"/>
  <c r="X71" i="23"/>
  <c r="X72" i="23" s="1"/>
  <c r="AH119" i="23"/>
  <c r="AH136" i="23" s="1"/>
  <c r="AH48" i="23" s="1"/>
  <c r="AM84" i="23"/>
  <c r="AM71" i="23"/>
  <c r="AS251" i="23"/>
  <c r="AS159" i="23"/>
  <c r="AT69" i="23"/>
  <c r="W142" i="23"/>
  <c r="W146" i="23" s="1"/>
  <c r="W134" i="23"/>
  <c r="W47" i="23" s="1"/>
  <c r="W140" i="23"/>
  <c r="W144" i="23" s="1"/>
  <c r="W130" i="23"/>
  <c r="W136" i="23"/>
  <c r="W48" i="23" s="1"/>
  <c r="W46" i="23" s="1"/>
  <c r="W139" i="23"/>
  <c r="W132" i="23"/>
  <c r="AE136" i="23"/>
  <c r="AE48" i="23" s="1"/>
  <c r="AE139" i="23"/>
  <c r="AE130" i="23"/>
  <c r="AE134" i="23"/>
  <c r="AE47" i="23" s="1"/>
  <c r="AE140" i="23"/>
  <c r="AE144" i="23" s="1"/>
  <c r="AE132" i="23"/>
  <c r="AE142" i="23"/>
  <c r="AE146" i="23" s="1"/>
  <c r="X193" i="23"/>
  <c r="AN258" i="23"/>
  <c r="AN171" i="23" s="1"/>
  <c r="AN168" i="23" s="1"/>
  <c r="AP270" i="23"/>
  <c r="J72" i="23"/>
  <c r="F251" i="23"/>
  <c r="F159" i="23"/>
  <c r="AX136" i="23"/>
  <c r="AX48" i="23" s="1"/>
  <c r="AX46" i="23" s="1"/>
  <c r="AH268" i="23"/>
  <c r="F260" i="23"/>
  <c r="F172" i="23" s="1"/>
  <c r="F170" i="23" s="1"/>
  <c r="AH258" i="23"/>
  <c r="AH171" i="23" s="1"/>
  <c r="AH168" i="23" s="1"/>
  <c r="I69" i="23"/>
  <c r="BF140" i="23"/>
  <c r="BF139" i="23"/>
  <c r="BF130" i="23"/>
  <c r="BF132" i="23"/>
  <c r="BF142" i="23"/>
  <c r="L86" i="23"/>
  <c r="L87" i="23" s="1"/>
  <c r="AC73" i="23"/>
  <c r="AC74" i="23" s="1"/>
  <c r="AC75" i="23" s="1"/>
  <c r="AC76" i="23" s="1"/>
  <c r="M72" i="23"/>
  <c r="AI140" i="23"/>
  <c r="AI144" i="23" s="1"/>
  <c r="AI142" i="23"/>
  <c r="AI146" i="23" s="1"/>
  <c r="AI139" i="23"/>
  <c r="AI134" i="23"/>
  <c r="AI47" i="23" s="1"/>
  <c r="AI44" i="23" s="1"/>
  <c r="AI136" i="23"/>
  <c r="AI48" i="23" s="1"/>
  <c r="AI132" i="23"/>
  <c r="AI130" i="23"/>
  <c r="Z195" i="23"/>
  <c r="Z208" i="23"/>
  <c r="Z196" i="23"/>
  <c r="AU195" i="23"/>
  <c r="AU196" i="23" s="1"/>
  <c r="AU208" i="23"/>
  <c r="BB73" i="23"/>
  <c r="BB74" i="23" s="1"/>
  <c r="BB75" i="23" s="1"/>
  <c r="BB76" i="23" s="1"/>
  <c r="AP127" i="23"/>
  <c r="AP35" i="23"/>
  <c r="AP268" i="23"/>
  <c r="AX168" i="23"/>
  <c r="AF193" i="23"/>
  <c r="J86" i="23"/>
  <c r="AT139" i="23"/>
  <c r="AT136" i="23"/>
  <c r="AT48" i="23" s="1"/>
  <c r="AT142" i="23"/>
  <c r="AT146" i="23" s="1"/>
  <c r="AT140" i="23"/>
  <c r="AT144" i="23" s="1"/>
  <c r="AT132" i="23"/>
  <c r="AT130" i="23"/>
  <c r="AT134" i="23"/>
  <c r="AT47" i="23" s="1"/>
  <c r="AH269" i="23"/>
  <c r="AV260" i="23"/>
  <c r="AV172" i="23" s="1"/>
  <c r="AV170" i="23" s="1"/>
  <c r="R260" i="23"/>
  <c r="R172" i="23" s="1"/>
  <c r="R170" i="23" s="1"/>
  <c r="L258" i="23"/>
  <c r="L171" i="23" s="1"/>
  <c r="L168" i="23" s="1"/>
  <c r="AC72" i="23"/>
  <c r="AY140" i="23"/>
  <c r="AY144" i="23" s="1"/>
  <c r="AY132" i="23"/>
  <c r="AY139" i="23"/>
  <c r="AY145" i="23" s="1"/>
  <c r="AY130" i="23"/>
  <c r="AY142" i="23"/>
  <c r="AY146" i="23" s="1"/>
  <c r="AK44" i="23"/>
  <c r="AP269" i="23"/>
  <c r="K84" i="23"/>
  <c r="K71" i="23"/>
  <c r="BD119" i="23"/>
  <c r="M139" i="23"/>
  <c r="M140" i="23"/>
  <c r="M144" i="23" s="1"/>
  <c r="M142" i="23"/>
  <c r="M146" i="23" s="1"/>
  <c r="M136" i="23"/>
  <c r="M48" i="23" s="1"/>
  <c r="M134" i="23"/>
  <c r="M47" i="23" s="1"/>
  <c r="M132" i="23"/>
  <c r="M130" i="23"/>
  <c r="AW136" i="23"/>
  <c r="AW48" i="23" s="1"/>
  <c r="AW134" i="23"/>
  <c r="AW47" i="23" s="1"/>
  <c r="AW140" i="23"/>
  <c r="AW144" i="23" s="1"/>
  <c r="AW142" i="23"/>
  <c r="AW146" i="23" s="1"/>
  <c r="AW139" i="23"/>
  <c r="AW132" i="23"/>
  <c r="AW130" i="23"/>
  <c r="L269" i="23"/>
  <c r="AH270" i="23"/>
  <c r="AO258" i="23"/>
  <c r="AO171" i="23" s="1"/>
  <c r="AO168" i="23" s="1"/>
  <c r="AB140" i="23"/>
  <c r="AB144" i="23" s="1"/>
  <c r="AB142" i="23"/>
  <c r="AB146" i="23" s="1"/>
  <c r="AB132" i="23"/>
  <c r="AB130" i="23"/>
  <c r="AB139" i="23"/>
  <c r="N139" i="23"/>
  <c r="N136" i="23"/>
  <c r="N48" i="23" s="1"/>
  <c r="N46" i="23" s="1"/>
  <c r="N134" i="23"/>
  <c r="N47" i="23" s="1"/>
  <c r="N142" i="23"/>
  <c r="N146" i="23" s="1"/>
  <c r="N132" i="23"/>
  <c r="N130" i="23"/>
  <c r="N140" i="23"/>
  <c r="N144" i="23" s="1"/>
  <c r="AU130" i="23"/>
  <c r="AU140" i="23"/>
  <c r="AU139" i="23"/>
  <c r="AU132" i="23"/>
  <c r="AU142" i="23"/>
  <c r="L139" i="23"/>
  <c r="L142" i="23"/>
  <c r="L132" i="23"/>
  <c r="L130" i="23"/>
  <c r="L140" i="23"/>
  <c r="AC86" i="23"/>
  <c r="V258" i="23"/>
  <c r="V171" i="23" s="1"/>
  <c r="BG132" i="23"/>
  <c r="BG130" i="23"/>
  <c r="BG134" i="23"/>
  <c r="BG47" i="23" s="1"/>
  <c r="BG142" i="23"/>
  <c r="BG146" i="23" s="1"/>
  <c r="BG136" i="23"/>
  <c r="BG48" i="23" s="1"/>
  <c r="BG46" i="23" s="1"/>
  <c r="BG140" i="23"/>
  <c r="BG144" i="23" s="1"/>
  <c r="BG139" i="23"/>
  <c r="M127" i="23"/>
  <c r="M35" i="23"/>
  <c r="U170" i="23"/>
  <c r="P84" i="23"/>
  <c r="P71" i="23"/>
  <c r="P72" i="23" s="1"/>
  <c r="BB127" i="23"/>
  <c r="BB35" i="23"/>
  <c r="AF136" i="23"/>
  <c r="AF48" i="23" s="1"/>
  <c r="AF134" i="23"/>
  <c r="AF47" i="23" s="1"/>
  <c r="AF139" i="23"/>
  <c r="AF140" i="23"/>
  <c r="AF144" i="23" s="1"/>
  <c r="AF132" i="23"/>
  <c r="AF130" i="23"/>
  <c r="AF142" i="23"/>
  <c r="AF146" i="23" s="1"/>
  <c r="AX251" i="23"/>
  <c r="AX159" i="23"/>
  <c r="BA144" i="23"/>
  <c r="AC119" i="23"/>
  <c r="AC134" i="23" s="1"/>
  <c r="AC47" i="23" s="1"/>
  <c r="BB134" i="23"/>
  <c r="BB47" i="23" s="1"/>
  <c r="BB142" i="23"/>
  <c r="BB146" i="23" s="1"/>
  <c r="BB132" i="23"/>
  <c r="BB139" i="23"/>
  <c r="BB130" i="23"/>
  <c r="BB140" i="23"/>
  <c r="BB144" i="23" s="1"/>
  <c r="BB136" i="23"/>
  <c r="BB48" i="23" s="1"/>
  <c r="S243" i="23"/>
  <c r="G251" i="23"/>
  <c r="G159" i="23"/>
  <c r="AJ127" i="23"/>
  <c r="AJ35" i="23"/>
  <c r="AD142" i="23"/>
  <c r="AD132" i="23"/>
  <c r="AD130" i="23"/>
  <c r="AD140" i="23"/>
  <c r="AD139" i="23"/>
  <c r="L119" i="23"/>
  <c r="L134" i="23" s="1"/>
  <c r="L47" i="23" s="1"/>
  <c r="T260" i="23"/>
  <c r="T172" i="23" s="1"/>
  <c r="N127" i="23"/>
  <c r="N35" i="23"/>
  <c r="O71" i="23"/>
  <c r="O84" i="23"/>
  <c r="BD270" i="23"/>
  <c r="AC251" i="23"/>
  <c r="AC159" i="23"/>
  <c r="BC145" i="23"/>
  <c r="I119" i="23"/>
  <c r="I144" i="23" s="1"/>
  <c r="BF71" i="23"/>
  <c r="BF84" i="23"/>
  <c r="BB270" i="23"/>
  <c r="AO270" i="23"/>
  <c r="Q251" i="23"/>
  <c r="Q159" i="23"/>
  <c r="AN142" i="23"/>
  <c r="AN130" i="23"/>
  <c r="AN140" i="23"/>
  <c r="AN144" i="23" s="1"/>
  <c r="AN139" i="23"/>
  <c r="AN132" i="23"/>
  <c r="AQ140" i="23"/>
  <c r="AQ142" i="23"/>
  <c r="AQ146" i="23" s="1"/>
  <c r="AQ139" i="23"/>
  <c r="AQ130" i="23"/>
  <c r="AQ132" i="23"/>
  <c r="H84" i="23"/>
  <c r="H71" i="23"/>
  <c r="H72" i="23" s="1"/>
  <c r="L260" i="23"/>
  <c r="L172" i="23" s="1"/>
  <c r="AS258" i="23"/>
  <c r="AS171" i="23" s="1"/>
  <c r="W127" i="23"/>
  <c r="W35" i="23"/>
  <c r="AN251" i="23"/>
  <c r="AN159" i="23"/>
  <c r="AE208" i="23"/>
  <c r="AE195" i="23"/>
  <c r="AE196" i="23" s="1"/>
  <c r="AA119" i="23"/>
  <c r="H251" i="23"/>
  <c r="H159" i="23"/>
  <c r="U127" i="23"/>
  <c r="U35" i="23"/>
  <c r="K260" i="23"/>
  <c r="K172" i="23" s="1"/>
  <c r="AO119" i="23"/>
  <c r="AO144" i="23" s="1"/>
  <c r="AC260" i="23"/>
  <c r="AC172" i="23" s="1"/>
  <c r="AC170" i="23" s="1"/>
  <c r="AA84" i="23"/>
  <c r="AA71" i="23"/>
  <c r="BB195" i="23"/>
  <c r="BB196" i="23" s="1"/>
  <c r="BB208" i="23"/>
  <c r="AK127" i="23"/>
  <c r="AK35" i="23"/>
  <c r="T268" i="23"/>
  <c r="AV258" i="23"/>
  <c r="AV171" i="23" s="1"/>
  <c r="V260" i="23"/>
  <c r="V172" i="23" s="1"/>
  <c r="BG84" i="23"/>
  <c r="BG71" i="23"/>
  <c r="BG72" i="23" s="1"/>
  <c r="AP46" i="23"/>
  <c r="AG71" i="23"/>
  <c r="AG72" i="23" s="1"/>
  <c r="AG84" i="23"/>
  <c r="AY243" i="23"/>
  <c r="H260" i="23"/>
  <c r="H172" i="23" s="1"/>
  <c r="H170" i="23" s="1"/>
  <c r="AP251" i="23"/>
  <c r="AP159" i="23"/>
  <c r="AM142" i="23"/>
  <c r="AM146" i="23" s="1"/>
  <c r="AM139" i="23"/>
  <c r="AM132" i="23"/>
  <c r="AM134" i="23"/>
  <c r="AM47" i="23" s="1"/>
  <c r="AM130" i="23"/>
  <c r="AM140" i="23"/>
  <c r="AM144" i="23" s="1"/>
  <c r="AM136" i="23"/>
  <c r="AM48" i="23" s="1"/>
  <c r="AL69" i="23"/>
  <c r="BD258" i="23"/>
  <c r="BD171" i="23" s="1"/>
  <c r="BD168" i="23" s="1"/>
  <c r="AE71" i="23"/>
  <c r="AE84" i="23"/>
  <c r="AI208" i="23"/>
  <c r="AI195" i="23"/>
  <c r="AI196" i="23" s="1"/>
  <c r="T269" i="23"/>
  <c r="AK208" i="23"/>
  <c r="AK196" i="23"/>
  <c r="AK195" i="23"/>
  <c r="AK73" i="23"/>
  <c r="AK74" i="23" s="1"/>
  <c r="AK75" i="23" s="1"/>
  <c r="AK76" i="23" s="1"/>
  <c r="AL195" i="23"/>
  <c r="AL208" i="23"/>
  <c r="N69" i="23"/>
  <c r="AO251" i="23"/>
  <c r="AO159" i="23"/>
  <c r="AH208" i="23"/>
  <c r="AH195" i="23"/>
  <c r="AH196" i="23" s="1"/>
  <c r="AB251" i="23"/>
  <c r="AB159" i="23"/>
  <c r="U195" i="23"/>
  <c r="U196" i="23" s="1"/>
  <c r="U208" i="23"/>
  <c r="R251" i="23"/>
  <c r="R159" i="23"/>
  <c r="U136" i="23"/>
  <c r="U48" i="23" s="1"/>
  <c r="U46" i="23" s="1"/>
  <c r="BA193" i="23"/>
  <c r="AG139" i="23"/>
  <c r="AG140" i="23"/>
  <c r="AG142" i="23"/>
  <c r="AG132" i="23"/>
  <c r="AG130" i="23"/>
  <c r="AG136" i="23"/>
  <c r="AG48" i="23" s="1"/>
  <c r="AR139" i="23"/>
  <c r="AR130" i="23"/>
  <c r="AR142" i="23"/>
  <c r="AR140" i="23"/>
  <c r="AR144" i="23" s="1"/>
  <c r="AR136" i="23"/>
  <c r="AR48" i="23" s="1"/>
  <c r="AR132" i="23"/>
  <c r="T270" i="23"/>
  <c r="AV193" i="23"/>
  <c r="AP260" i="23"/>
  <c r="AP172" i="23" s="1"/>
  <c r="AP170" i="23" s="1"/>
  <c r="K140" i="23"/>
  <c r="K139" i="23"/>
  <c r="K145" i="23" s="1"/>
  <c r="K136" i="23"/>
  <c r="K48" i="23" s="1"/>
  <c r="K142" i="23"/>
  <c r="K132" i="23"/>
  <c r="K130" i="23"/>
  <c r="G258" i="23"/>
  <c r="G171" i="23" s="1"/>
  <c r="G168" i="23" s="1"/>
  <c r="T258" i="23"/>
  <c r="T171" i="23" s="1"/>
  <c r="AK86" i="23"/>
  <c r="AK87" i="23" s="1"/>
  <c r="AS260" i="23"/>
  <c r="AS172" i="23" s="1"/>
  <c r="AS170" i="23" s="1"/>
  <c r="Z19" i="24"/>
  <c r="Z21" i="24" s="1"/>
  <c r="Z23" i="24"/>
  <c r="I19" i="24"/>
  <c r="I21" i="24" s="1"/>
  <c r="I23" i="24"/>
  <c r="H18" i="24"/>
  <c r="H20" i="24" s="1"/>
  <c r="H23" i="24"/>
  <c r="X18" i="24"/>
  <c r="X20" i="24" s="1"/>
  <c r="X23" i="24"/>
  <c r="AO18" i="24"/>
  <c r="AO20" i="24" s="1"/>
  <c r="AO23" i="24"/>
  <c r="V19" i="24"/>
  <c r="V21" i="24" s="1"/>
  <c r="V18" i="24"/>
  <c r="V20" i="24" s="1"/>
  <c r="AN19" i="24"/>
  <c r="AN21" i="24" s="1"/>
  <c r="AN23" i="24"/>
  <c r="I6" i="13"/>
  <c r="I7" i="13" s="1"/>
  <c r="I8" i="13" s="1"/>
  <c r="AA19" i="24"/>
  <c r="AA21" i="24" s="1"/>
  <c r="AA23" i="24"/>
  <c r="U18" i="24"/>
  <c r="U20" i="24" s="1"/>
  <c r="U23" i="24"/>
  <c r="U6" i="13" s="1"/>
  <c r="U7" i="13" s="1"/>
  <c r="U8" i="13" s="1"/>
  <c r="AI18" i="24"/>
  <c r="AI20" i="24" s="1"/>
  <c r="AI23" i="24"/>
  <c r="AL18" i="24"/>
  <c r="AL20" i="24" s="1"/>
  <c r="AL23" i="24"/>
  <c r="AL6" i="13" s="1"/>
  <c r="AL7" i="13" s="1"/>
  <c r="AL8" i="13" s="1"/>
  <c r="AU8" i="13"/>
  <c r="AO19" i="24"/>
  <c r="AO21" i="24" s="1"/>
  <c r="V6" i="13"/>
  <c r="V7" i="13" s="1"/>
  <c r="V8" i="13" s="1"/>
  <c r="BG8" i="13"/>
  <c r="E4" i="23"/>
  <c r="E8" i="13"/>
  <c r="J6" i="13"/>
  <c r="J7" i="13" s="1"/>
  <c r="J8" i="13" s="1"/>
  <c r="AQ14" i="24"/>
  <c r="AQ6" i="13" s="1"/>
  <c r="AQ7" i="13" s="1"/>
  <c r="AQ8" i="13" s="1"/>
  <c r="AH12" i="24"/>
  <c r="U19" i="24"/>
  <c r="U21" i="24" s="1"/>
  <c r="AN18" i="24"/>
  <c r="AN20" i="24" s="1"/>
  <c r="Z18" i="24"/>
  <c r="Z20" i="24" s="1"/>
  <c r="AA18" i="24"/>
  <c r="AA20" i="24" s="1"/>
  <c r="AN6" i="13"/>
  <c r="AN7" i="13" s="1"/>
  <c r="AN8" i="13" s="1"/>
  <c r="H6" i="13"/>
  <c r="H7" i="13" s="1"/>
  <c r="H8" i="13" s="1"/>
  <c r="H19" i="24"/>
  <c r="H21" i="24" s="1"/>
  <c r="X6" i="13"/>
  <c r="X7" i="13" s="1"/>
  <c r="X8" i="13" s="1"/>
  <c r="AO6" i="13"/>
  <c r="AO7" i="13" s="1"/>
  <c r="AO8" i="13" s="1"/>
  <c r="AA12" i="24"/>
  <c r="AA14" i="24"/>
  <c r="AA6" i="13" s="1"/>
  <c r="AA7" i="13" s="1"/>
  <c r="AA8" i="13" s="1"/>
  <c r="BG12" i="24"/>
  <c r="BG14" i="24"/>
  <c r="AI19" i="24"/>
  <c r="AI21" i="24" s="1"/>
  <c r="AI6" i="13" s="1"/>
  <c r="AI7" i="13" s="1"/>
  <c r="AI8" i="13" s="1"/>
  <c r="Z12" i="24"/>
  <c r="Z14" i="24"/>
  <c r="Z6" i="13" s="1"/>
  <c r="Z7" i="13" s="1"/>
  <c r="Z8" i="13" s="1"/>
  <c r="AK6" i="13"/>
  <c r="AK7" i="13" s="1"/>
  <c r="AK8" i="13" s="1"/>
  <c r="K6" i="13"/>
  <c r="K7" i="13" s="1"/>
  <c r="K8" i="13" s="1"/>
  <c r="AL19" i="24"/>
  <c r="AL21" i="24" s="1"/>
  <c r="AF77" i="7"/>
  <c r="AF92" i="7" s="1"/>
  <c r="I103" i="7"/>
  <c r="I106" i="7" s="1"/>
  <c r="AD81" i="7"/>
  <c r="AD96" i="7" s="1"/>
  <c r="G48" i="14"/>
  <c r="AB69" i="7"/>
  <c r="AB84" i="7" s="1"/>
  <c r="W18" i="24"/>
  <c r="W20" i="24" s="1"/>
  <c r="W19" i="24"/>
  <c r="W21" i="24" s="1"/>
  <c r="W23" i="24" s="1"/>
  <c r="AM18" i="24"/>
  <c r="AM20" i="24" s="1"/>
  <c r="AM19" i="24"/>
  <c r="AM21" i="24" s="1"/>
  <c r="W12" i="24"/>
  <c r="W14" i="24"/>
  <c r="AM12" i="24"/>
  <c r="AM14" i="24"/>
  <c r="AM6" i="13" s="1"/>
  <c r="AM7" i="13" s="1"/>
  <c r="AM8" i="13" s="1"/>
  <c r="T18" i="24"/>
  <c r="T20" i="24" s="1"/>
  <c r="T19" i="24"/>
  <c r="T21" i="24" s="1"/>
  <c r="G18" i="24"/>
  <c r="G20" i="24" s="1"/>
  <c r="G19" i="24"/>
  <c r="G21" i="24" s="1"/>
  <c r="T14" i="24"/>
  <c r="T6" i="13" s="1"/>
  <c r="T7" i="13" s="1"/>
  <c r="T8" i="13" s="1"/>
  <c r="T12" i="24"/>
  <c r="AJ18" i="24"/>
  <c r="AJ20" i="24" s="1"/>
  <c r="AJ23" i="24" s="1"/>
  <c r="AJ6" i="13" s="1"/>
  <c r="AJ7" i="13" s="1"/>
  <c r="AJ8" i="13" s="1"/>
  <c r="AJ19" i="24"/>
  <c r="AJ21" i="24" s="1"/>
  <c r="G14" i="24"/>
  <c r="G6" i="13" s="1"/>
  <c r="G7" i="13" s="1"/>
  <c r="G8" i="13" s="1"/>
  <c r="G12" i="24"/>
  <c r="AJ14" i="24"/>
  <c r="AJ12" i="24"/>
  <c r="N12" i="14"/>
  <c r="F12" i="14"/>
  <c r="F171" i="14" s="1"/>
  <c r="F184" i="14" s="1"/>
  <c r="R12" i="14"/>
  <c r="T12" i="14"/>
  <c r="P12" i="14"/>
  <c r="V12" i="14"/>
  <c r="S12" i="14"/>
  <c r="S171" i="14" s="1"/>
  <c r="U12" i="14"/>
  <c r="U171" i="14" s="1"/>
  <c r="O12" i="14"/>
  <c r="Q12" i="14"/>
  <c r="E13" i="14"/>
  <c r="AI12" i="14"/>
  <c r="Z48" i="14"/>
  <c r="X47" i="14"/>
  <c r="BG48" i="14"/>
  <c r="Z36" i="14"/>
  <c r="I48" i="14"/>
  <c r="W47" i="14"/>
  <c r="AF47" i="14"/>
  <c r="Z42" i="14"/>
  <c r="W48" i="14"/>
  <c r="Z10" i="14"/>
  <c r="AA10" i="14"/>
  <c r="Y47" i="14"/>
  <c r="Y10" i="14"/>
  <c r="Z47" i="14"/>
  <c r="K48" i="14"/>
  <c r="AF48" i="14"/>
  <c r="AN177" i="14"/>
  <c r="AN178" i="14"/>
  <c r="AN176" i="14"/>
  <c r="S178" i="14"/>
  <c r="S176" i="14"/>
  <c r="S177" i="14"/>
  <c r="L176" i="14"/>
  <c r="L178" i="14"/>
  <c r="L177" i="14"/>
  <c r="T177" i="14"/>
  <c r="T176" i="14"/>
  <c r="T178" i="14"/>
  <c r="AK177" i="14"/>
  <c r="AK178" i="14"/>
  <c r="AK176" i="14"/>
  <c r="AK179" i="14" s="1"/>
  <c r="W10" i="14"/>
  <c r="AM177" i="14"/>
  <c r="AM176" i="14"/>
  <c r="AM179" i="14" s="1"/>
  <c r="AM181" i="14" s="1"/>
  <c r="AM178" i="14"/>
  <c r="H177" i="14"/>
  <c r="H176" i="14"/>
  <c r="H179" i="14" s="1"/>
  <c r="H178" i="14"/>
  <c r="AA176" i="14"/>
  <c r="AA177" i="14"/>
  <c r="AA178" i="14"/>
  <c r="Z176" i="14"/>
  <c r="Z178" i="14"/>
  <c r="Z177" i="14"/>
  <c r="AG10" i="14"/>
  <c r="V177" i="14"/>
  <c r="V176" i="14"/>
  <c r="V178" i="14"/>
  <c r="AG178" i="14"/>
  <c r="AG176" i="14"/>
  <c r="AG177" i="14"/>
  <c r="AD47" i="14"/>
  <c r="AE176" i="14"/>
  <c r="AE179" i="14" s="1"/>
  <c r="AE181" i="14" s="1"/>
  <c r="AE178" i="14"/>
  <c r="AE177" i="14"/>
  <c r="AF10" i="14"/>
  <c r="O176" i="14"/>
  <c r="O178" i="14"/>
  <c r="O177" i="14"/>
  <c r="AC176" i="14"/>
  <c r="AC179" i="14" s="1"/>
  <c r="AC181" i="14" s="1"/>
  <c r="AC177" i="14"/>
  <c r="AC178" i="14"/>
  <c r="AL177" i="14"/>
  <c r="AL176" i="14"/>
  <c r="AL179" i="14" s="1"/>
  <c r="AL181" i="14" s="1"/>
  <c r="AL178" i="14"/>
  <c r="AB10" i="14"/>
  <c r="AF178" i="14"/>
  <c r="AF177" i="14"/>
  <c r="AF176" i="14"/>
  <c r="M48" i="14"/>
  <c r="P178" i="14"/>
  <c r="P177" i="14"/>
  <c r="P176" i="14"/>
  <c r="P179" i="14" s="1"/>
  <c r="P181" i="14" s="1"/>
  <c r="AD176" i="14"/>
  <c r="AD178" i="14"/>
  <c r="AD177" i="14"/>
  <c r="BG176" i="14"/>
  <c r="BG179" i="14" s="1"/>
  <c r="BG181" i="14" s="1"/>
  <c r="BG177" i="14"/>
  <c r="BG178" i="14"/>
  <c r="L10" i="14"/>
  <c r="AH178" i="14"/>
  <c r="AH177" i="14"/>
  <c r="AH176" i="14"/>
  <c r="AH179" i="14" s="1"/>
  <c r="AH181" i="14" s="1"/>
  <c r="W177" i="14"/>
  <c r="W176" i="14"/>
  <c r="W179" i="14" s="1"/>
  <c r="W181" i="14" s="1"/>
  <c r="W178" i="14"/>
  <c r="AD10" i="14"/>
  <c r="K176" i="14"/>
  <c r="K178" i="14"/>
  <c r="K177" i="14"/>
  <c r="M10" i="14"/>
  <c r="F177" i="14"/>
  <c r="F176" i="14"/>
  <c r="F179" i="14" s="1"/>
  <c r="F178" i="14"/>
  <c r="AB176" i="14"/>
  <c r="AB179" i="14" s="1"/>
  <c r="AB181" i="14" s="1"/>
  <c r="AB178" i="14"/>
  <c r="AB177" i="14"/>
  <c r="AO177" i="14"/>
  <c r="AO176" i="14"/>
  <c r="AO179" i="14" s="1"/>
  <c r="AO178" i="14"/>
  <c r="BG10" i="14"/>
  <c r="AE10" i="14"/>
  <c r="U177" i="14"/>
  <c r="U178" i="14"/>
  <c r="U176" i="14"/>
  <c r="U179" i="14" s="1"/>
  <c r="U181" i="14" s="1"/>
  <c r="AD48" i="14"/>
  <c r="R178" i="14"/>
  <c r="R177" i="14"/>
  <c r="R176" i="14"/>
  <c r="R179" i="14" s="1"/>
  <c r="K10" i="14"/>
  <c r="AC10" i="14"/>
  <c r="AH10" i="14"/>
  <c r="AH171" i="14" s="1"/>
  <c r="M176" i="14"/>
  <c r="M178" i="14"/>
  <c r="M177" i="14"/>
  <c r="Q176" i="14"/>
  <c r="Q179" i="14" s="1"/>
  <c r="Q181" i="14" s="1"/>
  <c r="Q178" i="14"/>
  <c r="Q177" i="14"/>
  <c r="N176" i="14"/>
  <c r="N178" i="14"/>
  <c r="N177" i="14"/>
  <c r="Y177" i="14"/>
  <c r="Y176" i="14"/>
  <c r="Y179" i="14" s="1"/>
  <c r="Y181" i="14" s="1"/>
  <c r="Y178" i="14"/>
  <c r="H10" i="14"/>
  <c r="AO171" i="14"/>
  <c r="AO184" i="14" s="1"/>
  <c r="AO14" i="14"/>
  <c r="AN14" i="14"/>
  <c r="AG47" i="14"/>
  <c r="AG173" i="14"/>
  <c r="AK14" i="14"/>
  <c r="AK171" i="14"/>
  <c r="AK184" i="14" s="1"/>
  <c r="AM171" i="14"/>
  <c r="X172" i="14"/>
  <c r="G172" i="14"/>
  <c r="H48" i="14"/>
  <c r="J48" i="14"/>
  <c r="AC48" i="14"/>
  <c r="AC174" i="14"/>
  <c r="I172" i="14"/>
  <c r="L48" i="14"/>
  <c r="AI169" i="14"/>
  <c r="AI11" i="14"/>
  <c r="AB48" i="14"/>
  <c r="AB174" i="14"/>
  <c r="J172" i="14"/>
  <c r="F48" i="14"/>
  <c r="G17" i="14"/>
  <c r="G16" i="14"/>
  <c r="G18" i="14" s="1"/>
  <c r="G19" i="14" s="1"/>
  <c r="G21" i="14" s="1"/>
  <c r="U48" i="14"/>
  <c r="S21" i="14"/>
  <c r="S36" i="14"/>
  <c r="S42" i="14"/>
  <c r="AA17" i="14"/>
  <c r="AA16" i="14"/>
  <c r="AA18" i="14" s="1"/>
  <c r="AA19" i="14" s="1"/>
  <c r="AA21" i="14" s="1"/>
  <c r="E174" i="14"/>
  <c r="I17" i="14"/>
  <c r="I16" i="14"/>
  <c r="I18" i="14" s="1"/>
  <c r="I19" i="14" s="1"/>
  <c r="I21" i="14" s="1"/>
  <c r="BG17" i="14"/>
  <c r="BG16" i="14"/>
  <c r="BG18" i="14" s="1"/>
  <c r="BG19" i="14" s="1"/>
  <c r="BG21" i="14" s="1"/>
  <c r="V17" i="14"/>
  <c r="V16" i="14"/>
  <c r="V18" i="14" s="1"/>
  <c r="V19" i="14" s="1"/>
  <c r="V47" i="14"/>
  <c r="AC17" i="14"/>
  <c r="AC16" i="14"/>
  <c r="AC18" i="14" s="1"/>
  <c r="AC19" i="14" s="1"/>
  <c r="AC21" i="14" s="1"/>
  <c r="AA48" i="14"/>
  <c r="Z17" i="14"/>
  <c r="Z16" i="14"/>
  <c r="Z18" i="14" s="1"/>
  <c r="Z19" i="14" s="1"/>
  <c r="Z21" i="14" s="1"/>
  <c r="N36" i="14"/>
  <c r="N42" i="14"/>
  <c r="N171" i="14"/>
  <c r="N184" i="14" s="1"/>
  <c r="S48" i="14"/>
  <c r="F21" i="14"/>
  <c r="F42" i="14"/>
  <c r="F36" i="14"/>
  <c r="X17" i="14"/>
  <c r="X16" i="14"/>
  <c r="X18" i="14" s="1"/>
  <c r="X19" i="14" s="1"/>
  <c r="X21" i="14" s="1"/>
  <c r="E173" i="14"/>
  <c r="F17" i="14"/>
  <c r="F16" i="14"/>
  <c r="F18" i="14" s="1"/>
  <c r="F19" i="14" s="1"/>
  <c r="F47" i="14"/>
  <c r="X48" i="14"/>
  <c r="N48" i="14"/>
  <c r="E48" i="14"/>
  <c r="AA47" i="14"/>
  <c r="AG48" i="14"/>
  <c r="AH16" i="14"/>
  <c r="AH18" i="14" s="1"/>
  <c r="AH19" i="14" s="1"/>
  <c r="AH21" i="14" s="1"/>
  <c r="AH17" i="14"/>
  <c r="U21" i="14"/>
  <c r="U42" i="14"/>
  <c r="U36" i="14"/>
  <c r="L17" i="14"/>
  <c r="L16" i="14"/>
  <c r="L18" i="14" s="1"/>
  <c r="L19" i="14" s="1"/>
  <c r="L21" i="14" s="1"/>
  <c r="T21" i="14"/>
  <c r="T42" i="14"/>
  <c r="T36" i="14"/>
  <c r="R21" i="14"/>
  <c r="R36" i="14"/>
  <c r="R42" i="14"/>
  <c r="V48" i="14"/>
  <c r="E172" i="14"/>
  <c r="N16" i="14"/>
  <c r="N18" i="14" s="1"/>
  <c r="N19" i="14" s="1"/>
  <c r="N21" i="14" s="1"/>
  <c r="N47" i="14"/>
  <c r="N17" i="14"/>
  <c r="Q16" i="14"/>
  <c r="Q18" i="14" s="1"/>
  <c r="Q19" i="14" s="1"/>
  <c r="Q17" i="14"/>
  <c r="Q47" i="14"/>
  <c r="P21" i="14"/>
  <c r="P36" i="14"/>
  <c r="P42" i="14"/>
  <c r="K17" i="14"/>
  <c r="K16" i="14"/>
  <c r="K18" i="14" s="1"/>
  <c r="K19" i="14" s="1"/>
  <c r="K21" i="14" s="1"/>
  <c r="BG47" i="14"/>
  <c r="Q21" i="14"/>
  <c r="Q42" i="14"/>
  <c r="Q36" i="14"/>
  <c r="AE16" i="14"/>
  <c r="AE18" i="14" s="1"/>
  <c r="AE19" i="14" s="1"/>
  <c r="AE21" i="14" s="1"/>
  <c r="AE17" i="14"/>
  <c r="Y17" i="14"/>
  <c r="Y16" i="14"/>
  <c r="Y18" i="14" s="1"/>
  <c r="Y19" i="14" s="1"/>
  <c r="Y21" i="14" s="1"/>
  <c r="W17" i="14"/>
  <c r="W16" i="14"/>
  <c r="W18" i="14" s="1"/>
  <c r="W19" i="14" s="1"/>
  <c r="W21" i="14" s="1"/>
  <c r="S16" i="14"/>
  <c r="S18" i="14" s="1"/>
  <c r="S19" i="14" s="1"/>
  <c r="S47" i="14"/>
  <c r="S17" i="14"/>
  <c r="AI7" i="14"/>
  <c r="AI174" i="14" s="1"/>
  <c r="AI6" i="14"/>
  <c r="AI173" i="14" s="1"/>
  <c r="AI9" i="14"/>
  <c r="AI5" i="14"/>
  <c r="AI172" i="14" s="1"/>
  <c r="AI8" i="14"/>
  <c r="Q48" i="14"/>
  <c r="O16" i="14"/>
  <c r="O18" i="14" s="1"/>
  <c r="O19" i="14" s="1"/>
  <c r="O21" i="14" s="1"/>
  <c r="O17" i="14"/>
  <c r="O47" i="14"/>
  <c r="AD16" i="14"/>
  <c r="AD18" i="14" s="1"/>
  <c r="AD19" i="14" s="1"/>
  <c r="AD21" i="14" s="1"/>
  <c r="AD17" i="14"/>
  <c r="Y48" i="14"/>
  <c r="T17" i="14"/>
  <c r="T47" i="14"/>
  <c r="T16" i="14"/>
  <c r="T18" i="14" s="1"/>
  <c r="T19" i="14" s="1"/>
  <c r="R16" i="14"/>
  <c r="R18" i="14" s="1"/>
  <c r="R19" i="14" s="1"/>
  <c r="R17" i="14"/>
  <c r="R47" i="14"/>
  <c r="AB17" i="14"/>
  <c r="AB16" i="14"/>
  <c r="AB18" i="14" s="1"/>
  <c r="AB19" i="14" s="1"/>
  <c r="AB21" i="14" s="1"/>
  <c r="P16" i="14"/>
  <c r="P18" i="14" s="1"/>
  <c r="P19" i="14" s="1"/>
  <c r="P17" i="14"/>
  <c r="P47" i="14"/>
  <c r="J17" i="14"/>
  <c r="J16" i="14"/>
  <c r="J18" i="14" s="1"/>
  <c r="J19" i="14" s="1"/>
  <c r="J21" i="14" s="1"/>
  <c r="T48" i="14"/>
  <c r="R48" i="14"/>
  <c r="O42" i="14"/>
  <c r="O36" i="14"/>
  <c r="V21" i="14"/>
  <c r="V42" i="14"/>
  <c r="V36" i="14"/>
  <c r="AG16" i="14"/>
  <c r="AG18" i="14" s="1"/>
  <c r="AG19" i="14" s="1"/>
  <c r="AG21" i="14" s="1"/>
  <c r="AG17" i="14"/>
  <c r="P48" i="14"/>
  <c r="O48" i="14"/>
  <c r="U16" i="14"/>
  <c r="U18" i="14" s="1"/>
  <c r="U19" i="14" s="1"/>
  <c r="U17" i="14"/>
  <c r="U47" i="14"/>
  <c r="H17" i="14"/>
  <c r="H16" i="14"/>
  <c r="H18" i="14" s="1"/>
  <c r="H19" i="14" s="1"/>
  <c r="H21" i="14" s="1"/>
  <c r="AF16" i="14"/>
  <c r="AF18" i="14" s="1"/>
  <c r="AF19" i="14" s="1"/>
  <c r="AF21" i="14" s="1"/>
  <c r="AF17" i="14"/>
  <c r="M17" i="14"/>
  <c r="M16" i="14"/>
  <c r="M18" i="14" s="1"/>
  <c r="M19" i="14" s="1"/>
  <c r="M21" i="14" s="1"/>
  <c r="AO3" i="7"/>
  <c r="I79" i="7"/>
  <c r="I94" i="7" s="1"/>
  <c r="AD76" i="7"/>
  <c r="AD91" i="7" s="1"/>
  <c r="AD17" i="7"/>
  <c r="AD71" i="7"/>
  <c r="AD86" i="7" s="1"/>
  <c r="AD79" i="7"/>
  <c r="AD94" i="7" s="1"/>
  <c r="AD74" i="7"/>
  <c r="AD89" i="7" s="1"/>
  <c r="AD69" i="7"/>
  <c r="AD84" i="7" s="1"/>
  <c r="AD103" i="7"/>
  <c r="AD106" i="7" s="1"/>
  <c r="AD165" i="7" s="1"/>
  <c r="AD180" i="7" s="1"/>
  <c r="AD75" i="7"/>
  <c r="AD90" i="7" s="1"/>
  <c r="AD70" i="7"/>
  <c r="AD85" i="7" s="1"/>
  <c r="I17" i="7"/>
  <c r="AD78" i="7"/>
  <c r="AD93" i="7" s="1"/>
  <c r="AF36" i="14"/>
  <c r="AD295" i="7"/>
  <c r="AD296" i="7" s="1"/>
  <c r="AD360" i="7" s="1"/>
  <c r="AD375" i="7" s="1"/>
  <c r="AF76" i="7"/>
  <c r="AF91" i="7" s="1"/>
  <c r="AF79" i="7"/>
  <c r="AF94" i="7" s="1"/>
  <c r="AF69" i="7"/>
  <c r="AF84" i="7" s="1"/>
  <c r="AF72" i="7"/>
  <c r="AF87" i="7" s="1"/>
  <c r="I80" i="7"/>
  <c r="I95" i="7" s="1"/>
  <c r="AD201" i="7"/>
  <c r="AD202" i="7" s="1"/>
  <c r="AF295" i="7"/>
  <c r="AF296" i="7" s="1"/>
  <c r="AF353" i="7" s="1"/>
  <c r="AF368" i="7" s="1"/>
  <c r="AF75" i="7"/>
  <c r="AF90" i="7" s="1"/>
  <c r="I71" i="7"/>
  <c r="I86" i="7" s="1"/>
  <c r="AD72" i="7"/>
  <c r="AD87" i="7" s="1"/>
  <c r="AF201" i="7"/>
  <c r="AF202" i="7" s="1"/>
  <c r="AF81" i="7"/>
  <c r="AF96" i="7" s="1"/>
  <c r="I77" i="7"/>
  <c r="I92" i="7" s="1"/>
  <c r="AD80" i="7"/>
  <c r="AD95" i="7" s="1"/>
  <c r="AD77" i="7"/>
  <c r="AD92" i="7" s="1"/>
  <c r="AD73" i="7"/>
  <c r="AD88" i="7" s="1"/>
  <c r="AF73" i="7"/>
  <c r="AF88" i="7" s="1"/>
  <c r="AF80" i="7"/>
  <c r="AF95" i="7" s="1"/>
  <c r="AO3" i="17"/>
  <c r="AO5" i="17" s="1"/>
  <c r="AN3" i="17"/>
  <c r="AN5" i="17" s="1"/>
  <c r="AN3" i="7"/>
  <c r="AN2" i="20"/>
  <c r="AN2" i="9"/>
  <c r="AR1" i="10" s="1"/>
  <c r="AN2" i="8"/>
  <c r="AN51" i="8" s="1"/>
  <c r="AN2" i="7"/>
  <c r="AN2" i="21"/>
  <c r="AN2" i="15"/>
  <c r="AN2" i="17"/>
  <c r="AB78" i="7"/>
  <c r="AB93" i="7" s="1"/>
  <c r="AB73" i="7"/>
  <c r="AB88" i="7" s="1"/>
  <c r="AF78" i="7"/>
  <c r="AF93" i="7" s="1"/>
  <c r="AB81" i="7"/>
  <c r="AB96" i="7" s="1"/>
  <c r="AF70" i="7"/>
  <c r="AF85" i="7" s="1"/>
  <c r="AB79" i="7"/>
  <c r="AB94" i="7" s="1"/>
  <c r="AF17" i="7"/>
  <c r="AA103" i="7"/>
  <c r="AA106" i="7" s="1"/>
  <c r="AA70" i="7"/>
  <c r="AA85" i="7" s="1"/>
  <c r="AA69" i="7"/>
  <c r="AA84" i="7" s="1"/>
  <c r="AA81" i="7"/>
  <c r="AA96" i="7" s="1"/>
  <c r="AA73" i="7"/>
  <c r="AA88" i="7" s="1"/>
  <c r="AF71" i="7"/>
  <c r="AF86" i="7" s="1"/>
  <c r="AF103" i="7"/>
  <c r="AF106" i="7" s="1"/>
  <c r="AF165" i="7" s="1"/>
  <c r="AF180" i="7" s="1"/>
  <c r="AF74" i="7"/>
  <c r="AF89" i="7" s="1"/>
  <c r="I70" i="7"/>
  <c r="I85" i="7" s="1"/>
  <c r="AA78" i="7"/>
  <c r="AA93" i="7" s="1"/>
  <c r="AB80" i="7"/>
  <c r="AB95" i="7" s="1"/>
  <c r="I201" i="7"/>
  <c r="I202" i="7" s="1"/>
  <c r="AA76" i="7"/>
  <c r="AA91" i="7" s="1"/>
  <c r="AB72" i="7"/>
  <c r="AB87" i="7" s="1"/>
  <c r="I295" i="7"/>
  <c r="I296" i="7" s="1"/>
  <c r="I362" i="7" s="1"/>
  <c r="I377" i="7" s="1"/>
  <c r="AA17" i="7"/>
  <c r="AB76" i="7"/>
  <c r="AB91" i="7" s="1"/>
  <c r="I76" i="7"/>
  <c r="I91" i="7" s="1"/>
  <c r="AA71" i="7"/>
  <c r="AA86" i="7" s="1"/>
  <c r="AH47" i="14"/>
  <c r="I81" i="7"/>
  <c r="I96" i="7" s="1"/>
  <c r="AA79" i="7"/>
  <c r="AA94" i="7" s="1"/>
  <c r="AB17" i="7"/>
  <c r="I73" i="7"/>
  <c r="I88" i="7" s="1"/>
  <c r="AA74" i="7"/>
  <c r="AA89" i="7" s="1"/>
  <c r="AB71" i="7"/>
  <c r="AB86" i="7" s="1"/>
  <c r="I72" i="7"/>
  <c r="I87" i="7" s="1"/>
  <c r="AB77" i="7"/>
  <c r="AB92" i="7" s="1"/>
  <c r="AA77" i="7"/>
  <c r="AA92" i="7" s="1"/>
  <c r="AB74" i="7"/>
  <c r="AB89" i="7" s="1"/>
  <c r="I78" i="7"/>
  <c r="I93" i="7" s="1"/>
  <c r="AA295" i="7"/>
  <c r="AA296" i="7" s="1"/>
  <c r="AA351" i="7" s="1"/>
  <c r="AA366" i="7" s="1"/>
  <c r="AB295" i="7"/>
  <c r="AB296" i="7" s="1"/>
  <c r="AB362" i="7" s="1"/>
  <c r="AB377" i="7" s="1"/>
  <c r="I69" i="7"/>
  <c r="I84" i="7" s="1"/>
  <c r="AA201" i="7"/>
  <c r="AA202" i="7" s="1"/>
  <c r="AB103" i="7"/>
  <c r="AB106" i="7" s="1"/>
  <c r="AB160" i="7" s="1"/>
  <c r="AB175" i="7" s="1"/>
  <c r="I75" i="7"/>
  <c r="I90" i="7" s="1"/>
  <c r="AA72" i="7"/>
  <c r="AA87" i="7" s="1"/>
  <c r="AB201" i="7"/>
  <c r="AB202" i="7" s="1"/>
  <c r="I74" i="7"/>
  <c r="I89" i="7" s="1"/>
  <c r="AA80" i="7"/>
  <c r="AA95" i="7" s="1"/>
  <c r="AB75" i="7"/>
  <c r="AB90" i="7" s="1"/>
  <c r="AA75" i="7"/>
  <c r="AA90" i="7" s="1"/>
  <c r="AB70" i="7"/>
  <c r="AB85" i="7" s="1"/>
  <c r="BG22" i="7"/>
  <c r="BG25" i="7"/>
  <c r="BG26" i="7" s="1"/>
  <c r="BG363" i="7"/>
  <c r="BG378" i="7" s="1"/>
  <c r="BG362" i="7"/>
  <c r="BG377" i="7" s="1"/>
  <c r="BG361" i="7"/>
  <c r="BG376" i="7" s="1"/>
  <c r="BG298" i="7"/>
  <c r="BG303" i="7" s="1"/>
  <c r="BG360" i="7"/>
  <c r="BG375" i="7" s="1"/>
  <c r="BG359" i="7"/>
  <c r="BG374" i="7" s="1"/>
  <c r="BG358" i="7"/>
  <c r="BG373" i="7" s="1"/>
  <c r="BG357" i="7"/>
  <c r="BG372" i="7" s="1"/>
  <c r="BG351" i="7"/>
  <c r="BG366" i="7" s="1"/>
  <c r="BG356" i="7"/>
  <c r="BG371" i="7" s="1"/>
  <c r="BG355" i="7"/>
  <c r="BG370" i="7" s="1"/>
  <c r="BG352" i="7"/>
  <c r="BG367" i="7" s="1"/>
  <c r="BG354" i="7"/>
  <c r="BG369" i="7" s="1"/>
  <c r="BG353" i="7"/>
  <c r="BG368" i="7" s="1"/>
  <c r="BG262" i="7"/>
  <c r="BG277" i="7" s="1"/>
  <c r="BG261" i="7"/>
  <c r="BG276" i="7" s="1"/>
  <c r="BG260" i="7"/>
  <c r="BG275" i="7" s="1"/>
  <c r="BG259" i="7"/>
  <c r="BG274" i="7" s="1"/>
  <c r="BG263" i="7"/>
  <c r="BG278" i="7" s="1"/>
  <c r="BG258" i="7"/>
  <c r="BG273" i="7" s="1"/>
  <c r="BG257" i="7"/>
  <c r="BG272" i="7" s="1"/>
  <c r="BG265" i="7"/>
  <c r="BG280" i="7" s="1"/>
  <c r="BG269" i="7"/>
  <c r="BG284" i="7" s="1"/>
  <c r="BG268" i="7"/>
  <c r="BG283" i="7" s="1"/>
  <c r="BG264" i="7"/>
  <c r="BG279" i="7" s="1"/>
  <c r="BG267" i="7"/>
  <c r="BG282" i="7" s="1"/>
  <c r="BG204" i="7"/>
  <c r="BG266" i="7"/>
  <c r="BG281" i="7" s="1"/>
  <c r="BG171" i="7"/>
  <c r="BG186" i="7" s="1"/>
  <c r="BG170" i="7"/>
  <c r="BG185" i="7" s="1"/>
  <c r="BG159" i="7"/>
  <c r="BG174" i="7" s="1"/>
  <c r="BG169" i="7"/>
  <c r="BG184" i="7" s="1"/>
  <c r="BG108" i="7"/>
  <c r="BG111" i="7" s="1"/>
  <c r="BG168" i="7"/>
  <c r="BG183" i="7" s="1"/>
  <c r="BG167" i="7"/>
  <c r="BG182" i="7" s="1"/>
  <c r="BG166" i="7"/>
  <c r="BG181" i="7" s="1"/>
  <c r="BG165" i="7"/>
  <c r="BG180" i="7" s="1"/>
  <c r="BG164" i="7"/>
  <c r="BG179" i="7" s="1"/>
  <c r="BG163" i="7"/>
  <c r="BG178" i="7" s="1"/>
  <c r="BG162" i="7"/>
  <c r="BG177" i="7" s="1"/>
  <c r="BG161" i="7"/>
  <c r="BG176" i="7" s="1"/>
  <c r="BG160" i="7"/>
  <c r="BG175" i="7" s="1"/>
  <c r="BG30" i="7"/>
  <c r="BG68" i="7"/>
  <c r="BG83" i="7" s="1"/>
  <c r="BG98" i="7" s="1"/>
  <c r="BG35" i="7"/>
  <c r="BG39" i="7"/>
  <c r="BG21" i="7"/>
  <c r="AH201" i="7"/>
  <c r="AH202" i="7" s="1"/>
  <c r="AH295" i="7"/>
  <c r="AH296" i="7" s="1"/>
  <c r="AH81" i="7"/>
  <c r="AH96" i="7" s="1"/>
  <c r="AH78" i="7"/>
  <c r="AH93" i="7" s="1"/>
  <c r="AH69" i="7"/>
  <c r="AH84" i="7" s="1"/>
  <c r="AH103" i="7"/>
  <c r="AH106" i="7" s="1"/>
  <c r="AH79" i="7"/>
  <c r="AH94" i="7" s="1"/>
  <c r="AH76" i="7"/>
  <c r="AH91" i="7" s="1"/>
  <c r="AH73" i="7"/>
  <c r="AH88" i="7" s="1"/>
  <c r="AH70" i="7"/>
  <c r="AH85" i="7" s="1"/>
  <c r="AH80" i="7"/>
  <c r="AH95" i="7" s="1"/>
  <c r="AH75" i="7"/>
  <c r="AH90" i="7" s="1"/>
  <c r="AH77" i="7"/>
  <c r="AH92" i="7" s="1"/>
  <c r="AH72" i="7"/>
  <c r="AH87" i="7" s="1"/>
  <c r="AH74" i="7"/>
  <c r="AH89" i="7" s="1"/>
  <c r="AH71" i="7"/>
  <c r="AH86" i="7" s="1"/>
  <c r="AH17" i="7"/>
  <c r="AG201" i="7"/>
  <c r="AG202" i="7" s="1"/>
  <c r="AG295" i="7"/>
  <c r="AG296" i="7" s="1"/>
  <c r="AG80" i="7"/>
  <c r="AG95" i="7" s="1"/>
  <c r="AG72" i="7"/>
  <c r="AG87" i="7" s="1"/>
  <c r="AG69" i="7"/>
  <c r="AG84" i="7" s="1"/>
  <c r="AG103" i="7"/>
  <c r="AG106" i="7" s="1"/>
  <c r="AG79" i="7"/>
  <c r="AG94" i="7" s="1"/>
  <c r="AG76" i="7"/>
  <c r="AG91" i="7" s="1"/>
  <c r="AG73" i="7"/>
  <c r="AG88" i="7" s="1"/>
  <c r="AG70" i="7"/>
  <c r="AG85" i="7" s="1"/>
  <c r="AG78" i="7"/>
  <c r="AG93" i="7" s="1"/>
  <c r="AG75" i="7"/>
  <c r="AG90" i="7" s="1"/>
  <c r="AG77" i="7"/>
  <c r="AG92" i="7" s="1"/>
  <c r="AG17" i="7"/>
  <c r="AG81" i="7"/>
  <c r="AG96" i="7" s="1"/>
  <c r="AG74" i="7"/>
  <c r="AG89" i="7" s="1"/>
  <c r="AG71" i="7"/>
  <c r="AG86" i="7" s="1"/>
  <c r="AI12" i="7"/>
  <c r="AI9" i="7"/>
  <c r="AI13" i="7" s="1"/>
  <c r="AI14" i="7" s="1"/>
  <c r="AI15" i="7" s="1"/>
  <c r="AI10" i="7"/>
  <c r="AE47" i="14"/>
  <c r="AG42" i="14"/>
  <c r="AF42" i="14"/>
  <c r="AE42" i="14"/>
  <c r="AE36" i="14"/>
  <c r="BG42" i="14"/>
  <c r="BG36" i="14"/>
  <c r="AB75" i="9"/>
  <c r="AC75" i="9" s="1"/>
  <c r="AD75" i="9" s="1"/>
  <c r="AG36" i="14"/>
  <c r="AH42" i="14"/>
  <c r="AH36" i="14"/>
  <c r="AE48" i="14"/>
  <c r="AH48" i="14"/>
  <c r="AC201" i="7"/>
  <c r="AC202" i="7" s="1"/>
  <c r="AC103" i="7"/>
  <c r="AC106" i="7" s="1"/>
  <c r="AC295" i="7"/>
  <c r="AC296" i="7" s="1"/>
  <c r="AC74" i="7"/>
  <c r="AC89" i="7" s="1"/>
  <c r="AC79" i="7"/>
  <c r="AC94" i="7" s="1"/>
  <c r="AC71" i="7"/>
  <c r="AC86" i="7" s="1"/>
  <c r="AC17" i="7"/>
  <c r="AC76" i="7"/>
  <c r="AC91" i="7" s="1"/>
  <c r="AC81" i="7"/>
  <c r="AC96" i="7" s="1"/>
  <c r="AC73" i="7"/>
  <c r="AC88" i="7" s="1"/>
  <c r="AC78" i="7"/>
  <c r="AC93" i="7" s="1"/>
  <c r="AC70" i="7"/>
  <c r="AC85" i="7" s="1"/>
  <c r="AC75" i="7"/>
  <c r="AC90" i="7" s="1"/>
  <c r="AC80" i="7"/>
  <c r="AC95" i="7" s="1"/>
  <c r="AC72" i="7"/>
  <c r="AC87" i="7" s="1"/>
  <c r="AC77" i="7"/>
  <c r="AC92" i="7" s="1"/>
  <c r="AC69" i="7"/>
  <c r="AC84" i="7" s="1"/>
  <c r="AE295" i="7"/>
  <c r="AE296" i="7" s="1"/>
  <c r="AE79" i="7"/>
  <c r="AE94" i="7" s="1"/>
  <c r="AE71" i="7"/>
  <c r="AE86" i="7" s="1"/>
  <c r="AE17" i="7"/>
  <c r="AE76" i="7"/>
  <c r="AE91" i="7" s="1"/>
  <c r="AE81" i="7"/>
  <c r="AE96" i="7" s="1"/>
  <c r="AE73" i="7"/>
  <c r="AE88" i="7" s="1"/>
  <c r="AE78" i="7"/>
  <c r="AE93" i="7" s="1"/>
  <c r="AE70" i="7"/>
  <c r="AE85" i="7" s="1"/>
  <c r="AE75" i="7"/>
  <c r="AE90" i="7" s="1"/>
  <c r="AE80" i="7"/>
  <c r="AE95" i="7" s="1"/>
  <c r="AE72" i="7"/>
  <c r="AE87" i="7" s="1"/>
  <c r="AE201" i="7"/>
  <c r="AE202" i="7" s="1"/>
  <c r="AE103" i="7"/>
  <c r="AE106" i="7" s="1"/>
  <c r="AE77" i="7"/>
  <c r="AE92" i="7" s="1"/>
  <c r="AE69" i="7"/>
  <c r="AE84" i="7" s="1"/>
  <c r="AE74" i="7"/>
  <c r="AE89" i="7" s="1"/>
  <c r="Z295" i="7"/>
  <c r="Z296" i="7" s="1"/>
  <c r="Z201" i="7"/>
  <c r="Z202" i="7" s="1"/>
  <c r="Z103" i="7"/>
  <c r="Z106" i="7" s="1"/>
  <c r="Z77" i="7"/>
  <c r="Z92" i="7" s="1"/>
  <c r="Z69" i="7"/>
  <c r="Z84" i="7" s="1"/>
  <c r="Z74" i="7"/>
  <c r="Z89" i="7" s="1"/>
  <c r="Z75" i="7"/>
  <c r="Z90" i="7" s="1"/>
  <c r="Z79" i="7"/>
  <c r="Z94" i="7" s="1"/>
  <c r="Z71" i="7"/>
  <c r="Z86" i="7" s="1"/>
  <c r="Z17" i="7"/>
  <c r="Z76" i="7"/>
  <c r="Z91" i="7" s="1"/>
  <c r="Z81" i="7"/>
  <c r="Z96" i="7" s="1"/>
  <c r="Z73" i="7"/>
  <c r="Z88" i="7" s="1"/>
  <c r="Z78" i="7"/>
  <c r="Z93" i="7" s="1"/>
  <c r="Z70" i="7"/>
  <c r="Z85" i="7" s="1"/>
  <c r="Z80" i="7"/>
  <c r="Z95" i="7" s="1"/>
  <c r="Z72" i="7"/>
  <c r="Z87" i="7" s="1"/>
  <c r="W295" i="7"/>
  <c r="W296" i="7" s="1"/>
  <c r="W201" i="7"/>
  <c r="W202" i="7" s="1"/>
  <c r="W103" i="7"/>
  <c r="W106" i="7" s="1"/>
  <c r="W72" i="7"/>
  <c r="W87" i="7" s="1"/>
  <c r="W77" i="7"/>
  <c r="W92" i="7" s="1"/>
  <c r="W76" i="7"/>
  <c r="W91" i="7" s="1"/>
  <c r="W81" i="7"/>
  <c r="W96" i="7" s="1"/>
  <c r="W80" i="7"/>
  <c r="W95" i="7" s="1"/>
  <c r="W71" i="7"/>
  <c r="W86" i="7" s="1"/>
  <c r="W78" i="7"/>
  <c r="W93" i="7" s="1"/>
  <c r="W73" i="7"/>
  <c r="W88" i="7" s="1"/>
  <c r="W74" i="7"/>
  <c r="W89" i="7" s="1"/>
  <c r="W79" i="7"/>
  <c r="W94" i="7" s="1"/>
  <c r="W75" i="7"/>
  <c r="W90" i="7" s="1"/>
  <c r="W69" i="7"/>
  <c r="W84" i="7" s="1"/>
  <c r="W70" i="7"/>
  <c r="W85" i="7" s="1"/>
  <c r="W17" i="7"/>
  <c r="H295" i="7"/>
  <c r="H296" i="7" s="1"/>
  <c r="H201" i="7"/>
  <c r="H202" i="7" s="1"/>
  <c r="H72" i="7"/>
  <c r="H87" i="7" s="1"/>
  <c r="H77" i="7"/>
  <c r="H92" i="7" s="1"/>
  <c r="H81" i="7"/>
  <c r="H96" i="7" s="1"/>
  <c r="H80" i="7"/>
  <c r="H95" i="7" s="1"/>
  <c r="H79" i="7"/>
  <c r="H94" i="7" s="1"/>
  <c r="H73" i="7"/>
  <c r="H88" i="7" s="1"/>
  <c r="H103" i="7"/>
  <c r="H106" i="7" s="1"/>
  <c r="H74" i="7"/>
  <c r="H89" i="7" s="1"/>
  <c r="H76" i="7"/>
  <c r="H91" i="7" s="1"/>
  <c r="H69" i="7"/>
  <c r="H84" i="7" s="1"/>
  <c r="H70" i="7"/>
  <c r="H85" i="7" s="1"/>
  <c r="H78" i="7"/>
  <c r="H93" i="7" s="1"/>
  <c r="H17" i="7"/>
  <c r="H75" i="7"/>
  <c r="H90" i="7" s="1"/>
  <c r="H71" i="7"/>
  <c r="H86" i="7" s="1"/>
  <c r="G295" i="7"/>
  <c r="G296" i="7" s="1"/>
  <c r="G201" i="7"/>
  <c r="G202" i="7" s="1"/>
  <c r="G103" i="7"/>
  <c r="G106" i="7" s="1"/>
  <c r="G72" i="7"/>
  <c r="G87" i="7" s="1"/>
  <c r="G77" i="7"/>
  <c r="G92" i="7" s="1"/>
  <c r="G76" i="7"/>
  <c r="G91" i="7" s="1"/>
  <c r="G81" i="7"/>
  <c r="G96" i="7" s="1"/>
  <c r="G79" i="7"/>
  <c r="G94" i="7" s="1"/>
  <c r="G73" i="7"/>
  <c r="G88" i="7" s="1"/>
  <c r="G80" i="7"/>
  <c r="G95" i="7" s="1"/>
  <c r="G69" i="7"/>
  <c r="G84" i="7" s="1"/>
  <c r="G71" i="7"/>
  <c r="G86" i="7" s="1"/>
  <c r="G78" i="7"/>
  <c r="G93" i="7" s="1"/>
  <c r="G74" i="7"/>
  <c r="G89" i="7" s="1"/>
  <c r="G70" i="7"/>
  <c r="G85" i="7" s="1"/>
  <c r="G17" i="7"/>
  <c r="G75" i="7"/>
  <c r="G90" i="7" s="1"/>
  <c r="X295" i="7"/>
  <c r="X296" i="7" s="1"/>
  <c r="X201" i="7"/>
  <c r="X202" i="7" s="1"/>
  <c r="X72" i="7"/>
  <c r="X87" i="7" s="1"/>
  <c r="X77" i="7"/>
  <c r="X92" i="7" s="1"/>
  <c r="X81" i="7"/>
  <c r="X96" i="7" s="1"/>
  <c r="X80" i="7"/>
  <c r="X95" i="7" s="1"/>
  <c r="X73" i="7"/>
  <c r="X88" i="7" s="1"/>
  <c r="X74" i="7"/>
  <c r="X89" i="7" s="1"/>
  <c r="X79" i="7"/>
  <c r="X94" i="7" s="1"/>
  <c r="X75" i="7"/>
  <c r="X90" i="7" s="1"/>
  <c r="X103" i="7"/>
  <c r="X106" i="7" s="1"/>
  <c r="X69" i="7"/>
  <c r="X84" i="7" s="1"/>
  <c r="X70" i="7"/>
  <c r="X85" i="7" s="1"/>
  <c r="X76" i="7"/>
  <c r="X91" i="7" s="1"/>
  <c r="X71" i="7"/>
  <c r="X86" i="7" s="1"/>
  <c r="X17" i="7"/>
  <c r="X78" i="7"/>
  <c r="X93" i="7" s="1"/>
  <c r="I162" i="7"/>
  <c r="I177" i="7" s="1"/>
  <c r="I161" i="7"/>
  <c r="I176" i="7" s="1"/>
  <c r="I171" i="7"/>
  <c r="I186" i="7" s="1"/>
  <c r="I168" i="7"/>
  <c r="I183" i="7" s="1"/>
  <c r="I170" i="7"/>
  <c r="I185" i="7" s="1"/>
  <c r="I164" i="7"/>
  <c r="I179" i="7" s="1"/>
  <c r="I169" i="7"/>
  <c r="I184" i="7" s="1"/>
  <c r="I167" i="7"/>
  <c r="I182" i="7" s="1"/>
  <c r="I165" i="7"/>
  <c r="I180" i="7" s="1"/>
  <c r="I159" i="7"/>
  <c r="I174" i="7" s="1"/>
  <c r="I166" i="7"/>
  <c r="I181" i="7" s="1"/>
  <c r="I163" i="7"/>
  <c r="I178" i="7" s="1"/>
  <c r="I160" i="7"/>
  <c r="I175" i="7" s="1"/>
  <c r="I108" i="7"/>
  <c r="I111" i="7" s="1"/>
  <c r="M295" i="7"/>
  <c r="M296" i="7" s="1"/>
  <c r="M201" i="7"/>
  <c r="M202" i="7" s="1"/>
  <c r="M81" i="7"/>
  <c r="M96" i="7" s="1"/>
  <c r="M70" i="7"/>
  <c r="M85" i="7" s="1"/>
  <c r="M75" i="7"/>
  <c r="M90" i="7" s="1"/>
  <c r="M74" i="7"/>
  <c r="M89" i="7" s="1"/>
  <c r="M79" i="7"/>
  <c r="M94" i="7" s="1"/>
  <c r="M69" i="7"/>
  <c r="M84" i="7" s="1"/>
  <c r="M77" i="7"/>
  <c r="M92" i="7" s="1"/>
  <c r="M17" i="7"/>
  <c r="M78" i="7"/>
  <c r="M93" i="7" s="1"/>
  <c r="M71" i="7"/>
  <c r="M86" i="7" s="1"/>
  <c r="M103" i="7"/>
  <c r="M106" i="7" s="1"/>
  <c r="M73" i="7"/>
  <c r="M88" i="7" s="1"/>
  <c r="M76" i="7"/>
  <c r="M91" i="7" s="1"/>
  <c r="M80" i="7"/>
  <c r="M95" i="7" s="1"/>
  <c r="M72" i="7"/>
  <c r="M87" i="7" s="1"/>
  <c r="J295" i="7"/>
  <c r="J296" i="7" s="1"/>
  <c r="J201" i="7"/>
  <c r="J202" i="7" s="1"/>
  <c r="J71" i="7"/>
  <c r="J86" i="7" s="1"/>
  <c r="J76" i="7"/>
  <c r="J91" i="7" s="1"/>
  <c r="J75" i="7"/>
  <c r="J90" i="7" s="1"/>
  <c r="J80" i="7"/>
  <c r="J95" i="7" s="1"/>
  <c r="J69" i="7"/>
  <c r="J84" i="7" s="1"/>
  <c r="J77" i="7"/>
  <c r="J92" i="7" s="1"/>
  <c r="J70" i="7"/>
  <c r="J85" i="7" s="1"/>
  <c r="J72" i="7"/>
  <c r="J87" i="7" s="1"/>
  <c r="J79" i="7"/>
  <c r="J94" i="7" s="1"/>
  <c r="J73" i="7"/>
  <c r="J88" i="7" s="1"/>
  <c r="J103" i="7"/>
  <c r="J106" i="7" s="1"/>
  <c r="J78" i="7"/>
  <c r="J93" i="7" s="1"/>
  <c r="J74" i="7"/>
  <c r="J89" i="7" s="1"/>
  <c r="J17" i="7"/>
  <c r="J81" i="7"/>
  <c r="J96" i="7" s="1"/>
  <c r="K295" i="7"/>
  <c r="K296" i="7" s="1"/>
  <c r="K201" i="7"/>
  <c r="K202" i="7" s="1"/>
  <c r="K71" i="7"/>
  <c r="K86" i="7" s="1"/>
  <c r="K76" i="7"/>
  <c r="K91" i="7" s="1"/>
  <c r="K81" i="7"/>
  <c r="K96" i="7" s="1"/>
  <c r="K80" i="7"/>
  <c r="K95" i="7" s="1"/>
  <c r="K79" i="7"/>
  <c r="K94" i="7" s="1"/>
  <c r="K75" i="7"/>
  <c r="K90" i="7" s="1"/>
  <c r="K69" i="7"/>
  <c r="K84" i="7" s="1"/>
  <c r="K77" i="7"/>
  <c r="K92" i="7" s="1"/>
  <c r="K70" i="7"/>
  <c r="K85" i="7" s="1"/>
  <c r="K17" i="7"/>
  <c r="K72" i="7"/>
  <c r="K87" i="7" s="1"/>
  <c r="K73" i="7"/>
  <c r="K88" i="7" s="1"/>
  <c r="K103" i="7"/>
  <c r="K106" i="7" s="1"/>
  <c r="K74" i="7"/>
  <c r="K89" i="7" s="1"/>
  <c r="K78" i="7"/>
  <c r="K93" i="7" s="1"/>
  <c r="L201" i="7"/>
  <c r="L202" i="7" s="1"/>
  <c r="L295" i="7"/>
  <c r="L296" i="7" s="1"/>
  <c r="L76" i="7"/>
  <c r="L91" i="7" s="1"/>
  <c r="L81" i="7"/>
  <c r="L96" i="7" s="1"/>
  <c r="L70" i="7"/>
  <c r="L85" i="7" s="1"/>
  <c r="L69" i="7"/>
  <c r="L84" i="7" s="1"/>
  <c r="L77" i="7"/>
  <c r="L92" i="7" s="1"/>
  <c r="L17" i="7"/>
  <c r="L78" i="7"/>
  <c r="L93" i="7" s="1"/>
  <c r="L73" i="7"/>
  <c r="L88" i="7" s="1"/>
  <c r="L103" i="7"/>
  <c r="L106" i="7" s="1"/>
  <c r="L79" i="7"/>
  <c r="L94" i="7" s="1"/>
  <c r="L74" i="7"/>
  <c r="L89" i="7" s="1"/>
  <c r="L80" i="7"/>
  <c r="L95" i="7" s="1"/>
  <c r="L72" i="7"/>
  <c r="L87" i="7" s="1"/>
  <c r="L75" i="7"/>
  <c r="L90" i="7" s="1"/>
  <c r="L71" i="7"/>
  <c r="L86" i="7" s="1"/>
  <c r="E10" i="7"/>
  <c r="E13" i="7"/>
  <c r="E14" i="7" s="1"/>
  <c r="E15" i="7" s="1"/>
  <c r="E12" i="7"/>
  <c r="K47" i="14"/>
  <c r="H47" i="14"/>
  <c r="J47" i="14"/>
  <c r="M47" i="14"/>
  <c r="G47" i="14"/>
  <c r="L47" i="14"/>
  <c r="AB47" i="14"/>
  <c r="I47" i="14"/>
  <c r="AC47" i="14"/>
  <c r="E17" i="14"/>
  <c r="E47" i="14"/>
  <c r="H36" i="14"/>
  <c r="H42" i="14"/>
  <c r="L42" i="14"/>
  <c r="L36" i="14"/>
  <c r="AD36" i="14"/>
  <c r="AD42" i="14"/>
  <c r="Y42" i="14"/>
  <c r="Y36" i="14"/>
  <c r="AC42" i="14"/>
  <c r="AC36" i="14"/>
  <c r="J42" i="14"/>
  <c r="J36" i="14"/>
  <c r="AB42" i="14"/>
  <c r="AB36" i="14"/>
  <c r="AA42" i="14"/>
  <c r="AA36" i="14"/>
  <c r="M42" i="14"/>
  <c r="M36" i="14"/>
  <c r="I42" i="14"/>
  <c r="I36" i="14"/>
  <c r="W36" i="14"/>
  <c r="W42" i="14"/>
  <c r="G36" i="14"/>
  <c r="G42" i="14"/>
  <c r="K36" i="14"/>
  <c r="K42" i="14"/>
  <c r="E36" i="14"/>
  <c r="E42" i="14"/>
  <c r="X36" i="14"/>
  <c r="X42" i="14"/>
  <c r="AI17" i="16"/>
  <c r="AI18" i="16" s="1"/>
  <c r="AI20" i="16" s="1"/>
  <c r="AI24" i="16" s="1"/>
  <c r="N11" i="16" s="1"/>
  <c r="Y14" i="7"/>
  <c r="Y15" i="7" s="1"/>
  <c r="E16" i="14"/>
  <c r="AG146" i="23" l="1"/>
  <c r="O159" i="23"/>
  <c r="K146" i="23"/>
  <c r="AY195" i="23"/>
  <c r="AD127" i="23"/>
  <c r="O268" i="23"/>
  <c r="BE35" i="23"/>
  <c r="P208" i="23"/>
  <c r="R84" i="23"/>
  <c r="R86" i="23" s="1"/>
  <c r="R87" i="23" s="1"/>
  <c r="BG195" i="23"/>
  <c r="BG196" i="23" s="1"/>
  <c r="O269" i="23"/>
  <c r="L208" i="23"/>
  <c r="L210" i="23" s="1"/>
  <c r="L211" i="23" s="1"/>
  <c r="AG144" i="23"/>
  <c r="O195" i="23"/>
  <c r="M270" i="23"/>
  <c r="AZ258" i="23"/>
  <c r="AZ171" i="23" s="1"/>
  <c r="AZ168" i="23" s="1"/>
  <c r="AO208" i="23"/>
  <c r="O251" i="23"/>
  <c r="F71" i="23"/>
  <c r="F72" i="23" s="1"/>
  <c r="AN195" i="23"/>
  <c r="AN196" i="23" s="1"/>
  <c r="O196" i="23"/>
  <c r="AN208" i="23"/>
  <c r="L44" i="23"/>
  <c r="AT46" i="23"/>
  <c r="M258" i="23"/>
  <c r="M171" i="23" s="1"/>
  <c r="M168" i="23" s="1"/>
  <c r="AZ159" i="23"/>
  <c r="AZ155" i="23" s="1"/>
  <c r="AO195" i="23"/>
  <c r="AO198" i="23" s="1"/>
  <c r="AG170" i="23"/>
  <c r="K195" i="23"/>
  <c r="K196" i="23" s="1"/>
  <c r="AD195" i="23"/>
  <c r="AD196" i="23" s="1"/>
  <c r="AG269" i="23"/>
  <c r="AX144" i="23"/>
  <c r="M268" i="23"/>
  <c r="AZ251" i="23"/>
  <c r="X146" i="23"/>
  <c r="AG258" i="23"/>
  <c r="AG171" i="23" s="1"/>
  <c r="P269" i="23"/>
  <c r="AX146" i="23"/>
  <c r="K127" i="23"/>
  <c r="AD144" i="23"/>
  <c r="M260" i="23"/>
  <c r="M172" i="23" s="1"/>
  <c r="M170" i="23" s="1"/>
  <c r="BA71" i="23"/>
  <c r="BA72" i="23" s="1"/>
  <c r="AU258" i="23"/>
  <c r="AU171" i="23" s="1"/>
  <c r="AU168" i="23" s="1"/>
  <c r="AG159" i="23"/>
  <c r="AG160" i="23" s="1"/>
  <c r="P270" i="23"/>
  <c r="AI71" i="23"/>
  <c r="Z134" i="23"/>
  <c r="Z47" i="23" s="1"/>
  <c r="AD134" i="23"/>
  <c r="AD47" i="23" s="1"/>
  <c r="AD46" i="23" s="1"/>
  <c r="N145" i="23"/>
  <c r="R136" i="23"/>
  <c r="R48" i="23" s="1"/>
  <c r="M269" i="23"/>
  <c r="AP208" i="23"/>
  <c r="AU260" i="23"/>
  <c r="AU172" i="23" s="1"/>
  <c r="AG251" i="23"/>
  <c r="P268" i="23"/>
  <c r="BF170" i="23"/>
  <c r="AE72" i="23"/>
  <c r="W269" i="23"/>
  <c r="O168" i="23"/>
  <c r="BC159" i="23"/>
  <c r="BC160" i="23" s="1"/>
  <c r="R144" i="23"/>
  <c r="M159" i="23"/>
  <c r="W71" i="23"/>
  <c r="AU268" i="23"/>
  <c r="P260" i="23"/>
  <c r="P172" i="23" s="1"/>
  <c r="BD268" i="23"/>
  <c r="AQ145" i="23"/>
  <c r="BC251" i="23"/>
  <c r="R134" i="23"/>
  <c r="R47" i="23" s="1"/>
  <c r="R44" i="23" s="1"/>
  <c r="AU159" i="23"/>
  <c r="AU270" i="23"/>
  <c r="P258" i="23"/>
  <c r="P171" i="23" s="1"/>
  <c r="AF270" i="23"/>
  <c r="AJ260" i="23"/>
  <c r="AJ172" i="23" s="1"/>
  <c r="AJ170" i="23" s="1"/>
  <c r="X134" i="23"/>
  <c r="X47" i="23" s="1"/>
  <c r="BE146" i="23"/>
  <c r="BC270" i="23"/>
  <c r="AR146" i="23"/>
  <c r="AQ136" i="23"/>
  <c r="AQ48" i="23" s="1"/>
  <c r="AD146" i="23"/>
  <c r="L136" i="23"/>
  <c r="L48" i="23" s="1"/>
  <c r="R146" i="23"/>
  <c r="O46" i="23"/>
  <c r="BA136" i="23"/>
  <c r="BA48" i="23" s="1"/>
  <c r="M208" i="23"/>
  <c r="J168" i="23"/>
  <c r="F195" i="23"/>
  <c r="AU251" i="23"/>
  <c r="P159" i="23"/>
  <c r="P160" i="23" s="1"/>
  <c r="AF258" i="23"/>
  <c r="AF171" i="23" s="1"/>
  <c r="AJ258" i="23"/>
  <c r="AJ171" i="23" s="1"/>
  <c r="X136" i="23"/>
  <c r="X48" i="23" s="1"/>
  <c r="X46" i="23" s="1"/>
  <c r="BE144" i="23"/>
  <c r="AE269" i="23"/>
  <c r="BC260" i="23"/>
  <c r="BC172" i="23" s="1"/>
  <c r="BC170" i="23" s="1"/>
  <c r="V71" i="23"/>
  <c r="V72" i="23" s="1"/>
  <c r="AD136" i="23"/>
  <c r="AD48" i="23" s="1"/>
  <c r="BC268" i="23"/>
  <c r="R35" i="23"/>
  <c r="AF268" i="23"/>
  <c r="AJ159" i="23"/>
  <c r="X35" i="23"/>
  <c r="AG208" i="23"/>
  <c r="BE136" i="23"/>
  <c r="BE48" i="23" s="1"/>
  <c r="BE46" i="23" s="1"/>
  <c r="AF159" i="23"/>
  <c r="AF155" i="23" s="1"/>
  <c r="X127" i="23"/>
  <c r="BD269" i="23"/>
  <c r="K144" i="23"/>
  <c r="AH170" i="23"/>
  <c r="BC269" i="23"/>
  <c r="AP144" i="23"/>
  <c r="AJ269" i="23"/>
  <c r="AF251" i="23"/>
  <c r="AJ196" i="23"/>
  <c r="L268" i="23"/>
  <c r="AB136" i="23"/>
  <c r="AB48" i="23" s="1"/>
  <c r="AB46" i="23" s="1"/>
  <c r="AU127" i="23"/>
  <c r="AU146" i="23"/>
  <c r="M44" i="23"/>
  <c r="BF134" i="23"/>
  <c r="BF47" i="23" s="1"/>
  <c r="BF44" i="23" s="1"/>
  <c r="BA258" i="23"/>
  <c r="BA171" i="23" s="1"/>
  <c r="BA170" i="23" s="1"/>
  <c r="AH71" i="23"/>
  <c r="AH72" i="23" s="1"/>
  <c r="AB195" i="23"/>
  <c r="AB196" i="23" s="1"/>
  <c r="Y170" i="23"/>
  <c r="AA168" i="23"/>
  <c r="G195" i="23"/>
  <c r="G196" i="23" s="1"/>
  <c r="Q195" i="23"/>
  <c r="Q196" i="23" s="1"/>
  <c r="AF145" i="23"/>
  <c r="AH146" i="23"/>
  <c r="BA159" i="23"/>
  <c r="BC71" i="23"/>
  <c r="BC72" i="23" s="1"/>
  <c r="BF159" i="23"/>
  <c r="BB46" i="23"/>
  <c r="AQ144" i="23"/>
  <c r="AU136" i="23"/>
  <c r="AU48" i="23" s="1"/>
  <c r="AU44" i="23" s="1"/>
  <c r="AE46" i="23"/>
  <c r="AS44" i="23"/>
  <c r="BA251" i="23"/>
  <c r="AX71" i="23"/>
  <c r="AT195" i="23"/>
  <c r="BF251" i="23"/>
  <c r="BB268" i="23"/>
  <c r="AU144" i="23"/>
  <c r="BB269" i="23"/>
  <c r="Q35" i="23"/>
  <c r="BB145" i="23"/>
  <c r="AF46" i="23"/>
  <c r="V168" i="23"/>
  <c r="AH144" i="23"/>
  <c r="AC145" i="23"/>
  <c r="F44" i="23"/>
  <c r="AY35" i="23"/>
  <c r="AY31" i="23" s="1"/>
  <c r="AX72" i="23"/>
  <c r="Z136" i="23"/>
  <c r="Z48" i="23" s="1"/>
  <c r="Z46" i="23" s="1"/>
  <c r="T71" i="23"/>
  <c r="T72" i="23" s="1"/>
  <c r="AM168" i="23"/>
  <c r="AG44" i="23"/>
  <c r="AN136" i="23"/>
  <c r="AN48" i="23" s="1"/>
  <c r="AN46" i="23" s="1"/>
  <c r="Q127" i="23"/>
  <c r="AD145" i="23"/>
  <c r="W145" i="23"/>
  <c r="K159" i="23"/>
  <c r="F145" i="23"/>
  <c r="O145" i="23"/>
  <c r="AY127" i="23"/>
  <c r="V134" i="23"/>
  <c r="V47" i="23" s="1"/>
  <c r="V44" i="23" s="1"/>
  <c r="Z35" i="23"/>
  <c r="Z36" i="23" s="1"/>
  <c r="Z168" i="23"/>
  <c r="AQ46" i="23"/>
  <c r="AG145" i="23"/>
  <c r="AN145" i="23"/>
  <c r="AH145" i="23"/>
  <c r="P44" i="23"/>
  <c r="T44" i="23"/>
  <c r="V136" i="23"/>
  <c r="V48" i="23" s="1"/>
  <c r="Z127" i="23"/>
  <c r="W168" i="23"/>
  <c r="AS71" i="23"/>
  <c r="AS72" i="23" s="1"/>
  <c r="AJ251" i="23"/>
  <c r="AH134" i="23"/>
  <c r="AH47" i="23" s="1"/>
  <c r="AH46" i="23" s="1"/>
  <c r="Q144" i="23"/>
  <c r="AS84" i="23"/>
  <c r="AS86" i="23" s="1"/>
  <c r="AS87" i="23" s="1"/>
  <c r="BA146" i="23"/>
  <c r="BB159" i="23"/>
  <c r="V127" i="23"/>
  <c r="BE44" i="23"/>
  <c r="T168" i="23"/>
  <c r="AM44" i="23"/>
  <c r="AZ195" i="23"/>
  <c r="AZ196" i="23" s="1"/>
  <c r="BB251" i="23"/>
  <c r="BA46" i="23"/>
  <c r="AC168" i="23"/>
  <c r="AS268" i="23"/>
  <c r="AS270" i="23"/>
  <c r="AZ208" i="23"/>
  <c r="Q146" i="23"/>
  <c r="AU35" i="23"/>
  <c r="AU36" i="23" s="1"/>
  <c r="AL46" i="23"/>
  <c r="K269" i="23"/>
  <c r="K258" i="23"/>
  <c r="K171" i="23" s="1"/>
  <c r="K170" i="23" s="1"/>
  <c r="AM145" i="23"/>
  <c r="AW46" i="23"/>
  <c r="BF146" i="23"/>
  <c r="Q134" i="23"/>
  <c r="Q47" i="23" s="1"/>
  <c r="K44" i="23"/>
  <c r="AV168" i="23"/>
  <c r="BB260" i="23"/>
  <c r="BB172" i="23" s="1"/>
  <c r="BB170" i="23" s="1"/>
  <c r="L145" i="23"/>
  <c r="AB145" i="23"/>
  <c r="AY134" i="23"/>
  <c r="AY47" i="23" s="1"/>
  <c r="AY44" i="23" s="1"/>
  <c r="AT145" i="23"/>
  <c r="K270" i="23"/>
  <c r="AE170" i="23"/>
  <c r="Z144" i="23"/>
  <c r="AF260" i="23"/>
  <c r="AF172" i="23" s="1"/>
  <c r="AF170" i="23" s="1"/>
  <c r="AI72" i="23"/>
  <c r="K268" i="23"/>
  <c r="AR145" i="23"/>
  <c r="BG145" i="23"/>
  <c r="J44" i="23"/>
  <c r="AJ44" i="23"/>
  <c r="R145" i="23"/>
  <c r="BC44" i="23"/>
  <c r="X168" i="23"/>
  <c r="BB77" i="23"/>
  <c r="BB78" i="23" s="1"/>
  <c r="BB79" i="23"/>
  <c r="BB81" i="23" s="1"/>
  <c r="BB82" i="23" s="1"/>
  <c r="AK77" i="23"/>
  <c r="AK78" i="23" s="1"/>
  <c r="AC77" i="23"/>
  <c r="AC78" i="23" s="1"/>
  <c r="AC79" i="23"/>
  <c r="AC81" i="23" s="1"/>
  <c r="AC82" i="23" s="1"/>
  <c r="AJ77" i="23"/>
  <c r="AJ78" i="23" s="1"/>
  <c r="AJ79" i="23" s="1"/>
  <c r="AJ81" i="23" s="1"/>
  <c r="AJ82" i="23" s="1"/>
  <c r="M77" i="23"/>
  <c r="M78" i="23" s="1"/>
  <c r="M79" i="23" s="1"/>
  <c r="M81" i="23" s="1"/>
  <c r="M82" i="23" s="1"/>
  <c r="J77" i="23"/>
  <c r="J78" i="23" s="1"/>
  <c r="J79" i="23" s="1"/>
  <c r="L77" i="23"/>
  <c r="L78" i="23" s="1"/>
  <c r="AW197" i="23"/>
  <c r="AW198" i="23" s="1"/>
  <c r="AW199" i="23" s="1"/>
  <c r="AW200" i="23" s="1"/>
  <c r="T199" i="23"/>
  <c r="T200" i="23" s="1"/>
  <c r="T197" i="23"/>
  <c r="T198" i="23" s="1"/>
  <c r="AH210" i="23"/>
  <c r="AH211" i="23" s="1"/>
  <c r="AK36" i="23"/>
  <c r="AK31" i="23"/>
  <c r="H160" i="23"/>
  <c r="H155" i="23"/>
  <c r="Q160" i="23"/>
  <c r="Q155" i="23"/>
  <c r="AC127" i="23"/>
  <c r="AC35" i="23"/>
  <c r="P86" i="23"/>
  <c r="P87" i="23" s="1"/>
  <c r="N44" i="23"/>
  <c r="AU210" i="23"/>
  <c r="AU211" i="23" s="1"/>
  <c r="V160" i="23"/>
  <c r="V155" i="23"/>
  <c r="AW196" i="23"/>
  <c r="AJ88" i="23"/>
  <c r="AJ89" i="23" s="1"/>
  <c r="AJ90" i="23" s="1"/>
  <c r="AJ91" i="23" s="1"/>
  <c r="O44" i="23"/>
  <c r="AS210" i="23"/>
  <c r="AS211" i="23" s="1"/>
  <c r="W86" i="23"/>
  <c r="F197" i="23"/>
  <c r="F198" i="23" s="1"/>
  <c r="F199" i="23"/>
  <c r="F200" i="23" s="1"/>
  <c r="S199" i="23"/>
  <c r="S200" i="23" s="1"/>
  <c r="S197" i="23"/>
  <c r="S198" i="23" s="1"/>
  <c r="BC86" i="23"/>
  <c r="BC87" i="23" s="1"/>
  <c r="BE197" i="23"/>
  <c r="BE198" i="23"/>
  <c r="BE199" i="23" s="1"/>
  <c r="BE200" i="23" s="1"/>
  <c r="P197" i="23"/>
  <c r="P198" i="23" s="1"/>
  <c r="P199" i="23"/>
  <c r="P200" i="23" s="1"/>
  <c r="Y197" i="23"/>
  <c r="Y198" i="23" s="1"/>
  <c r="Y199" i="23" s="1"/>
  <c r="Y200" i="23" s="1"/>
  <c r="I210" i="23"/>
  <c r="O36" i="23"/>
  <c r="O31" i="23"/>
  <c r="AJ160" i="23"/>
  <c r="AJ155" i="23"/>
  <c r="Z170" i="23"/>
  <c r="AM36" i="23"/>
  <c r="AM31" i="23"/>
  <c r="S210" i="23"/>
  <c r="F75" i="23"/>
  <c r="F76" i="23" s="1"/>
  <c r="F73" i="23"/>
  <c r="F74" i="23" s="1"/>
  <c r="P210" i="23"/>
  <c r="F168" i="23"/>
  <c r="I197" i="23"/>
  <c r="I198" i="23" s="1"/>
  <c r="I199" i="23" s="1"/>
  <c r="I200" i="23" s="1"/>
  <c r="AI86" i="23"/>
  <c r="AI87" i="23" s="1"/>
  <c r="AV208" i="23"/>
  <c r="AV195" i="23"/>
  <c r="AV196" i="23" s="1"/>
  <c r="AE73" i="23"/>
  <c r="AE74" i="23" s="1"/>
  <c r="AE75" i="23" s="1"/>
  <c r="AE76" i="23" s="1"/>
  <c r="V86" i="23"/>
  <c r="AA127" i="23"/>
  <c r="AA35" i="23"/>
  <c r="AA136" i="23"/>
  <c r="AA48" i="23" s="1"/>
  <c r="AA134" i="23"/>
  <c r="AA47" i="23" s="1"/>
  <c r="AX160" i="23"/>
  <c r="AX155" i="23"/>
  <c r="M36" i="23"/>
  <c r="M31" i="23"/>
  <c r="L146" i="23"/>
  <c r="AW44" i="23"/>
  <c r="AU197" i="23"/>
  <c r="AU198" i="23" s="1"/>
  <c r="AU199" i="23" s="1"/>
  <c r="AU200" i="23" s="1"/>
  <c r="T210" i="23"/>
  <c r="T211" i="23" s="1"/>
  <c r="AW210" i="23"/>
  <c r="AW211" i="23" s="1"/>
  <c r="BB88" i="23"/>
  <c r="BB89" i="23" s="1"/>
  <c r="BB90" i="23" s="1"/>
  <c r="BB91" i="23" s="1"/>
  <c r="J170" i="23"/>
  <c r="BA160" i="23"/>
  <c r="BA155" i="23"/>
  <c r="AQ86" i="23"/>
  <c r="N168" i="23"/>
  <c r="AT160" i="23"/>
  <c r="AT155" i="23"/>
  <c r="F86" i="23"/>
  <c r="P196" i="23"/>
  <c r="Y210" i="23"/>
  <c r="Y211" i="23" s="1"/>
  <c r="K197" i="23"/>
  <c r="K198" i="23" s="1"/>
  <c r="K199" i="23" s="1"/>
  <c r="K200" i="23" s="1"/>
  <c r="R73" i="23"/>
  <c r="R74" i="23" s="1"/>
  <c r="R75" i="23"/>
  <c r="R76" i="23" s="1"/>
  <c r="AI73" i="23"/>
  <c r="AI74" i="23" s="1"/>
  <c r="AI75" i="23" s="1"/>
  <c r="AI76" i="23" s="1"/>
  <c r="AA144" i="23"/>
  <c r="AT197" i="23"/>
  <c r="AT198" i="23" s="1"/>
  <c r="AT199" i="23" s="1"/>
  <c r="AT200" i="23" s="1"/>
  <c r="AL210" i="23"/>
  <c r="BB197" i="23"/>
  <c r="BB198" i="23"/>
  <c r="BB199" i="23" s="1"/>
  <c r="BB200" i="23" s="1"/>
  <c r="AE197" i="23"/>
  <c r="AE198" i="23" s="1"/>
  <c r="AE199" i="23" s="1"/>
  <c r="AE200" i="23" s="1"/>
  <c r="F160" i="23"/>
  <c r="F155" i="23"/>
  <c r="AV73" i="23"/>
  <c r="AV74" i="23"/>
  <c r="AV75" i="23" s="1"/>
  <c r="AV76" i="23" s="1"/>
  <c r="AR127" i="23"/>
  <c r="AR35" i="23"/>
  <c r="T196" i="23"/>
  <c r="J36" i="23"/>
  <c r="J31" i="23"/>
  <c r="P36" i="23"/>
  <c r="P31" i="23"/>
  <c r="AW73" i="23"/>
  <c r="AW74" i="23" s="1"/>
  <c r="AW75" i="23" s="1"/>
  <c r="AW76" i="23" s="1"/>
  <c r="AS36" i="23"/>
  <c r="AS31" i="23"/>
  <c r="BA86" i="23"/>
  <c r="BA87" i="23" s="1"/>
  <c r="AT210" i="23"/>
  <c r="AT211" i="23" s="1"/>
  <c r="BE86" i="23"/>
  <c r="K210" i="23"/>
  <c r="AD168" i="23"/>
  <c r="AL160" i="23"/>
  <c r="AL155" i="23"/>
  <c r="AM160" i="23"/>
  <c r="AM155" i="23"/>
  <c r="AL168" i="23"/>
  <c r="BA195" i="23"/>
  <c r="BA208" i="23"/>
  <c r="AL197" i="23"/>
  <c r="AL198" i="23" s="1"/>
  <c r="AL199" i="23" s="1"/>
  <c r="AL200" i="23" s="1"/>
  <c r="AY251" i="23"/>
  <c r="AY159" i="23"/>
  <c r="AY268" i="23"/>
  <c r="AY260" i="23"/>
  <c r="AY172" i="23" s="1"/>
  <c r="AY258" i="23"/>
  <c r="AY171" i="23" s="1"/>
  <c r="AY270" i="23"/>
  <c r="AY269" i="23"/>
  <c r="AA73" i="23"/>
  <c r="AA74" i="23" s="1"/>
  <c r="AA75" i="23" s="1"/>
  <c r="AA76" i="23" s="1"/>
  <c r="AE210" i="23"/>
  <c r="AE211" i="23"/>
  <c r="BF86" i="23"/>
  <c r="BF87" i="23" s="1"/>
  <c r="O86" i="23"/>
  <c r="O87" i="23" s="1"/>
  <c r="G160" i="23"/>
  <c r="G155" i="23"/>
  <c r="AV86" i="23"/>
  <c r="AV87" i="23"/>
  <c r="BG251" i="23"/>
  <c r="BG159" i="23"/>
  <c r="BG258" i="23"/>
  <c r="BG171" i="23" s="1"/>
  <c r="BG269" i="23"/>
  <c r="BG260" i="23"/>
  <c r="BG172" i="23" s="1"/>
  <c r="AV46" i="23"/>
  <c r="BD208" i="23"/>
  <c r="BD195" i="23"/>
  <c r="BD196" i="23" s="1"/>
  <c r="AZ127" i="23"/>
  <c r="AZ35" i="23"/>
  <c r="AZ144" i="23"/>
  <c r="AZ146" i="23"/>
  <c r="AZ136" i="23"/>
  <c r="AZ48" i="23" s="1"/>
  <c r="AZ134" i="23"/>
  <c r="AZ47" i="23" s="1"/>
  <c r="AZ44" i="23" s="1"/>
  <c r="AW86" i="23"/>
  <c r="AW87" i="23" s="1"/>
  <c r="J160" i="23"/>
  <c r="J155" i="23"/>
  <c r="AO210" i="23"/>
  <c r="AO211" i="23" s="1"/>
  <c r="AH86" i="23"/>
  <c r="AH87" i="23" s="1"/>
  <c r="Q86" i="23"/>
  <c r="Q87" i="23" s="1"/>
  <c r="AN73" i="23"/>
  <c r="AN74" i="23" s="1"/>
  <c r="AN75" i="23" s="1"/>
  <c r="AN76" i="23" s="1"/>
  <c r="AO146" i="23"/>
  <c r="AU170" i="23"/>
  <c r="AT196" i="23"/>
  <c r="Y168" i="23"/>
  <c r="W197" i="23"/>
  <c r="W198" i="23"/>
  <c r="W199" i="23" s="1"/>
  <c r="W200" i="23" s="1"/>
  <c r="AD160" i="23"/>
  <c r="AD155" i="23"/>
  <c r="AO73" i="23"/>
  <c r="AO75" i="23"/>
  <c r="AO76" i="23" s="1"/>
  <c r="AO74" i="23"/>
  <c r="BF168" i="23"/>
  <c r="Z160" i="23"/>
  <c r="Z155" i="23"/>
  <c r="V75" i="23"/>
  <c r="V76" i="23" s="1"/>
  <c r="V73" i="23"/>
  <c r="V74" i="23" s="1"/>
  <c r="F210" i="23"/>
  <c r="AD36" i="23"/>
  <c r="AD31" i="23"/>
  <c r="AU84" i="23"/>
  <c r="AU71" i="23"/>
  <c r="AR46" i="23"/>
  <c r="AL196" i="23"/>
  <c r="AL84" i="23"/>
  <c r="AL71" i="23"/>
  <c r="AG86" i="23"/>
  <c r="AA72" i="23"/>
  <c r="BF73" i="23"/>
  <c r="BF74" i="23" s="1"/>
  <c r="BF75" i="23" s="1"/>
  <c r="BF76" i="23" s="1"/>
  <c r="O73" i="23"/>
  <c r="O74" i="23" s="1"/>
  <c r="O75" i="23" s="1"/>
  <c r="O76" i="23" s="1"/>
  <c r="AY46" i="23"/>
  <c r="J88" i="23"/>
  <c r="J89" i="23" s="1"/>
  <c r="J90" i="23" s="1"/>
  <c r="J91" i="23" s="1"/>
  <c r="Z210" i="23"/>
  <c r="Z211" i="23" s="1"/>
  <c r="W44" i="23"/>
  <c r="H36" i="23"/>
  <c r="H31" i="23"/>
  <c r="AH160" i="23"/>
  <c r="AH155" i="23"/>
  <c r="AC146" i="23"/>
  <c r="AV145" i="23"/>
  <c r="AQ251" i="23"/>
  <c r="AQ159" i="23"/>
  <c r="AQ258" i="23"/>
  <c r="AQ171" i="23" s="1"/>
  <c r="AQ269" i="23"/>
  <c r="AQ268" i="23"/>
  <c r="AQ270" i="23"/>
  <c r="AQ260" i="23"/>
  <c r="AQ172" i="23" s="1"/>
  <c r="AQ170" i="23" s="1"/>
  <c r="BA44" i="23"/>
  <c r="R168" i="23"/>
  <c r="AT36" i="23"/>
  <c r="AT31" i="23"/>
  <c r="AO197" i="23"/>
  <c r="AO199" i="23"/>
  <c r="AO200" i="23" s="1"/>
  <c r="Q73" i="23"/>
  <c r="Q74" i="23" s="1"/>
  <c r="Q75" i="23"/>
  <c r="Q76" i="23" s="1"/>
  <c r="AN87" i="23"/>
  <c r="AN86" i="23"/>
  <c r="AG168" i="23"/>
  <c r="Y73" i="23"/>
  <c r="Y74" i="23" s="1"/>
  <c r="Y75" i="23" s="1"/>
  <c r="Y76" i="23" s="1"/>
  <c r="Y160" i="23"/>
  <c r="Y155" i="23"/>
  <c r="AI170" i="23"/>
  <c r="W210" i="23"/>
  <c r="W211" i="23" s="1"/>
  <c r="AO86" i="23"/>
  <c r="BF160" i="23"/>
  <c r="BF155" i="23"/>
  <c r="AN170" i="23"/>
  <c r="R160" i="23"/>
  <c r="R155" i="23"/>
  <c r="AM46" i="23"/>
  <c r="AA86" i="23"/>
  <c r="AN160" i="23"/>
  <c r="AN155" i="23"/>
  <c r="AQ44" i="23"/>
  <c r="BF72" i="23"/>
  <c r="O72" i="23"/>
  <c r="S251" i="23"/>
  <c r="S159" i="23"/>
  <c r="S260" i="23"/>
  <c r="S172" i="23" s="1"/>
  <c r="S170" i="23" s="1"/>
  <c r="S270" i="23"/>
  <c r="S269" i="23"/>
  <c r="S258" i="23"/>
  <c r="S171" i="23" s="1"/>
  <c r="M46" i="23"/>
  <c r="J87" i="23"/>
  <c r="Z197" i="23"/>
  <c r="Z198" i="23" s="1"/>
  <c r="Z199" i="23" s="1"/>
  <c r="Z200" i="23" s="1"/>
  <c r="L88" i="23"/>
  <c r="L89" i="23" s="1"/>
  <c r="L90" i="23" s="1"/>
  <c r="L91" i="23" s="1"/>
  <c r="AC144" i="23"/>
  <c r="AP84" i="23"/>
  <c r="AP71" i="23"/>
  <c r="AP72" i="23" s="1"/>
  <c r="BF127" i="23"/>
  <c r="BF35" i="23"/>
  <c r="R46" i="23"/>
  <c r="AK251" i="23"/>
  <c r="AK159" i="23"/>
  <c r="AK270" i="23"/>
  <c r="AK258" i="23"/>
  <c r="AK171" i="23" s="1"/>
  <c r="AK269" i="23"/>
  <c r="AK260" i="23"/>
  <c r="AK172" i="23" s="1"/>
  <c r="AK268" i="23"/>
  <c r="F36" i="23"/>
  <c r="F31" i="23"/>
  <c r="Q44" i="23"/>
  <c r="S46" i="23"/>
  <c r="AV160" i="23"/>
  <c r="AV155" i="23"/>
  <c r="BA36" i="23"/>
  <c r="BA31" i="23"/>
  <c r="AE36" i="23"/>
  <c r="AE31" i="23"/>
  <c r="AM210" i="23"/>
  <c r="J211" i="23"/>
  <c r="J210" i="23"/>
  <c r="AN72" i="23"/>
  <c r="AR73" i="23"/>
  <c r="AR74" i="23" s="1"/>
  <c r="AR75" i="23" s="1"/>
  <c r="AR76" i="23" s="1"/>
  <c r="AU160" i="23"/>
  <c r="AU155" i="23"/>
  <c r="Y72" i="23"/>
  <c r="P168" i="23"/>
  <c r="W196" i="23"/>
  <c r="AO72" i="23"/>
  <c r="AI36" i="23"/>
  <c r="AI31" i="23"/>
  <c r="AJ197" i="23"/>
  <c r="AJ198" i="23" s="1"/>
  <c r="AJ199" i="23" s="1"/>
  <c r="AJ200" i="23" s="1"/>
  <c r="V36" i="23"/>
  <c r="V31" i="23"/>
  <c r="AK88" i="23"/>
  <c r="AK89" i="23" s="1"/>
  <c r="AK90" i="23" s="1"/>
  <c r="AK91" i="23" s="1"/>
  <c r="AG73" i="23"/>
  <c r="AG74" i="23" s="1"/>
  <c r="AG75" i="23" s="1"/>
  <c r="AG76" i="23" s="1"/>
  <c r="I127" i="23"/>
  <c r="I35" i="23"/>
  <c r="I134" i="23"/>
  <c r="I47" i="23" s="1"/>
  <c r="I136" i="23"/>
  <c r="I48" i="23" s="1"/>
  <c r="I46" i="23" s="1"/>
  <c r="N36" i="23"/>
  <c r="N31" i="23"/>
  <c r="BG44" i="23"/>
  <c r="AU145" i="23"/>
  <c r="AF208" i="23"/>
  <c r="AF195" i="23"/>
  <c r="AF196" i="23" s="1"/>
  <c r="AT72" i="23"/>
  <c r="AT84" i="23"/>
  <c r="AT71" i="23"/>
  <c r="U160" i="23"/>
  <c r="U155" i="23"/>
  <c r="AC136" i="23"/>
  <c r="AC48" i="23" s="1"/>
  <c r="AC46" i="23" s="1"/>
  <c r="AB127" i="23"/>
  <c r="AB35" i="23"/>
  <c r="AN127" i="23"/>
  <c r="AN35" i="23"/>
  <c r="Q145" i="23"/>
  <c r="AM197" i="23"/>
  <c r="AM198" i="23"/>
  <c r="AM199" i="23"/>
  <c r="AM200" i="23" s="1"/>
  <c r="AZ170" i="23"/>
  <c r="AW168" i="23"/>
  <c r="BE170" i="23"/>
  <c r="S86" i="23"/>
  <c r="S87" i="23" s="1"/>
  <c r="AR72" i="23"/>
  <c r="Y86" i="23"/>
  <c r="Y87" i="23" s="1"/>
  <c r="BB168" i="23"/>
  <c r="BC210" i="23"/>
  <c r="AJ211" i="23"/>
  <c r="AJ210" i="23"/>
  <c r="S36" i="23"/>
  <c r="S31" i="23"/>
  <c r="U210" i="23"/>
  <c r="U211" i="23" s="1"/>
  <c r="AO127" i="23"/>
  <c r="AO35" i="23"/>
  <c r="AO136" i="23"/>
  <c r="AO48" i="23" s="1"/>
  <c r="AO134" i="23"/>
  <c r="AO47" i="23" s="1"/>
  <c r="AO44" i="23" s="1"/>
  <c r="W36" i="23"/>
  <c r="W31" i="23"/>
  <c r="X195" i="23"/>
  <c r="X208" i="23"/>
  <c r="X196" i="23"/>
  <c r="AS160" i="23"/>
  <c r="AS155" i="23"/>
  <c r="Y127" i="23"/>
  <c r="Y35" i="23"/>
  <c r="Y146" i="23"/>
  <c r="Y144" i="23"/>
  <c r="Y136" i="23"/>
  <c r="Y48" i="23" s="1"/>
  <c r="Y134" i="23"/>
  <c r="Y47" i="23" s="1"/>
  <c r="R199" i="23"/>
  <c r="R200" i="23" s="1"/>
  <c r="R197" i="23"/>
  <c r="R198" i="23" s="1"/>
  <c r="T160" i="23"/>
  <c r="T155" i="23"/>
  <c r="AB73" i="23"/>
  <c r="AB74" i="23" s="1"/>
  <c r="AB75" i="23" s="1"/>
  <c r="AB76" i="23" s="1"/>
  <c r="J197" i="23"/>
  <c r="J198" i="23" s="1"/>
  <c r="J199" i="23" s="1"/>
  <c r="J200" i="23" s="1"/>
  <c r="S73" i="23"/>
  <c r="S74" i="23" s="1"/>
  <c r="S75" i="23"/>
  <c r="S76" i="23" s="1"/>
  <c r="AB210" i="23"/>
  <c r="AB211" i="23" s="1"/>
  <c r="AR86" i="23"/>
  <c r="AR87" i="23" s="1"/>
  <c r="S268" i="23"/>
  <c r="T36" i="23"/>
  <c r="T31" i="23"/>
  <c r="T73" i="23"/>
  <c r="T74" i="23" s="1"/>
  <c r="T75" i="23"/>
  <c r="T76" i="23" s="1"/>
  <c r="AF73" i="23"/>
  <c r="AF74" i="23" s="1"/>
  <c r="AF75" i="23" s="1"/>
  <c r="AF76" i="23" s="1"/>
  <c r="AC210" i="23"/>
  <c r="AC211" i="23" s="1"/>
  <c r="BC197" i="23"/>
  <c r="BC198" i="23" s="1"/>
  <c r="BC199" i="23" s="1"/>
  <c r="BC200" i="23" s="1"/>
  <c r="AA146" i="23"/>
  <c r="BB210" i="23"/>
  <c r="BB211" i="23" s="1"/>
  <c r="U199" i="23"/>
  <c r="U200" i="23" s="1"/>
  <c r="U197" i="23"/>
  <c r="U198" i="23" s="1"/>
  <c r="AK197" i="23"/>
  <c r="AK198" i="23" s="1"/>
  <c r="AK199" i="23" s="1"/>
  <c r="AK200" i="23" s="1"/>
  <c r="BG73" i="23"/>
  <c r="BG74" i="23" s="1"/>
  <c r="BG75" i="23" s="1"/>
  <c r="BG76" i="23" s="1"/>
  <c r="Q36" i="23"/>
  <c r="Q31" i="23"/>
  <c r="T170" i="23"/>
  <c r="AF44" i="23"/>
  <c r="M145" i="23"/>
  <c r="L197" i="23"/>
  <c r="L198" i="23" s="1"/>
  <c r="L199" i="23" s="1"/>
  <c r="L200" i="23" s="1"/>
  <c r="AH44" i="23"/>
  <c r="K160" i="23"/>
  <c r="K155" i="23"/>
  <c r="R196" i="23"/>
  <c r="L160" i="23"/>
  <c r="L155" i="23"/>
  <c r="S145" i="23"/>
  <c r="M210" i="23"/>
  <c r="M211" i="23" s="1"/>
  <c r="AE168" i="23"/>
  <c r="AB86" i="23"/>
  <c r="AB87" i="23" s="1"/>
  <c r="AW160" i="23"/>
  <c r="AW155" i="23"/>
  <c r="BE160" i="23"/>
  <c r="BE155" i="23"/>
  <c r="BG270" i="23"/>
  <c r="BC168" i="23"/>
  <c r="T86" i="23"/>
  <c r="T87" i="23" s="1"/>
  <c r="AA160" i="23"/>
  <c r="AA155" i="23"/>
  <c r="AI160" i="23"/>
  <c r="AI155" i="23"/>
  <c r="AF86" i="23"/>
  <c r="AF87" i="23"/>
  <c r="AL44" i="23"/>
  <c r="AC197" i="23"/>
  <c r="AC198" i="23" s="1"/>
  <c r="AC199" i="23" s="1"/>
  <c r="AC200" i="23" s="1"/>
  <c r="BC196" i="23"/>
  <c r="X36" i="23"/>
  <c r="X31" i="23"/>
  <c r="AV36" i="23"/>
  <c r="AV31" i="23"/>
  <c r="AY210" i="23"/>
  <c r="AY211" i="23" s="1"/>
  <c r="BG86" i="23"/>
  <c r="BG87" i="23" s="1"/>
  <c r="BD170" i="23"/>
  <c r="L127" i="23"/>
  <c r="L35" i="23"/>
  <c r="BD127" i="23"/>
  <c r="BD35" i="23"/>
  <c r="BD144" i="23"/>
  <c r="BD146" i="23"/>
  <c r="BD134" i="23"/>
  <c r="BD47" i="23" s="1"/>
  <c r="BD136" i="23"/>
  <c r="BD48" i="23" s="1"/>
  <c r="BD46" i="23" s="1"/>
  <c r="AP36" i="23"/>
  <c r="AP31" i="23"/>
  <c r="AM73" i="23"/>
  <c r="AM74" i="23" s="1"/>
  <c r="AM75" i="23"/>
  <c r="AM76" i="23" s="1"/>
  <c r="AQ127" i="23"/>
  <c r="AQ35" i="23"/>
  <c r="Z74" i="23"/>
  <c r="Z75" i="23" s="1"/>
  <c r="Z76" i="23" s="1"/>
  <c r="Z73" i="23"/>
  <c r="R210" i="23"/>
  <c r="R211" i="23" s="1"/>
  <c r="AD73" i="23"/>
  <c r="AD74" i="23" s="1"/>
  <c r="AD75" i="23" s="1"/>
  <c r="AD76" i="23" s="1"/>
  <c r="AY73" i="23"/>
  <c r="AY74" i="23" s="1"/>
  <c r="AY75" i="23" s="1"/>
  <c r="AY76" i="23" s="1"/>
  <c r="M197" i="23"/>
  <c r="M198" i="23" s="1"/>
  <c r="M199" i="23" s="1"/>
  <c r="M200" i="23" s="1"/>
  <c r="Q199" i="23"/>
  <c r="Q200" i="23" s="1"/>
  <c r="Q197" i="23"/>
  <c r="Q198" i="23" s="1"/>
  <c r="BC46" i="23"/>
  <c r="X170" i="23"/>
  <c r="AN197" i="23"/>
  <c r="AN198" i="23" s="1"/>
  <c r="AN199" i="23" s="1"/>
  <c r="AN200" i="23" s="1"/>
  <c r="H46" i="23"/>
  <c r="AL36" i="23"/>
  <c r="AL31" i="23"/>
  <c r="AO170" i="23"/>
  <c r="BF210" i="23"/>
  <c r="BF211" i="23" s="1"/>
  <c r="G210" i="23"/>
  <c r="G211" i="23" s="1"/>
  <c r="AE86" i="23"/>
  <c r="AE87" i="23"/>
  <c r="X86" i="23"/>
  <c r="X87" i="23" s="1"/>
  <c r="N72" i="23"/>
  <c r="N71" i="23"/>
  <c r="N84" i="23"/>
  <c r="AY197" i="23"/>
  <c r="AY198" i="23" s="1"/>
  <c r="AY199" i="23" s="1"/>
  <c r="AY200" i="23" s="1"/>
  <c r="AB160" i="23"/>
  <c r="AB155" i="23"/>
  <c r="AK210" i="23"/>
  <c r="O197" i="23"/>
  <c r="O198" i="23" s="1"/>
  <c r="O199" i="23" s="1"/>
  <c r="O200" i="23" s="1"/>
  <c r="AC160" i="23"/>
  <c r="AC155" i="23"/>
  <c r="BB36" i="23"/>
  <c r="BB31" i="23"/>
  <c r="AC88" i="23"/>
  <c r="AC89" i="23" s="1"/>
  <c r="AC90" i="23" s="1"/>
  <c r="AC91" i="23" s="1"/>
  <c r="K74" i="23"/>
  <c r="K75" i="23" s="1"/>
  <c r="K76" i="23" s="1"/>
  <c r="K73" i="23"/>
  <c r="AM86" i="23"/>
  <c r="AM87" i="23" s="1"/>
  <c r="K36" i="23"/>
  <c r="K31" i="23"/>
  <c r="BD160" i="23"/>
  <c r="BD155" i="23"/>
  <c r="AY86" i="23"/>
  <c r="AY87" i="23" s="1"/>
  <c r="BD86" i="23"/>
  <c r="AE160" i="23"/>
  <c r="AE155" i="23"/>
  <c r="R36" i="23"/>
  <c r="R31" i="23"/>
  <c r="AP210" i="23"/>
  <c r="AP211" i="23" s="1"/>
  <c r="N197" i="23"/>
  <c r="N198" i="23"/>
  <c r="N199" i="23" s="1"/>
  <c r="N200" i="23" s="1"/>
  <c r="Q210" i="23"/>
  <c r="Q211" i="23" s="1"/>
  <c r="BC36" i="23"/>
  <c r="BC31" i="23"/>
  <c r="BE36" i="23"/>
  <c r="BE31" i="23"/>
  <c r="BG36" i="23"/>
  <c r="BG31" i="23"/>
  <c r="AR197" i="23"/>
  <c r="AR198" i="23" s="1"/>
  <c r="AR199" i="23" s="1"/>
  <c r="AR200" i="23" s="1"/>
  <c r="I146" i="23"/>
  <c r="AQ197" i="23"/>
  <c r="AQ198" i="23" s="1"/>
  <c r="AQ199" i="23" s="1"/>
  <c r="AQ200" i="23" s="1"/>
  <c r="BF197" i="23"/>
  <c r="BF198" i="23" s="1"/>
  <c r="BF199" i="23" s="1"/>
  <c r="BF200" i="23" s="1"/>
  <c r="G197" i="23"/>
  <c r="G198" i="23" s="1"/>
  <c r="G199" i="23" s="1"/>
  <c r="G200" i="23" s="1"/>
  <c r="AW36" i="23"/>
  <c r="AW31" i="23"/>
  <c r="H86" i="23"/>
  <c r="G86" i="23"/>
  <c r="G87" i="23" s="1"/>
  <c r="L46" i="23"/>
  <c r="H208" i="23"/>
  <c r="H196" i="23"/>
  <c r="H195" i="23"/>
  <c r="M160" i="23"/>
  <c r="M155" i="23"/>
  <c r="BE73" i="23"/>
  <c r="BE74" i="23"/>
  <c r="BE75" i="23" s="1"/>
  <c r="BE76" i="23" s="1"/>
  <c r="K46" i="23"/>
  <c r="AY196" i="23"/>
  <c r="V170" i="23"/>
  <c r="O210" i="23"/>
  <c r="AS168" i="23"/>
  <c r="AC87" i="23"/>
  <c r="K86" i="23"/>
  <c r="K87" i="23" s="1"/>
  <c r="AI46" i="23"/>
  <c r="BF145" i="23"/>
  <c r="AE44" i="23"/>
  <c r="AM72" i="23"/>
  <c r="U73" i="23"/>
  <c r="U74" i="23" s="1"/>
  <c r="U75" i="23"/>
  <c r="U76" i="23" s="1"/>
  <c r="Z86" i="23"/>
  <c r="Z87" i="23" s="1"/>
  <c r="T145" i="23"/>
  <c r="AD86" i="23"/>
  <c r="AD87" i="23" s="1"/>
  <c r="BD73" i="23"/>
  <c r="BD74" i="23" s="1"/>
  <c r="BD75" i="23" s="1"/>
  <c r="BD76" i="23" s="1"/>
  <c r="AZ73" i="23"/>
  <c r="AZ74" i="23" s="1"/>
  <c r="AZ75" i="23" s="1"/>
  <c r="AZ76" i="23" s="1"/>
  <c r="AP197" i="23"/>
  <c r="AP198" i="23" s="1"/>
  <c r="AP199" i="23" s="1"/>
  <c r="AP200" i="23" s="1"/>
  <c r="N210" i="23"/>
  <c r="N211" i="23" s="1"/>
  <c r="AX73" i="23"/>
  <c r="AX74" i="23" s="1"/>
  <c r="AX75" i="23" s="1"/>
  <c r="AX76" i="23" s="1"/>
  <c r="O170" i="23"/>
  <c r="AN210" i="23"/>
  <c r="AN211" i="23" s="1"/>
  <c r="W170" i="23"/>
  <c r="AR168" i="23"/>
  <c r="AR210" i="23"/>
  <c r="AR211" i="23" s="1"/>
  <c r="AA197" i="23"/>
  <c r="AA198" i="23" s="1"/>
  <c r="AA199" i="23" s="1"/>
  <c r="AA200" i="23" s="1"/>
  <c r="AQ196" i="23"/>
  <c r="BG268" i="23"/>
  <c r="AO160" i="23"/>
  <c r="AO155" i="23"/>
  <c r="N160" i="23"/>
  <c r="N155" i="23"/>
  <c r="BG210" i="23"/>
  <c r="AG46" i="23"/>
  <c r="AI197" i="23"/>
  <c r="AI198" i="23" s="1"/>
  <c r="AI199" i="23" s="1"/>
  <c r="AI200" i="23" s="1"/>
  <c r="AP160" i="23"/>
  <c r="AP155" i="23"/>
  <c r="U36" i="23"/>
  <c r="U31" i="23"/>
  <c r="L170" i="23"/>
  <c r="AN44" i="23"/>
  <c r="AD44" i="23"/>
  <c r="BB44" i="23"/>
  <c r="L144" i="23"/>
  <c r="K72" i="23"/>
  <c r="BF144" i="23"/>
  <c r="AH127" i="23"/>
  <c r="AH35" i="23"/>
  <c r="U86" i="23"/>
  <c r="F46" i="23"/>
  <c r="AS145" i="23"/>
  <c r="AX44" i="23"/>
  <c r="P46" i="23"/>
  <c r="U44" i="23"/>
  <c r="W73" i="23"/>
  <c r="W74" i="23"/>
  <c r="W75" i="23" s="1"/>
  <c r="W76" i="23" s="1"/>
  <c r="G44" i="23"/>
  <c r="AZ86" i="23"/>
  <c r="V197" i="23"/>
  <c r="V198" i="23" s="1"/>
  <c r="V199" i="23"/>
  <c r="V200" i="23" s="1"/>
  <c r="AP168" i="23"/>
  <c r="O160" i="23"/>
  <c r="O155" i="23"/>
  <c r="X160" i="23"/>
  <c r="X155" i="23"/>
  <c r="AX197" i="23"/>
  <c r="AX198" i="23" s="1"/>
  <c r="AX199" i="23" s="1"/>
  <c r="AX200" i="23" s="1"/>
  <c r="BE196" i="23"/>
  <c r="W160" i="23"/>
  <c r="W155" i="23"/>
  <c r="AS73" i="23"/>
  <c r="AS74" i="23" s="1"/>
  <c r="AS75" i="23" s="1"/>
  <c r="AS76" i="23" s="1"/>
  <c r="AR160" i="23"/>
  <c r="AR155" i="23"/>
  <c r="I170" i="23"/>
  <c r="AR196" i="23"/>
  <c r="AA210" i="23"/>
  <c r="AA211" i="23" s="1"/>
  <c r="AD197" i="23"/>
  <c r="AD198" i="23" s="1"/>
  <c r="AD199" i="23" s="1"/>
  <c r="AD200" i="23" s="1"/>
  <c r="AQ210" i="23"/>
  <c r="AQ211" i="23" s="1"/>
  <c r="AG210" i="23"/>
  <c r="AG211" i="23" s="1"/>
  <c r="AG36" i="23"/>
  <c r="AG31" i="23"/>
  <c r="AF36" i="23"/>
  <c r="AF31" i="23"/>
  <c r="AQ73" i="23"/>
  <c r="AQ74" i="23" s="1"/>
  <c r="AQ75" i="23" s="1"/>
  <c r="AQ76" i="23" s="1"/>
  <c r="AJ36" i="23"/>
  <c r="AJ31" i="23"/>
  <c r="BB160" i="23"/>
  <c r="BB155" i="23"/>
  <c r="AH197" i="23"/>
  <c r="AH198" i="23"/>
  <c r="AH199" i="23" s="1"/>
  <c r="AH200" i="23" s="1"/>
  <c r="AI210" i="23"/>
  <c r="AI211" i="23" s="1"/>
  <c r="H73" i="23"/>
  <c r="H74" i="23" s="1"/>
  <c r="H75" i="23" s="1"/>
  <c r="H76" i="23" s="1"/>
  <c r="AN146" i="23"/>
  <c r="AZ197" i="23"/>
  <c r="AZ198" i="23"/>
  <c r="AZ199" i="23" s="1"/>
  <c r="AZ200" i="23" s="1"/>
  <c r="P73" i="23"/>
  <c r="P75" i="23"/>
  <c r="P76" i="23" s="1"/>
  <c r="P74" i="23"/>
  <c r="AW145" i="23"/>
  <c r="AT44" i="23"/>
  <c r="AI145" i="23"/>
  <c r="I84" i="23"/>
  <c r="I71" i="23"/>
  <c r="I72" i="23" s="1"/>
  <c r="AE145" i="23"/>
  <c r="X73" i="23"/>
  <c r="X74" i="23" s="1"/>
  <c r="X75" i="23" s="1"/>
  <c r="X76" i="23" s="1"/>
  <c r="J46" i="23"/>
  <c r="M88" i="23"/>
  <c r="M89" i="23" s="1"/>
  <c r="M90" i="23" s="1"/>
  <c r="M91" i="23" s="1"/>
  <c r="AS46" i="23"/>
  <c r="H168" i="23"/>
  <c r="AX36" i="23"/>
  <c r="AX31" i="23"/>
  <c r="AS197" i="23"/>
  <c r="AS198" i="23" s="1"/>
  <c r="AS199" i="23" s="1"/>
  <c r="AS200" i="23" s="1"/>
  <c r="W72" i="23"/>
  <c r="G36" i="23"/>
  <c r="G31" i="23"/>
  <c r="G73" i="23"/>
  <c r="G74" i="23" s="1"/>
  <c r="G75" i="23" s="1"/>
  <c r="G76" i="23" s="1"/>
  <c r="V210" i="23"/>
  <c r="V211" i="23" s="1"/>
  <c r="F196" i="23"/>
  <c r="AX86" i="23"/>
  <c r="AX87" i="23" s="1"/>
  <c r="AT168" i="23"/>
  <c r="AX210" i="23"/>
  <c r="AX211" i="23" s="1"/>
  <c r="BE210" i="23"/>
  <c r="BE211" i="23" s="1"/>
  <c r="I160" i="23"/>
  <c r="I155" i="23"/>
  <c r="I196" i="23"/>
  <c r="AA196" i="23"/>
  <c r="AD210" i="23"/>
  <c r="AD211" i="23" s="1"/>
  <c r="AG197" i="23"/>
  <c r="AG198" i="23" s="1"/>
  <c r="AG199" i="23" s="1"/>
  <c r="AG200" i="23" s="1"/>
  <c r="W6" i="13"/>
  <c r="W7" i="13" s="1"/>
  <c r="W8" i="13" s="1"/>
  <c r="Z44" i="14"/>
  <c r="Z19" i="13" s="1"/>
  <c r="AA22" i="7"/>
  <c r="AH22" i="7"/>
  <c r="E79" i="7"/>
  <c r="E94" i="7" s="1"/>
  <c r="E6" i="23"/>
  <c r="I204" i="7"/>
  <c r="I256" i="7" s="1"/>
  <c r="I271" i="7" s="1"/>
  <c r="AF22" i="7"/>
  <c r="AD22" i="7"/>
  <c r="BG209" i="7"/>
  <c r="Y70" i="7"/>
  <c r="Y85" i="7" s="1"/>
  <c r="AG22" i="7"/>
  <c r="AC22" i="7"/>
  <c r="AB269" i="7"/>
  <c r="AB284" i="7" s="1"/>
  <c r="AB22" i="7"/>
  <c r="Z22" i="7"/>
  <c r="J22" i="7"/>
  <c r="X22" i="7"/>
  <c r="G22" i="7"/>
  <c r="AE22" i="7"/>
  <c r="L22" i="7"/>
  <c r="M22" i="7"/>
  <c r="AD263" i="7"/>
  <c r="AD278" i="7" s="1"/>
  <c r="W22" i="7"/>
  <c r="Z49" i="14"/>
  <c r="K22" i="7"/>
  <c r="H22" i="7"/>
  <c r="AA265" i="7"/>
  <c r="AA280" i="7" s="1"/>
  <c r="I22" i="7"/>
  <c r="AF257" i="7"/>
  <c r="AF272" i="7" s="1"/>
  <c r="AA361" i="7"/>
  <c r="AA376" i="7" s="1"/>
  <c r="AA362" i="7"/>
  <c r="AA377" i="7" s="1"/>
  <c r="AD353" i="7"/>
  <c r="AD368" i="7" s="1"/>
  <c r="AD359" i="7"/>
  <c r="AD374" i="7" s="1"/>
  <c r="AD257" i="7"/>
  <c r="AD272" i="7" s="1"/>
  <c r="Z50" i="14"/>
  <c r="AK214" i="14"/>
  <c r="AK187" i="14"/>
  <c r="AK188" i="14" s="1"/>
  <c r="AK190" i="14" s="1"/>
  <c r="F214" i="14"/>
  <c r="F187" i="14"/>
  <c r="F188" i="14" s="1"/>
  <c r="F190" i="14" s="1"/>
  <c r="F192" i="14" s="1"/>
  <c r="N214" i="14"/>
  <c r="N187" i="14"/>
  <c r="N188" i="14" s="1"/>
  <c r="N190" i="14" s="1"/>
  <c r="AH184" i="14"/>
  <c r="AH187" i="14" s="1"/>
  <c r="AH188" i="14" s="1"/>
  <c r="AO187" i="14"/>
  <c r="AO188" i="14" s="1"/>
  <c r="AO214" i="14"/>
  <c r="AM184" i="14"/>
  <c r="AM187" i="14" s="1"/>
  <c r="AM188" i="14" s="1"/>
  <c r="U184" i="14"/>
  <c r="U214" i="14" s="1"/>
  <c r="AF179" i="14"/>
  <c r="AF181" i="14" s="1"/>
  <c r="Q44" i="14"/>
  <c r="Q19" i="13" s="1"/>
  <c r="M179" i="14"/>
  <c r="AN179" i="14"/>
  <c r="AN181" i="14" s="1"/>
  <c r="AN184" i="14" s="1"/>
  <c r="U44" i="14"/>
  <c r="U19" i="13" s="1"/>
  <c r="S49" i="14"/>
  <c r="S50" i="14" s="1"/>
  <c r="AA179" i="14"/>
  <c r="AD179" i="14"/>
  <c r="AD181" i="14" s="1"/>
  <c r="T179" i="14"/>
  <c r="T181" i="14" s="1"/>
  <c r="V179" i="14"/>
  <c r="I177" i="14"/>
  <c r="I176" i="14"/>
  <c r="I179" i="14" s="1"/>
  <c r="I178" i="14"/>
  <c r="L179" i="14"/>
  <c r="L181" i="14" s="1"/>
  <c r="AG179" i="14"/>
  <c r="AG181" i="14" s="1"/>
  <c r="AI10" i="14"/>
  <c r="O179" i="14"/>
  <c r="O181" i="14" s="1"/>
  <c r="N179" i="14"/>
  <c r="J176" i="14"/>
  <c r="J179" i="14" s="1"/>
  <c r="J181" i="14" s="1"/>
  <c r="J178" i="14"/>
  <c r="J177" i="14"/>
  <c r="S179" i="14"/>
  <c r="S181" i="14" s="1"/>
  <c r="S184" i="14" s="1"/>
  <c r="G177" i="14"/>
  <c r="G178" i="14"/>
  <c r="G176" i="14"/>
  <c r="Z179" i="14"/>
  <c r="AI178" i="14"/>
  <c r="AI177" i="14"/>
  <c r="AI176" i="14"/>
  <c r="X177" i="14"/>
  <c r="X178" i="14"/>
  <c r="X176" i="14"/>
  <c r="O44" i="14"/>
  <c r="O19" i="13" s="1"/>
  <c r="K179" i="14"/>
  <c r="Q171" i="14"/>
  <c r="Q184" i="14" s="1"/>
  <c r="Q14" i="14"/>
  <c r="Q25" i="14" s="1"/>
  <c r="O171" i="14"/>
  <c r="O14" i="14"/>
  <c r="Z171" i="14"/>
  <c r="Z184" i="14" s="1"/>
  <c r="Z14" i="14"/>
  <c r="Z25" i="14" s="1"/>
  <c r="P171" i="14"/>
  <c r="P184" i="14" s="1"/>
  <c r="P14" i="14"/>
  <c r="P25" i="14" s="1"/>
  <c r="BG171" i="14"/>
  <c r="BG184" i="14" s="1"/>
  <c r="BG14" i="14"/>
  <c r="BG25" i="14" s="1"/>
  <c r="V171" i="14"/>
  <c r="V184" i="14" s="1"/>
  <c r="V14" i="14"/>
  <c r="V25" i="14" s="1"/>
  <c r="V44" i="14"/>
  <c r="V19" i="13" s="1"/>
  <c r="N49" i="14"/>
  <c r="N50" i="14" s="1"/>
  <c r="T44" i="14"/>
  <c r="T19" i="13" s="1"/>
  <c r="F44" i="14"/>
  <c r="F19" i="13" s="1"/>
  <c r="F14" i="14"/>
  <c r="F25" i="14" s="1"/>
  <c r="F4" i="13" s="1"/>
  <c r="AA171" i="14"/>
  <c r="AA184" i="14" s="1"/>
  <c r="AD14" i="14"/>
  <c r="AD25" i="14" s="1"/>
  <c r="E14" i="14"/>
  <c r="M171" i="14"/>
  <c r="M184" i="14" s="1"/>
  <c r="N14" i="14"/>
  <c r="N25" i="14" s="1"/>
  <c r="R171" i="14"/>
  <c r="R184" i="14" s="1"/>
  <c r="S14" i="14"/>
  <c r="S25" i="14" s="1"/>
  <c r="U14" i="14"/>
  <c r="U25" i="14" s="1"/>
  <c r="T171" i="14"/>
  <c r="P49" i="14"/>
  <c r="P50" i="14" s="1"/>
  <c r="R49" i="14"/>
  <c r="R50" i="14" s="1"/>
  <c r="W14" i="14"/>
  <c r="W25" i="14" s="1"/>
  <c r="K171" i="14"/>
  <c r="K184" i="14" s="1"/>
  <c r="H14" i="14"/>
  <c r="H25" i="14" s="1"/>
  <c r="H171" i="14"/>
  <c r="H184" i="14" s="1"/>
  <c r="I14" i="14"/>
  <c r="I25" i="14" s="1"/>
  <c r="I171" i="14"/>
  <c r="I184" i="14" s="1"/>
  <c r="AL14" i="14"/>
  <c r="AL171" i="14"/>
  <c r="AL184" i="14" s="1"/>
  <c r="M14" i="14"/>
  <c r="M25" i="14" s="1"/>
  <c r="M52" i="14" s="1"/>
  <c r="AE14" i="14"/>
  <c r="AE25" i="14" s="1"/>
  <c r="AE171" i="14"/>
  <c r="AE184" i="14" s="1"/>
  <c r="Y14" i="14"/>
  <c r="Y171" i="14"/>
  <c r="Y184" i="14" s="1"/>
  <c r="AF14" i="14"/>
  <c r="AF25" i="14" s="1"/>
  <c r="AF171" i="14"/>
  <c r="AG14" i="14"/>
  <c r="AG25" i="14" s="1"/>
  <c r="AG171" i="14"/>
  <c r="AC14" i="14"/>
  <c r="AC25" i="14" s="1"/>
  <c r="AC52" i="14" s="1"/>
  <c r="AC171" i="14"/>
  <c r="AC184" i="14" s="1"/>
  <c r="Q49" i="14"/>
  <c r="Q50" i="14" s="1"/>
  <c r="N44" i="14"/>
  <c r="N19" i="13" s="1"/>
  <c r="AH14" i="14"/>
  <c r="AH25" i="14" s="1"/>
  <c r="E178" i="14"/>
  <c r="E177" i="14"/>
  <c r="E176" i="14"/>
  <c r="E179" i="14" s="1"/>
  <c r="E181" i="14" s="1"/>
  <c r="U49" i="14"/>
  <c r="U50" i="14" s="1"/>
  <c r="V49" i="14"/>
  <c r="V50" i="14" s="1"/>
  <c r="X14" i="14"/>
  <c r="X25" i="14" s="1"/>
  <c r="F49" i="14"/>
  <c r="F50" i="14" s="1"/>
  <c r="P44" i="14"/>
  <c r="P19" i="13" s="1"/>
  <c r="R44" i="14"/>
  <c r="R19" i="13" s="1"/>
  <c r="AI16" i="14"/>
  <c r="AI18" i="14" s="1"/>
  <c r="AI19" i="14" s="1"/>
  <c r="AI21" i="14" s="1"/>
  <c r="AI17" i="14"/>
  <c r="G14" i="14"/>
  <c r="G25" i="14" s="1"/>
  <c r="G171" i="14"/>
  <c r="G184" i="14" s="1"/>
  <c r="O49" i="14"/>
  <c r="O50" i="14" s="1"/>
  <c r="X171" i="14"/>
  <c r="S44" i="14"/>
  <c r="S19" i="13" s="1"/>
  <c r="T49" i="14"/>
  <c r="T50" i="14" s="1"/>
  <c r="AI48" i="14"/>
  <c r="AD355" i="7"/>
  <c r="AD370" i="7" s="1"/>
  <c r="AD204" i="7"/>
  <c r="AD352" i="7"/>
  <c r="AD367" i="7" s="1"/>
  <c r="AA262" i="7"/>
  <c r="AA277" i="7" s="1"/>
  <c r="AB357" i="7"/>
  <c r="AB372" i="7" s="1"/>
  <c r="AD298" i="7"/>
  <c r="AD303" i="7" s="1"/>
  <c r="AD21" i="7"/>
  <c r="AD363" i="7"/>
  <c r="AD378" i="7" s="1"/>
  <c r="AD358" i="7"/>
  <c r="AD373" i="7" s="1"/>
  <c r="AD361" i="7"/>
  <c r="AD376" i="7" s="1"/>
  <c r="AD356" i="7"/>
  <c r="AD371" i="7" s="1"/>
  <c r="AD357" i="7"/>
  <c r="AD372" i="7" s="1"/>
  <c r="AB168" i="7"/>
  <c r="AB183" i="7" s="1"/>
  <c r="AD265" i="7"/>
  <c r="AD280" i="7" s="1"/>
  <c r="AD259" i="7"/>
  <c r="AD274" i="7" s="1"/>
  <c r="AD267" i="7"/>
  <c r="AD282" i="7" s="1"/>
  <c r="AD260" i="7"/>
  <c r="AD275" i="7" s="1"/>
  <c r="AD268" i="7"/>
  <c r="AD283" i="7" s="1"/>
  <c r="AD351" i="7"/>
  <c r="AD366" i="7" s="1"/>
  <c r="AD258" i="7"/>
  <c r="AD273" i="7" s="1"/>
  <c r="AF358" i="7"/>
  <c r="AF373" i="7" s="1"/>
  <c r="AD266" i="7"/>
  <c r="AD281" i="7" s="1"/>
  <c r="AD354" i="7"/>
  <c r="AD369" i="7" s="1"/>
  <c r="AD261" i="7"/>
  <c r="AD276" i="7" s="1"/>
  <c r="AD362" i="7"/>
  <c r="AD377" i="7" s="1"/>
  <c r="AD269" i="7"/>
  <c r="AD284" i="7" s="1"/>
  <c r="AD264" i="7"/>
  <c r="AD279" i="7" s="1"/>
  <c r="AA25" i="7"/>
  <c r="AA43" i="7" s="1"/>
  <c r="AD262" i="7"/>
  <c r="AD277" i="7" s="1"/>
  <c r="AA21" i="7"/>
  <c r="AF362" i="7"/>
  <c r="AF377" i="7" s="1"/>
  <c r="AF359" i="7"/>
  <c r="AF374" i="7" s="1"/>
  <c r="AD170" i="7"/>
  <c r="AD185" i="7" s="1"/>
  <c r="AB263" i="7"/>
  <c r="AB278" i="7" s="1"/>
  <c r="I268" i="7"/>
  <c r="I283" i="7" s="1"/>
  <c r="I258" i="7"/>
  <c r="I273" i="7" s="1"/>
  <c r="AD159" i="7"/>
  <c r="AD174" i="7" s="1"/>
  <c r="AD160" i="7"/>
  <c r="AD175" i="7" s="1"/>
  <c r="AD168" i="7"/>
  <c r="AD183" i="7" s="1"/>
  <c r="AD108" i="7"/>
  <c r="AD111" i="7" s="1"/>
  <c r="AD162" i="7"/>
  <c r="AD177" i="7" s="1"/>
  <c r="AD163" i="7"/>
  <c r="AD178" i="7" s="1"/>
  <c r="AD171" i="7"/>
  <c r="AD186" i="7" s="1"/>
  <c r="AD166" i="7"/>
  <c r="AD181" i="7" s="1"/>
  <c r="AF44" i="14"/>
  <c r="AF19" i="13" s="1"/>
  <c r="AB352" i="7"/>
  <c r="AB367" i="7" s="1"/>
  <c r="AB264" i="7"/>
  <c r="AB279" i="7" s="1"/>
  <c r="AD167" i="7"/>
  <c r="AD182" i="7" s="1"/>
  <c r="AD164" i="7"/>
  <c r="AD179" i="7" s="1"/>
  <c r="AD161" i="7"/>
  <c r="AD176" i="7" s="1"/>
  <c r="AD169" i="7"/>
  <c r="AD184" i="7" s="1"/>
  <c r="I68" i="7"/>
  <c r="I83" i="7" s="1"/>
  <c r="I98" i="7" s="1"/>
  <c r="AB360" i="7"/>
  <c r="AB375" i="7" s="1"/>
  <c r="I21" i="7"/>
  <c r="AB355" i="7"/>
  <c r="AB370" i="7" s="1"/>
  <c r="AB363" i="7"/>
  <c r="AB378" i="7" s="1"/>
  <c r="I25" i="7"/>
  <c r="I48" i="7" s="1"/>
  <c r="AB298" i="7"/>
  <c r="AB303" i="7" s="1"/>
  <c r="AB358" i="7"/>
  <c r="AB373" i="7" s="1"/>
  <c r="AF68" i="7"/>
  <c r="AF83" i="7" s="1"/>
  <c r="AF98" i="7" s="1"/>
  <c r="AB353" i="7"/>
  <c r="AB368" i="7" s="1"/>
  <c r="AB361" i="7"/>
  <c r="AB376" i="7" s="1"/>
  <c r="I39" i="7"/>
  <c r="AB356" i="7"/>
  <c r="AB371" i="7" s="1"/>
  <c r="AB351" i="7"/>
  <c r="AB366" i="7" s="1"/>
  <c r="AB359" i="7"/>
  <c r="AB374" i="7" s="1"/>
  <c r="AB354" i="7"/>
  <c r="AB369" i="7" s="1"/>
  <c r="AA298" i="7"/>
  <c r="AA303" i="7" s="1"/>
  <c r="AF356" i="7"/>
  <c r="AF371" i="7" s="1"/>
  <c r="AA359" i="7"/>
  <c r="AA374" i="7" s="1"/>
  <c r="AF352" i="7"/>
  <c r="AF367" i="7" s="1"/>
  <c r="AA354" i="7"/>
  <c r="AA369" i="7" s="1"/>
  <c r="AF355" i="7"/>
  <c r="AF370" i="7" s="1"/>
  <c r="AA352" i="7"/>
  <c r="AA367" i="7" s="1"/>
  <c r="AD39" i="7"/>
  <c r="AD40" i="7" s="1"/>
  <c r="AF298" i="7"/>
  <c r="AF303" i="7" s="1"/>
  <c r="AA360" i="7"/>
  <c r="AA375" i="7" s="1"/>
  <c r="AF361" i="7"/>
  <c r="AF376" i="7" s="1"/>
  <c r="AF351" i="7"/>
  <c r="AF366" i="7" s="1"/>
  <c r="AD30" i="7"/>
  <c r="AD44" i="7" s="1"/>
  <c r="AF354" i="7"/>
  <c r="AF369" i="7" s="1"/>
  <c r="I30" i="7"/>
  <c r="AF363" i="7"/>
  <c r="AF378" i="7" s="1"/>
  <c r="AD25" i="7"/>
  <c r="AD59" i="7" s="1"/>
  <c r="AD68" i="7"/>
  <c r="AD83" i="7" s="1"/>
  <c r="AD98" i="7" s="1"/>
  <c r="I35" i="7"/>
  <c r="I36" i="7" s="1"/>
  <c r="AF357" i="7"/>
  <c r="AF372" i="7" s="1"/>
  <c r="AD35" i="7"/>
  <c r="AD36" i="7" s="1"/>
  <c r="AF360" i="7"/>
  <c r="AF375" i="7" s="1"/>
  <c r="AB167" i="7"/>
  <c r="AB182" i="7" s="1"/>
  <c r="AB165" i="7"/>
  <c r="AB180" i="7" s="1"/>
  <c r="AB162" i="7"/>
  <c r="AB177" i="7" s="1"/>
  <c r="AB170" i="7"/>
  <c r="AB185" i="7" s="1"/>
  <c r="AB166" i="7"/>
  <c r="AB181" i="7" s="1"/>
  <c r="AB108" i="7"/>
  <c r="AB111" i="7" s="1"/>
  <c r="AB161" i="7"/>
  <c r="AB176" i="7" s="1"/>
  <c r="AB169" i="7"/>
  <c r="AB184" i="7" s="1"/>
  <c r="AB159" i="7"/>
  <c r="AB174" i="7" s="1"/>
  <c r="AF21" i="7"/>
  <c r="AB163" i="7"/>
  <c r="AB178" i="7" s="1"/>
  <c r="AA68" i="7"/>
  <c r="AA83" i="7" s="1"/>
  <c r="AA98" i="7" s="1"/>
  <c r="AB171" i="7"/>
  <c r="AB186" i="7" s="1"/>
  <c r="AB164" i="7"/>
  <c r="AB179" i="7" s="1"/>
  <c r="AF266" i="7"/>
  <c r="AF281" i="7" s="1"/>
  <c r="AF259" i="7"/>
  <c r="AF274" i="7" s="1"/>
  <c r="AF268" i="7"/>
  <c r="AF283" i="7" s="1"/>
  <c r="AA39" i="7"/>
  <c r="AA56" i="7" s="1"/>
  <c r="AB258" i="7"/>
  <c r="AB273" i="7" s="1"/>
  <c r="AF262" i="7"/>
  <c r="AF277" i="7" s="1"/>
  <c r="AF258" i="7"/>
  <c r="AF273" i="7" s="1"/>
  <c r="AB257" i="7"/>
  <c r="AB272" i="7" s="1"/>
  <c r="AF264" i="7"/>
  <c r="AF279" i="7" s="1"/>
  <c r="AF265" i="7"/>
  <c r="AF280" i="7" s="1"/>
  <c r="AF261" i="7"/>
  <c r="AF276" i="7" s="1"/>
  <c r="I261" i="7"/>
  <c r="I276" i="7" s="1"/>
  <c r="AB259" i="7"/>
  <c r="AB274" i="7" s="1"/>
  <c r="I257" i="7"/>
  <c r="I272" i="7" s="1"/>
  <c r="AF263" i="7"/>
  <c r="AF278" i="7" s="1"/>
  <c r="AA35" i="7"/>
  <c r="AA36" i="7" s="1"/>
  <c r="AF267" i="7"/>
  <c r="AF282" i="7" s="1"/>
  <c r="AF260" i="7"/>
  <c r="AF275" i="7" s="1"/>
  <c r="AI36" i="14"/>
  <c r="AF269" i="7"/>
  <c r="AF284" i="7" s="1"/>
  <c r="AA30" i="7"/>
  <c r="AA42" i="7" s="1"/>
  <c r="AF204" i="7"/>
  <c r="AB204" i="7"/>
  <c r="AF169" i="7"/>
  <c r="AF184" i="7" s="1"/>
  <c r="AF162" i="7"/>
  <c r="AF177" i="7" s="1"/>
  <c r="AA357" i="7"/>
  <c r="AA372" i="7" s="1"/>
  <c r="AB267" i="7"/>
  <c r="AB282" i="7" s="1"/>
  <c r="AF164" i="7"/>
  <c r="AF179" i="7" s="1"/>
  <c r="AF171" i="7"/>
  <c r="AF186" i="7" s="1"/>
  <c r="AB265" i="7"/>
  <c r="AB280" i="7" s="1"/>
  <c r="AF108" i="7"/>
  <c r="AF111" i="7" s="1"/>
  <c r="AA355" i="7"/>
  <c r="AA370" i="7" s="1"/>
  <c r="AF166" i="7"/>
  <c r="AF181" i="7" s="1"/>
  <c r="AA363" i="7"/>
  <c r="AA378" i="7" s="1"/>
  <c r="AF161" i="7"/>
  <c r="AF176" i="7" s="1"/>
  <c r="AB260" i="7"/>
  <c r="AB275" i="7" s="1"/>
  <c r="AF39" i="7"/>
  <c r="AF40" i="7" s="1"/>
  <c r="AF159" i="7"/>
  <c r="AF174" i="7" s="1"/>
  <c r="AB268" i="7"/>
  <c r="AB283" i="7" s="1"/>
  <c r="AF163" i="7"/>
  <c r="AF178" i="7" s="1"/>
  <c r="AA358" i="7"/>
  <c r="AA373" i="7" s="1"/>
  <c r="AB262" i="7"/>
  <c r="AB277" i="7" s="1"/>
  <c r="AF168" i="7"/>
  <c r="AF183" i="7" s="1"/>
  <c r="AF35" i="7"/>
  <c r="AF170" i="7"/>
  <c r="AF185" i="7" s="1"/>
  <c r="AA353" i="7"/>
  <c r="AA368" i="7" s="1"/>
  <c r="AB266" i="7"/>
  <c r="AB281" i="7" s="1"/>
  <c r="AF160" i="7"/>
  <c r="AF175" i="7" s="1"/>
  <c r="I357" i="7"/>
  <c r="I372" i="7" s="1"/>
  <c r="AF167" i="7"/>
  <c r="AF182" i="7" s="1"/>
  <c r="I358" i="7"/>
  <c r="I373" i="7" s="1"/>
  <c r="AA356" i="7"/>
  <c r="AA371" i="7" s="1"/>
  <c r="AB261" i="7"/>
  <c r="AB276" i="7" s="1"/>
  <c r="AF30" i="7"/>
  <c r="AF44" i="7" s="1"/>
  <c r="AF25" i="7"/>
  <c r="AG44" i="14"/>
  <c r="AG19" i="13" s="1"/>
  <c r="AO10" i="7"/>
  <c r="AO12" i="7"/>
  <c r="AO9" i="7"/>
  <c r="AN10" i="7"/>
  <c r="AN12" i="7"/>
  <c r="AN9" i="7"/>
  <c r="AA164" i="7"/>
  <c r="AA179" i="7" s="1"/>
  <c r="AA108" i="7"/>
  <c r="AA111" i="7" s="1"/>
  <c r="AA171" i="7"/>
  <c r="AA186" i="7" s="1"/>
  <c r="AA162" i="7"/>
  <c r="AA177" i="7" s="1"/>
  <c r="AA165" i="7"/>
  <c r="AA180" i="7" s="1"/>
  <c r="AA166" i="7"/>
  <c r="AA181" i="7" s="1"/>
  <c r="AA258" i="7"/>
  <c r="AA273" i="7" s="1"/>
  <c r="AA161" i="7"/>
  <c r="AA176" i="7" s="1"/>
  <c r="AA264" i="7"/>
  <c r="AA279" i="7" s="1"/>
  <c r="AA170" i="7"/>
  <c r="AA185" i="7" s="1"/>
  <c r="AA163" i="7"/>
  <c r="AA178" i="7" s="1"/>
  <c r="AA204" i="7"/>
  <c r="I352" i="7"/>
  <c r="I367" i="7" s="1"/>
  <c r="BG59" i="7"/>
  <c r="I363" i="7"/>
  <c r="I378" i="7" s="1"/>
  <c r="BG54" i="7"/>
  <c r="AB39" i="7"/>
  <c r="AB56" i="7" s="1"/>
  <c r="I359" i="7"/>
  <c r="I374" i="7" s="1"/>
  <c r="I354" i="7"/>
  <c r="I369" i="7" s="1"/>
  <c r="AE30" i="7"/>
  <c r="AE52" i="7" s="1"/>
  <c r="AH39" i="7"/>
  <c r="AH40" i="7" s="1"/>
  <c r="I353" i="7"/>
  <c r="I368" i="7" s="1"/>
  <c r="AB68" i="7"/>
  <c r="AB83" i="7" s="1"/>
  <c r="AB98" i="7" s="1"/>
  <c r="I355" i="7"/>
  <c r="I370" i="7" s="1"/>
  <c r="AE25" i="7"/>
  <c r="AE59" i="7" s="1"/>
  <c r="I360" i="7"/>
  <c r="I375" i="7" s="1"/>
  <c r="I361" i="7"/>
  <c r="I376" i="7" s="1"/>
  <c r="I356" i="7"/>
  <c r="I371" i="7" s="1"/>
  <c r="I298" i="7"/>
  <c r="I303" i="7" s="1"/>
  <c r="I351" i="7"/>
  <c r="I366" i="7" s="1"/>
  <c r="AA159" i="7"/>
  <c r="AA174" i="7" s="1"/>
  <c r="AA169" i="7"/>
  <c r="AA184" i="7" s="1"/>
  <c r="AA168" i="7"/>
  <c r="AA183" i="7" s="1"/>
  <c r="AA160" i="7"/>
  <c r="AA175" i="7" s="1"/>
  <c r="AA167" i="7"/>
  <c r="AA182" i="7" s="1"/>
  <c r="I262" i="7"/>
  <c r="I277" i="7" s="1"/>
  <c r="AA266" i="7"/>
  <c r="AA281" i="7" s="1"/>
  <c r="AC30" i="7"/>
  <c r="AE44" i="14"/>
  <c r="BG222" i="7"/>
  <c r="BG223" i="7" s="1"/>
  <c r="BG43" i="7"/>
  <c r="I265" i="7"/>
  <c r="I280" i="7" s="1"/>
  <c r="AA259" i="7"/>
  <c r="AA274" i="7" s="1"/>
  <c r="BG48" i="7"/>
  <c r="I263" i="7"/>
  <c r="I278" i="7" s="1"/>
  <c r="AA267" i="7"/>
  <c r="AA282" i="7" s="1"/>
  <c r="BG53" i="7"/>
  <c r="I269" i="7"/>
  <c r="I284" i="7" s="1"/>
  <c r="AA260" i="7"/>
  <c r="AA275" i="7" s="1"/>
  <c r="AB30" i="7"/>
  <c r="AB52" i="7" s="1"/>
  <c r="I264" i="7"/>
  <c r="I279" i="7" s="1"/>
  <c r="AA268" i="7"/>
  <c r="AA283" i="7" s="1"/>
  <c r="BG47" i="7"/>
  <c r="I267" i="7"/>
  <c r="I282" i="7" s="1"/>
  <c r="AA261" i="7"/>
  <c r="AA276" i="7" s="1"/>
  <c r="I260" i="7"/>
  <c r="I275" i="7" s="1"/>
  <c r="AA269" i="7"/>
  <c r="AA284" i="7" s="1"/>
  <c r="AB35" i="7"/>
  <c r="I266" i="7"/>
  <c r="I281" i="7" s="1"/>
  <c r="AA263" i="7"/>
  <c r="AA278" i="7" s="1"/>
  <c r="AB25" i="7"/>
  <c r="I259" i="7"/>
  <c r="I274" i="7" s="1"/>
  <c r="AA257" i="7"/>
  <c r="AA272" i="7" s="1"/>
  <c r="AB21" i="7"/>
  <c r="BG256" i="7"/>
  <c r="BG271" i="7" s="1"/>
  <c r="BG286" i="7" s="1"/>
  <c r="AE68" i="7"/>
  <c r="AE83" i="7" s="1"/>
  <c r="AE98" i="7" s="1"/>
  <c r="AC68" i="7"/>
  <c r="AC83" i="7" s="1"/>
  <c r="AC98" i="7" s="1"/>
  <c r="BG110" i="7"/>
  <c r="BG124" i="7"/>
  <c r="BG125" i="7" s="1"/>
  <c r="BG119" i="7"/>
  <c r="BG120" i="7" s="1"/>
  <c r="BG132" i="7" s="1"/>
  <c r="BG128" i="7"/>
  <c r="BG129" i="7" s="1"/>
  <c r="BG147" i="7" s="1"/>
  <c r="BG114" i="7"/>
  <c r="BG115" i="7" s="1"/>
  <c r="BG153" i="7" s="1"/>
  <c r="BG158" i="7"/>
  <c r="BG173" i="7" s="1"/>
  <c r="BG188" i="7" s="1"/>
  <c r="Z30" i="7"/>
  <c r="Z52" i="7" s="1"/>
  <c r="AF49" i="14"/>
  <c r="AF50" i="14" s="1"/>
  <c r="BG40" i="7"/>
  <c r="BG56" i="7"/>
  <c r="BG226" i="7"/>
  <c r="BG46" i="7"/>
  <c r="BG302" i="7"/>
  <c r="BG208" i="7"/>
  <c r="BG311" i="7"/>
  <c r="BG312" i="7" s="1"/>
  <c r="BG52" i="7"/>
  <c r="BG31" i="7"/>
  <c r="BG66" i="7"/>
  <c r="BG50" i="7"/>
  <c r="BG65" i="7"/>
  <c r="BG49" i="7"/>
  <c r="BG58" i="7"/>
  <c r="BG64" i="7"/>
  <c r="BG63" i="7"/>
  <c r="BG62" i="7"/>
  <c r="BG61" i="7"/>
  <c r="BG57" i="7"/>
  <c r="BG60" i="7"/>
  <c r="BG44" i="7"/>
  <c r="BG42" i="7"/>
  <c r="BG51" i="7"/>
  <c r="BG316" i="7"/>
  <c r="BG317" i="7" s="1"/>
  <c r="BG328" i="7" s="1"/>
  <c r="BG320" i="7"/>
  <c r="BG321" i="7" s="1"/>
  <c r="BG339" i="7" s="1"/>
  <c r="BG306" i="7"/>
  <c r="BG307" i="7" s="1"/>
  <c r="BG345" i="7" s="1"/>
  <c r="BG212" i="7"/>
  <c r="BG213" i="7" s="1"/>
  <c r="BG350" i="7"/>
  <c r="BG365" i="7" s="1"/>
  <c r="BG380" i="7" s="1"/>
  <c r="BG55" i="7"/>
  <c r="BG36" i="7"/>
  <c r="BG45" i="7"/>
  <c r="BG217" i="7"/>
  <c r="AG171" i="7"/>
  <c r="AG186" i="7" s="1"/>
  <c r="AG162" i="7"/>
  <c r="AG177" i="7" s="1"/>
  <c r="AG170" i="7"/>
  <c r="AG185" i="7" s="1"/>
  <c r="AG168" i="7"/>
  <c r="AG183" i="7" s="1"/>
  <c r="AG163" i="7"/>
  <c r="AG178" i="7" s="1"/>
  <c r="AG166" i="7"/>
  <c r="AG181" i="7" s="1"/>
  <c r="AG160" i="7"/>
  <c r="AG175" i="7" s="1"/>
  <c r="AG164" i="7"/>
  <c r="AG179" i="7" s="1"/>
  <c r="AG161" i="7"/>
  <c r="AG176" i="7" s="1"/>
  <c r="AG167" i="7"/>
  <c r="AG182" i="7" s="1"/>
  <c r="AG108" i="7"/>
  <c r="AG111" i="7" s="1"/>
  <c r="AG159" i="7"/>
  <c r="AG174" i="7" s="1"/>
  <c r="AG165" i="7"/>
  <c r="AG180" i="7" s="1"/>
  <c r="AG169" i="7"/>
  <c r="AG184" i="7" s="1"/>
  <c r="AG39" i="7"/>
  <c r="AH25" i="7"/>
  <c r="AH43" i="7" s="1"/>
  <c r="AG21" i="7"/>
  <c r="AH168" i="7"/>
  <c r="AH183" i="7" s="1"/>
  <c r="AH159" i="7"/>
  <c r="AH174" i="7" s="1"/>
  <c r="AH163" i="7"/>
  <c r="AH178" i="7" s="1"/>
  <c r="AH166" i="7"/>
  <c r="AH181" i="7" s="1"/>
  <c r="AH161" i="7"/>
  <c r="AH176" i="7" s="1"/>
  <c r="AH169" i="7"/>
  <c r="AH184" i="7" s="1"/>
  <c r="AH108" i="7"/>
  <c r="AH111" i="7" s="1"/>
  <c r="AH160" i="7"/>
  <c r="AH175" i="7" s="1"/>
  <c r="AH171" i="7"/>
  <c r="AH186" i="7" s="1"/>
  <c r="AH165" i="7"/>
  <c r="AH180" i="7" s="1"/>
  <c r="AH162" i="7"/>
  <c r="AH177" i="7" s="1"/>
  <c r="AH167" i="7"/>
  <c r="AH182" i="7" s="1"/>
  <c r="AH164" i="7"/>
  <c r="AH179" i="7" s="1"/>
  <c r="AH170" i="7"/>
  <c r="AH185" i="7" s="1"/>
  <c r="AG360" i="7"/>
  <c r="AG375" i="7" s="1"/>
  <c r="AG351" i="7"/>
  <c r="AG366" i="7" s="1"/>
  <c r="AG361" i="7"/>
  <c r="AG376" i="7" s="1"/>
  <c r="AG298" i="7"/>
  <c r="AG303" i="7" s="1"/>
  <c r="AG358" i="7"/>
  <c r="AG373" i="7" s="1"/>
  <c r="AG355" i="7"/>
  <c r="AG370" i="7" s="1"/>
  <c r="AG352" i="7"/>
  <c r="AG367" i="7" s="1"/>
  <c r="AG356" i="7"/>
  <c r="AG371" i="7" s="1"/>
  <c r="AG353" i="7"/>
  <c r="AG368" i="7" s="1"/>
  <c r="AG357" i="7"/>
  <c r="AG372" i="7" s="1"/>
  <c r="AG363" i="7"/>
  <c r="AG378" i="7" s="1"/>
  <c r="AG354" i="7"/>
  <c r="AG369" i="7" s="1"/>
  <c r="AG359" i="7"/>
  <c r="AG374" i="7" s="1"/>
  <c r="AG362" i="7"/>
  <c r="AG377" i="7" s="1"/>
  <c r="AG261" i="7"/>
  <c r="AG276" i="7" s="1"/>
  <c r="AG258" i="7"/>
  <c r="AG273" i="7" s="1"/>
  <c r="AG268" i="7"/>
  <c r="AG283" i="7" s="1"/>
  <c r="AG262" i="7"/>
  <c r="AG277" i="7" s="1"/>
  <c r="AG260" i="7"/>
  <c r="AG275" i="7" s="1"/>
  <c r="AG264" i="7"/>
  <c r="AG279" i="7" s="1"/>
  <c r="AG259" i="7"/>
  <c r="AG274" i="7" s="1"/>
  <c r="AG257" i="7"/>
  <c r="AG272" i="7" s="1"/>
  <c r="AG269" i="7"/>
  <c r="AG284" i="7" s="1"/>
  <c r="AG265" i="7"/>
  <c r="AG280" i="7" s="1"/>
  <c r="AG204" i="7"/>
  <c r="AG267" i="7"/>
  <c r="AG282" i="7" s="1"/>
  <c r="AG266" i="7"/>
  <c r="AG281" i="7" s="1"/>
  <c r="AG263" i="7"/>
  <c r="AG278" i="7" s="1"/>
  <c r="AH35" i="7"/>
  <c r="AI295" i="7"/>
  <c r="AI296" i="7" s="1"/>
  <c r="AI81" i="7"/>
  <c r="AI96" i="7" s="1"/>
  <c r="AI201" i="7"/>
  <c r="AI202" i="7" s="1"/>
  <c r="AI75" i="7"/>
  <c r="AI90" i="7" s="1"/>
  <c r="AI103" i="7"/>
  <c r="AI106" i="7" s="1"/>
  <c r="AI79" i="7"/>
  <c r="AI94" i="7" s="1"/>
  <c r="AI76" i="7"/>
  <c r="AI91" i="7" s="1"/>
  <c r="AI73" i="7"/>
  <c r="AI88" i="7" s="1"/>
  <c r="AI70" i="7"/>
  <c r="AI85" i="7" s="1"/>
  <c r="AI78" i="7"/>
  <c r="AI93" i="7" s="1"/>
  <c r="AI80" i="7"/>
  <c r="AI95" i="7" s="1"/>
  <c r="AI77" i="7"/>
  <c r="AI92" i="7" s="1"/>
  <c r="AI72" i="7"/>
  <c r="AI87" i="7" s="1"/>
  <c r="AI74" i="7"/>
  <c r="AI89" i="7" s="1"/>
  <c r="AI69" i="7"/>
  <c r="AI84" i="7" s="1"/>
  <c r="AI71" i="7"/>
  <c r="AI86" i="7" s="1"/>
  <c r="AI17" i="7"/>
  <c r="AG25" i="7"/>
  <c r="AG30" i="7"/>
  <c r="AH68" i="7"/>
  <c r="AH83" i="7" s="1"/>
  <c r="AH98" i="7" s="1"/>
  <c r="AH357" i="7"/>
  <c r="AH372" i="7" s="1"/>
  <c r="AH361" i="7"/>
  <c r="AH376" i="7" s="1"/>
  <c r="AH298" i="7"/>
  <c r="AH303" i="7" s="1"/>
  <c r="AH358" i="7"/>
  <c r="AH373" i="7" s="1"/>
  <c r="AH355" i="7"/>
  <c r="AH370" i="7" s="1"/>
  <c r="AH352" i="7"/>
  <c r="AH367" i="7" s="1"/>
  <c r="AH362" i="7"/>
  <c r="AH377" i="7" s="1"/>
  <c r="AH353" i="7"/>
  <c r="AH368" i="7" s="1"/>
  <c r="AH363" i="7"/>
  <c r="AH378" i="7" s="1"/>
  <c r="AH356" i="7"/>
  <c r="AH371" i="7" s="1"/>
  <c r="AH360" i="7"/>
  <c r="AH375" i="7" s="1"/>
  <c r="AH351" i="7"/>
  <c r="AH366" i="7" s="1"/>
  <c r="AH359" i="7"/>
  <c r="AH374" i="7" s="1"/>
  <c r="AH354" i="7"/>
  <c r="AH369" i="7" s="1"/>
  <c r="AH21" i="7"/>
  <c r="AH258" i="7"/>
  <c r="AH273" i="7" s="1"/>
  <c r="AH268" i="7"/>
  <c r="AH283" i="7" s="1"/>
  <c r="AH265" i="7"/>
  <c r="AH280" i="7" s="1"/>
  <c r="AH259" i="7"/>
  <c r="AH274" i="7" s="1"/>
  <c r="AH257" i="7"/>
  <c r="AH272" i="7" s="1"/>
  <c r="AH263" i="7"/>
  <c r="AH278" i="7" s="1"/>
  <c r="AH204" i="7"/>
  <c r="AH264" i="7"/>
  <c r="AH279" i="7" s="1"/>
  <c r="AH260" i="7"/>
  <c r="AH275" i="7" s="1"/>
  <c r="AH269" i="7"/>
  <c r="AH284" i="7" s="1"/>
  <c r="AH262" i="7"/>
  <c r="AH277" i="7" s="1"/>
  <c r="AH261" i="7"/>
  <c r="AH276" i="7" s="1"/>
  <c r="AH267" i="7"/>
  <c r="AH282" i="7" s="1"/>
  <c r="AH266" i="7"/>
  <c r="AH281" i="7" s="1"/>
  <c r="AG35" i="7"/>
  <c r="AG68" i="7"/>
  <c r="AG83" i="7" s="1"/>
  <c r="AG98" i="7" s="1"/>
  <c r="AH30" i="7"/>
  <c r="AI42" i="14"/>
  <c r="AE49" i="14"/>
  <c r="AE50" i="14" s="1"/>
  <c r="AH49" i="14"/>
  <c r="AH50" i="14" s="1"/>
  <c r="BG49" i="14"/>
  <c r="BG50" i="14" s="1"/>
  <c r="AI47" i="14"/>
  <c r="BG44" i="14"/>
  <c r="BG19" i="13" s="1"/>
  <c r="AE75" i="9"/>
  <c r="AF75" i="9" s="1"/>
  <c r="AG49" i="14"/>
  <c r="AG50" i="14" s="1"/>
  <c r="AH44" i="14"/>
  <c r="AH19" i="13" s="1"/>
  <c r="Z68" i="7"/>
  <c r="Z83" i="7" s="1"/>
  <c r="Z98" i="7" s="1"/>
  <c r="E77" i="7"/>
  <c r="E92" i="7" s="1"/>
  <c r="E72" i="7"/>
  <c r="E87" i="7" s="1"/>
  <c r="E70" i="7"/>
  <c r="E85" i="7" s="1"/>
  <c r="E73" i="7"/>
  <c r="E88" i="7" s="1"/>
  <c r="E71" i="7"/>
  <c r="E86" i="7" s="1"/>
  <c r="E74" i="7"/>
  <c r="E89" i="7" s="1"/>
  <c r="E69" i="7"/>
  <c r="E84" i="7" s="1"/>
  <c r="E81" i="7"/>
  <c r="E96" i="7" s="1"/>
  <c r="E201" i="7"/>
  <c r="E202" i="7" s="1"/>
  <c r="E295" i="7"/>
  <c r="E296" i="7" s="1"/>
  <c r="E357" i="7" s="1"/>
  <c r="E372" i="7" s="1"/>
  <c r="E103" i="7"/>
  <c r="E106" i="7" s="1"/>
  <c r="E165" i="7" s="1"/>
  <c r="E180" i="7" s="1"/>
  <c r="E17" i="7"/>
  <c r="E75" i="7"/>
  <c r="E90" i="7" s="1"/>
  <c r="E76" i="7"/>
  <c r="E91" i="7" s="1"/>
  <c r="E80" i="7"/>
  <c r="E95" i="7" s="1"/>
  <c r="E78" i="7"/>
  <c r="E93" i="7" s="1"/>
  <c r="M30" i="7"/>
  <c r="M42" i="7" s="1"/>
  <c r="H39" i="7"/>
  <c r="H56" i="7" s="1"/>
  <c r="W21" i="7"/>
  <c r="K25" i="7"/>
  <c r="K59" i="7" s="1"/>
  <c r="X35" i="7"/>
  <c r="X45" i="7" s="1"/>
  <c r="G39" i="7"/>
  <c r="G40" i="7" s="1"/>
  <c r="X25" i="7"/>
  <c r="AC35" i="7"/>
  <c r="AC36" i="7" s="1"/>
  <c r="J68" i="7"/>
  <c r="J83" i="7" s="1"/>
  <c r="J98" i="7" s="1"/>
  <c r="J35" i="7"/>
  <c r="J36" i="7" s="1"/>
  <c r="W25" i="7"/>
  <c r="W43" i="7" s="1"/>
  <c r="W30" i="7"/>
  <c r="L35" i="7"/>
  <c r="L36" i="7" s="1"/>
  <c r="W35" i="7"/>
  <c r="W36" i="7" s="1"/>
  <c r="I158" i="7"/>
  <c r="I173" i="7" s="1"/>
  <c r="I188" i="7" s="1"/>
  <c r="G21" i="7"/>
  <c r="W39" i="7"/>
  <c r="W56" i="7" s="1"/>
  <c r="AC39" i="7"/>
  <c r="AC56" i="7" s="1"/>
  <c r="M39" i="7"/>
  <c r="M56" i="7" s="1"/>
  <c r="I128" i="7"/>
  <c r="I129" i="7" s="1"/>
  <c r="I147" i="7" s="1"/>
  <c r="K35" i="7"/>
  <c r="K36" i="7" s="1"/>
  <c r="X30" i="7"/>
  <c r="Z35" i="7"/>
  <c r="L25" i="7"/>
  <c r="L59" i="7" s="1"/>
  <c r="K39" i="7"/>
  <c r="K56" i="7" s="1"/>
  <c r="M25" i="7"/>
  <c r="AE164" i="7"/>
  <c r="AE179" i="7" s="1"/>
  <c r="AE166" i="7"/>
  <c r="AE181" i="7" s="1"/>
  <c r="AE171" i="7"/>
  <c r="AE186" i="7" s="1"/>
  <c r="AE163" i="7"/>
  <c r="AE178" i="7" s="1"/>
  <c r="AE165" i="7"/>
  <c r="AE180" i="7" s="1"/>
  <c r="AE169" i="7"/>
  <c r="AE184" i="7" s="1"/>
  <c r="AE108" i="7"/>
  <c r="AE111" i="7" s="1"/>
  <c r="AE161" i="7"/>
  <c r="AE176" i="7" s="1"/>
  <c r="AE168" i="7"/>
  <c r="AE183" i="7" s="1"/>
  <c r="AE160" i="7"/>
  <c r="AE175" i="7" s="1"/>
  <c r="AE167" i="7"/>
  <c r="AE182" i="7" s="1"/>
  <c r="AE159" i="7"/>
  <c r="AE174" i="7" s="1"/>
  <c r="AE170" i="7"/>
  <c r="AE185" i="7" s="1"/>
  <c r="AE162" i="7"/>
  <c r="AE177" i="7" s="1"/>
  <c r="AE262" i="7"/>
  <c r="AE277" i="7" s="1"/>
  <c r="AE264" i="7"/>
  <c r="AE279" i="7" s="1"/>
  <c r="AE269" i="7"/>
  <c r="AE284" i="7" s="1"/>
  <c r="AE261" i="7"/>
  <c r="AE276" i="7" s="1"/>
  <c r="AE266" i="7"/>
  <c r="AE281" i="7" s="1"/>
  <c r="AE258" i="7"/>
  <c r="AE273" i="7" s="1"/>
  <c r="AE268" i="7"/>
  <c r="AE283" i="7" s="1"/>
  <c r="AE260" i="7"/>
  <c r="AE275" i="7" s="1"/>
  <c r="AE265" i="7"/>
  <c r="AE280" i="7" s="1"/>
  <c r="AE259" i="7"/>
  <c r="AE274" i="7" s="1"/>
  <c r="AE257" i="7"/>
  <c r="AE272" i="7" s="1"/>
  <c r="AE204" i="7"/>
  <c r="AE263" i="7"/>
  <c r="AE278" i="7" s="1"/>
  <c r="AE267" i="7"/>
  <c r="AE282" i="7" s="1"/>
  <c r="Z25" i="7"/>
  <c r="AE21" i="7"/>
  <c r="AE357" i="7"/>
  <c r="AE372" i="7" s="1"/>
  <c r="AE362" i="7"/>
  <c r="AE377" i="7" s="1"/>
  <c r="AE354" i="7"/>
  <c r="AE369" i="7" s="1"/>
  <c r="AE359" i="7"/>
  <c r="AE374" i="7" s="1"/>
  <c r="AE351" i="7"/>
  <c r="AE366" i="7" s="1"/>
  <c r="AE356" i="7"/>
  <c r="AE371" i="7" s="1"/>
  <c r="AE361" i="7"/>
  <c r="AE376" i="7" s="1"/>
  <c r="AE353" i="7"/>
  <c r="AE368" i="7" s="1"/>
  <c r="AE298" i="7"/>
  <c r="AE303" i="7" s="1"/>
  <c r="AE358" i="7"/>
  <c r="AE373" i="7" s="1"/>
  <c r="AE363" i="7"/>
  <c r="AE378" i="7" s="1"/>
  <c r="AE355" i="7"/>
  <c r="AE370" i="7" s="1"/>
  <c r="AE360" i="7"/>
  <c r="AE375" i="7" s="1"/>
  <c r="AE352" i="7"/>
  <c r="AE367" i="7" s="1"/>
  <c r="Z21" i="7"/>
  <c r="AE39" i="7"/>
  <c r="Z39" i="7"/>
  <c r="AC21" i="7"/>
  <c r="AC25" i="7"/>
  <c r="Z164" i="7"/>
  <c r="Z179" i="7" s="1"/>
  <c r="Z169" i="7"/>
  <c r="Z184" i="7" s="1"/>
  <c r="Z161" i="7"/>
  <c r="Z176" i="7" s="1"/>
  <c r="Z159" i="7"/>
  <c r="Z174" i="7" s="1"/>
  <c r="Z166" i="7"/>
  <c r="Z181" i="7" s="1"/>
  <c r="Z170" i="7"/>
  <c r="Z185" i="7" s="1"/>
  <c r="Z162" i="7"/>
  <c r="Z177" i="7" s="1"/>
  <c r="Z108" i="7"/>
  <c r="Z111" i="7" s="1"/>
  <c r="Z165" i="7"/>
  <c r="Z180" i="7" s="1"/>
  <c r="Z168" i="7"/>
  <c r="Z183" i="7" s="1"/>
  <c r="Z160" i="7"/>
  <c r="Z175" i="7" s="1"/>
  <c r="Z171" i="7"/>
  <c r="Z186" i="7" s="1"/>
  <c r="Z163" i="7"/>
  <c r="Z178" i="7" s="1"/>
  <c r="Z167" i="7"/>
  <c r="Z182" i="7" s="1"/>
  <c r="Z268" i="7"/>
  <c r="Z283" i="7" s="1"/>
  <c r="Z260" i="7"/>
  <c r="Z275" i="7" s="1"/>
  <c r="Z262" i="7"/>
  <c r="Z277" i="7" s="1"/>
  <c r="Z267" i="7"/>
  <c r="Z282" i="7" s="1"/>
  <c r="Z259" i="7"/>
  <c r="Z274" i="7" s="1"/>
  <c r="Z204" i="7"/>
  <c r="Z264" i="7"/>
  <c r="Z279" i="7" s="1"/>
  <c r="Z266" i="7"/>
  <c r="Z281" i="7" s="1"/>
  <c r="Z258" i="7"/>
  <c r="Z273" i="7" s="1"/>
  <c r="Z265" i="7"/>
  <c r="Z280" i="7" s="1"/>
  <c r="Z261" i="7"/>
  <c r="Z276" i="7" s="1"/>
  <c r="Z257" i="7"/>
  <c r="Z272" i="7" s="1"/>
  <c r="Z269" i="7"/>
  <c r="Z284" i="7" s="1"/>
  <c r="Z263" i="7"/>
  <c r="Z278" i="7" s="1"/>
  <c r="AE35" i="7"/>
  <c r="AC360" i="7"/>
  <c r="AC375" i="7" s="1"/>
  <c r="AC352" i="7"/>
  <c r="AC367" i="7" s="1"/>
  <c r="AC357" i="7"/>
  <c r="AC372" i="7" s="1"/>
  <c r="AC362" i="7"/>
  <c r="AC377" i="7" s="1"/>
  <c r="AC354" i="7"/>
  <c r="AC369" i="7" s="1"/>
  <c r="AC359" i="7"/>
  <c r="AC374" i="7" s="1"/>
  <c r="AC351" i="7"/>
  <c r="AC366" i="7" s="1"/>
  <c r="AC356" i="7"/>
  <c r="AC371" i="7" s="1"/>
  <c r="AC361" i="7"/>
  <c r="AC376" i="7" s="1"/>
  <c r="AC353" i="7"/>
  <c r="AC368" i="7" s="1"/>
  <c r="AC358" i="7"/>
  <c r="AC373" i="7" s="1"/>
  <c r="AC363" i="7"/>
  <c r="AC378" i="7" s="1"/>
  <c r="AC355" i="7"/>
  <c r="AC370" i="7" s="1"/>
  <c r="AC298" i="7"/>
  <c r="AC303" i="7" s="1"/>
  <c r="Z363" i="7"/>
  <c r="Z378" i="7" s="1"/>
  <c r="Z355" i="7"/>
  <c r="Z370" i="7" s="1"/>
  <c r="Z360" i="7"/>
  <c r="Z375" i="7" s="1"/>
  <c r="Z352" i="7"/>
  <c r="Z367" i="7" s="1"/>
  <c r="Z357" i="7"/>
  <c r="Z372" i="7" s="1"/>
  <c r="Z362" i="7"/>
  <c r="Z377" i="7" s="1"/>
  <c r="Z354" i="7"/>
  <c r="Z369" i="7" s="1"/>
  <c r="Z359" i="7"/>
  <c r="Z374" i="7" s="1"/>
  <c r="Z351" i="7"/>
  <c r="Z366" i="7" s="1"/>
  <c r="Z356" i="7"/>
  <c r="Z371" i="7" s="1"/>
  <c r="Z361" i="7"/>
  <c r="Z376" i="7" s="1"/>
  <c r="Z353" i="7"/>
  <c r="Z368" i="7" s="1"/>
  <c r="Z298" i="7"/>
  <c r="Z303" i="7" s="1"/>
  <c r="Z358" i="7"/>
  <c r="Z373" i="7" s="1"/>
  <c r="AC167" i="7"/>
  <c r="AC182" i="7" s="1"/>
  <c r="AC159" i="7"/>
  <c r="AC174" i="7" s="1"/>
  <c r="AC169" i="7"/>
  <c r="AC184" i="7" s="1"/>
  <c r="AC161" i="7"/>
  <c r="AC176" i="7" s="1"/>
  <c r="AC108" i="7"/>
  <c r="AC111" i="7" s="1"/>
  <c r="AC166" i="7"/>
  <c r="AC181" i="7" s="1"/>
  <c r="AC170" i="7"/>
  <c r="AC185" i="7" s="1"/>
  <c r="AC162" i="7"/>
  <c r="AC177" i="7" s="1"/>
  <c r="AC165" i="7"/>
  <c r="AC180" i="7" s="1"/>
  <c r="AC168" i="7"/>
  <c r="AC183" i="7" s="1"/>
  <c r="AC160" i="7"/>
  <c r="AC175" i="7" s="1"/>
  <c r="AC164" i="7"/>
  <c r="AC179" i="7" s="1"/>
  <c r="AC171" i="7"/>
  <c r="AC186" i="7" s="1"/>
  <c r="AC163" i="7"/>
  <c r="AC178" i="7" s="1"/>
  <c r="AC265" i="7"/>
  <c r="AC280" i="7" s="1"/>
  <c r="AC257" i="7"/>
  <c r="AC272" i="7" s="1"/>
  <c r="AC267" i="7"/>
  <c r="AC282" i="7" s="1"/>
  <c r="AC259" i="7"/>
  <c r="AC274" i="7" s="1"/>
  <c r="AC204" i="7"/>
  <c r="AC264" i="7"/>
  <c r="AC279" i="7" s="1"/>
  <c r="AC269" i="7"/>
  <c r="AC284" i="7" s="1"/>
  <c r="AC261" i="7"/>
  <c r="AC276" i="7" s="1"/>
  <c r="AC263" i="7"/>
  <c r="AC278" i="7" s="1"/>
  <c r="AC268" i="7"/>
  <c r="AC283" i="7" s="1"/>
  <c r="AC266" i="7"/>
  <c r="AC281" i="7" s="1"/>
  <c r="AC258" i="7"/>
  <c r="AC273" i="7" s="1"/>
  <c r="AC262" i="7"/>
  <c r="AC277" i="7" s="1"/>
  <c r="AC260" i="7"/>
  <c r="AC275" i="7" s="1"/>
  <c r="J39" i="7"/>
  <c r="M358" i="7"/>
  <c r="M373" i="7" s="1"/>
  <c r="M363" i="7"/>
  <c r="M378" i="7" s="1"/>
  <c r="M352" i="7"/>
  <c r="M367" i="7" s="1"/>
  <c r="M357" i="7"/>
  <c r="M372" i="7" s="1"/>
  <c r="M362" i="7"/>
  <c r="M377" i="7" s="1"/>
  <c r="M351" i="7"/>
  <c r="M366" i="7" s="1"/>
  <c r="M356" i="7"/>
  <c r="M371" i="7" s="1"/>
  <c r="M361" i="7"/>
  <c r="M376" i="7" s="1"/>
  <c r="M355" i="7"/>
  <c r="M370" i="7" s="1"/>
  <c r="M360" i="7"/>
  <c r="M375" i="7" s="1"/>
  <c r="M359" i="7"/>
  <c r="M374" i="7" s="1"/>
  <c r="M353" i="7"/>
  <c r="M368" i="7" s="1"/>
  <c r="M298" i="7"/>
  <c r="M303" i="7" s="1"/>
  <c r="M354" i="7"/>
  <c r="M369" i="7" s="1"/>
  <c r="H168" i="7"/>
  <c r="H183" i="7" s="1"/>
  <c r="H169" i="7"/>
  <c r="H184" i="7" s="1"/>
  <c r="H170" i="7"/>
  <c r="H185" i="7" s="1"/>
  <c r="H171" i="7"/>
  <c r="H186" i="7" s="1"/>
  <c r="H164" i="7"/>
  <c r="H179" i="7" s="1"/>
  <c r="H161" i="7"/>
  <c r="H176" i="7" s="1"/>
  <c r="H167" i="7"/>
  <c r="H182" i="7" s="1"/>
  <c r="H165" i="7"/>
  <c r="H180" i="7" s="1"/>
  <c r="H162" i="7"/>
  <c r="H177" i="7" s="1"/>
  <c r="H166" i="7"/>
  <c r="H181" i="7" s="1"/>
  <c r="H163" i="7"/>
  <c r="H178" i="7" s="1"/>
  <c r="H160" i="7"/>
  <c r="H175" i="7" s="1"/>
  <c r="H108" i="7"/>
  <c r="H111" i="7" s="1"/>
  <c r="H159" i="7"/>
  <c r="H174" i="7" s="1"/>
  <c r="L161" i="7"/>
  <c r="L176" i="7" s="1"/>
  <c r="L160" i="7"/>
  <c r="L175" i="7" s="1"/>
  <c r="L170" i="7"/>
  <c r="L185" i="7" s="1"/>
  <c r="L169" i="7"/>
  <c r="L184" i="7" s="1"/>
  <c r="L108" i="7"/>
  <c r="L111" i="7" s="1"/>
  <c r="L159" i="7"/>
  <c r="L174" i="7" s="1"/>
  <c r="L171" i="7"/>
  <c r="L186" i="7" s="1"/>
  <c r="L165" i="7"/>
  <c r="L180" i="7" s="1"/>
  <c r="L162" i="7"/>
  <c r="L177" i="7" s="1"/>
  <c r="L166" i="7"/>
  <c r="L181" i="7" s="1"/>
  <c r="L163" i="7"/>
  <c r="L178" i="7" s="1"/>
  <c r="L168" i="7"/>
  <c r="L183" i="7" s="1"/>
  <c r="L164" i="7"/>
  <c r="L179" i="7" s="1"/>
  <c r="L167" i="7"/>
  <c r="L182" i="7" s="1"/>
  <c r="J25" i="7"/>
  <c r="M161" i="7"/>
  <c r="M176" i="7" s="1"/>
  <c r="M166" i="7"/>
  <c r="M181" i="7" s="1"/>
  <c r="M165" i="7"/>
  <c r="M180" i="7" s="1"/>
  <c r="M170" i="7"/>
  <c r="M185" i="7" s="1"/>
  <c r="M169" i="7"/>
  <c r="M184" i="7" s="1"/>
  <c r="M108" i="7"/>
  <c r="M111" i="7" s="1"/>
  <c r="M160" i="7"/>
  <c r="M175" i="7" s="1"/>
  <c r="M171" i="7"/>
  <c r="M186" i="7" s="1"/>
  <c r="M167" i="7"/>
  <c r="M182" i="7" s="1"/>
  <c r="M159" i="7"/>
  <c r="M174" i="7" s="1"/>
  <c r="M163" i="7"/>
  <c r="M178" i="7" s="1"/>
  <c r="M164" i="7"/>
  <c r="M179" i="7" s="1"/>
  <c r="M162" i="7"/>
  <c r="M177" i="7" s="1"/>
  <c r="M168" i="7"/>
  <c r="M183" i="7" s="1"/>
  <c r="K167" i="7"/>
  <c r="K182" i="7" s="1"/>
  <c r="K171" i="7"/>
  <c r="K186" i="7" s="1"/>
  <c r="K168" i="7"/>
  <c r="K183" i="7" s="1"/>
  <c r="K169" i="7"/>
  <c r="K184" i="7" s="1"/>
  <c r="K161" i="7"/>
  <c r="K176" i="7" s="1"/>
  <c r="K162" i="7"/>
  <c r="K177" i="7" s="1"/>
  <c r="K159" i="7"/>
  <c r="K174" i="7" s="1"/>
  <c r="K170" i="7"/>
  <c r="K185" i="7" s="1"/>
  <c r="K108" i="7"/>
  <c r="K111" i="7" s="1"/>
  <c r="K164" i="7"/>
  <c r="K179" i="7" s="1"/>
  <c r="K163" i="7"/>
  <c r="K178" i="7" s="1"/>
  <c r="K166" i="7"/>
  <c r="K181" i="7" s="1"/>
  <c r="K160" i="7"/>
  <c r="K175" i="7" s="1"/>
  <c r="K165" i="7"/>
  <c r="K180" i="7" s="1"/>
  <c r="K258" i="7"/>
  <c r="K273" i="7" s="1"/>
  <c r="K263" i="7"/>
  <c r="K278" i="7" s="1"/>
  <c r="K267" i="7"/>
  <c r="K282" i="7" s="1"/>
  <c r="K266" i="7"/>
  <c r="K281" i="7" s="1"/>
  <c r="K265" i="7"/>
  <c r="K280" i="7" s="1"/>
  <c r="K257" i="7"/>
  <c r="K272" i="7" s="1"/>
  <c r="K269" i="7"/>
  <c r="K284" i="7" s="1"/>
  <c r="K259" i="7"/>
  <c r="K274" i="7" s="1"/>
  <c r="K260" i="7"/>
  <c r="K275" i="7" s="1"/>
  <c r="K268" i="7"/>
  <c r="K283" i="7" s="1"/>
  <c r="K204" i="7"/>
  <c r="K262" i="7"/>
  <c r="K277" i="7" s="1"/>
  <c r="K261" i="7"/>
  <c r="K276" i="7" s="1"/>
  <c r="K264" i="7"/>
  <c r="K279" i="7" s="1"/>
  <c r="J269" i="7"/>
  <c r="J284" i="7" s="1"/>
  <c r="J258" i="7"/>
  <c r="J273" i="7" s="1"/>
  <c r="J262" i="7"/>
  <c r="J277" i="7" s="1"/>
  <c r="J267" i="7"/>
  <c r="J282" i="7" s="1"/>
  <c r="J261" i="7"/>
  <c r="J276" i="7" s="1"/>
  <c r="J266" i="7"/>
  <c r="J281" i="7" s="1"/>
  <c r="J263" i="7"/>
  <c r="J278" i="7" s="1"/>
  <c r="J265" i="7"/>
  <c r="J280" i="7" s="1"/>
  <c r="J257" i="7"/>
  <c r="J272" i="7" s="1"/>
  <c r="J259" i="7"/>
  <c r="J274" i="7" s="1"/>
  <c r="J260" i="7"/>
  <c r="J275" i="7" s="1"/>
  <c r="J268" i="7"/>
  <c r="J283" i="7" s="1"/>
  <c r="J204" i="7"/>
  <c r="J264" i="7"/>
  <c r="J279" i="7" s="1"/>
  <c r="L30" i="7"/>
  <c r="K353" i="7"/>
  <c r="K368" i="7" s="1"/>
  <c r="K358" i="7"/>
  <c r="K373" i="7" s="1"/>
  <c r="K363" i="7"/>
  <c r="K378" i="7" s="1"/>
  <c r="K352" i="7"/>
  <c r="K367" i="7" s="1"/>
  <c r="K357" i="7"/>
  <c r="K372" i="7" s="1"/>
  <c r="K362" i="7"/>
  <c r="K377" i="7" s="1"/>
  <c r="K351" i="7"/>
  <c r="K366" i="7" s="1"/>
  <c r="K356" i="7"/>
  <c r="K371" i="7" s="1"/>
  <c r="K361" i="7"/>
  <c r="K376" i="7" s="1"/>
  <c r="K355" i="7"/>
  <c r="K370" i="7" s="1"/>
  <c r="K360" i="7"/>
  <c r="K375" i="7" s="1"/>
  <c r="K359" i="7"/>
  <c r="K374" i="7" s="1"/>
  <c r="K354" i="7"/>
  <c r="K369" i="7" s="1"/>
  <c r="K298" i="7"/>
  <c r="K303" i="7" s="1"/>
  <c r="J359" i="7"/>
  <c r="J374" i="7" s="1"/>
  <c r="J353" i="7"/>
  <c r="J368" i="7" s="1"/>
  <c r="J358" i="7"/>
  <c r="J373" i="7" s="1"/>
  <c r="J363" i="7"/>
  <c r="J378" i="7" s="1"/>
  <c r="J352" i="7"/>
  <c r="J367" i="7" s="1"/>
  <c r="J357" i="7"/>
  <c r="J372" i="7" s="1"/>
  <c r="J362" i="7"/>
  <c r="J377" i="7" s="1"/>
  <c r="J351" i="7"/>
  <c r="J366" i="7" s="1"/>
  <c r="J356" i="7"/>
  <c r="J371" i="7" s="1"/>
  <c r="J361" i="7"/>
  <c r="J376" i="7" s="1"/>
  <c r="J354" i="7"/>
  <c r="J369" i="7" s="1"/>
  <c r="J298" i="7"/>
  <c r="J303" i="7" s="1"/>
  <c r="J355" i="7"/>
  <c r="J370" i="7" s="1"/>
  <c r="J360" i="7"/>
  <c r="J375" i="7" s="1"/>
  <c r="H30" i="7"/>
  <c r="J162" i="7"/>
  <c r="J177" i="7" s="1"/>
  <c r="J167" i="7"/>
  <c r="J182" i="7" s="1"/>
  <c r="J166" i="7"/>
  <c r="J181" i="7" s="1"/>
  <c r="J171" i="7"/>
  <c r="J186" i="7" s="1"/>
  <c r="J168" i="7"/>
  <c r="J183" i="7" s="1"/>
  <c r="J170" i="7"/>
  <c r="J185" i="7" s="1"/>
  <c r="J161" i="7"/>
  <c r="J176" i="7" s="1"/>
  <c r="J169" i="7"/>
  <c r="J184" i="7" s="1"/>
  <c r="J165" i="7"/>
  <c r="J180" i="7" s="1"/>
  <c r="J159" i="7"/>
  <c r="J174" i="7" s="1"/>
  <c r="J160" i="7"/>
  <c r="J175" i="7" s="1"/>
  <c r="J163" i="7"/>
  <c r="J178" i="7" s="1"/>
  <c r="J108" i="7"/>
  <c r="J111" i="7" s="1"/>
  <c r="J164" i="7"/>
  <c r="J179" i="7" s="1"/>
  <c r="I110" i="7"/>
  <c r="G25" i="7"/>
  <c r="H259" i="7"/>
  <c r="H274" i="7" s="1"/>
  <c r="H264" i="7"/>
  <c r="H279" i="7" s="1"/>
  <c r="H268" i="7"/>
  <c r="H283" i="7" s="1"/>
  <c r="H267" i="7"/>
  <c r="H282" i="7" s="1"/>
  <c r="H204" i="7"/>
  <c r="H257" i="7"/>
  <c r="H272" i="7" s="1"/>
  <c r="H269" i="7"/>
  <c r="H284" i="7" s="1"/>
  <c r="H265" i="7"/>
  <c r="H280" i="7" s="1"/>
  <c r="H258" i="7"/>
  <c r="H273" i="7" s="1"/>
  <c r="H260" i="7"/>
  <c r="H275" i="7" s="1"/>
  <c r="H263" i="7"/>
  <c r="H278" i="7" s="1"/>
  <c r="H262" i="7"/>
  <c r="H277" i="7" s="1"/>
  <c r="H261" i="7"/>
  <c r="H276" i="7" s="1"/>
  <c r="H266" i="7"/>
  <c r="H281" i="7" s="1"/>
  <c r="K30" i="7"/>
  <c r="X68" i="7"/>
  <c r="X83" i="7" s="1"/>
  <c r="X98" i="7" s="1"/>
  <c r="G163" i="7"/>
  <c r="G178" i="7" s="1"/>
  <c r="G168" i="7"/>
  <c r="G183" i="7" s="1"/>
  <c r="G167" i="7"/>
  <c r="G182" i="7" s="1"/>
  <c r="G169" i="7"/>
  <c r="G184" i="7" s="1"/>
  <c r="G171" i="7"/>
  <c r="G186" i="7" s="1"/>
  <c r="G164" i="7"/>
  <c r="G179" i="7" s="1"/>
  <c r="G165" i="7"/>
  <c r="G180" i="7" s="1"/>
  <c r="G162" i="7"/>
  <c r="G177" i="7" s="1"/>
  <c r="G166" i="7"/>
  <c r="G181" i="7" s="1"/>
  <c r="G159" i="7"/>
  <c r="G174" i="7" s="1"/>
  <c r="G170" i="7"/>
  <c r="G185" i="7" s="1"/>
  <c r="G161" i="7"/>
  <c r="G176" i="7" s="1"/>
  <c r="G160" i="7"/>
  <c r="G175" i="7" s="1"/>
  <c r="G108" i="7"/>
  <c r="G111" i="7" s="1"/>
  <c r="H354" i="7"/>
  <c r="H369" i="7" s="1"/>
  <c r="H359" i="7"/>
  <c r="H374" i="7" s="1"/>
  <c r="H353" i="7"/>
  <c r="H368" i="7" s="1"/>
  <c r="H358" i="7"/>
  <c r="H373" i="7" s="1"/>
  <c r="H363" i="7"/>
  <c r="H378" i="7" s="1"/>
  <c r="H352" i="7"/>
  <c r="H367" i="7" s="1"/>
  <c r="H357" i="7"/>
  <c r="H372" i="7" s="1"/>
  <c r="H362" i="7"/>
  <c r="H377" i="7" s="1"/>
  <c r="H351" i="7"/>
  <c r="H366" i="7" s="1"/>
  <c r="H356" i="7"/>
  <c r="H371" i="7" s="1"/>
  <c r="H355" i="7"/>
  <c r="H370" i="7" s="1"/>
  <c r="H298" i="7"/>
  <c r="H303" i="7" s="1"/>
  <c r="H361" i="7"/>
  <c r="H376" i="7" s="1"/>
  <c r="H360" i="7"/>
  <c r="H375" i="7" s="1"/>
  <c r="I124" i="7"/>
  <c r="G259" i="7"/>
  <c r="G274" i="7" s="1"/>
  <c r="G263" i="7"/>
  <c r="G278" i="7" s="1"/>
  <c r="G268" i="7"/>
  <c r="G283" i="7" s="1"/>
  <c r="G262" i="7"/>
  <c r="G277" i="7" s="1"/>
  <c r="G267" i="7"/>
  <c r="G282" i="7" s="1"/>
  <c r="G264" i="7"/>
  <c r="G279" i="7" s="1"/>
  <c r="G204" i="7"/>
  <c r="G257" i="7"/>
  <c r="G272" i="7" s="1"/>
  <c r="G269" i="7"/>
  <c r="G284" i="7" s="1"/>
  <c r="G265" i="7"/>
  <c r="G280" i="7" s="1"/>
  <c r="G258" i="7"/>
  <c r="G273" i="7" s="1"/>
  <c r="G266" i="7"/>
  <c r="G281" i="7" s="1"/>
  <c r="G261" i="7"/>
  <c r="G276" i="7" s="1"/>
  <c r="G260" i="7"/>
  <c r="G275" i="7" s="1"/>
  <c r="L68" i="7"/>
  <c r="L83" i="7" s="1"/>
  <c r="L98" i="7" s="1"/>
  <c r="M35" i="7"/>
  <c r="I114" i="7"/>
  <c r="I115" i="7" s="1"/>
  <c r="I153" i="7" s="1"/>
  <c r="X259" i="7"/>
  <c r="X274" i="7" s="1"/>
  <c r="X264" i="7"/>
  <c r="X279" i="7" s="1"/>
  <c r="X268" i="7"/>
  <c r="X283" i="7" s="1"/>
  <c r="X267" i="7"/>
  <c r="X282" i="7" s="1"/>
  <c r="X260" i="7"/>
  <c r="X275" i="7" s="1"/>
  <c r="X266" i="7"/>
  <c r="X281" i="7" s="1"/>
  <c r="X261" i="7"/>
  <c r="X276" i="7" s="1"/>
  <c r="X204" i="7"/>
  <c r="X263" i="7"/>
  <c r="X278" i="7" s="1"/>
  <c r="X258" i="7"/>
  <c r="X273" i="7" s="1"/>
  <c r="X269" i="7"/>
  <c r="X284" i="7" s="1"/>
  <c r="X265" i="7"/>
  <c r="X280" i="7" s="1"/>
  <c r="X262" i="7"/>
  <c r="X277" i="7" s="1"/>
  <c r="X257" i="7"/>
  <c r="X272" i="7" s="1"/>
  <c r="G30" i="7"/>
  <c r="G360" i="7"/>
  <c r="G375" i="7" s="1"/>
  <c r="G354" i="7"/>
  <c r="G369" i="7" s="1"/>
  <c r="G359" i="7"/>
  <c r="G374" i="7" s="1"/>
  <c r="G353" i="7"/>
  <c r="G368" i="7" s="1"/>
  <c r="G358" i="7"/>
  <c r="G373" i="7" s="1"/>
  <c r="G363" i="7"/>
  <c r="G378" i="7" s="1"/>
  <c r="G352" i="7"/>
  <c r="G367" i="7" s="1"/>
  <c r="G357" i="7"/>
  <c r="G372" i="7" s="1"/>
  <c r="G362" i="7"/>
  <c r="G377" i="7" s="1"/>
  <c r="G351" i="7"/>
  <c r="G366" i="7" s="1"/>
  <c r="G356" i="7"/>
  <c r="G371" i="7" s="1"/>
  <c r="G355" i="7"/>
  <c r="G370" i="7" s="1"/>
  <c r="G361" i="7"/>
  <c r="G376" i="7" s="1"/>
  <c r="G298" i="7"/>
  <c r="G303" i="7" s="1"/>
  <c r="H21" i="7"/>
  <c r="J30" i="7"/>
  <c r="M68" i="7"/>
  <c r="M83" i="7" s="1"/>
  <c r="M98" i="7" s="1"/>
  <c r="I119" i="7"/>
  <c r="I120" i="7" s="1"/>
  <c r="X39" i="7"/>
  <c r="X354" i="7"/>
  <c r="X369" i="7" s="1"/>
  <c r="X359" i="7"/>
  <c r="X374" i="7" s="1"/>
  <c r="X353" i="7"/>
  <c r="X368" i="7" s="1"/>
  <c r="X358" i="7"/>
  <c r="X373" i="7" s="1"/>
  <c r="X363" i="7"/>
  <c r="X378" i="7" s="1"/>
  <c r="X352" i="7"/>
  <c r="X367" i="7" s="1"/>
  <c r="X357" i="7"/>
  <c r="X372" i="7" s="1"/>
  <c r="X362" i="7"/>
  <c r="X377" i="7" s="1"/>
  <c r="X351" i="7"/>
  <c r="X366" i="7" s="1"/>
  <c r="X356" i="7"/>
  <c r="X371" i="7" s="1"/>
  <c r="X360" i="7"/>
  <c r="X375" i="7" s="1"/>
  <c r="X355" i="7"/>
  <c r="X370" i="7" s="1"/>
  <c r="X298" i="7"/>
  <c r="X303" i="7" s="1"/>
  <c r="X361" i="7"/>
  <c r="X376" i="7" s="1"/>
  <c r="H68" i="7"/>
  <c r="H83" i="7" s="1"/>
  <c r="H98" i="7" s="1"/>
  <c r="H35" i="7"/>
  <c r="M268" i="7"/>
  <c r="M283" i="7" s="1"/>
  <c r="M257" i="7"/>
  <c r="M272" i="7" s="1"/>
  <c r="M261" i="7"/>
  <c r="M276" i="7" s="1"/>
  <c r="M266" i="7"/>
  <c r="M281" i="7" s="1"/>
  <c r="M260" i="7"/>
  <c r="M275" i="7" s="1"/>
  <c r="M265" i="7"/>
  <c r="M280" i="7" s="1"/>
  <c r="M204" i="7"/>
  <c r="M264" i="7"/>
  <c r="M279" i="7" s="1"/>
  <c r="M269" i="7"/>
  <c r="M284" i="7" s="1"/>
  <c r="M258" i="7"/>
  <c r="M273" i="7" s="1"/>
  <c r="M259" i="7"/>
  <c r="M274" i="7" s="1"/>
  <c r="M262" i="7"/>
  <c r="M277" i="7" s="1"/>
  <c r="M267" i="7"/>
  <c r="M282" i="7" s="1"/>
  <c r="M263" i="7"/>
  <c r="M278" i="7" s="1"/>
  <c r="K21" i="7"/>
  <c r="W163" i="7"/>
  <c r="W178" i="7" s="1"/>
  <c r="W168" i="7"/>
  <c r="W183" i="7" s="1"/>
  <c r="W167" i="7"/>
  <c r="W182" i="7" s="1"/>
  <c r="W166" i="7"/>
  <c r="W181" i="7" s="1"/>
  <c r="W165" i="7"/>
  <c r="W180" i="7" s="1"/>
  <c r="W164" i="7"/>
  <c r="W179" i="7" s="1"/>
  <c r="W108" i="7"/>
  <c r="W111" i="7" s="1"/>
  <c r="W159" i="7"/>
  <c r="W174" i="7" s="1"/>
  <c r="W170" i="7"/>
  <c r="W185" i="7" s="1"/>
  <c r="W160" i="7"/>
  <c r="W175" i="7" s="1"/>
  <c r="W171" i="7"/>
  <c r="W186" i="7" s="1"/>
  <c r="W169" i="7"/>
  <c r="W184" i="7" s="1"/>
  <c r="W161" i="7"/>
  <c r="W176" i="7" s="1"/>
  <c r="W162" i="7"/>
  <c r="W177" i="7" s="1"/>
  <c r="L21" i="7"/>
  <c r="L353" i="7"/>
  <c r="L368" i="7" s="1"/>
  <c r="L358" i="7"/>
  <c r="L373" i="7" s="1"/>
  <c r="L363" i="7"/>
  <c r="L378" i="7" s="1"/>
  <c r="L352" i="7"/>
  <c r="L367" i="7" s="1"/>
  <c r="L357" i="7"/>
  <c r="L372" i="7" s="1"/>
  <c r="L362" i="7"/>
  <c r="L377" i="7" s="1"/>
  <c r="L351" i="7"/>
  <c r="L366" i="7" s="1"/>
  <c r="L356" i="7"/>
  <c r="L371" i="7" s="1"/>
  <c r="L361" i="7"/>
  <c r="L376" i="7" s="1"/>
  <c r="L355" i="7"/>
  <c r="L370" i="7" s="1"/>
  <c r="L360" i="7"/>
  <c r="L375" i="7" s="1"/>
  <c r="L359" i="7"/>
  <c r="L374" i="7" s="1"/>
  <c r="L354" i="7"/>
  <c r="L369" i="7" s="1"/>
  <c r="L298" i="7"/>
  <c r="L303" i="7" s="1"/>
  <c r="K68" i="7"/>
  <c r="K83" i="7" s="1"/>
  <c r="K98" i="7" s="1"/>
  <c r="X168" i="7"/>
  <c r="X183" i="7" s="1"/>
  <c r="X166" i="7"/>
  <c r="X181" i="7" s="1"/>
  <c r="X159" i="7"/>
  <c r="X174" i="7" s="1"/>
  <c r="X170" i="7"/>
  <c r="X185" i="7" s="1"/>
  <c r="X160" i="7"/>
  <c r="X175" i="7" s="1"/>
  <c r="X164" i="7"/>
  <c r="X179" i="7" s="1"/>
  <c r="X161" i="7"/>
  <c r="X176" i="7" s="1"/>
  <c r="X171" i="7"/>
  <c r="X186" i="7" s="1"/>
  <c r="X169" i="7"/>
  <c r="X184" i="7" s="1"/>
  <c r="X167" i="7"/>
  <c r="X182" i="7" s="1"/>
  <c r="X162" i="7"/>
  <c r="X177" i="7" s="1"/>
  <c r="X108" i="7"/>
  <c r="X111" i="7" s="1"/>
  <c r="X165" i="7"/>
  <c r="X180" i="7" s="1"/>
  <c r="X163" i="7"/>
  <c r="X178" i="7" s="1"/>
  <c r="G68" i="7"/>
  <c r="G83" i="7" s="1"/>
  <c r="G98" i="7" s="1"/>
  <c r="H25" i="7"/>
  <c r="H48" i="7" s="1"/>
  <c r="W259" i="7"/>
  <c r="W274" i="7" s="1"/>
  <c r="W263" i="7"/>
  <c r="W278" i="7" s="1"/>
  <c r="W268" i="7"/>
  <c r="W283" i="7" s="1"/>
  <c r="W262" i="7"/>
  <c r="W277" i="7" s="1"/>
  <c r="W267" i="7"/>
  <c r="W282" i="7" s="1"/>
  <c r="W260" i="7"/>
  <c r="W275" i="7" s="1"/>
  <c r="W204" i="7"/>
  <c r="W257" i="7"/>
  <c r="W272" i="7" s="1"/>
  <c r="W265" i="7"/>
  <c r="W280" i="7" s="1"/>
  <c r="W264" i="7"/>
  <c r="W279" i="7" s="1"/>
  <c r="W261" i="7"/>
  <c r="W276" i="7" s="1"/>
  <c r="W269" i="7"/>
  <c r="W284" i="7" s="1"/>
  <c r="W266" i="7"/>
  <c r="W281" i="7" s="1"/>
  <c r="W258" i="7"/>
  <c r="W273" i="7" s="1"/>
  <c r="L39" i="7"/>
  <c r="L263" i="7"/>
  <c r="L278" i="7" s="1"/>
  <c r="L268" i="7"/>
  <c r="L283" i="7" s="1"/>
  <c r="L204" i="7"/>
  <c r="L269" i="7"/>
  <c r="L284" i="7" s="1"/>
  <c r="L258" i="7"/>
  <c r="L273" i="7" s="1"/>
  <c r="L259" i="7"/>
  <c r="L274" i="7" s="1"/>
  <c r="L260" i="7"/>
  <c r="L275" i="7" s="1"/>
  <c r="L266" i="7"/>
  <c r="L281" i="7" s="1"/>
  <c r="L262" i="7"/>
  <c r="L277" i="7" s="1"/>
  <c r="L267" i="7"/>
  <c r="L282" i="7" s="1"/>
  <c r="L265" i="7"/>
  <c r="L280" i="7" s="1"/>
  <c r="L257" i="7"/>
  <c r="L272" i="7" s="1"/>
  <c r="L264" i="7"/>
  <c r="L279" i="7" s="1"/>
  <c r="L261" i="7"/>
  <c r="L276" i="7" s="1"/>
  <c r="J21" i="7"/>
  <c r="M21" i="7"/>
  <c r="X21" i="7"/>
  <c r="G35" i="7"/>
  <c r="W68" i="7"/>
  <c r="W83" i="7" s="1"/>
  <c r="W98" i="7" s="1"/>
  <c r="W360" i="7"/>
  <c r="W375" i="7" s="1"/>
  <c r="W354" i="7"/>
  <c r="W369" i="7" s="1"/>
  <c r="W359" i="7"/>
  <c r="W374" i="7" s="1"/>
  <c r="W353" i="7"/>
  <c r="W368" i="7" s="1"/>
  <c r="W358" i="7"/>
  <c r="W373" i="7" s="1"/>
  <c r="W363" i="7"/>
  <c r="W378" i="7" s="1"/>
  <c r="W352" i="7"/>
  <c r="W367" i="7" s="1"/>
  <c r="W357" i="7"/>
  <c r="W372" i="7" s="1"/>
  <c r="W362" i="7"/>
  <c r="W377" i="7" s="1"/>
  <c r="W351" i="7"/>
  <c r="W366" i="7" s="1"/>
  <c r="W356" i="7"/>
  <c r="W371" i="7" s="1"/>
  <c r="W355" i="7"/>
  <c r="W370" i="7" s="1"/>
  <c r="W298" i="7"/>
  <c r="W303" i="7" s="1"/>
  <c r="W361" i="7"/>
  <c r="W376" i="7" s="1"/>
  <c r="G49" i="14"/>
  <c r="G50" i="14" s="1"/>
  <c r="AB49" i="14"/>
  <c r="AB50" i="14" s="1"/>
  <c r="AA49" i="14"/>
  <c r="AA50" i="14" s="1"/>
  <c r="AD49" i="14"/>
  <c r="AD50" i="14" s="1"/>
  <c r="Y49" i="14"/>
  <c r="Y50" i="14" s="1"/>
  <c r="J49" i="14"/>
  <c r="J50" i="14" s="1"/>
  <c r="AC49" i="14"/>
  <c r="AC50" i="14" s="1"/>
  <c r="I49" i="14"/>
  <c r="I50" i="14" s="1"/>
  <c r="H49" i="14"/>
  <c r="H50" i="14" s="1"/>
  <c r="M49" i="14"/>
  <c r="M50" i="14" s="1"/>
  <c r="X49" i="14"/>
  <c r="X50" i="14" s="1"/>
  <c r="K49" i="14"/>
  <c r="K50" i="14" s="1"/>
  <c r="W49" i="14"/>
  <c r="W50" i="14" s="1"/>
  <c r="L49" i="14"/>
  <c r="L50" i="14" s="1"/>
  <c r="Y44" i="14"/>
  <c r="Y19" i="13" s="1"/>
  <c r="E49" i="14"/>
  <c r="E50" i="14" s="1"/>
  <c r="AB44" i="14"/>
  <c r="AB19" i="13" s="1"/>
  <c r="J44" i="14"/>
  <c r="J19" i="13" s="1"/>
  <c r="AA44" i="14"/>
  <c r="AA19" i="13" s="1"/>
  <c r="I44" i="14"/>
  <c r="I19" i="13" s="1"/>
  <c r="M44" i="14"/>
  <c r="M19" i="13" s="1"/>
  <c r="Y25" i="14"/>
  <c r="X44" i="14"/>
  <c r="X19" i="13" s="1"/>
  <c r="E44" i="14"/>
  <c r="E19" i="13" s="1"/>
  <c r="AD44" i="14"/>
  <c r="AD19" i="13" s="1"/>
  <c r="K44" i="14"/>
  <c r="K19" i="13" s="1"/>
  <c r="G44" i="14"/>
  <c r="G19" i="13" s="1"/>
  <c r="AE19" i="13"/>
  <c r="L44" i="14"/>
  <c r="L19" i="13" s="1"/>
  <c r="AC44" i="14"/>
  <c r="AC19" i="13" s="1"/>
  <c r="W44" i="14"/>
  <c r="W19" i="13" s="1"/>
  <c r="H44" i="14"/>
  <c r="H19" i="13" s="1"/>
  <c r="Y103" i="7"/>
  <c r="Y106" i="7" s="1"/>
  <c r="Y160" i="7" s="1"/>
  <c r="Y175" i="7" s="1"/>
  <c r="Y71" i="7"/>
  <c r="Y86" i="7" s="1"/>
  <c r="Y73" i="7"/>
  <c r="Y88" i="7" s="1"/>
  <c r="Y295" i="7"/>
  <c r="Y75" i="7"/>
  <c r="Y90" i="7" s="1"/>
  <c r="Y77" i="7"/>
  <c r="Y92" i="7" s="1"/>
  <c r="Y78" i="7"/>
  <c r="Y93" i="7" s="1"/>
  <c r="Y76" i="7"/>
  <c r="Y91" i="7" s="1"/>
  <c r="Y80" i="7"/>
  <c r="Y95" i="7" s="1"/>
  <c r="Y201" i="7"/>
  <c r="Y202" i="7" s="1"/>
  <c r="Y79" i="7"/>
  <c r="Y94" i="7" s="1"/>
  <c r="Y69" i="7"/>
  <c r="Y84" i="7" s="1"/>
  <c r="Y72" i="7"/>
  <c r="Y87" i="7" s="1"/>
  <c r="Y17" i="7"/>
  <c r="Y74" i="7"/>
  <c r="Y89" i="7" s="1"/>
  <c r="Y81" i="7"/>
  <c r="Y96" i="7" s="1"/>
  <c r="O25" i="14"/>
  <c r="E18" i="14"/>
  <c r="E19" i="14" s="1"/>
  <c r="E21" i="14" s="1"/>
  <c r="J81" i="23" l="1"/>
  <c r="J82" i="23" s="1"/>
  <c r="J80" i="23"/>
  <c r="AY36" i="23"/>
  <c r="BA73" i="23"/>
  <c r="Z44" i="23"/>
  <c r="AJ168" i="23"/>
  <c r="AZ160" i="23"/>
  <c r="BC155" i="23"/>
  <c r="AF160" i="23"/>
  <c r="X44" i="23"/>
  <c r="AG155" i="23"/>
  <c r="BG197" i="23"/>
  <c r="BG198" i="23" s="1"/>
  <c r="BG199" i="23" s="1"/>
  <c r="BG200" i="23" s="1"/>
  <c r="BG201" i="23" s="1"/>
  <c r="BG202" i="23" s="1"/>
  <c r="BG203" i="23" s="1"/>
  <c r="AY168" i="23"/>
  <c r="BF46" i="23"/>
  <c r="P155" i="23"/>
  <c r="P26" i="23" s="1"/>
  <c r="AH73" i="23"/>
  <c r="Z31" i="23"/>
  <c r="P170" i="23"/>
  <c r="AO196" i="23"/>
  <c r="BA74" i="23"/>
  <c r="BA75" i="23" s="1"/>
  <c r="BA76" i="23" s="1"/>
  <c r="AB44" i="23"/>
  <c r="BC73" i="23"/>
  <c r="BC74" i="23" s="1"/>
  <c r="BC75" i="23" s="1"/>
  <c r="BC76" i="23" s="1"/>
  <c r="BG168" i="23"/>
  <c r="AC80" i="23"/>
  <c r="BA168" i="23"/>
  <c r="AK79" i="23"/>
  <c r="AK81" i="23" s="1"/>
  <c r="AK82" i="23" s="1"/>
  <c r="AA46" i="23"/>
  <c r="BB80" i="23"/>
  <c r="BB83" i="23" s="1"/>
  <c r="V46" i="23"/>
  <c r="AB197" i="23"/>
  <c r="AB198" i="23" s="1"/>
  <c r="AB199" i="23" s="1"/>
  <c r="AB200" i="23" s="1"/>
  <c r="AH74" i="23"/>
  <c r="AH75" i="23" s="1"/>
  <c r="AH76" i="23" s="1"/>
  <c r="AH77" i="23" s="1"/>
  <c r="AH78" i="23" s="1"/>
  <c r="AH79" i="23" s="1"/>
  <c r="AH81" i="23" s="1"/>
  <c r="AH82" i="23" s="1"/>
  <c r="Y46" i="23"/>
  <c r="AF168" i="23"/>
  <c r="AZ210" i="23"/>
  <c r="AZ211" i="23" s="1"/>
  <c r="AU31" i="23"/>
  <c r="AU25" i="23" s="1"/>
  <c r="K168" i="23"/>
  <c r="AU46" i="23"/>
  <c r="AK170" i="23"/>
  <c r="M80" i="23"/>
  <c r="M83" i="23" s="1"/>
  <c r="G77" i="23"/>
  <c r="G78" i="23" s="1"/>
  <c r="X77" i="23"/>
  <c r="X78" i="23" s="1"/>
  <c r="X79" i="23" s="1"/>
  <c r="AR201" i="23"/>
  <c r="AR202" i="23" s="1"/>
  <c r="AR203" i="23" s="1"/>
  <c r="AR205" i="23" s="1"/>
  <c r="AR206" i="23" s="1"/>
  <c r="AY77" i="23"/>
  <c r="AY78" i="23" s="1"/>
  <c r="AY79" i="23" s="1"/>
  <c r="AY81" i="23" s="1"/>
  <c r="AY82" i="23" s="1"/>
  <c r="BB92" i="23"/>
  <c r="BB93" i="23" s="1"/>
  <c r="BB94" i="23"/>
  <c r="BB96" i="23" s="1"/>
  <c r="BB97" i="23" s="1"/>
  <c r="AW201" i="23"/>
  <c r="AW202" i="23" s="1"/>
  <c r="AB201" i="23"/>
  <c r="AB202" i="23" s="1"/>
  <c r="Y77" i="23"/>
  <c r="Y78" i="23" s="1"/>
  <c r="AE77" i="23"/>
  <c r="AE78" i="23" s="1"/>
  <c r="AX77" i="23"/>
  <c r="AX78" i="23" s="1"/>
  <c r="AX79" i="23" s="1"/>
  <c r="AY201" i="23"/>
  <c r="AY202" i="23" s="1"/>
  <c r="AY203" i="23" s="1"/>
  <c r="L92" i="23"/>
  <c r="L93" i="23" s="1"/>
  <c r="L94" i="23"/>
  <c r="L96" i="23" s="1"/>
  <c r="L97" i="23" s="1"/>
  <c r="AE201" i="23"/>
  <c r="AE202" i="23" s="1"/>
  <c r="H77" i="23"/>
  <c r="H78" i="23" s="1"/>
  <c r="BA77" i="23"/>
  <c r="BA78" i="23" s="1"/>
  <c r="BA79" i="23" s="1"/>
  <c r="Z201" i="23"/>
  <c r="Z202" i="23" s="1"/>
  <c r="Z203" i="23" s="1"/>
  <c r="Z205" i="23" s="1"/>
  <c r="Z206" i="23" s="1"/>
  <c r="BF77" i="23"/>
  <c r="BF78" i="23" s="1"/>
  <c r="BF79" i="23" s="1"/>
  <c r="BF81" i="23" s="1"/>
  <c r="BF82" i="23" s="1"/>
  <c r="O201" i="23"/>
  <c r="O202" i="23" s="1"/>
  <c r="O203" i="23"/>
  <c r="O205" i="23" s="1"/>
  <c r="O206" i="23" s="1"/>
  <c r="AD201" i="23"/>
  <c r="AD202" i="23" s="1"/>
  <c r="BG77" i="23"/>
  <c r="BG78" i="23" s="1"/>
  <c r="BG79" i="23" s="1"/>
  <c r="BG81" i="23" s="1"/>
  <c r="BG82" i="23" s="1"/>
  <c r="AR77" i="23"/>
  <c r="AR78" i="23" s="1"/>
  <c r="AU201" i="23"/>
  <c r="AU202" i="23" s="1"/>
  <c r="AI201" i="23"/>
  <c r="AI202" i="23" s="1"/>
  <c r="AI203" i="23" s="1"/>
  <c r="AS201" i="23"/>
  <c r="AS202" i="23" s="1"/>
  <c r="AS203" i="23" s="1"/>
  <c r="AS205" i="23" s="1"/>
  <c r="AS206" i="23" s="1"/>
  <c r="AP201" i="23"/>
  <c r="AP202" i="23" s="1"/>
  <c r="AP203" i="23" s="1"/>
  <c r="AN201" i="23"/>
  <c r="AN202" i="23" s="1"/>
  <c r="AK203" i="23"/>
  <c r="AK205" i="23" s="1"/>
  <c r="AK206" i="23" s="1"/>
  <c r="AK201" i="23"/>
  <c r="AK202" i="23" s="1"/>
  <c r="AK92" i="23"/>
  <c r="AK93" i="23" s="1"/>
  <c r="AW77" i="23"/>
  <c r="AW78" i="23" s="1"/>
  <c r="AW79" i="23" s="1"/>
  <c r="AW81" i="23" s="1"/>
  <c r="AW82" i="23" s="1"/>
  <c r="AZ77" i="23"/>
  <c r="AZ78" i="23" s="1"/>
  <c r="AA77" i="23"/>
  <c r="AA78" i="23" s="1"/>
  <c r="AA79" i="23" s="1"/>
  <c r="Y201" i="23"/>
  <c r="Y202" i="23" s="1"/>
  <c r="Y203" i="23" s="1"/>
  <c r="Y205" i="23" s="1"/>
  <c r="Y206" i="23" s="1"/>
  <c r="AC203" i="23"/>
  <c r="AC205" i="23" s="1"/>
  <c r="AC206" i="23" s="1"/>
  <c r="AC201" i="23"/>
  <c r="AC202" i="23" s="1"/>
  <c r="BD77" i="23"/>
  <c r="BD78" i="23" s="1"/>
  <c r="N201" i="23"/>
  <c r="N202" i="23" s="1"/>
  <c r="N203" i="23" s="1"/>
  <c r="N205" i="23" s="1"/>
  <c r="N206" i="23" s="1"/>
  <c r="K77" i="23"/>
  <c r="K78" i="23" s="1"/>
  <c r="K79" i="23" s="1"/>
  <c r="AT201" i="23"/>
  <c r="AT202" i="23" s="1"/>
  <c r="AT203" i="23" s="1"/>
  <c r="I201" i="23"/>
  <c r="I202" i="23" s="1"/>
  <c r="AJ92" i="23"/>
  <c r="AJ93" i="23" s="1"/>
  <c r="AC92" i="23"/>
  <c r="AC93" i="23" s="1"/>
  <c r="AC94" i="23" s="1"/>
  <c r="AJ203" i="23"/>
  <c r="AJ205" i="23" s="1"/>
  <c r="AJ206" i="23" s="1"/>
  <c r="AJ201" i="23"/>
  <c r="AJ202" i="23" s="1"/>
  <c r="G201" i="23"/>
  <c r="G202" i="23" s="1"/>
  <c r="J92" i="23"/>
  <c r="J93" i="23" s="1"/>
  <c r="J94" i="23" s="1"/>
  <c r="AA201" i="23"/>
  <c r="AA202" i="23" s="1"/>
  <c r="AA203" i="23" s="1"/>
  <c r="J201" i="23"/>
  <c r="J202" i="23" s="1"/>
  <c r="J203" i="23" s="1"/>
  <c r="J205" i="23" s="1"/>
  <c r="J206" i="23" s="1"/>
  <c r="AI77" i="23"/>
  <c r="AI78" i="23" s="1"/>
  <c r="AI79" i="23" s="1"/>
  <c r="AI81" i="23" s="1"/>
  <c r="AI82" i="23" s="1"/>
  <c r="BE201" i="23"/>
  <c r="BE202" i="23" s="1"/>
  <c r="BE203" i="23"/>
  <c r="BE205" i="23" s="1"/>
  <c r="BE206" i="23" s="1"/>
  <c r="M201" i="23"/>
  <c r="M202" i="23" s="1"/>
  <c r="M203" i="23" s="1"/>
  <c r="AS77" i="23"/>
  <c r="AS78" i="23" s="1"/>
  <c r="BF201" i="23"/>
  <c r="BF202" i="23" s="1"/>
  <c r="BF203" i="23" s="1"/>
  <c r="BF205" i="23" s="1"/>
  <c r="BF206" i="23" s="1"/>
  <c r="BC201" i="23"/>
  <c r="BC202" i="23" s="1"/>
  <c r="BC203" i="23" s="1"/>
  <c r="BC205" i="23" s="1"/>
  <c r="BC206" i="23" s="1"/>
  <c r="W201" i="23"/>
  <c r="W202" i="23" s="1"/>
  <c r="AD77" i="23"/>
  <c r="AD78" i="23" s="1"/>
  <c r="AD79" i="23"/>
  <c r="AD81" i="23" s="1"/>
  <c r="AD82" i="23" s="1"/>
  <c r="AG201" i="23"/>
  <c r="AG202" i="23" s="1"/>
  <c r="AQ77" i="23"/>
  <c r="AQ78" i="23" s="1"/>
  <c r="AQ79" i="23" s="1"/>
  <c r="AQ81" i="23" s="1"/>
  <c r="AQ82" i="23" s="1"/>
  <c r="W77" i="23"/>
  <c r="W78" i="23" s="1"/>
  <c r="BE77" i="23"/>
  <c r="BE78" i="23" s="1"/>
  <c r="AB77" i="23"/>
  <c r="AB78" i="23" s="1"/>
  <c r="AB79" i="23"/>
  <c r="AB81" i="23" s="1"/>
  <c r="AB82" i="23" s="1"/>
  <c r="BC77" i="23"/>
  <c r="BC78" i="23" s="1"/>
  <c r="BC79" i="23" s="1"/>
  <c r="AH201" i="23"/>
  <c r="AH202" i="23" s="1"/>
  <c r="AQ201" i="23"/>
  <c r="AQ202" i="23" s="1"/>
  <c r="AQ203" i="23" s="1"/>
  <c r="AQ205" i="23" s="1"/>
  <c r="AQ206" i="23" s="1"/>
  <c r="AF77" i="23"/>
  <c r="AF78" i="23" s="1"/>
  <c r="AF79" i="23" s="1"/>
  <c r="AF81" i="23" s="1"/>
  <c r="AF82" i="23" s="1"/>
  <c r="I86" i="23"/>
  <c r="I87" i="23" s="1"/>
  <c r="AO29" i="23"/>
  <c r="AO26" i="23"/>
  <c r="AO28" i="23"/>
  <c r="AO27" i="23"/>
  <c r="AY88" i="23"/>
  <c r="AY89" i="23" s="1"/>
  <c r="AY90" i="23" s="1"/>
  <c r="AY91" i="23" s="1"/>
  <c r="AC28" i="23"/>
  <c r="AC29" i="23"/>
  <c r="AC27" i="23"/>
  <c r="AC26" i="23"/>
  <c r="N73" i="23"/>
  <c r="N74" i="23" s="1"/>
  <c r="N75" i="23" s="1"/>
  <c r="N76" i="23" s="1"/>
  <c r="BB212" i="23"/>
  <c r="BB213" i="23" s="1"/>
  <c r="BB214" i="23" s="1"/>
  <c r="BB215" i="23" s="1"/>
  <c r="AN36" i="23"/>
  <c r="AN31" i="23"/>
  <c r="Y29" i="23"/>
  <c r="Y26" i="23"/>
  <c r="Y28" i="23"/>
  <c r="Y27" i="23"/>
  <c r="Z212" i="23"/>
  <c r="Z213" i="23" s="1"/>
  <c r="Z214" i="23" s="1"/>
  <c r="Z215" i="23" s="1"/>
  <c r="AL73" i="23"/>
  <c r="AL74" i="23" s="1"/>
  <c r="AL75" i="23" s="1"/>
  <c r="AL76" i="23" s="1"/>
  <c r="K212" i="23"/>
  <c r="K213" i="23" s="1"/>
  <c r="K214" i="23" s="1"/>
  <c r="K215" i="23" s="1"/>
  <c r="BB201" i="23"/>
  <c r="BB202" i="23" s="1"/>
  <c r="BB203" i="23" s="1"/>
  <c r="BB205" i="23" s="1"/>
  <c r="BB206" i="23" s="1"/>
  <c r="AX29" i="23"/>
  <c r="AX27" i="23"/>
  <c r="AX26" i="23"/>
  <c r="AX28" i="23"/>
  <c r="BC88" i="23"/>
  <c r="BC89" i="23" s="1"/>
  <c r="BC90" i="23" s="1"/>
  <c r="BC91" i="23" s="1"/>
  <c r="AW28" i="23"/>
  <c r="AW26" i="23"/>
  <c r="AA88" i="23"/>
  <c r="AA89" i="23" s="1"/>
  <c r="AA90" i="23" s="1"/>
  <c r="AA91" i="23" s="1"/>
  <c r="AZ36" i="23"/>
  <c r="AZ31" i="23"/>
  <c r="BE88" i="23"/>
  <c r="BE89" i="23" s="1"/>
  <c r="BE90" i="23" s="1"/>
  <c r="BE91" i="23" s="1"/>
  <c r="AL212" i="23"/>
  <c r="AL213" i="23" s="1"/>
  <c r="AL214" i="23" s="1"/>
  <c r="AL215" i="23" s="1"/>
  <c r="P77" i="23"/>
  <c r="P78" i="23" s="1"/>
  <c r="P79" i="23" s="1"/>
  <c r="P81" i="23" s="1"/>
  <c r="P82" i="23" s="1"/>
  <c r="AY22" i="23"/>
  <c r="AY24" i="23"/>
  <c r="AY23" i="23"/>
  <c r="AY25" i="23"/>
  <c r="U79" i="23"/>
  <c r="U81" i="23" s="1"/>
  <c r="U82" i="23" s="1"/>
  <c r="U77" i="23"/>
  <c r="U78" i="23" s="1"/>
  <c r="BD29" i="23"/>
  <c r="BD28" i="23"/>
  <c r="BD26" i="23"/>
  <c r="BD27" i="23"/>
  <c r="X88" i="23"/>
  <c r="X89" i="23" s="1"/>
  <c r="X90" i="23" s="1"/>
  <c r="X91" i="23" s="1"/>
  <c r="R214" i="23"/>
  <c r="R215" i="23" s="1"/>
  <c r="R212" i="23"/>
  <c r="R213" i="23" s="1"/>
  <c r="R203" i="23"/>
  <c r="R205" i="23" s="1"/>
  <c r="R206" i="23" s="1"/>
  <c r="R201" i="23"/>
  <c r="R202" i="23" s="1"/>
  <c r="AO46" i="23"/>
  <c r="AB36" i="23"/>
  <c r="AB31" i="23"/>
  <c r="J212" i="23"/>
  <c r="J213" i="23" s="1"/>
  <c r="J214" i="23" s="1"/>
  <c r="J215" i="23" s="1"/>
  <c r="AA87" i="23"/>
  <c r="O88" i="23"/>
  <c r="O89" i="23" s="1"/>
  <c r="O90" i="23" s="1"/>
  <c r="O91" i="23" s="1"/>
  <c r="BE87" i="23"/>
  <c r="AL211" i="23"/>
  <c r="AA44" i="23"/>
  <c r="V26" i="23"/>
  <c r="V29" i="23"/>
  <c r="V27" i="23"/>
  <c r="V28" i="23"/>
  <c r="BC24" i="23"/>
  <c r="BC23" i="23"/>
  <c r="BC22" i="23"/>
  <c r="BC25" i="23"/>
  <c r="BD36" i="23"/>
  <c r="BD31" i="23"/>
  <c r="AL86" i="23"/>
  <c r="AN77" i="23"/>
  <c r="AN78" i="23" s="1"/>
  <c r="AN79" i="23" s="1"/>
  <c r="AN81" i="23" s="1"/>
  <c r="AN82" i="23" s="1"/>
  <c r="AL201" i="23"/>
  <c r="AL202" i="23" s="1"/>
  <c r="AL203" i="23"/>
  <c r="AL205" i="23" s="1"/>
  <c r="AL206" i="23" s="1"/>
  <c r="J25" i="23"/>
  <c r="J23" i="23"/>
  <c r="J22" i="23"/>
  <c r="J24" i="23"/>
  <c r="Y212" i="23"/>
  <c r="Y213" i="23" s="1"/>
  <c r="Y214" i="23" s="1"/>
  <c r="Y215" i="23" s="1"/>
  <c r="AJ27" i="23"/>
  <c r="AJ29" i="23"/>
  <c r="AJ26" i="23"/>
  <c r="AJ28" i="23"/>
  <c r="AK24" i="23"/>
  <c r="AK25" i="23"/>
  <c r="AK22" i="23"/>
  <c r="AK23" i="23"/>
  <c r="AD212" i="23"/>
  <c r="AD213" i="23" s="1"/>
  <c r="AD214" i="23" s="1"/>
  <c r="AD215" i="23" s="1"/>
  <c r="V214" i="23"/>
  <c r="V215" i="23" s="1"/>
  <c r="V212" i="23"/>
  <c r="V213" i="23" s="1"/>
  <c r="AB88" i="23"/>
  <c r="AB89" i="23" s="1"/>
  <c r="AB90" i="23" s="1"/>
  <c r="AB91" i="23" s="1"/>
  <c r="Y44" i="23"/>
  <c r="AO36" i="23"/>
  <c r="AO31" i="23"/>
  <c r="N22" i="23"/>
  <c r="N24" i="23"/>
  <c r="AK168" i="23"/>
  <c r="BD197" i="23"/>
  <c r="BD198" i="23" s="1"/>
  <c r="BD199" i="23" s="1"/>
  <c r="BD200" i="23" s="1"/>
  <c r="BF88" i="23"/>
  <c r="BF89" i="23" s="1"/>
  <c r="BF90" i="23" s="1"/>
  <c r="BF91" i="23" s="1"/>
  <c r="O25" i="23"/>
  <c r="O22" i="23"/>
  <c r="O24" i="23"/>
  <c r="O23" i="23"/>
  <c r="AH212" i="23"/>
  <c r="AH213" i="23"/>
  <c r="AH214" i="23" s="1"/>
  <c r="AH215" i="23" s="1"/>
  <c r="AZ201" i="23"/>
  <c r="AZ202" i="23" s="1"/>
  <c r="AZ203" i="23" s="1"/>
  <c r="AZ205" i="23" s="1"/>
  <c r="AZ206" i="23" s="1"/>
  <c r="AX201" i="23"/>
  <c r="AX202" i="23" s="1"/>
  <c r="U24" i="23"/>
  <c r="U23" i="23"/>
  <c r="U22" i="23"/>
  <c r="U25" i="23"/>
  <c r="M28" i="23"/>
  <c r="M27" i="23"/>
  <c r="M26" i="23"/>
  <c r="M29" i="23"/>
  <c r="Q214" i="23"/>
  <c r="Q215" i="23" s="1"/>
  <c r="Q212" i="23"/>
  <c r="Q213" i="23" s="1"/>
  <c r="K23" i="23"/>
  <c r="K25" i="23"/>
  <c r="K24" i="23"/>
  <c r="K22" i="23"/>
  <c r="Z77" i="23"/>
  <c r="Z78" i="23" s="1"/>
  <c r="Z79" i="23" s="1"/>
  <c r="Z81" i="23" s="1"/>
  <c r="Z82" i="23" s="1"/>
  <c r="L36" i="23"/>
  <c r="L31" i="23"/>
  <c r="AB212" i="23"/>
  <c r="AB213" i="23" s="1"/>
  <c r="AB214" i="23" s="1"/>
  <c r="AB215" i="23" s="1"/>
  <c r="AI22" i="23"/>
  <c r="AI24" i="23"/>
  <c r="AI25" i="23"/>
  <c r="AI23" i="23"/>
  <c r="AM214" i="23"/>
  <c r="AM215" i="23" s="1"/>
  <c r="AM212" i="23"/>
  <c r="AM213" i="23" s="1"/>
  <c r="R29" i="23"/>
  <c r="R28" i="23"/>
  <c r="R26" i="23"/>
  <c r="R27" i="23"/>
  <c r="AU73" i="23"/>
  <c r="AU74" i="23" s="1"/>
  <c r="AU75" i="23" s="1"/>
  <c r="AU76" i="23" s="1"/>
  <c r="Q88" i="23"/>
  <c r="Q89" i="23" s="1"/>
  <c r="Q90" i="23"/>
  <c r="Q91" i="23" s="1"/>
  <c r="BD210" i="23"/>
  <c r="BD211" i="23" s="1"/>
  <c r="BA210" i="23"/>
  <c r="AT212" i="23"/>
  <c r="AT213" i="23" s="1"/>
  <c r="AT214" i="23" s="1"/>
  <c r="AT215" i="23" s="1"/>
  <c r="AR36" i="23"/>
  <c r="AR31" i="23"/>
  <c r="F90" i="23"/>
  <c r="F91" i="23" s="1"/>
  <c r="F88" i="23"/>
  <c r="F89" i="23" s="1"/>
  <c r="AA36" i="23"/>
  <c r="AA31" i="23"/>
  <c r="P212" i="23"/>
  <c r="P213" i="23" s="1"/>
  <c r="P214" i="23"/>
  <c r="P215" i="23" s="1"/>
  <c r="X29" i="23"/>
  <c r="X28" i="23"/>
  <c r="X26" i="23"/>
  <c r="X27" i="23"/>
  <c r="AK212" i="23"/>
  <c r="AK213" i="23" s="1"/>
  <c r="AK214" i="23" s="1"/>
  <c r="AK215" i="23" s="1"/>
  <c r="AE88" i="23"/>
  <c r="AE89" i="23" s="1"/>
  <c r="AE90" i="23" s="1"/>
  <c r="AE91" i="23" s="1"/>
  <c r="Q201" i="23"/>
  <c r="Q202" i="23" s="1"/>
  <c r="Q203" i="23" s="1"/>
  <c r="Q205" i="23" s="1"/>
  <c r="Q206" i="23" s="1"/>
  <c r="Q22" i="23"/>
  <c r="Q24" i="23"/>
  <c r="S77" i="23"/>
  <c r="S78" i="23" s="1"/>
  <c r="S79" i="23" s="1"/>
  <c r="U27" i="23"/>
  <c r="U29" i="23"/>
  <c r="U26" i="23"/>
  <c r="U28" i="23"/>
  <c r="AM211" i="23"/>
  <c r="AK160" i="23"/>
  <c r="AK155" i="23"/>
  <c r="AU86" i="23"/>
  <c r="AU87" i="23" s="1"/>
  <c r="AO77" i="23"/>
  <c r="AO78" i="23" s="1"/>
  <c r="AO79" i="23" s="1"/>
  <c r="BA197" i="23"/>
  <c r="BA198" i="23" s="1"/>
  <c r="BA199" i="23" s="1"/>
  <c r="BA200" i="23" s="1"/>
  <c r="F87" i="23"/>
  <c r="AW212" i="23"/>
  <c r="AW213" i="23" s="1"/>
  <c r="AW214" i="23" s="1"/>
  <c r="AW215" i="23" s="1"/>
  <c r="P211" i="23"/>
  <c r="I212" i="23"/>
  <c r="I213" i="23" s="1"/>
  <c r="I214" i="23" s="1"/>
  <c r="I215" i="23" s="1"/>
  <c r="S201" i="23"/>
  <c r="S202" i="23" s="1"/>
  <c r="S203" i="23" s="1"/>
  <c r="S205" i="23" s="1"/>
  <c r="S206" i="23" s="1"/>
  <c r="AU212" i="23"/>
  <c r="AU213" i="23" s="1"/>
  <c r="AU214" i="23" s="1"/>
  <c r="AU215" i="23" s="1"/>
  <c r="AJ80" i="23"/>
  <c r="AJ83" i="23" s="1"/>
  <c r="AJ23" i="23" s="1"/>
  <c r="Y88" i="23"/>
  <c r="Y89" i="23" s="1"/>
  <c r="Y90" i="23" s="1"/>
  <c r="Y91" i="23" s="1"/>
  <c r="BB26" i="23"/>
  <c r="BB29" i="23"/>
  <c r="BB28" i="23"/>
  <c r="BB27" i="23"/>
  <c r="I29" i="23"/>
  <c r="I26" i="23"/>
  <c r="I28" i="23"/>
  <c r="I27" i="23"/>
  <c r="AJ24" i="23"/>
  <c r="AJ22" i="23"/>
  <c r="AA212" i="23"/>
  <c r="AA213" i="23" s="1"/>
  <c r="AA214" i="23" s="1"/>
  <c r="AA215" i="23" s="1"/>
  <c r="AP26" i="23"/>
  <c r="AP28" i="23"/>
  <c r="AP27" i="23"/>
  <c r="AP29" i="23"/>
  <c r="H197" i="23"/>
  <c r="H198" i="23" s="1"/>
  <c r="H199" i="23" s="1"/>
  <c r="H200" i="23" s="1"/>
  <c r="AK211" i="23"/>
  <c r="G212" i="23"/>
  <c r="G213" i="23" s="1"/>
  <c r="G214" i="23" s="1"/>
  <c r="G215" i="23" s="1"/>
  <c r="AZ27" i="23"/>
  <c r="AZ29" i="23"/>
  <c r="AZ26" i="23"/>
  <c r="AZ28" i="23"/>
  <c r="AQ36" i="23"/>
  <c r="AQ31" i="23"/>
  <c r="AF88" i="23"/>
  <c r="AF89" i="23" s="1"/>
  <c r="AF90" i="23" s="1"/>
  <c r="AF91" i="23" s="1"/>
  <c r="U214" i="23"/>
  <c r="U215" i="23" s="1"/>
  <c r="U212" i="23"/>
  <c r="U213" i="23" s="1"/>
  <c r="I44" i="23"/>
  <c r="AE25" i="23"/>
  <c r="AE22" i="23"/>
  <c r="AE24" i="23"/>
  <c r="AE23" i="23"/>
  <c r="S168" i="23"/>
  <c r="AN88" i="23"/>
  <c r="AN89" i="23" s="1"/>
  <c r="AN90" i="23" s="1"/>
  <c r="AN91" i="23" s="1"/>
  <c r="AQ168" i="23"/>
  <c r="AU72" i="23"/>
  <c r="AH88" i="23"/>
  <c r="AH89" i="23"/>
  <c r="AH90" i="23" s="1"/>
  <c r="AH91" i="23" s="1"/>
  <c r="AE212" i="23"/>
  <c r="AE213" i="23" s="1"/>
  <c r="AE214" i="23" s="1"/>
  <c r="AE215" i="23" s="1"/>
  <c r="BA196" i="23"/>
  <c r="V90" i="23"/>
  <c r="V91" i="23" s="1"/>
  <c r="V88" i="23"/>
  <c r="V89" i="23" s="1"/>
  <c r="I211" i="23"/>
  <c r="F201" i="23"/>
  <c r="F202" i="23" s="1"/>
  <c r="AQ212" i="23"/>
  <c r="AQ213" i="23" s="1"/>
  <c r="AQ214" i="23" s="1"/>
  <c r="AQ215" i="23" s="1"/>
  <c r="O28" i="23"/>
  <c r="O27" i="23"/>
  <c r="O29" i="23"/>
  <c r="O26" i="23"/>
  <c r="AM90" i="23"/>
  <c r="AM91" i="23" s="1"/>
  <c r="AM88" i="23"/>
  <c r="AM89" i="23" s="1"/>
  <c r="AB29" i="23"/>
  <c r="AB27" i="23"/>
  <c r="AB26" i="23"/>
  <c r="AB28" i="23"/>
  <c r="AI27" i="23"/>
  <c r="AI29" i="23"/>
  <c r="AI26" i="23"/>
  <c r="AI28" i="23"/>
  <c r="M212" i="23"/>
  <c r="M213" i="23" s="1"/>
  <c r="M214" i="23" s="1"/>
  <c r="M215" i="23" s="1"/>
  <c r="AC213" i="23"/>
  <c r="AC214" i="23" s="1"/>
  <c r="AC215" i="23" s="1"/>
  <c r="AC212" i="23"/>
  <c r="Y36" i="23"/>
  <c r="Y31" i="23"/>
  <c r="S22" i="23"/>
  <c r="S24" i="23"/>
  <c r="S23" i="23"/>
  <c r="S25" i="23"/>
  <c r="AT74" i="23"/>
  <c r="AT75" i="23" s="1"/>
  <c r="AT76" i="23" s="1"/>
  <c r="AT73" i="23"/>
  <c r="I36" i="23"/>
  <c r="I31" i="23"/>
  <c r="BF26" i="23"/>
  <c r="BF28" i="23"/>
  <c r="BF29" i="23"/>
  <c r="BF27" i="23"/>
  <c r="AQ160" i="23"/>
  <c r="AQ155" i="23"/>
  <c r="O77" i="23"/>
  <c r="O78" i="23" s="1"/>
  <c r="O79" i="23" s="1"/>
  <c r="O81" i="23" s="1"/>
  <c r="O82" i="23" s="1"/>
  <c r="AD22" i="23"/>
  <c r="AD24" i="23"/>
  <c r="AD23" i="23"/>
  <c r="AD25" i="23"/>
  <c r="AD28" i="23"/>
  <c r="AD27" i="23"/>
  <c r="AD26" i="23"/>
  <c r="AD29" i="23"/>
  <c r="BG170" i="23"/>
  <c r="AV77" i="23"/>
  <c r="AV78" i="23" s="1"/>
  <c r="AV79" i="23" s="1"/>
  <c r="AV81" i="23" s="1"/>
  <c r="AV82" i="23" s="1"/>
  <c r="Z25" i="23"/>
  <c r="Z22" i="23"/>
  <c r="Z23" i="23"/>
  <c r="Z24" i="23"/>
  <c r="T214" i="23"/>
  <c r="T215" i="23" s="1"/>
  <c r="T212" i="23"/>
  <c r="T213" i="23" s="1"/>
  <c r="V87" i="23"/>
  <c r="T201" i="23"/>
  <c r="T202" i="23" s="1"/>
  <c r="T203" i="23" s="1"/>
  <c r="T205" i="23" s="1"/>
  <c r="T206" i="23" s="1"/>
  <c r="AC83" i="23"/>
  <c r="M92" i="23"/>
  <c r="M93" i="23" s="1"/>
  <c r="M94" i="23" s="1"/>
  <c r="AS89" i="23"/>
  <c r="AS90" i="23" s="1"/>
  <c r="AS91" i="23" s="1"/>
  <c r="AS88" i="23"/>
  <c r="G24" i="23"/>
  <c r="G23" i="23"/>
  <c r="G25" i="23"/>
  <c r="G22" i="23"/>
  <c r="AR212" i="23"/>
  <c r="AR213" i="23" s="1"/>
  <c r="AR214" i="23" s="1"/>
  <c r="AR215" i="23" s="1"/>
  <c r="K88" i="23"/>
  <c r="K89" i="23" s="1"/>
  <c r="K90" i="23" s="1"/>
  <c r="K91" i="23" s="1"/>
  <c r="H210" i="23"/>
  <c r="H211" i="23" s="1"/>
  <c r="BF212" i="23"/>
  <c r="BF213" i="23" s="1"/>
  <c r="BF214" i="23" s="1"/>
  <c r="BF215" i="23" s="1"/>
  <c r="BG88" i="23"/>
  <c r="BG89" i="23" s="1"/>
  <c r="BG90" i="23" s="1"/>
  <c r="BG91" i="23" s="1"/>
  <c r="S88" i="23"/>
  <c r="S89" i="23" s="1"/>
  <c r="S90" i="23"/>
  <c r="S91" i="23" s="1"/>
  <c r="AT86" i="23"/>
  <c r="AT87" i="23" s="1"/>
  <c r="BA24" i="23"/>
  <c r="BA23" i="23"/>
  <c r="BA22" i="23"/>
  <c r="BA25" i="23"/>
  <c r="BF36" i="23"/>
  <c r="BF31" i="23"/>
  <c r="Q77" i="23"/>
  <c r="Q78" i="23" s="1"/>
  <c r="Q79" i="23" s="1"/>
  <c r="Q81" i="23" s="1"/>
  <c r="Q82" i="23" s="1"/>
  <c r="AO212" i="23"/>
  <c r="AO214" i="23"/>
  <c r="AO215" i="23" s="1"/>
  <c r="AO213" i="23"/>
  <c r="AM26" i="23"/>
  <c r="AM28" i="23"/>
  <c r="BA88" i="23"/>
  <c r="BA89" i="23" s="1"/>
  <c r="BA90" i="23" s="1"/>
  <c r="BA91" i="23" s="1"/>
  <c r="F77" i="23"/>
  <c r="F78" i="23" s="1"/>
  <c r="F79" i="23" s="1"/>
  <c r="F81" i="23" s="1"/>
  <c r="F82" i="23" s="1"/>
  <c r="P88" i="23"/>
  <c r="P89" i="23" s="1"/>
  <c r="P90" i="23"/>
  <c r="P91" i="23" s="1"/>
  <c r="U90" i="23"/>
  <c r="U91" i="23" s="1"/>
  <c r="U88" i="23"/>
  <c r="U89" i="23" s="1"/>
  <c r="AP212" i="23"/>
  <c r="AP213" i="23" s="1"/>
  <c r="AP214" i="23" s="1"/>
  <c r="AP215" i="23" s="1"/>
  <c r="AM77" i="23"/>
  <c r="AM78" i="23" s="1"/>
  <c r="AA26" i="23"/>
  <c r="AA28" i="23"/>
  <c r="L27" i="23"/>
  <c r="L26" i="23"/>
  <c r="L28" i="23"/>
  <c r="L29" i="23"/>
  <c r="AS28" i="23"/>
  <c r="AS29" i="23"/>
  <c r="AS27" i="23"/>
  <c r="AS26" i="23"/>
  <c r="AG77" i="23"/>
  <c r="AG78" i="23" s="1"/>
  <c r="AG79" i="23" s="1"/>
  <c r="AG81" i="23" s="1"/>
  <c r="AG82" i="23" s="1"/>
  <c r="AO90" i="23"/>
  <c r="AO91" i="23" s="1"/>
  <c r="AO88" i="23"/>
  <c r="AO89" i="23" s="1"/>
  <c r="F212" i="23"/>
  <c r="F213" i="23" s="1"/>
  <c r="F214" i="23"/>
  <c r="F215" i="23" s="1"/>
  <c r="J26" i="23"/>
  <c r="J28" i="23"/>
  <c r="J27" i="23"/>
  <c r="J29" i="23"/>
  <c r="F26" i="23"/>
  <c r="F28" i="23"/>
  <c r="F27" i="23"/>
  <c r="F29" i="23"/>
  <c r="AT28" i="23"/>
  <c r="AT27" i="23"/>
  <c r="AT29" i="23"/>
  <c r="AT26" i="23"/>
  <c r="W88" i="23"/>
  <c r="W89" i="23" s="1"/>
  <c r="W90" i="23" s="1"/>
  <c r="W91" i="23" s="1"/>
  <c r="AC36" i="23"/>
  <c r="AC31" i="23"/>
  <c r="AR26" i="23"/>
  <c r="AR28" i="23"/>
  <c r="AR29" i="23"/>
  <c r="AR27" i="23"/>
  <c r="U87" i="23"/>
  <c r="G88" i="23"/>
  <c r="G89" i="23" s="1"/>
  <c r="G90" i="23" s="1"/>
  <c r="G91" i="23" s="1"/>
  <c r="R22" i="23"/>
  <c r="R24" i="23"/>
  <c r="R25" i="23"/>
  <c r="R23" i="23"/>
  <c r="AY212" i="23"/>
  <c r="AY213" i="23" s="1"/>
  <c r="AY214" i="23" s="1"/>
  <c r="AY215" i="23" s="1"/>
  <c r="AJ212" i="23"/>
  <c r="AJ213" i="23" s="1"/>
  <c r="AJ214" i="23" s="1"/>
  <c r="AJ215" i="23" s="1"/>
  <c r="AG27" i="23"/>
  <c r="AG29" i="23"/>
  <c r="AG26" i="23"/>
  <c r="AG28" i="23"/>
  <c r="AV28" i="23"/>
  <c r="AV26" i="23"/>
  <c r="AP73" i="23"/>
  <c r="AP74" i="23" s="1"/>
  <c r="AP75" i="23" s="1"/>
  <c r="AP76" i="23" s="1"/>
  <c r="S160" i="23"/>
  <c r="S155" i="23"/>
  <c r="AO87" i="23"/>
  <c r="F211" i="23"/>
  <c r="BG160" i="23"/>
  <c r="BG155" i="23"/>
  <c r="AL26" i="23"/>
  <c r="AL28" i="23"/>
  <c r="AL27" i="23"/>
  <c r="AL29" i="23"/>
  <c r="AS22" i="23"/>
  <c r="AS24" i="23"/>
  <c r="R77" i="23"/>
  <c r="R78" i="23" s="1"/>
  <c r="R79" i="23" s="1"/>
  <c r="R81" i="23" s="1"/>
  <c r="R82" i="23" s="1"/>
  <c r="P203" i="23"/>
  <c r="P205" i="23" s="1"/>
  <c r="P206" i="23" s="1"/>
  <c r="P201" i="23"/>
  <c r="P202" i="23" s="1"/>
  <c r="W87" i="23"/>
  <c r="BE212" i="23"/>
  <c r="BE213" i="23" s="1"/>
  <c r="BE214" i="23" s="1"/>
  <c r="BE215" i="23" s="1"/>
  <c r="I73" i="23"/>
  <c r="I74" i="23" s="1"/>
  <c r="I75" i="23" s="1"/>
  <c r="I76" i="23" s="1"/>
  <c r="AI212" i="23"/>
  <c r="AI213" i="23"/>
  <c r="AI214" i="23" s="1"/>
  <c r="AI215" i="23" s="1"/>
  <c r="AF25" i="23"/>
  <c r="AF24" i="23"/>
  <c r="AF23" i="23"/>
  <c r="AF22" i="23"/>
  <c r="V201" i="23"/>
  <c r="V202" i="23" s="1"/>
  <c r="V203" i="23" s="1"/>
  <c r="V205" i="23" s="1"/>
  <c r="V206" i="23" s="1"/>
  <c r="AH36" i="23"/>
  <c r="AH31" i="23"/>
  <c r="AL24" i="23"/>
  <c r="AL23" i="23"/>
  <c r="AL25" i="23"/>
  <c r="AL22" i="23"/>
  <c r="AP25" i="23"/>
  <c r="AP22" i="23"/>
  <c r="AP23" i="23"/>
  <c r="AP24" i="23"/>
  <c r="AV24" i="23"/>
  <c r="AV22" i="23"/>
  <c r="T88" i="23"/>
  <c r="T89" i="23" s="1"/>
  <c r="T90" i="23"/>
  <c r="T91" i="23" s="1"/>
  <c r="L212" i="23"/>
  <c r="L213" i="23" s="1"/>
  <c r="L214" i="23" s="1"/>
  <c r="L215" i="23" s="1"/>
  <c r="AP86" i="23"/>
  <c r="W212" i="23"/>
  <c r="W213" i="23" s="1"/>
  <c r="W214" i="23" s="1"/>
  <c r="W215" i="23" s="1"/>
  <c r="AO201" i="23"/>
  <c r="AO202" i="23" s="1"/>
  <c r="AO203" i="23" s="1"/>
  <c r="AH29" i="23"/>
  <c r="AH26" i="23"/>
  <c r="AH27" i="23"/>
  <c r="AH28" i="23"/>
  <c r="AW88" i="23"/>
  <c r="AW89" i="23" s="1"/>
  <c r="AW90" i="23" s="1"/>
  <c r="AW91" i="23" s="1"/>
  <c r="AV197" i="23"/>
  <c r="AV198" i="23" s="1"/>
  <c r="AV199" i="23" s="1"/>
  <c r="AV200" i="23" s="1"/>
  <c r="AS212" i="23"/>
  <c r="AS213" i="23" s="1"/>
  <c r="AS214" i="23" s="1"/>
  <c r="AS215" i="23" s="1"/>
  <c r="L79" i="23"/>
  <c r="L81" i="23" s="1"/>
  <c r="L82" i="23" s="1"/>
  <c r="BG212" i="23"/>
  <c r="BG213" i="23" s="1"/>
  <c r="BG214" i="23" s="1"/>
  <c r="BG215" i="23" s="1"/>
  <c r="AN212" i="23"/>
  <c r="AN213" i="23" s="1"/>
  <c r="AN214" i="23" s="1"/>
  <c r="AN215" i="23" s="1"/>
  <c r="O212" i="23"/>
  <c r="O213" i="23" s="1"/>
  <c r="O214" i="23" s="1"/>
  <c r="O215" i="23" s="1"/>
  <c r="H88" i="23"/>
  <c r="H89" i="23" s="1"/>
  <c r="H90" i="23" s="1"/>
  <c r="H91" i="23" s="1"/>
  <c r="AE28" i="23"/>
  <c r="AE27" i="23"/>
  <c r="AE26" i="23"/>
  <c r="AE29" i="23"/>
  <c r="K26" i="23"/>
  <c r="K28" i="23"/>
  <c r="K27" i="23"/>
  <c r="K29" i="23"/>
  <c r="T77" i="23"/>
  <c r="T78" i="23" s="1"/>
  <c r="T79" i="23" s="1"/>
  <c r="T81" i="23" s="1"/>
  <c r="T82" i="23" s="1"/>
  <c r="X210" i="23"/>
  <c r="X211" i="23" s="1"/>
  <c r="BC212" i="23"/>
  <c r="BC213" i="23" s="1"/>
  <c r="BC214" i="23" s="1"/>
  <c r="BC215" i="23" s="1"/>
  <c r="AM201" i="23"/>
  <c r="AM202" i="23" s="1"/>
  <c r="AU28" i="23"/>
  <c r="AU26" i="23"/>
  <c r="AQ88" i="23"/>
  <c r="AQ89" i="23" s="1"/>
  <c r="AQ90" i="23" s="1"/>
  <c r="AQ91" i="23" s="1"/>
  <c r="S212" i="23"/>
  <c r="S213" i="23" s="1"/>
  <c r="S214" i="23"/>
  <c r="S215" i="23" s="1"/>
  <c r="N212" i="23"/>
  <c r="N213" i="23" s="1"/>
  <c r="N214" i="23" s="1"/>
  <c r="N215" i="23" s="1"/>
  <c r="AX212" i="23"/>
  <c r="AX213" i="23" s="1"/>
  <c r="AX214" i="23" s="1"/>
  <c r="AX215" i="23" s="1"/>
  <c r="AZ88" i="23"/>
  <c r="AZ89" i="23" s="1"/>
  <c r="AZ90" i="23" s="1"/>
  <c r="AZ91" i="23" s="1"/>
  <c r="BG211" i="23"/>
  <c r="AD88" i="23"/>
  <c r="AD89" i="23" s="1"/>
  <c r="AD90" i="23" s="1"/>
  <c r="AD91" i="23" s="1"/>
  <c r="O211" i="23"/>
  <c r="H87" i="23"/>
  <c r="BG23" i="23"/>
  <c r="BG25" i="23"/>
  <c r="BG24" i="23"/>
  <c r="BG22" i="23"/>
  <c r="AC44" i="23"/>
  <c r="X197" i="23"/>
  <c r="X198" i="23" s="1"/>
  <c r="X199" i="23" s="1"/>
  <c r="X200" i="23" s="1"/>
  <c r="BC211" i="23"/>
  <c r="AF197" i="23"/>
  <c r="AF198" i="23" s="1"/>
  <c r="AF199" i="23" s="1"/>
  <c r="AF200" i="23" s="1"/>
  <c r="H23" i="23"/>
  <c r="H25" i="23"/>
  <c r="H24" i="23"/>
  <c r="H22" i="23"/>
  <c r="AG88" i="23"/>
  <c r="AG89" i="23" s="1"/>
  <c r="AG90" i="23" s="1"/>
  <c r="AG91" i="23" s="1"/>
  <c r="V77" i="23"/>
  <c r="V78" i="23" s="1"/>
  <c r="V79" i="23" s="1"/>
  <c r="V81" i="23" s="1"/>
  <c r="V82" i="23" s="1"/>
  <c r="AV88" i="23"/>
  <c r="AV89" i="23" s="1"/>
  <c r="AV90" i="23" s="1"/>
  <c r="AV91" i="23" s="1"/>
  <c r="AY170" i="23"/>
  <c r="R88" i="23"/>
  <c r="R89" i="23" s="1"/>
  <c r="R90" i="23"/>
  <c r="R91" i="23" s="1"/>
  <c r="K201" i="23"/>
  <c r="K202" i="23" s="1"/>
  <c r="K203" i="23" s="1"/>
  <c r="AQ87" i="23"/>
  <c r="AV210" i="23"/>
  <c r="S211" i="23"/>
  <c r="Q27" i="23"/>
  <c r="Q29" i="23"/>
  <c r="Q28" i="23"/>
  <c r="Q26" i="23"/>
  <c r="L201" i="23"/>
  <c r="L202" i="23" s="1"/>
  <c r="L203" i="23" s="1"/>
  <c r="L205" i="23" s="1"/>
  <c r="L206" i="23" s="1"/>
  <c r="AG25" i="23"/>
  <c r="AG22" i="23"/>
  <c r="AG24" i="23"/>
  <c r="AG23" i="23"/>
  <c r="AZ87" i="23"/>
  <c r="N28" i="23"/>
  <c r="N26" i="23"/>
  <c r="AW25" i="23"/>
  <c r="AW22" i="23"/>
  <c r="AW24" i="23"/>
  <c r="AW23" i="23"/>
  <c r="BD88" i="23"/>
  <c r="BD89" i="23" s="1"/>
  <c r="BD90" i="23" s="1"/>
  <c r="BD91" i="23" s="1"/>
  <c r="BB24" i="23"/>
  <c r="BB23" i="23"/>
  <c r="BB22" i="23"/>
  <c r="BB25" i="23"/>
  <c r="BD44" i="23"/>
  <c r="X23" i="23"/>
  <c r="X22" i="23"/>
  <c r="X25" i="23"/>
  <c r="X24" i="23"/>
  <c r="U201" i="23"/>
  <c r="U202" i="23" s="1"/>
  <c r="U203" i="23" s="1"/>
  <c r="T22" i="23"/>
  <c r="T24" i="23"/>
  <c r="T27" i="23"/>
  <c r="T29" i="23"/>
  <c r="T26" i="23"/>
  <c r="T28" i="23"/>
  <c r="AF210" i="23"/>
  <c r="AF211" i="23" s="1"/>
  <c r="F24" i="23"/>
  <c r="F23" i="23"/>
  <c r="F25" i="23"/>
  <c r="F22" i="23"/>
  <c r="AF27" i="23"/>
  <c r="AF26" i="23"/>
  <c r="AF29" i="23"/>
  <c r="AF28" i="23"/>
  <c r="AT22" i="23"/>
  <c r="AT24" i="23"/>
  <c r="AG87" i="23"/>
  <c r="Z26" i="23"/>
  <c r="Z28" i="23"/>
  <c r="Z29" i="23"/>
  <c r="Z27" i="23"/>
  <c r="AZ46" i="23"/>
  <c r="BA27" i="23"/>
  <c r="BA29" i="23"/>
  <c r="BA26" i="23"/>
  <c r="BA28" i="23"/>
  <c r="M23" i="23"/>
  <c r="M25" i="23"/>
  <c r="M22" i="23"/>
  <c r="M24" i="23"/>
  <c r="AM24" i="23"/>
  <c r="AM22" i="23"/>
  <c r="J83" i="23"/>
  <c r="AR88" i="23"/>
  <c r="AR89" i="23" s="1"/>
  <c r="AR90" i="23" s="1"/>
  <c r="AR91" i="23" s="1"/>
  <c r="AX88" i="23"/>
  <c r="AX89" i="23" s="1"/>
  <c r="AX90" i="23" s="1"/>
  <c r="AX91" i="23" s="1"/>
  <c r="AX22" i="23"/>
  <c r="AX24" i="23"/>
  <c r="AG212" i="23"/>
  <c r="AG213" i="23" s="1"/>
  <c r="AG214" i="23" s="1"/>
  <c r="AG215" i="23" s="1"/>
  <c r="W29" i="23"/>
  <c r="W26" i="23"/>
  <c r="W27" i="23"/>
  <c r="W28" i="23"/>
  <c r="Z88" i="23"/>
  <c r="Z89" i="23" s="1"/>
  <c r="Z90" i="23" s="1"/>
  <c r="Z91" i="23" s="1"/>
  <c r="BE23" i="23"/>
  <c r="BE22" i="23"/>
  <c r="BE25" i="23"/>
  <c r="BE24" i="23"/>
  <c r="BD87" i="23"/>
  <c r="N86" i="23"/>
  <c r="N87" i="23" s="1"/>
  <c r="BE29" i="23"/>
  <c r="BE26" i="23"/>
  <c r="BE28" i="23"/>
  <c r="BE27" i="23"/>
  <c r="W24" i="23"/>
  <c r="W23" i="23"/>
  <c r="W22" i="23"/>
  <c r="W25" i="23"/>
  <c r="BC29" i="23"/>
  <c r="BC26" i="23"/>
  <c r="BC28" i="23"/>
  <c r="BC27" i="23"/>
  <c r="V24" i="23"/>
  <c r="V23" i="23"/>
  <c r="V22" i="23"/>
  <c r="V25" i="23"/>
  <c r="AN29" i="23"/>
  <c r="AN28" i="23"/>
  <c r="AN26" i="23"/>
  <c r="AN27" i="23"/>
  <c r="AL72" i="23"/>
  <c r="G26" i="23"/>
  <c r="G28" i="23"/>
  <c r="AY160" i="23"/>
  <c r="AY155" i="23"/>
  <c r="K211" i="23"/>
  <c r="P25" i="23"/>
  <c r="P24" i="23"/>
  <c r="P22" i="23"/>
  <c r="P23" i="23"/>
  <c r="AI88" i="23"/>
  <c r="AI89" i="23" s="1"/>
  <c r="AI90" i="23" s="1"/>
  <c r="AI91" i="23" s="1"/>
  <c r="H29" i="23"/>
  <c r="H28" i="23"/>
  <c r="H26" i="23"/>
  <c r="H27" i="23"/>
  <c r="M48" i="7"/>
  <c r="AB43" i="7"/>
  <c r="I212" i="7"/>
  <c r="I213" i="7" s="1"/>
  <c r="I222" i="7"/>
  <c r="I233" i="7" s="1"/>
  <c r="I226" i="7"/>
  <c r="I208" i="7"/>
  <c r="I217" i="7"/>
  <c r="U20" i="13"/>
  <c r="U11" i="7"/>
  <c r="U13" i="7" s="1"/>
  <c r="U14" i="7" s="1"/>
  <c r="U15" i="7" s="1"/>
  <c r="U6" i="24"/>
  <c r="K20" i="13"/>
  <c r="K6" i="24"/>
  <c r="K11" i="7"/>
  <c r="X20" i="13"/>
  <c r="X11" i="7"/>
  <c r="X6" i="24"/>
  <c r="AF20" i="13"/>
  <c r="AF6" i="24"/>
  <c r="AF11" i="7"/>
  <c r="S20" i="13"/>
  <c r="S11" i="7"/>
  <c r="S13" i="7" s="1"/>
  <c r="S14" i="7" s="1"/>
  <c r="S15" i="7" s="1"/>
  <c r="S6" i="24"/>
  <c r="H20" i="13"/>
  <c r="H11" i="7"/>
  <c r="H6" i="24"/>
  <c r="Z209" i="7"/>
  <c r="I209" i="7"/>
  <c r="I20" i="13"/>
  <c r="I6" i="24"/>
  <c r="I11" i="7"/>
  <c r="AI22" i="7"/>
  <c r="AF209" i="7"/>
  <c r="F4" i="17"/>
  <c r="F7" i="17" s="1"/>
  <c r="F8" i="17" s="1"/>
  <c r="F9" i="17" s="1"/>
  <c r="F11" i="17" s="1"/>
  <c r="F12" i="17" s="1"/>
  <c r="J3" i="22"/>
  <c r="L3" i="11"/>
  <c r="M209" i="7"/>
  <c r="O20" i="13"/>
  <c r="O6" i="24"/>
  <c r="O11" i="7"/>
  <c r="O13" i="7" s="1"/>
  <c r="O14" i="7" s="1"/>
  <c r="O15" i="7" s="1"/>
  <c r="Q20" i="13"/>
  <c r="Q6" i="24"/>
  <c r="Q11" i="7"/>
  <c r="Q13" i="7" s="1"/>
  <c r="Q14" i="7" s="1"/>
  <c r="Q15" i="7" s="1"/>
  <c r="T20" i="13"/>
  <c r="T11" i="7"/>
  <c r="T13" i="7" s="1"/>
  <c r="T14" i="7" s="1"/>
  <c r="T15" i="7" s="1"/>
  <c r="T6" i="24"/>
  <c r="J20" i="13"/>
  <c r="J6" i="24"/>
  <c r="J11" i="7"/>
  <c r="W209" i="7"/>
  <c r="BG247" i="7"/>
  <c r="W20" i="13"/>
  <c r="W6" i="24"/>
  <c r="W11" i="7"/>
  <c r="AC20" i="13"/>
  <c r="AC6" i="24"/>
  <c r="AC11" i="7"/>
  <c r="Y20" i="13"/>
  <c r="Y6" i="24"/>
  <c r="Y11" i="7"/>
  <c r="X209" i="7"/>
  <c r="N20" i="13"/>
  <c r="N6" i="24"/>
  <c r="N11" i="7"/>
  <c r="N13" i="7" s="1"/>
  <c r="N14" i="7" s="1"/>
  <c r="N15" i="7" s="1"/>
  <c r="H209" i="7"/>
  <c r="E22" i="7"/>
  <c r="E8" i="23" s="1"/>
  <c r="E7" i="23"/>
  <c r="E51" i="23" s="1"/>
  <c r="E65" i="23" s="1"/>
  <c r="AD20" i="13"/>
  <c r="AD6" i="24"/>
  <c r="AD11" i="7"/>
  <c r="AA20" i="13"/>
  <c r="AA6" i="24"/>
  <c r="AA11" i="7"/>
  <c r="G209" i="7"/>
  <c r="AG20" i="13"/>
  <c r="AG6" i="24"/>
  <c r="AG11" i="7"/>
  <c r="AG209" i="7"/>
  <c r="R20" i="13"/>
  <c r="R6" i="24"/>
  <c r="R11" i="7"/>
  <c r="R13" i="7" s="1"/>
  <c r="R14" i="7" s="1"/>
  <c r="R15" i="7" s="1"/>
  <c r="AB20" i="13"/>
  <c r="AB6" i="24"/>
  <c r="AB11" i="7"/>
  <c r="L209" i="7"/>
  <c r="P20" i="13"/>
  <c r="P6" i="24"/>
  <c r="P11" i="7"/>
  <c r="P13" i="7" s="1"/>
  <c r="P14" i="7" s="1"/>
  <c r="P15" i="7" s="1"/>
  <c r="AE20" i="13"/>
  <c r="AE6" i="24"/>
  <c r="AE11" i="7"/>
  <c r="I247" i="7"/>
  <c r="Z20" i="13"/>
  <c r="Z6" i="24"/>
  <c r="Z11" i="7"/>
  <c r="G20" i="13"/>
  <c r="G11" i="7"/>
  <c r="G6" i="24"/>
  <c r="AC209" i="7"/>
  <c r="E266" i="7"/>
  <c r="E281" i="7" s="1"/>
  <c r="E15" i="23"/>
  <c r="AH209" i="7"/>
  <c r="AB209" i="7"/>
  <c r="E20" i="13"/>
  <c r="E6" i="24"/>
  <c r="E11" i="7"/>
  <c r="AA209" i="7"/>
  <c r="F20" i="13"/>
  <c r="F11" i="7"/>
  <c r="F13" i="7" s="1"/>
  <c r="F14" i="7" s="1"/>
  <c r="F15" i="7" s="1"/>
  <c r="F6" i="24"/>
  <c r="M20" i="13"/>
  <c r="M6" i="24"/>
  <c r="M11" i="7"/>
  <c r="J209" i="7"/>
  <c r="K209" i="7"/>
  <c r="BG20" i="13"/>
  <c r="BG6" i="24"/>
  <c r="BG11" i="7"/>
  <c r="L20" i="13"/>
  <c r="L6" i="24"/>
  <c r="L11" i="7"/>
  <c r="AE209" i="7"/>
  <c r="AH20" i="13"/>
  <c r="AH11" i="7"/>
  <c r="AH6" i="24"/>
  <c r="AD209" i="7"/>
  <c r="V20" i="13"/>
  <c r="V11" i="7"/>
  <c r="V13" i="7" s="1"/>
  <c r="V14" i="7" s="1"/>
  <c r="V15" i="7" s="1"/>
  <c r="V6" i="24"/>
  <c r="AD114" i="7"/>
  <c r="AD115" i="7" s="1"/>
  <c r="AD153" i="7" s="1"/>
  <c r="AD56" i="7"/>
  <c r="AD222" i="7"/>
  <c r="AD226" i="7"/>
  <c r="AD227" i="7" s="1"/>
  <c r="AD208" i="7"/>
  <c r="AD212" i="7"/>
  <c r="AD213" i="7" s="1"/>
  <c r="AD236" i="7" s="1"/>
  <c r="AD217" i="7"/>
  <c r="AD256" i="7"/>
  <c r="AD271" i="7" s="1"/>
  <c r="AD286" i="7" s="1"/>
  <c r="AA45" i="7"/>
  <c r="I54" i="7"/>
  <c r="AD316" i="7"/>
  <c r="AD317" i="7" s="1"/>
  <c r="AD328" i="7" s="1"/>
  <c r="O184" i="14"/>
  <c r="O187" i="14" s="1"/>
  <c r="O188" i="14" s="1"/>
  <c r="AD306" i="7"/>
  <c r="AD307" i="7" s="1"/>
  <c r="AD345" i="7" s="1"/>
  <c r="AD311" i="7"/>
  <c r="AD312" i="7" s="1"/>
  <c r="AD302" i="7"/>
  <c r="AD320" i="7"/>
  <c r="AD321" i="7" s="1"/>
  <c r="AD339" i="7" s="1"/>
  <c r="AG170" i="14"/>
  <c r="AG52" i="14"/>
  <c r="AG53" i="14" s="1"/>
  <c r="Z52" i="14"/>
  <c r="Z53" i="14" s="1"/>
  <c r="AF170" i="14"/>
  <c r="AF52" i="14"/>
  <c r="AF53" i="14" s="1"/>
  <c r="W52" i="14"/>
  <c r="W53" i="14" s="1"/>
  <c r="AD52" i="14"/>
  <c r="AD53" i="14" s="1"/>
  <c r="U28" i="14"/>
  <c r="U29" i="14" s="1"/>
  <c r="U30" i="14" s="1"/>
  <c r="U31" i="14" s="1"/>
  <c r="U18" i="13" s="1"/>
  <c r="U52" i="14"/>
  <c r="U53" i="14" s="1"/>
  <c r="Q170" i="14"/>
  <c r="Q185" i="14" s="1"/>
  <c r="Q52" i="14"/>
  <c r="Q53" i="14" s="1"/>
  <c r="P52" i="14"/>
  <c r="Y170" i="14"/>
  <c r="Y185" i="14" s="1"/>
  <c r="Y52" i="14"/>
  <c r="Y53" i="14" s="1"/>
  <c r="G52" i="14"/>
  <c r="G53" i="14" s="1"/>
  <c r="M53" i="14"/>
  <c r="M54" i="14"/>
  <c r="M55" i="14" s="1"/>
  <c r="M56" i="14" s="1"/>
  <c r="M57" i="14" s="1"/>
  <c r="AH170" i="14"/>
  <c r="AH185" i="14" s="1"/>
  <c r="AH52" i="14"/>
  <c r="AH54" i="14" s="1"/>
  <c r="AH55" i="14" s="1"/>
  <c r="AH56" i="14" s="1"/>
  <c r="AH57" i="14" s="1"/>
  <c r="O52" i="14"/>
  <c r="O54" i="14" s="1"/>
  <c r="O55" i="14" s="1"/>
  <c r="O56" i="14" s="1"/>
  <c r="O57" i="14" s="1"/>
  <c r="S52" i="14"/>
  <c r="S53" i="14" s="1"/>
  <c r="X52" i="14"/>
  <c r="X53" i="14" s="1"/>
  <c r="I52" i="14"/>
  <c r="I53" i="14" s="1"/>
  <c r="F52" i="14"/>
  <c r="F53" i="14" s="1"/>
  <c r="V170" i="14"/>
  <c r="V185" i="14" s="1"/>
  <c r="V52" i="14"/>
  <c r="V53" i="14" s="1"/>
  <c r="N52" i="14"/>
  <c r="N53" i="14" s="1"/>
  <c r="AC53" i="14"/>
  <c r="AC54" i="14"/>
  <c r="AC55" i="14" s="1"/>
  <c r="AC56" i="14" s="1"/>
  <c r="AC57" i="14" s="1"/>
  <c r="AE170" i="14"/>
  <c r="AE185" i="14" s="1"/>
  <c r="AE52" i="14"/>
  <c r="AE54" i="14" s="1"/>
  <c r="AE55" i="14" s="1"/>
  <c r="AE56" i="14" s="1"/>
  <c r="AE57" i="14" s="1"/>
  <c r="H52" i="14"/>
  <c r="H53" i="14" s="1"/>
  <c r="BG52" i="14"/>
  <c r="BG53" i="14" s="1"/>
  <c r="AK189" i="14"/>
  <c r="F189" i="14"/>
  <c r="N189" i="14"/>
  <c r="F191" i="14"/>
  <c r="U187" i="14"/>
  <c r="U188" i="14" s="1"/>
  <c r="U190" i="14" s="1"/>
  <c r="AM214" i="14"/>
  <c r="Y187" i="14"/>
  <c r="Y188" i="14" s="1"/>
  <c r="Y190" i="14" s="1"/>
  <c r="Y214" i="14"/>
  <c r="BG187" i="14"/>
  <c r="BG188" i="14" s="1"/>
  <c r="BG189" i="14" s="1"/>
  <c r="BG214" i="14"/>
  <c r="P214" i="14"/>
  <c r="P187" i="14"/>
  <c r="P188" i="14" s="1"/>
  <c r="P190" i="14" s="1"/>
  <c r="AE187" i="14"/>
  <c r="AE188" i="14" s="1"/>
  <c r="AE190" i="14" s="1"/>
  <c r="AE214" i="14"/>
  <c r="Q214" i="14"/>
  <c r="Q187" i="14"/>
  <c r="Q188" i="14" s="1"/>
  <c r="Q189" i="14" s="1"/>
  <c r="AL214" i="14"/>
  <c r="AL187" i="14"/>
  <c r="AL188" i="14" s="1"/>
  <c r="AL190" i="14" s="1"/>
  <c r="AC214" i="14"/>
  <c r="AC187" i="14"/>
  <c r="AC188" i="14" s="1"/>
  <c r="AC190" i="14" s="1"/>
  <c r="AO189" i="14"/>
  <c r="AO190" i="14"/>
  <c r="AG184" i="14"/>
  <c r="AG214" i="14" s="1"/>
  <c r="AA187" i="14"/>
  <c r="AA188" i="14" s="1"/>
  <c r="AA214" i="14"/>
  <c r="Z187" i="14"/>
  <c r="Z188" i="14" s="1"/>
  <c r="Z214" i="14"/>
  <c r="G187" i="14"/>
  <c r="G188" i="14" s="1"/>
  <c r="G214" i="14"/>
  <c r="AH214" i="14"/>
  <c r="H187" i="14"/>
  <c r="H188" i="14" s="1"/>
  <c r="H214" i="14"/>
  <c r="T184" i="14"/>
  <c r="T187" i="14" s="1"/>
  <c r="T188" i="14" s="1"/>
  <c r="I187" i="14"/>
  <c r="I188" i="14" s="1"/>
  <c r="I214" i="14"/>
  <c r="V187" i="14"/>
  <c r="V188" i="14" s="1"/>
  <c r="V214" i="14"/>
  <c r="R187" i="14"/>
  <c r="R188" i="14" s="1"/>
  <c r="R214" i="14"/>
  <c r="M187" i="14"/>
  <c r="M188" i="14" s="1"/>
  <c r="M214" i="14"/>
  <c r="AF184" i="14"/>
  <c r="AF214" i="14" s="1"/>
  <c r="K187" i="14"/>
  <c r="K188" i="14" s="1"/>
  <c r="K214" i="14"/>
  <c r="AI179" i="14"/>
  <c r="AI181" i="14" s="1"/>
  <c r="AH190" i="14"/>
  <c r="AH189" i="14"/>
  <c r="AN187" i="14"/>
  <c r="AN188" i="14" s="1"/>
  <c r="AN214" i="14"/>
  <c r="S187" i="14"/>
  <c r="S188" i="14" s="1"/>
  <c r="S214" i="14"/>
  <c r="N192" i="14"/>
  <c r="N191" i="14"/>
  <c r="AM190" i="14"/>
  <c r="AM189" i="14"/>
  <c r="AK192" i="14"/>
  <c r="AK191" i="14"/>
  <c r="F194" i="14"/>
  <c r="F195" i="14" s="1"/>
  <c r="F193" i="14"/>
  <c r="F28" i="14"/>
  <c r="F29" i="14" s="1"/>
  <c r="F30" i="14" s="1"/>
  <c r="F31" i="14" s="1"/>
  <c r="F18" i="13" s="1"/>
  <c r="X179" i="14"/>
  <c r="X181" i="14" s="1"/>
  <c r="X184" i="14" s="1"/>
  <c r="V28" i="14"/>
  <c r="V29" i="14" s="1"/>
  <c r="V30" i="14" s="1"/>
  <c r="V31" i="14" s="1"/>
  <c r="V18" i="13" s="1"/>
  <c r="V4" i="13"/>
  <c r="G179" i="14"/>
  <c r="F3" i="15"/>
  <c r="S170" i="14"/>
  <c r="S185" i="14" s="1"/>
  <c r="S4" i="13"/>
  <c r="S28" i="14"/>
  <c r="S29" i="14" s="1"/>
  <c r="S30" i="14" s="1"/>
  <c r="S31" i="14" s="1"/>
  <c r="S18" i="13" s="1"/>
  <c r="AA14" i="14"/>
  <c r="AA25" i="14" s="1"/>
  <c r="Q28" i="14"/>
  <c r="Q29" i="14" s="1"/>
  <c r="Q30" i="14" s="1"/>
  <c r="Q31" i="14" s="1"/>
  <c r="Q18" i="13" s="1"/>
  <c r="AI171" i="14"/>
  <c r="Q4" i="13"/>
  <c r="E25" i="14"/>
  <c r="E4" i="13" s="1"/>
  <c r="W171" i="14"/>
  <c r="W184" i="14" s="1"/>
  <c r="AD171" i="14"/>
  <c r="AD184" i="14" s="1"/>
  <c r="K14" i="14"/>
  <c r="K25" i="14" s="1"/>
  <c r="T14" i="14"/>
  <c r="T25" i="14" s="1"/>
  <c r="R14" i="14"/>
  <c r="R25" i="14" s="1"/>
  <c r="F170" i="14"/>
  <c r="F185" i="14" s="1"/>
  <c r="E171" i="14"/>
  <c r="E184" i="14" s="1"/>
  <c r="AC170" i="14"/>
  <c r="AC185" i="14" s="1"/>
  <c r="G170" i="14"/>
  <c r="G185" i="14" s="1"/>
  <c r="AB14" i="14"/>
  <c r="AB25" i="14" s="1"/>
  <c r="AB171" i="14"/>
  <c r="AB184" i="14" s="1"/>
  <c r="H170" i="14"/>
  <c r="H185" i="14" s="1"/>
  <c r="AI14" i="14"/>
  <c r="X170" i="14"/>
  <c r="P170" i="14"/>
  <c r="P185" i="14" s="1"/>
  <c r="O170" i="14"/>
  <c r="I170" i="14"/>
  <c r="I185" i="14" s="1"/>
  <c r="N170" i="14"/>
  <c r="N185" i="14" s="1"/>
  <c r="M170" i="14"/>
  <c r="M185" i="14" s="1"/>
  <c r="U4" i="13"/>
  <c r="U170" i="14"/>
  <c r="U185" i="14" s="1"/>
  <c r="Z170" i="14"/>
  <c r="Z185" i="14" s="1"/>
  <c r="L14" i="14"/>
  <c r="L25" i="14" s="1"/>
  <c r="L52" i="14" s="1"/>
  <c r="L171" i="14"/>
  <c r="L184" i="14" s="1"/>
  <c r="J14" i="14"/>
  <c r="J25" i="14" s="1"/>
  <c r="J171" i="14"/>
  <c r="J184" i="14" s="1"/>
  <c r="BG170" i="14"/>
  <c r="BG185" i="14" s="1"/>
  <c r="W170" i="14"/>
  <c r="AD170" i="14"/>
  <c r="F3" i="21"/>
  <c r="F7" i="21" s="1"/>
  <c r="AP3" i="14"/>
  <c r="Y28" i="14"/>
  <c r="Y29" i="14" s="1"/>
  <c r="Y30" i="14" s="1"/>
  <c r="Y31" i="14" s="1"/>
  <c r="Y18" i="13" s="1"/>
  <c r="AH28" i="14"/>
  <c r="AH29" i="14" s="1"/>
  <c r="AH30" i="14" s="1"/>
  <c r="AH31" i="14" s="1"/>
  <c r="AH18" i="13" s="1"/>
  <c r="AE28" i="14"/>
  <c r="AE29" i="14" s="1"/>
  <c r="AE30" i="14" s="1"/>
  <c r="AE31" i="14" s="1"/>
  <c r="AE18" i="13" s="1"/>
  <c r="AF28" i="14"/>
  <c r="AF29" i="14" s="1"/>
  <c r="AF30" i="14" s="1"/>
  <c r="AF31" i="14" s="1"/>
  <c r="AF18" i="13" s="1"/>
  <c r="AG28" i="14"/>
  <c r="AG29" i="14" s="1"/>
  <c r="AG30" i="14" s="1"/>
  <c r="AG31" i="14" s="1"/>
  <c r="AG18" i="13" s="1"/>
  <c r="AO36" i="14"/>
  <c r="AN48" i="14"/>
  <c r="AB316" i="7"/>
  <c r="AB317" i="7" s="1"/>
  <c r="AB328" i="7" s="1"/>
  <c r="L43" i="7"/>
  <c r="L48" i="7"/>
  <c r="AD48" i="7"/>
  <c r="AB320" i="7"/>
  <c r="AB321" i="7" s="1"/>
  <c r="AB339" i="7" s="1"/>
  <c r="AB302" i="7"/>
  <c r="AB306" i="7"/>
  <c r="AB307" i="7" s="1"/>
  <c r="AB345" i="7" s="1"/>
  <c r="AB350" i="7"/>
  <c r="AB365" i="7" s="1"/>
  <c r="AB380" i="7" s="1"/>
  <c r="AB311" i="7"/>
  <c r="AB312" i="7" s="1"/>
  <c r="AB333" i="7" s="1"/>
  <c r="AE48" i="7"/>
  <c r="AF302" i="7"/>
  <c r="E162" i="7"/>
  <c r="E177" i="7" s="1"/>
  <c r="AF306" i="7"/>
  <c r="AF307" i="7" s="1"/>
  <c r="AF345" i="7" s="1"/>
  <c r="AF311" i="7"/>
  <c r="AF312" i="7" s="1"/>
  <c r="AF333" i="7" s="1"/>
  <c r="AF316" i="7"/>
  <c r="AF317" i="7" s="1"/>
  <c r="AF328" i="7" s="1"/>
  <c r="AF320" i="7"/>
  <c r="AF321" i="7" s="1"/>
  <c r="AF339" i="7" s="1"/>
  <c r="AF350" i="7"/>
  <c r="AF365" i="7" s="1"/>
  <c r="AF380" i="7" s="1"/>
  <c r="AE47" i="7"/>
  <c r="AE42" i="7"/>
  <c r="AE58" i="7"/>
  <c r="AE66" i="7"/>
  <c r="AD350" i="7"/>
  <c r="AD365" i="7" s="1"/>
  <c r="AD380" i="7" s="1"/>
  <c r="AA316" i="7"/>
  <c r="AA317" i="7" s="1"/>
  <c r="AA328" i="7" s="1"/>
  <c r="AA350" i="7"/>
  <c r="AA365" i="7" s="1"/>
  <c r="AA380" i="7" s="1"/>
  <c r="AA311" i="7"/>
  <c r="AA312" i="7" s="1"/>
  <c r="AA327" i="7" s="1"/>
  <c r="M43" i="7"/>
  <c r="M44" i="7"/>
  <c r="AA302" i="7"/>
  <c r="AA306" i="7"/>
  <c r="AA307" i="7" s="1"/>
  <c r="AA345" i="7" s="1"/>
  <c r="AA320" i="7"/>
  <c r="AA321" i="7" s="1"/>
  <c r="AA339" i="7" s="1"/>
  <c r="AD124" i="7"/>
  <c r="AD136" i="7" s="1"/>
  <c r="AD128" i="7"/>
  <c r="AD129" i="7" s="1"/>
  <c r="AD147" i="7" s="1"/>
  <c r="AD158" i="7"/>
  <c r="AD173" i="7" s="1"/>
  <c r="AD188" i="7" s="1"/>
  <c r="AD119" i="7"/>
  <c r="AD120" i="7" s="1"/>
  <c r="AD156" i="7" s="1"/>
  <c r="AD110" i="7"/>
  <c r="AA48" i="7"/>
  <c r="AB110" i="7"/>
  <c r="AA53" i="7"/>
  <c r="AA54" i="7"/>
  <c r="AB158" i="7"/>
  <c r="AB173" i="7" s="1"/>
  <c r="AB188" i="7" s="1"/>
  <c r="AB114" i="7"/>
  <c r="AB115" i="7" s="1"/>
  <c r="AB153" i="7" s="1"/>
  <c r="AB124" i="7"/>
  <c r="AB136" i="7" s="1"/>
  <c r="AB128" i="7"/>
  <c r="AB129" i="7" s="1"/>
  <c r="AB147" i="7" s="1"/>
  <c r="AA26" i="7"/>
  <c r="AA59" i="7"/>
  <c r="AB119" i="7"/>
  <c r="AB120" i="7" s="1"/>
  <c r="AB141" i="7" s="1"/>
  <c r="M31" i="7"/>
  <c r="AE51" i="7"/>
  <c r="I59" i="7"/>
  <c r="M52" i="7"/>
  <c r="I53" i="7"/>
  <c r="M66" i="7"/>
  <c r="I45" i="7"/>
  <c r="AE43" i="7"/>
  <c r="I26" i="7"/>
  <c r="AE26" i="7"/>
  <c r="I43" i="7"/>
  <c r="I46" i="7"/>
  <c r="AF56" i="7"/>
  <c r="AF128" i="7"/>
  <c r="AF129" i="7" s="1"/>
  <c r="AF147" i="7" s="1"/>
  <c r="I50" i="7"/>
  <c r="I57" i="7"/>
  <c r="I235" i="7"/>
  <c r="AF114" i="7"/>
  <c r="AF115" i="7" s="1"/>
  <c r="AF153" i="7" s="1"/>
  <c r="I65" i="7"/>
  <c r="AF124" i="7"/>
  <c r="AF136" i="7" s="1"/>
  <c r="I61" i="7"/>
  <c r="I55" i="7"/>
  <c r="I49" i="7"/>
  <c r="I64" i="7"/>
  <c r="I62" i="7"/>
  <c r="I63" i="7"/>
  <c r="I58" i="7"/>
  <c r="I51" i="7"/>
  <c r="I47" i="7"/>
  <c r="I60" i="7"/>
  <c r="AD26" i="7"/>
  <c r="AD62" i="7"/>
  <c r="AF110" i="7"/>
  <c r="AF119" i="7"/>
  <c r="AF120" i="7" s="1"/>
  <c r="AF132" i="7" s="1"/>
  <c r="AD43" i="7"/>
  <c r="AP3" i="17"/>
  <c r="AP5" i="17" s="1"/>
  <c r="AP3" i="7"/>
  <c r="AE4" i="13"/>
  <c r="AI49" i="14"/>
  <c r="AI50" i="14" s="1"/>
  <c r="AN13" i="7"/>
  <c r="AN14" i="7" s="1"/>
  <c r="AN15" i="7" s="1"/>
  <c r="I302" i="7"/>
  <c r="I320" i="7"/>
  <c r="I321" i="7" s="1"/>
  <c r="I339" i="7" s="1"/>
  <c r="AF158" i="7"/>
  <c r="AF173" i="7" s="1"/>
  <c r="AF188" i="7" s="1"/>
  <c r="I350" i="7"/>
  <c r="I365" i="7" s="1"/>
  <c r="I380" i="7" s="1"/>
  <c r="I223" i="7"/>
  <c r="AE31" i="7"/>
  <c r="AE44" i="7"/>
  <c r="AE65" i="7"/>
  <c r="AF54" i="7"/>
  <c r="AA222" i="7"/>
  <c r="AA223" i="7" s="1"/>
  <c r="W26" i="7"/>
  <c r="AE55" i="7"/>
  <c r="AB217" i="7"/>
  <c r="AB254" i="7" s="1"/>
  <c r="W59" i="7"/>
  <c r="AD47" i="7"/>
  <c r="AD31" i="7"/>
  <c r="AF55" i="7"/>
  <c r="AD63" i="7"/>
  <c r="AD54" i="7"/>
  <c r="AB208" i="7"/>
  <c r="AF52" i="7"/>
  <c r="AF47" i="7"/>
  <c r="AD53" i="7"/>
  <c r="AB226" i="7"/>
  <c r="AB244" i="7" s="1"/>
  <c r="AE46" i="7"/>
  <c r="AD61" i="7"/>
  <c r="W54" i="7"/>
  <c r="AD64" i="7"/>
  <c r="W53" i="7"/>
  <c r="AD66" i="7"/>
  <c r="AD65" i="7"/>
  <c r="W48" i="7"/>
  <c r="AB222" i="7"/>
  <c r="E21" i="7"/>
  <c r="E5" i="23" s="1"/>
  <c r="AD58" i="7"/>
  <c r="AD45" i="7"/>
  <c r="AD46" i="7"/>
  <c r="AD57" i="7"/>
  <c r="AD52" i="7"/>
  <c r="AD55" i="7"/>
  <c r="AD60" i="7"/>
  <c r="AB256" i="7"/>
  <c r="AB271" i="7" s="1"/>
  <c r="AB286" i="7" s="1"/>
  <c r="I56" i="7"/>
  <c r="I40" i="7"/>
  <c r="AE57" i="7"/>
  <c r="AD42" i="7"/>
  <c r="AF61" i="7"/>
  <c r="K43" i="7"/>
  <c r="AD50" i="7"/>
  <c r="I316" i="7"/>
  <c r="I317" i="7" s="1"/>
  <c r="I328" i="7" s="1"/>
  <c r="AB212" i="7"/>
  <c r="AB213" i="7" s="1"/>
  <c r="AD51" i="7"/>
  <c r="AD49" i="7"/>
  <c r="AF51" i="7"/>
  <c r="AF208" i="7"/>
  <c r="AF226" i="7"/>
  <c r="AF244" i="7" s="1"/>
  <c r="AF222" i="7"/>
  <c r="BG136" i="7"/>
  <c r="I44" i="7"/>
  <c r="I66" i="7"/>
  <c r="I42" i="7"/>
  <c r="I52" i="7"/>
  <c r="I31" i="7"/>
  <c r="AF212" i="7"/>
  <c r="AF213" i="7" s="1"/>
  <c r="L45" i="7"/>
  <c r="AF217" i="7"/>
  <c r="AF218" i="7" s="1"/>
  <c r="AF256" i="7"/>
  <c r="AF271" i="7" s="1"/>
  <c r="AF286" i="7" s="1"/>
  <c r="AA46" i="7"/>
  <c r="BG233" i="7"/>
  <c r="AA55" i="7"/>
  <c r="AA58" i="7"/>
  <c r="AA60" i="7"/>
  <c r="AA65" i="7"/>
  <c r="AA62" i="7"/>
  <c r="AA57" i="7"/>
  <c r="AA51" i="7"/>
  <c r="AA50" i="7"/>
  <c r="AA47" i="7"/>
  <c r="AA49" i="7"/>
  <c r="AA61" i="7"/>
  <c r="AA52" i="7"/>
  <c r="AF31" i="7"/>
  <c r="AA44" i="7"/>
  <c r="AG217" i="7"/>
  <c r="AG254" i="7" s="1"/>
  <c r="AA31" i="7"/>
  <c r="AA64" i="7"/>
  <c r="AA63" i="7"/>
  <c r="AA66" i="7"/>
  <c r="AH46" i="7"/>
  <c r="AF64" i="7"/>
  <c r="Z66" i="7"/>
  <c r="AG212" i="7"/>
  <c r="AG213" i="7" s="1"/>
  <c r="AF65" i="7"/>
  <c r="AF66" i="7"/>
  <c r="AF46" i="7"/>
  <c r="AG222" i="7"/>
  <c r="AG223" i="7" s="1"/>
  <c r="AG256" i="7"/>
  <c r="AG271" i="7" s="1"/>
  <c r="AG286" i="7" s="1"/>
  <c r="AA40" i="7"/>
  <c r="AF49" i="7"/>
  <c r="AF57" i="7"/>
  <c r="AF60" i="7"/>
  <c r="AB40" i="7"/>
  <c r="AF62" i="7"/>
  <c r="AF42" i="7"/>
  <c r="AH56" i="7"/>
  <c r="AC49" i="7"/>
  <c r="I306" i="7"/>
  <c r="I307" i="7" s="1"/>
  <c r="I345" i="7" s="1"/>
  <c r="AA114" i="7"/>
  <c r="AA115" i="7" s="1"/>
  <c r="W47" i="7"/>
  <c r="AA119" i="7"/>
  <c r="AA120" i="7" s="1"/>
  <c r="AA132" i="7" s="1"/>
  <c r="AF26" i="7"/>
  <c r="AF53" i="7"/>
  <c r="AF48" i="7"/>
  <c r="AF59" i="7"/>
  <c r="AA158" i="7"/>
  <c r="AA173" i="7" s="1"/>
  <c r="AA188" i="7" s="1"/>
  <c r="AH54" i="7"/>
  <c r="AF58" i="7"/>
  <c r="AF63" i="7"/>
  <c r="AF50" i="7"/>
  <c r="AA208" i="7"/>
  <c r="I311" i="7"/>
  <c r="I312" i="7" s="1"/>
  <c r="AG226" i="7"/>
  <c r="AG244" i="7" s="1"/>
  <c r="AF36" i="7"/>
  <c r="AF45" i="7"/>
  <c r="AF43" i="7"/>
  <c r="AO47" i="14"/>
  <c r="AO42" i="14"/>
  <c r="AN47" i="14"/>
  <c r="AN42" i="14"/>
  <c r="AN36" i="14"/>
  <c r="W49" i="7"/>
  <c r="M46" i="7"/>
  <c r="Z217" i="7"/>
  <c r="Z218" i="7" s="1"/>
  <c r="AH110" i="7"/>
  <c r="W57" i="7"/>
  <c r="AA256" i="7"/>
  <c r="AA271" i="7" s="1"/>
  <c r="AA286" i="7" s="1"/>
  <c r="W61" i="7"/>
  <c r="M51" i="7"/>
  <c r="W58" i="7"/>
  <c r="F15" i="17"/>
  <c r="F27" i="13" s="1"/>
  <c r="AA217" i="7"/>
  <c r="M60" i="7"/>
  <c r="M57" i="7"/>
  <c r="H40" i="7"/>
  <c r="AA226" i="7"/>
  <c r="AA244" i="7" s="1"/>
  <c r="M65" i="7"/>
  <c r="AA212" i="7"/>
  <c r="AA213" i="7" s="1"/>
  <c r="AH119" i="7"/>
  <c r="AH120" i="7" s="1"/>
  <c r="AH135" i="7" s="1"/>
  <c r="BG148" i="7"/>
  <c r="M26" i="7"/>
  <c r="BG144" i="7"/>
  <c r="AA110" i="7"/>
  <c r="M47" i="7"/>
  <c r="M59" i="7"/>
  <c r="AH124" i="7"/>
  <c r="BG133" i="7"/>
  <c r="E35" i="7"/>
  <c r="E68" i="7"/>
  <c r="E83" i="7" s="1"/>
  <c r="E98" i="7" s="1"/>
  <c r="E25" i="7"/>
  <c r="E59" i="7" s="1"/>
  <c r="M55" i="7"/>
  <c r="M40" i="7"/>
  <c r="I237" i="7"/>
  <c r="E39" i="7"/>
  <c r="E56" i="7" s="1"/>
  <c r="E30" i="7"/>
  <c r="E52" i="7" s="1"/>
  <c r="W45" i="7"/>
  <c r="I286" i="7"/>
  <c r="AA128" i="7"/>
  <c r="AA129" i="7" s="1"/>
  <c r="AA147" i="7" s="1"/>
  <c r="AA124" i="7"/>
  <c r="I241" i="7"/>
  <c r="AC31" i="7"/>
  <c r="I242" i="7"/>
  <c r="AC44" i="7"/>
  <c r="AC52" i="7"/>
  <c r="AC42" i="7"/>
  <c r="AB53" i="7"/>
  <c r="I249" i="7"/>
  <c r="AC66" i="7"/>
  <c r="I238" i="7"/>
  <c r="AC40" i="7"/>
  <c r="I253" i="7"/>
  <c r="AB48" i="7"/>
  <c r="AC63" i="7"/>
  <c r="W51" i="7"/>
  <c r="AB65" i="7"/>
  <c r="AB54" i="7"/>
  <c r="AB26" i="7"/>
  <c r="I236" i="7"/>
  <c r="AH158" i="7"/>
  <c r="AH173" i="7" s="1"/>
  <c r="AH188" i="7" s="1"/>
  <c r="I231" i="7"/>
  <c r="X50" i="7"/>
  <c r="I239" i="7"/>
  <c r="AC58" i="7"/>
  <c r="AB59" i="7"/>
  <c r="X66" i="7"/>
  <c r="W350" i="7"/>
  <c r="W365" i="7" s="1"/>
  <c r="W380" i="7" s="1"/>
  <c r="X58" i="7"/>
  <c r="W40" i="7"/>
  <c r="I246" i="7"/>
  <c r="I243" i="7"/>
  <c r="X31" i="7"/>
  <c r="I230" i="7"/>
  <c r="X52" i="7"/>
  <c r="AB51" i="7"/>
  <c r="X42" i="7"/>
  <c r="L54" i="7"/>
  <c r="AB44" i="7"/>
  <c r="AB49" i="7"/>
  <c r="AH48" i="7"/>
  <c r="AB46" i="7"/>
  <c r="X49" i="7"/>
  <c r="L53" i="7"/>
  <c r="AB61" i="7"/>
  <c r="AB42" i="7"/>
  <c r="AB58" i="7"/>
  <c r="AB55" i="7"/>
  <c r="I254" i="7"/>
  <c r="X61" i="7"/>
  <c r="H256" i="7"/>
  <c r="H271" i="7" s="1"/>
  <c r="H286" i="7" s="1"/>
  <c r="I232" i="7"/>
  <c r="X64" i="7"/>
  <c r="X44" i="7"/>
  <c r="I248" i="7"/>
  <c r="AB45" i="7"/>
  <c r="AB31" i="7"/>
  <c r="AB66" i="7"/>
  <c r="I250" i="7"/>
  <c r="AB60" i="7"/>
  <c r="AB63" i="7"/>
  <c r="AB57" i="7"/>
  <c r="AB36" i="7"/>
  <c r="K46" i="7"/>
  <c r="I218" i="7"/>
  <c r="AB64" i="7"/>
  <c r="AB50" i="7"/>
  <c r="BG143" i="7"/>
  <c r="K53" i="7"/>
  <c r="I251" i="7"/>
  <c r="BG142" i="7"/>
  <c r="K45" i="7"/>
  <c r="K54" i="7"/>
  <c r="I240" i="7"/>
  <c r="K26" i="7"/>
  <c r="AB62" i="7"/>
  <c r="AG311" i="7"/>
  <c r="AG312" i="7" s="1"/>
  <c r="AG327" i="7" s="1"/>
  <c r="AB47" i="7"/>
  <c r="I234" i="7"/>
  <c r="K48" i="7"/>
  <c r="AG350" i="7"/>
  <c r="AG365" i="7" s="1"/>
  <c r="AG380" i="7" s="1"/>
  <c r="BG138" i="7"/>
  <c r="X43" i="7"/>
  <c r="J54" i="7"/>
  <c r="BG140" i="7"/>
  <c r="X46" i="7"/>
  <c r="X60" i="7"/>
  <c r="X59" i="7"/>
  <c r="J45" i="7"/>
  <c r="G56" i="7"/>
  <c r="AG124" i="7"/>
  <c r="AG136" i="7" s="1"/>
  <c r="BG141" i="7"/>
  <c r="W62" i="7"/>
  <c r="W52" i="7"/>
  <c r="X62" i="7"/>
  <c r="X47" i="7"/>
  <c r="K212" i="7"/>
  <c r="K213" i="7" s="1"/>
  <c r="Z42" i="7"/>
  <c r="BG337" i="7"/>
  <c r="BG149" i="7"/>
  <c r="X51" i="7"/>
  <c r="W42" i="7"/>
  <c r="X53" i="7"/>
  <c r="K256" i="7"/>
  <c r="K271" i="7" s="1"/>
  <c r="K286" i="7" s="1"/>
  <c r="Z31" i="7"/>
  <c r="BG150" i="7"/>
  <c r="X55" i="7"/>
  <c r="W31" i="7"/>
  <c r="W65" i="7"/>
  <c r="X48" i="7"/>
  <c r="Z44" i="7"/>
  <c r="BG145" i="7"/>
  <c r="BG135" i="7"/>
  <c r="X26" i="7"/>
  <c r="W64" i="7"/>
  <c r="X63" i="7"/>
  <c r="BG146" i="7"/>
  <c r="BG151" i="7"/>
  <c r="W55" i="7"/>
  <c r="Z64" i="7"/>
  <c r="AH320" i="7"/>
  <c r="AH321" i="7" s="1"/>
  <c r="AH339" i="7" s="1"/>
  <c r="AG128" i="7"/>
  <c r="AG129" i="7" s="1"/>
  <c r="AG147" i="7" s="1"/>
  <c r="BG231" i="7"/>
  <c r="BG152" i="7"/>
  <c r="X65" i="7"/>
  <c r="W63" i="7"/>
  <c r="W44" i="7"/>
  <c r="X57" i="7"/>
  <c r="AG316" i="7"/>
  <c r="AG317" i="7" s="1"/>
  <c r="AG328" i="7" s="1"/>
  <c r="AG158" i="7"/>
  <c r="AG173" i="7" s="1"/>
  <c r="AG188" i="7" s="1"/>
  <c r="BG134" i="7"/>
  <c r="BG236" i="7"/>
  <c r="BG156" i="7"/>
  <c r="W60" i="7"/>
  <c r="BG137" i="7"/>
  <c r="BG241" i="7"/>
  <c r="BG154" i="7"/>
  <c r="W66" i="7"/>
  <c r="AH350" i="7"/>
  <c r="AH365" i="7" s="1"/>
  <c r="AH380" i="7" s="1"/>
  <c r="BG242" i="7"/>
  <c r="BG139" i="7"/>
  <c r="X54" i="7"/>
  <c r="BG192" i="7"/>
  <c r="BG155" i="7"/>
  <c r="W46" i="7"/>
  <c r="W50" i="7"/>
  <c r="Z49" i="7"/>
  <c r="AH128" i="7"/>
  <c r="AH129" i="7" s="1"/>
  <c r="AH147" i="7" s="1"/>
  <c r="BG245" i="7"/>
  <c r="BG248" i="7"/>
  <c r="BG240" i="7"/>
  <c r="BG218" i="7"/>
  <c r="BG254" i="7"/>
  <c r="BG238" i="7"/>
  <c r="BG253" i="7"/>
  <c r="BG237" i="7"/>
  <c r="BG232" i="7"/>
  <c r="BG252" i="7"/>
  <c r="BG251" i="7"/>
  <c r="BG246" i="7"/>
  <c r="BG250" i="7"/>
  <c r="BG249" i="7"/>
  <c r="BG230" i="7"/>
  <c r="BG348" i="7"/>
  <c r="BG332" i="7"/>
  <c r="BG347" i="7"/>
  <c r="BG331" i="7"/>
  <c r="BG346" i="7"/>
  <c r="BG344" i="7"/>
  <c r="BG343" i="7"/>
  <c r="BG327" i="7"/>
  <c r="BG342" i="7"/>
  <c r="BG341" i="7"/>
  <c r="BG340" i="7"/>
  <c r="BG324" i="7"/>
  <c r="BG333" i="7"/>
  <c r="BG338" i="7"/>
  <c r="BG41" i="7"/>
  <c r="BG99" i="7" s="1"/>
  <c r="BG67" i="14" s="1"/>
  <c r="BG335" i="7"/>
  <c r="BG325" i="7"/>
  <c r="BG334" i="7"/>
  <c r="BG326" i="7"/>
  <c r="BG234" i="7"/>
  <c r="BG329" i="7"/>
  <c r="BG235" i="7"/>
  <c r="BG330" i="7"/>
  <c r="BG386" i="7"/>
  <c r="BG239" i="7"/>
  <c r="BG244" i="7"/>
  <c r="BG227" i="7"/>
  <c r="BG336" i="7"/>
  <c r="BG243" i="7"/>
  <c r="AI21" i="7"/>
  <c r="AI30" i="7"/>
  <c r="AI42" i="7" s="1"/>
  <c r="AI35" i="7"/>
  <c r="AI45" i="7" s="1"/>
  <c r="AI25" i="7"/>
  <c r="AI68" i="7"/>
  <c r="AI83" i="7" s="1"/>
  <c r="AI98" i="7" s="1"/>
  <c r="AI39" i="7"/>
  <c r="AI40" i="7" s="1"/>
  <c r="AG40" i="7"/>
  <c r="AG56" i="7"/>
  <c r="AH45" i="7"/>
  <c r="AH36" i="7"/>
  <c r="AH55" i="7"/>
  <c r="AG64" i="7"/>
  <c r="AG52" i="7"/>
  <c r="AG31" i="7"/>
  <c r="AG65" i="7"/>
  <c r="AG49" i="7"/>
  <c r="AG62" i="7"/>
  <c r="AG66" i="7"/>
  <c r="AG60" i="7"/>
  <c r="AG57" i="7"/>
  <c r="AG44" i="7"/>
  <c r="AG42" i="7"/>
  <c r="AG61" i="7"/>
  <c r="AG63" i="7"/>
  <c r="AG50" i="7"/>
  <c r="AG58" i="7"/>
  <c r="AH256" i="7"/>
  <c r="AH271" i="7" s="1"/>
  <c r="AH286" i="7" s="1"/>
  <c r="AH311" i="7"/>
  <c r="AH312" i="7" s="1"/>
  <c r="AH51" i="7"/>
  <c r="AH53" i="7"/>
  <c r="AH47" i="7"/>
  <c r="AH217" i="7"/>
  <c r="AH302" i="7"/>
  <c r="AG59" i="7"/>
  <c r="AG26" i="7"/>
  <c r="AG110" i="7"/>
  <c r="AG45" i="7"/>
  <c r="AG36" i="7"/>
  <c r="AH222" i="7"/>
  <c r="AH316" i="7"/>
  <c r="AH317" i="7" s="1"/>
  <c r="AH328" i="7" s="1"/>
  <c r="AG43" i="7"/>
  <c r="AG306" i="7"/>
  <c r="AG307" i="7" s="1"/>
  <c r="AG345" i="7" s="1"/>
  <c r="AG54" i="7"/>
  <c r="AG114" i="7"/>
  <c r="AG115" i="7" s="1"/>
  <c r="AG153" i="7" s="1"/>
  <c r="AH61" i="7"/>
  <c r="AH52" i="7"/>
  <c r="AH31" i="7"/>
  <c r="AH65" i="7"/>
  <c r="AH49" i="7"/>
  <c r="AH62" i="7"/>
  <c r="AH66" i="7"/>
  <c r="AH64" i="7"/>
  <c r="AH57" i="7"/>
  <c r="AH44" i="7"/>
  <c r="AH42" i="7"/>
  <c r="AH63" i="7"/>
  <c r="AH50" i="7"/>
  <c r="AH60" i="7"/>
  <c r="AH58" i="7"/>
  <c r="AH208" i="7"/>
  <c r="AI165" i="7"/>
  <c r="AI180" i="7" s="1"/>
  <c r="AI169" i="7"/>
  <c r="AI184" i="7" s="1"/>
  <c r="AI160" i="7"/>
  <c r="AI175" i="7" s="1"/>
  <c r="AI163" i="7"/>
  <c r="AI178" i="7" s="1"/>
  <c r="AI168" i="7"/>
  <c r="AI183" i="7" s="1"/>
  <c r="AI166" i="7"/>
  <c r="AI181" i="7" s="1"/>
  <c r="AI171" i="7"/>
  <c r="AI186" i="7" s="1"/>
  <c r="AI162" i="7"/>
  <c r="AI177" i="7" s="1"/>
  <c r="AI164" i="7"/>
  <c r="AI179" i="7" s="1"/>
  <c r="AI170" i="7"/>
  <c r="AI185" i="7" s="1"/>
  <c r="AI167" i="7"/>
  <c r="AI182" i="7" s="1"/>
  <c r="AI108" i="7"/>
  <c r="AI111" i="7" s="1"/>
  <c r="AI159" i="7"/>
  <c r="AI174" i="7" s="1"/>
  <c r="AI161" i="7"/>
  <c r="AI176" i="7" s="1"/>
  <c r="AH114" i="7"/>
  <c r="AH115" i="7" s="1"/>
  <c r="AH153" i="7" s="1"/>
  <c r="AG51" i="7"/>
  <c r="AG119" i="7"/>
  <c r="AG120" i="7" s="1"/>
  <c r="AH226" i="7"/>
  <c r="AH306" i="7"/>
  <c r="AH307" i="7" s="1"/>
  <c r="AH345" i="7" s="1"/>
  <c r="AG302" i="7"/>
  <c r="AG53" i="7"/>
  <c r="AI268" i="7"/>
  <c r="AI283" i="7" s="1"/>
  <c r="AI265" i="7"/>
  <c r="AI280" i="7" s="1"/>
  <c r="AI262" i="7"/>
  <c r="AI277" i="7" s="1"/>
  <c r="AI266" i="7"/>
  <c r="AI281" i="7" s="1"/>
  <c r="AI259" i="7"/>
  <c r="AI274" i="7" s="1"/>
  <c r="AI257" i="7"/>
  <c r="AI272" i="7" s="1"/>
  <c r="AI263" i="7"/>
  <c r="AI278" i="7" s="1"/>
  <c r="AI261" i="7"/>
  <c r="AI276" i="7" s="1"/>
  <c r="AI204" i="7"/>
  <c r="AI264" i="7"/>
  <c r="AI279" i="7" s="1"/>
  <c r="AI260" i="7"/>
  <c r="AI275" i="7" s="1"/>
  <c r="AI267" i="7"/>
  <c r="AI282" i="7" s="1"/>
  <c r="AI258" i="7"/>
  <c r="AI273" i="7" s="1"/>
  <c r="AI269" i="7"/>
  <c r="AI284" i="7" s="1"/>
  <c r="AG47" i="7"/>
  <c r="AG46" i="7"/>
  <c r="AH212" i="7"/>
  <c r="AH213" i="7" s="1"/>
  <c r="AI354" i="7"/>
  <c r="AI369" i="7" s="1"/>
  <c r="AI361" i="7"/>
  <c r="AI376" i="7" s="1"/>
  <c r="AI358" i="7"/>
  <c r="AI373" i="7" s="1"/>
  <c r="AI355" i="7"/>
  <c r="AI370" i="7" s="1"/>
  <c r="AI352" i="7"/>
  <c r="AI367" i="7" s="1"/>
  <c r="AI362" i="7"/>
  <c r="AI377" i="7" s="1"/>
  <c r="AI359" i="7"/>
  <c r="AI374" i="7" s="1"/>
  <c r="AI363" i="7"/>
  <c r="AI378" i="7" s="1"/>
  <c r="AI360" i="7"/>
  <c r="AI375" i="7" s="1"/>
  <c r="AI351" i="7"/>
  <c r="AI366" i="7" s="1"/>
  <c r="AI353" i="7"/>
  <c r="AI368" i="7" s="1"/>
  <c r="AI298" i="7"/>
  <c r="AI303" i="7" s="1"/>
  <c r="AI357" i="7"/>
  <c r="AI372" i="7" s="1"/>
  <c r="AI356" i="7"/>
  <c r="AI371" i="7" s="1"/>
  <c r="AG208" i="7"/>
  <c r="AG320" i="7"/>
  <c r="AG321" i="7" s="1"/>
  <c r="AG339" i="7" s="1"/>
  <c r="AG55" i="7"/>
  <c r="AH59" i="7"/>
  <c r="AH26" i="7"/>
  <c r="AG48" i="7"/>
  <c r="AI44" i="14"/>
  <c r="AI19" i="13" s="1"/>
  <c r="BG28" i="14"/>
  <c r="BG29" i="14" s="1"/>
  <c r="BG30" i="14" s="1"/>
  <c r="BG31" i="14" s="1"/>
  <c r="BG18" i="13" s="1"/>
  <c r="BG4" i="13"/>
  <c r="AI25" i="14"/>
  <c r="AG75" i="9"/>
  <c r="G158" i="7"/>
  <c r="G173" i="7" s="1"/>
  <c r="G188" i="7" s="1"/>
  <c r="I245" i="7"/>
  <c r="G114" i="7"/>
  <c r="G115" i="7" s="1"/>
  <c r="G153" i="7" s="1"/>
  <c r="AC45" i="7"/>
  <c r="AC61" i="7"/>
  <c r="E164" i="7"/>
  <c r="E179" i="7" s="1"/>
  <c r="W128" i="7"/>
  <c r="W129" i="7" s="1"/>
  <c r="W147" i="7" s="1"/>
  <c r="K114" i="7"/>
  <c r="K115" i="7" s="1"/>
  <c r="K153" i="7" s="1"/>
  <c r="E159" i="7"/>
  <c r="E174" i="7" s="1"/>
  <c r="K119" i="7"/>
  <c r="K120" i="7" s="1"/>
  <c r="K141" i="7" s="1"/>
  <c r="E171" i="7"/>
  <c r="E186" i="7" s="1"/>
  <c r="E166" i="7"/>
  <c r="E181" i="7" s="1"/>
  <c r="E169" i="7"/>
  <c r="E184" i="7" s="1"/>
  <c r="E160" i="7"/>
  <c r="E175" i="7" s="1"/>
  <c r="E167" i="7"/>
  <c r="E182" i="7" s="1"/>
  <c r="E170" i="7"/>
  <c r="E185" i="7" s="1"/>
  <c r="E168" i="7"/>
  <c r="E183" i="7" s="1"/>
  <c r="AE119" i="7"/>
  <c r="AE120" i="7" s="1"/>
  <c r="AE132" i="7" s="1"/>
  <c r="K47" i="7"/>
  <c r="E108" i="7"/>
  <c r="E111" i="7" s="1"/>
  <c r="E161" i="7"/>
  <c r="E176" i="7" s="1"/>
  <c r="Z306" i="7"/>
  <c r="Z307" i="7" s="1"/>
  <c r="Z345" i="7" s="1"/>
  <c r="AE114" i="7"/>
  <c r="AE115" i="7" s="1"/>
  <c r="AE153" i="7" s="1"/>
  <c r="E163" i="7"/>
  <c r="E178" i="7" s="1"/>
  <c r="I252" i="7"/>
  <c r="X36" i="7"/>
  <c r="AE128" i="7"/>
  <c r="AE129" i="7" s="1"/>
  <c r="AE147" i="7" s="1"/>
  <c r="M217" i="7"/>
  <c r="M232" i="7" s="1"/>
  <c r="I137" i="7"/>
  <c r="M124" i="7"/>
  <c r="M136" i="7" s="1"/>
  <c r="AC50" i="7"/>
  <c r="AC217" i="7"/>
  <c r="AC240" i="7" s="1"/>
  <c r="Z45" i="7"/>
  <c r="AC256" i="7"/>
  <c r="AC271" i="7" s="1"/>
  <c r="AC286" i="7" s="1"/>
  <c r="Z36" i="7"/>
  <c r="K40" i="7"/>
  <c r="Z61" i="7"/>
  <c r="K217" i="7"/>
  <c r="J48" i="7"/>
  <c r="J55" i="7"/>
  <c r="G350" i="7"/>
  <c r="G365" i="7" s="1"/>
  <c r="G380" i="7" s="1"/>
  <c r="J256" i="7"/>
  <c r="J271" i="7" s="1"/>
  <c r="J286" i="7" s="1"/>
  <c r="J43" i="7"/>
  <c r="Z50" i="7"/>
  <c r="L226" i="7"/>
  <c r="L244" i="7" s="1"/>
  <c r="J208" i="7"/>
  <c r="L26" i="7"/>
  <c r="Z58" i="7"/>
  <c r="H128" i="7"/>
  <c r="H129" i="7" s="1"/>
  <c r="H147" i="7" s="1"/>
  <c r="K51" i="7"/>
  <c r="G119" i="7"/>
  <c r="G120" i="7" s="1"/>
  <c r="G135" i="7" s="1"/>
  <c r="G47" i="7"/>
  <c r="J110" i="7"/>
  <c r="M119" i="7"/>
  <c r="M120" i="7" s="1"/>
  <c r="L158" i="7"/>
  <c r="L173" i="7" s="1"/>
  <c r="L188" i="7" s="1"/>
  <c r="AC212" i="7"/>
  <c r="AC213" i="7" s="1"/>
  <c r="W119" i="7"/>
  <c r="W120" i="7" s="1"/>
  <c r="M208" i="7"/>
  <c r="H226" i="7"/>
  <c r="H244" i="7" s="1"/>
  <c r="AC226" i="7"/>
  <c r="AC244" i="7" s="1"/>
  <c r="L217" i="7"/>
  <c r="L240" i="7" s="1"/>
  <c r="X114" i="7"/>
  <c r="X115" i="7" s="1"/>
  <c r="X153" i="7" s="1"/>
  <c r="W114" i="7"/>
  <c r="W115" i="7" s="1"/>
  <c r="W153" i="7" s="1"/>
  <c r="M212" i="7"/>
  <c r="M213" i="7" s="1"/>
  <c r="AC208" i="7"/>
  <c r="H316" i="7"/>
  <c r="H317" i="7" s="1"/>
  <c r="H328" i="7" s="1"/>
  <c r="W158" i="7"/>
  <c r="W173" i="7" s="1"/>
  <c r="W188" i="7" s="1"/>
  <c r="M226" i="7"/>
  <c r="M244" i="7" s="1"/>
  <c r="J158" i="7"/>
  <c r="J173" i="7" s="1"/>
  <c r="J188" i="7" s="1"/>
  <c r="X119" i="7"/>
  <c r="X120" i="7" s="1"/>
  <c r="X132" i="7" s="1"/>
  <c r="Z208" i="7"/>
  <c r="AE226" i="7"/>
  <c r="AE244" i="7" s="1"/>
  <c r="K302" i="7"/>
  <c r="K306" i="7"/>
  <c r="K307" i="7" s="1"/>
  <c r="K345" i="7" s="1"/>
  <c r="AE208" i="7"/>
  <c r="G306" i="7"/>
  <c r="G307" i="7" s="1"/>
  <c r="G345" i="7" s="1"/>
  <c r="K320" i="7"/>
  <c r="K321" i="7" s="1"/>
  <c r="K339" i="7" s="1"/>
  <c r="AC62" i="7"/>
  <c r="G256" i="7"/>
  <c r="G271" i="7" s="1"/>
  <c r="G286" i="7" s="1"/>
  <c r="Z256" i="7"/>
  <c r="Z271" i="7" s="1"/>
  <c r="Z286" i="7" s="1"/>
  <c r="AE50" i="7"/>
  <c r="X226" i="7"/>
  <c r="X227" i="7" s="1"/>
  <c r="K350" i="7"/>
  <c r="K365" i="7" s="1"/>
  <c r="K380" i="7" s="1"/>
  <c r="AC47" i="7"/>
  <c r="X256" i="7"/>
  <c r="X271" i="7" s="1"/>
  <c r="X286" i="7" s="1"/>
  <c r="H217" i="7"/>
  <c r="H230" i="7" s="1"/>
  <c r="H51" i="7"/>
  <c r="AC55" i="7"/>
  <c r="AE222" i="7"/>
  <c r="AE233" i="7" s="1"/>
  <c r="X212" i="7"/>
  <c r="X213" i="7" s="1"/>
  <c r="J222" i="7"/>
  <c r="J233" i="7" s="1"/>
  <c r="M110" i="7"/>
  <c r="AC53" i="7"/>
  <c r="AD133" i="7"/>
  <c r="L212" i="7"/>
  <c r="L213" i="7" s="1"/>
  <c r="L256" i="7"/>
  <c r="L271" i="7" s="1"/>
  <c r="L286" i="7" s="1"/>
  <c r="G302" i="7"/>
  <c r="H222" i="7"/>
  <c r="H233" i="7" s="1"/>
  <c r="J212" i="7"/>
  <c r="J213" i="7" s="1"/>
  <c r="M114" i="7"/>
  <c r="M115" i="7" s="1"/>
  <c r="M153" i="7" s="1"/>
  <c r="AC48" i="7"/>
  <c r="K110" i="7"/>
  <c r="AC43" i="7"/>
  <c r="K128" i="7"/>
  <c r="K129" i="7" s="1"/>
  <c r="K147" i="7" s="1"/>
  <c r="AC51" i="7"/>
  <c r="X128" i="7"/>
  <c r="X129" i="7" s="1"/>
  <c r="X147" i="7" s="1"/>
  <c r="G208" i="7"/>
  <c r="M50" i="7"/>
  <c r="K316" i="7"/>
  <c r="K317" i="7" s="1"/>
  <c r="K328" i="7" s="1"/>
  <c r="K158" i="7"/>
  <c r="K173" i="7" s="1"/>
  <c r="K188" i="7" s="1"/>
  <c r="AC46" i="7"/>
  <c r="AE217" i="7"/>
  <c r="AC60" i="7"/>
  <c r="L208" i="7"/>
  <c r="G226" i="7"/>
  <c r="G244" i="7" s="1"/>
  <c r="H208" i="7"/>
  <c r="AC158" i="7"/>
  <c r="AC173" i="7" s="1"/>
  <c r="AC188" i="7" s="1"/>
  <c r="Z302" i="7"/>
  <c r="AC54" i="7"/>
  <c r="AE256" i="7"/>
  <c r="AE271" i="7" s="1"/>
  <c r="AE286" i="7" s="1"/>
  <c r="Z46" i="7"/>
  <c r="G316" i="7"/>
  <c r="G317" i="7" s="1"/>
  <c r="G328" i="7" s="1"/>
  <c r="X217" i="7"/>
  <c r="X230" i="7" s="1"/>
  <c r="G212" i="7"/>
  <c r="G213" i="7" s="1"/>
  <c r="G54" i="7"/>
  <c r="K124" i="7"/>
  <c r="M158" i="7"/>
  <c r="M173" i="7" s="1"/>
  <c r="M188" i="7" s="1"/>
  <c r="H158" i="7"/>
  <c r="H173" i="7" s="1"/>
  <c r="H188" i="7" s="1"/>
  <c r="Z320" i="7"/>
  <c r="Z321" i="7" s="1"/>
  <c r="Z339" i="7" s="1"/>
  <c r="AE320" i="7"/>
  <c r="AE321" i="7" s="1"/>
  <c r="AE339" i="7" s="1"/>
  <c r="AE53" i="7"/>
  <c r="Z63" i="7"/>
  <c r="AC128" i="7"/>
  <c r="AC129" i="7" s="1"/>
  <c r="AC147" i="7" s="1"/>
  <c r="AC311" i="7"/>
  <c r="AC312" i="7" s="1"/>
  <c r="Z119" i="7"/>
  <c r="Z120" i="7" s="1"/>
  <c r="AE350" i="7"/>
  <c r="AE365" i="7" s="1"/>
  <c r="AE380" i="7" s="1"/>
  <c r="AC350" i="7"/>
  <c r="AC365" i="7" s="1"/>
  <c r="AC380" i="7" s="1"/>
  <c r="AE36" i="7"/>
  <c r="AE45" i="7"/>
  <c r="AE61" i="7"/>
  <c r="Z26" i="7"/>
  <c r="Z59" i="7"/>
  <c r="Z128" i="7"/>
  <c r="Z129" i="7" s="1"/>
  <c r="Z147" i="7" s="1"/>
  <c r="Z114" i="7"/>
  <c r="Z115" i="7" s="1"/>
  <c r="Z153" i="7" s="1"/>
  <c r="Z56" i="7"/>
  <c r="Z40" i="7"/>
  <c r="AE64" i="7"/>
  <c r="Z212" i="7"/>
  <c r="Z213" i="7" s="1"/>
  <c r="AE62" i="7"/>
  <c r="AE54" i="7"/>
  <c r="Z62" i="7"/>
  <c r="AE56" i="7"/>
  <c r="AE40" i="7"/>
  <c r="AC114" i="7"/>
  <c r="AC115" i="7" s="1"/>
  <c r="AC153" i="7" s="1"/>
  <c r="Z311" i="7"/>
  <c r="Z312" i="7" s="1"/>
  <c r="AC306" i="7"/>
  <c r="AC307" i="7" s="1"/>
  <c r="AC345" i="7" s="1"/>
  <c r="Z226" i="7"/>
  <c r="AE306" i="7"/>
  <c r="AE307" i="7" s="1"/>
  <c r="AE345" i="7" s="1"/>
  <c r="AE49" i="7"/>
  <c r="Z350" i="7"/>
  <c r="Z365" i="7" s="1"/>
  <c r="Z380" i="7" s="1"/>
  <c r="AE212" i="7"/>
  <c r="AE213" i="7" s="1"/>
  <c r="AE124" i="7"/>
  <c r="Z54" i="7"/>
  <c r="AC124" i="7"/>
  <c r="Z316" i="7"/>
  <c r="Z317" i="7" s="1"/>
  <c r="Z328" i="7" s="1"/>
  <c r="Z124" i="7"/>
  <c r="Z47" i="7"/>
  <c r="Z57" i="7"/>
  <c r="AC59" i="7"/>
  <c r="AC26" i="7"/>
  <c r="AE311" i="7"/>
  <c r="AE312" i="7" s="1"/>
  <c r="AD141" i="7"/>
  <c r="AC64" i="7"/>
  <c r="Z55" i="7"/>
  <c r="Z65" i="7"/>
  <c r="AC302" i="7"/>
  <c r="Z53" i="7"/>
  <c r="AC110" i="7"/>
  <c r="AC320" i="7"/>
  <c r="AC321" i="7" s="1"/>
  <c r="AC339" i="7" s="1"/>
  <c r="Z222" i="7"/>
  <c r="AE302" i="7"/>
  <c r="AD138" i="7"/>
  <c r="Z48" i="7"/>
  <c r="AC316" i="7"/>
  <c r="AC317" i="7" s="1"/>
  <c r="AC328" i="7" s="1"/>
  <c r="AC222" i="7"/>
  <c r="Z110" i="7"/>
  <c r="AE316" i="7"/>
  <c r="AE317" i="7" s="1"/>
  <c r="AE328" i="7" s="1"/>
  <c r="AE158" i="7"/>
  <c r="AE173" i="7" s="1"/>
  <c r="AE188" i="7" s="1"/>
  <c r="AC57" i="7"/>
  <c r="Z43" i="7"/>
  <c r="AE60" i="7"/>
  <c r="AC119" i="7"/>
  <c r="AC120" i="7" s="1"/>
  <c r="Z158" i="7"/>
  <c r="Z173" i="7" s="1"/>
  <c r="Z188" i="7" s="1"/>
  <c r="AE110" i="7"/>
  <c r="AC65" i="7"/>
  <c r="Z51" i="7"/>
  <c r="AE63" i="7"/>
  <c r="Z60" i="7"/>
  <c r="W302" i="7"/>
  <c r="I244" i="7"/>
  <c r="I227" i="7"/>
  <c r="W222" i="7"/>
  <c r="L320" i="7"/>
  <c r="L321" i="7" s="1"/>
  <c r="L339" i="7" s="1"/>
  <c r="I145" i="7"/>
  <c r="G51" i="7"/>
  <c r="M62" i="7"/>
  <c r="H55" i="7"/>
  <c r="M316" i="7"/>
  <c r="M317" i="7" s="1"/>
  <c r="M328" i="7" s="1"/>
  <c r="L56" i="7"/>
  <c r="L40" i="7"/>
  <c r="L311" i="7"/>
  <c r="L312" i="7" s="1"/>
  <c r="J65" i="7"/>
  <c r="J58" i="7"/>
  <c r="J66" i="7"/>
  <c r="J42" i="7"/>
  <c r="J52" i="7"/>
  <c r="J31" i="7"/>
  <c r="J57" i="7"/>
  <c r="J62" i="7"/>
  <c r="J50" i="7"/>
  <c r="J63" i="7"/>
  <c r="J61" i="7"/>
  <c r="J64" i="7"/>
  <c r="J60" i="7"/>
  <c r="J44" i="7"/>
  <c r="J49" i="7"/>
  <c r="M53" i="7"/>
  <c r="M61" i="7"/>
  <c r="J350" i="7"/>
  <c r="J365" i="7" s="1"/>
  <c r="J380" i="7" s="1"/>
  <c r="L64" i="7"/>
  <c r="L65" i="7"/>
  <c r="L52" i="7"/>
  <c r="L31" i="7"/>
  <c r="L57" i="7"/>
  <c r="L60" i="7"/>
  <c r="L61" i="7"/>
  <c r="L63" i="7"/>
  <c r="L66" i="7"/>
  <c r="L62" i="7"/>
  <c r="L50" i="7"/>
  <c r="L58" i="7"/>
  <c r="L44" i="7"/>
  <c r="L49" i="7"/>
  <c r="L42" i="7"/>
  <c r="H46" i="7"/>
  <c r="J51" i="7"/>
  <c r="G59" i="7"/>
  <c r="G26" i="7"/>
  <c r="G53" i="7"/>
  <c r="H43" i="7"/>
  <c r="J46" i="7"/>
  <c r="J59" i="7"/>
  <c r="J26" i="7"/>
  <c r="M306" i="7"/>
  <c r="M307" i="7" s="1"/>
  <c r="M345" i="7" s="1"/>
  <c r="H45" i="7"/>
  <c r="H36" i="7"/>
  <c r="W208" i="7"/>
  <c r="L306" i="7"/>
  <c r="L307" i="7" s="1"/>
  <c r="L345" i="7" s="1"/>
  <c r="G48" i="7"/>
  <c r="H54" i="7"/>
  <c r="J47" i="7"/>
  <c r="M320" i="7"/>
  <c r="M321" i="7" s="1"/>
  <c r="M339" i="7" s="1"/>
  <c r="M45" i="7"/>
  <c r="M36" i="7"/>
  <c r="G43" i="7"/>
  <c r="H47" i="7"/>
  <c r="L110" i="7"/>
  <c r="G45" i="7"/>
  <c r="G36" i="7"/>
  <c r="W226" i="7"/>
  <c r="H306" i="7"/>
  <c r="H307" i="7" s="1"/>
  <c r="H345" i="7" s="1"/>
  <c r="J114" i="7"/>
  <c r="J115" i="7" s="1"/>
  <c r="J153" i="7" s="1"/>
  <c r="G55" i="7"/>
  <c r="H53" i="7"/>
  <c r="L114" i="7"/>
  <c r="L115" i="7" s="1"/>
  <c r="L153" i="7" s="1"/>
  <c r="X124" i="7"/>
  <c r="I136" i="7"/>
  <c r="I125" i="7"/>
  <c r="I192" i="7" s="1"/>
  <c r="J119" i="7"/>
  <c r="J120" i="7" s="1"/>
  <c r="L119" i="7"/>
  <c r="L120" i="7" s="1"/>
  <c r="J56" i="7"/>
  <c r="J40" i="7"/>
  <c r="H59" i="7"/>
  <c r="H26" i="7"/>
  <c r="L350" i="7"/>
  <c r="L365" i="7" s="1"/>
  <c r="L380" i="7" s="1"/>
  <c r="I143" i="7"/>
  <c r="K64" i="7"/>
  <c r="K63" i="7"/>
  <c r="K58" i="7"/>
  <c r="K52" i="7"/>
  <c r="K31" i="7"/>
  <c r="K57" i="7"/>
  <c r="K60" i="7"/>
  <c r="K66" i="7"/>
  <c r="K62" i="7"/>
  <c r="K50" i="7"/>
  <c r="K65" i="7"/>
  <c r="K61" i="7"/>
  <c r="K44" i="7"/>
  <c r="K49" i="7"/>
  <c r="K42" i="7"/>
  <c r="L47" i="7"/>
  <c r="M58" i="7"/>
  <c r="J316" i="7"/>
  <c r="J317" i="7" s="1"/>
  <c r="J328" i="7" s="1"/>
  <c r="K226" i="7"/>
  <c r="L124" i="7"/>
  <c r="W256" i="7"/>
  <c r="W271" i="7" s="1"/>
  <c r="W286" i="7" s="1"/>
  <c r="X110" i="7"/>
  <c r="I134" i="7"/>
  <c r="G124" i="7"/>
  <c r="L55" i="7"/>
  <c r="M64" i="7"/>
  <c r="L128" i="7"/>
  <c r="L129" i="7" s="1"/>
  <c r="L147" i="7" s="1"/>
  <c r="M311" i="7"/>
  <c r="M312" i="7" s="1"/>
  <c r="X320" i="7"/>
  <c r="X321" i="7" s="1"/>
  <c r="X339" i="7" s="1"/>
  <c r="I142" i="7"/>
  <c r="H302" i="7"/>
  <c r="G128" i="7"/>
  <c r="G129" i="7" s="1"/>
  <c r="G147" i="7" s="1"/>
  <c r="J311" i="7"/>
  <c r="J312" i="7" s="1"/>
  <c r="H114" i="7"/>
  <c r="H115" i="7" s="1"/>
  <c r="H153" i="7" s="1"/>
  <c r="H124" i="7"/>
  <c r="M350" i="7"/>
  <c r="M365" i="7" s="1"/>
  <c r="M380" i="7" s="1"/>
  <c r="W316" i="7"/>
  <c r="W317" i="7" s="1"/>
  <c r="W328" i="7" s="1"/>
  <c r="W212" i="7"/>
  <c r="W213" i="7" s="1"/>
  <c r="X158" i="7"/>
  <c r="X173" i="7" s="1"/>
  <c r="X188" i="7" s="1"/>
  <c r="X302" i="7"/>
  <c r="X306" i="7"/>
  <c r="X307" i="7" s="1"/>
  <c r="X345" i="7" s="1"/>
  <c r="I133" i="7"/>
  <c r="H350" i="7"/>
  <c r="H365" i="7" s="1"/>
  <c r="H380" i="7" s="1"/>
  <c r="M63" i="7"/>
  <c r="J306" i="7"/>
  <c r="J307" i="7" s="1"/>
  <c r="J345" i="7" s="1"/>
  <c r="H119" i="7"/>
  <c r="H120" i="7" s="1"/>
  <c r="L302" i="7"/>
  <c r="W110" i="7"/>
  <c r="X316" i="7"/>
  <c r="X317" i="7" s="1"/>
  <c r="X328" i="7" s="1"/>
  <c r="G320" i="7"/>
  <c r="G321" i="7" s="1"/>
  <c r="G339" i="7" s="1"/>
  <c r="X222" i="7"/>
  <c r="G217" i="7"/>
  <c r="I138" i="7"/>
  <c r="H320" i="7"/>
  <c r="H321" i="7" s="1"/>
  <c r="H339" i="7" s="1"/>
  <c r="L51" i="7"/>
  <c r="J302" i="7"/>
  <c r="J217" i="7"/>
  <c r="H110" i="7"/>
  <c r="W306" i="7"/>
  <c r="W307" i="7" s="1"/>
  <c r="W345" i="7" s="1"/>
  <c r="W124" i="7"/>
  <c r="X350" i="7"/>
  <c r="X365" i="7" s="1"/>
  <c r="X380" i="7" s="1"/>
  <c r="H311" i="7"/>
  <c r="H312" i="7" s="1"/>
  <c r="G110" i="7"/>
  <c r="L46" i="7"/>
  <c r="W311" i="7"/>
  <c r="W312" i="7" s="1"/>
  <c r="L222" i="7"/>
  <c r="M222" i="7"/>
  <c r="X311" i="7"/>
  <c r="X312" i="7" s="1"/>
  <c r="X56" i="7"/>
  <c r="X40" i="7"/>
  <c r="X208" i="7"/>
  <c r="I144" i="7"/>
  <c r="H212" i="7"/>
  <c r="H213" i="7" s="1"/>
  <c r="J124" i="7"/>
  <c r="H60" i="7"/>
  <c r="H65" i="7"/>
  <c r="H64" i="7"/>
  <c r="H44" i="7"/>
  <c r="H49" i="7"/>
  <c r="H66" i="7"/>
  <c r="H58" i="7"/>
  <c r="H42" i="7"/>
  <c r="H52" i="7"/>
  <c r="H31" i="7"/>
  <c r="H57" i="7"/>
  <c r="H61" i="7"/>
  <c r="H62" i="7"/>
  <c r="H50" i="7"/>
  <c r="H63" i="7"/>
  <c r="J226" i="7"/>
  <c r="K208" i="7"/>
  <c r="M302" i="7"/>
  <c r="W320" i="7"/>
  <c r="W321" i="7" s="1"/>
  <c r="W339" i="7" s="1"/>
  <c r="W217" i="7"/>
  <c r="L316" i="7"/>
  <c r="L317" i="7" s="1"/>
  <c r="L328" i="7" s="1"/>
  <c r="M256" i="7"/>
  <c r="M271" i="7" s="1"/>
  <c r="M286" i="7" s="1"/>
  <c r="I156" i="7"/>
  <c r="I132" i="7"/>
  <c r="I149" i="7"/>
  <c r="I154" i="7"/>
  <c r="I152" i="7"/>
  <c r="I151" i="7"/>
  <c r="I139" i="7"/>
  <c r="I140" i="7"/>
  <c r="I150" i="7"/>
  <c r="I141" i="7"/>
  <c r="I135" i="7"/>
  <c r="I148" i="7"/>
  <c r="I155" i="7"/>
  <c r="G311" i="7"/>
  <c r="G312" i="7" s="1"/>
  <c r="G66" i="7"/>
  <c r="G60" i="7"/>
  <c r="G63" i="7"/>
  <c r="G64" i="7"/>
  <c r="G44" i="7"/>
  <c r="G58" i="7"/>
  <c r="G42" i="7"/>
  <c r="G52" i="7"/>
  <c r="G31" i="7"/>
  <c r="G61" i="7"/>
  <c r="G62" i="7"/>
  <c r="G65" i="7"/>
  <c r="G50" i="7"/>
  <c r="G57" i="7"/>
  <c r="G49" i="7"/>
  <c r="G222" i="7"/>
  <c r="I146" i="7"/>
  <c r="K55" i="7"/>
  <c r="M54" i="7"/>
  <c r="J128" i="7"/>
  <c r="J129" i="7" s="1"/>
  <c r="J147" i="7" s="1"/>
  <c r="G46" i="7"/>
  <c r="M49" i="7"/>
  <c r="J320" i="7"/>
  <c r="J321" i="7" s="1"/>
  <c r="J339" i="7" s="1"/>
  <c r="K311" i="7"/>
  <c r="K312" i="7" s="1"/>
  <c r="K222" i="7"/>
  <c r="J53" i="7"/>
  <c r="M128" i="7"/>
  <c r="M129" i="7" s="1"/>
  <c r="M147" i="7" s="1"/>
  <c r="AH4" i="13"/>
  <c r="AG4" i="13"/>
  <c r="AF4" i="13"/>
  <c r="E268" i="7"/>
  <c r="E283" i="7" s="1"/>
  <c r="E260" i="7"/>
  <c r="E275" i="7" s="1"/>
  <c r="E263" i="7"/>
  <c r="E278" i="7" s="1"/>
  <c r="E257" i="7"/>
  <c r="E272" i="7" s="1"/>
  <c r="E259" i="7"/>
  <c r="E274" i="7" s="1"/>
  <c r="E269" i="7"/>
  <c r="E284" i="7" s="1"/>
  <c r="E262" i="7"/>
  <c r="E277" i="7" s="1"/>
  <c r="E204" i="7"/>
  <c r="E264" i="7"/>
  <c r="E279" i="7" s="1"/>
  <c r="E265" i="7"/>
  <c r="E280" i="7" s="1"/>
  <c r="E267" i="7"/>
  <c r="E282" i="7" s="1"/>
  <c r="E261" i="7"/>
  <c r="E276" i="7" s="1"/>
  <c r="E258" i="7"/>
  <c r="E273" i="7" s="1"/>
  <c r="Y4" i="13"/>
  <c r="Y162" i="7"/>
  <c r="Y177" i="7" s="1"/>
  <c r="Y170" i="7"/>
  <c r="Y185" i="7" s="1"/>
  <c r="Y159" i="7"/>
  <c r="Y174" i="7" s="1"/>
  <c r="AD28" i="14"/>
  <c r="AD29" i="14" s="1"/>
  <c r="AD30" i="14" s="1"/>
  <c r="AD31" i="14" s="1"/>
  <c r="AD18" i="13" s="1"/>
  <c r="AD4" i="13"/>
  <c r="AC28" i="14"/>
  <c r="AC29" i="14" s="1"/>
  <c r="AC30" i="14" s="1"/>
  <c r="AC31" i="14" s="1"/>
  <c r="AC18" i="13" s="1"/>
  <c r="AC4" i="13"/>
  <c r="Y167" i="7"/>
  <c r="Y182" i="7" s="1"/>
  <c r="H4" i="13"/>
  <c r="H28" i="14"/>
  <c r="P4" i="13"/>
  <c r="P28" i="14"/>
  <c r="L4" i="13"/>
  <c r="W4" i="13"/>
  <c r="W28" i="14"/>
  <c r="O4" i="13"/>
  <c r="O28" i="14"/>
  <c r="I4" i="13"/>
  <c r="I28" i="14"/>
  <c r="G4" i="13"/>
  <c r="G28" i="14"/>
  <c r="M4" i="13"/>
  <c r="M28" i="14"/>
  <c r="N4" i="13"/>
  <c r="N28" i="14"/>
  <c r="Z4" i="13"/>
  <c r="Z28" i="14"/>
  <c r="X4" i="13"/>
  <c r="X28" i="14"/>
  <c r="Y163" i="7"/>
  <c r="Y178" i="7" s="1"/>
  <c r="Y108" i="7"/>
  <c r="Y171" i="7"/>
  <c r="Y186" i="7" s="1"/>
  <c r="Y168" i="7"/>
  <c r="Y183" i="7" s="1"/>
  <c r="Y165" i="7"/>
  <c r="Y180" i="7" s="1"/>
  <c r="Y161" i="7"/>
  <c r="Y176" i="7" s="1"/>
  <c r="Y164" i="7"/>
  <c r="Y179" i="7" s="1"/>
  <c r="Y169" i="7"/>
  <c r="Y184" i="7" s="1"/>
  <c r="Y166" i="7"/>
  <c r="Y181" i="7" s="1"/>
  <c r="Y204" i="7"/>
  <c r="Y269" i="7"/>
  <c r="Y284" i="7" s="1"/>
  <c r="Y268" i="7"/>
  <c r="Y283" i="7" s="1"/>
  <c r="Y258" i="7"/>
  <c r="Y273" i="7" s="1"/>
  <c r="Y262" i="7"/>
  <c r="Y277" i="7" s="1"/>
  <c r="Y266" i="7"/>
  <c r="Y281" i="7" s="1"/>
  <c r="Y264" i="7"/>
  <c r="Y279" i="7" s="1"/>
  <c r="Y260" i="7"/>
  <c r="Y275" i="7" s="1"/>
  <c r="Y263" i="7"/>
  <c r="Y278" i="7" s="1"/>
  <c r="Y261" i="7"/>
  <c r="Y276" i="7" s="1"/>
  <c r="Y265" i="7"/>
  <c r="Y280" i="7" s="1"/>
  <c r="Y257" i="7"/>
  <c r="Y272" i="7" s="1"/>
  <c r="Y259" i="7"/>
  <c r="Y274" i="7" s="1"/>
  <c r="Y267" i="7"/>
  <c r="Y282" i="7" s="1"/>
  <c r="Y296" i="7"/>
  <c r="Y22" i="7"/>
  <c r="Y39" i="7"/>
  <c r="Y56" i="7" s="1"/>
  <c r="Y68" i="7"/>
  <c r="Y25" i="7"/>
  <c r="Y59" i="7" s="1"/>
  <c r="Y30" i="7"/>
  <c r="Y35" i="7"/>
  <c r="Y45" i="7" s="1"/>
  <c r="Y21" i="7"/>
  <c r="E298" i="7"/>
  <c r="E303" i="7" s="1"/>
  <c r="E353" i="7"/>
  <c r="E368" i="7" s="1"/>
  <c r="E354" i="7"/>
  <c r="E369" i="7" s="1"/>
  <c r="E352" i="7"/>
  <c r="E367" i="7" s="1"/>
  <c r="E355" i="7"/>
  <c r="E370" i="7" s="1"/>
  <c r="E351" i="7"/>
  <c r="E366" i="7" s="1"/>
  <c r="E358" i="7"/>
  <c r="E373" i="7" s="1"/>
  <c r="E363" i="7"/>
  <c r="E378" i="7" s="1"/>
  <c r="E360" i="7"/>
  <c r="E375" i="7" s="1"/>
  <c r="E361" i="7"/>
  <c r="E376" i="7" s="1"/>
  <c r="E362" i="7"/>
  <c r="E377" i="7" s="1"/>
  <c r="E356" i="7"/>
  <c r="E371" i="7" s="1"/>
  <c r="E359" i="7"/>
  <c r="E374" i="7" s="1"/>
  <c r="P29" i="23" l="1"/>
  <c r="AN80" i="23"/>
  <c r="P27" i="23"/>
  <c r="R204" i="23"/>
  <c r="P28" i="23"/>
  <c r="AL204" i="23"/>
  <c r="BE204" i="23"/>
  <c r="M205" i="23"/>
  <c r="M206" i="23" s="1"/>
  <c r="M204" i="23"/>
  <c r="F204" i="23"/>
  <c r="AM203" i="23"/>
  <c r="AM205" i="23" s="1"/>
  <c r="AM206" i="23" s="1"/>
  <c r="AD203" i="23"/>
  <c r="AD205" i="23" s="1"/>
  <c r="AD206" i="23" s="1"/>
  <c r="O80" i="23"/>
  <c r="O83" i="23" s="1"/>
  <c r="AK204" i="23"/>
  <c r="AW203" i="23"/>
  <c r="AW205" i="23" s="1"/>
  <c r="AW206" i="23" s="1"/>
  <c r="AG80" i="23"/>
  <c r="AG83" i="23" s="1"/>
  <c r="AH80" i="23"/>
  <c r="AB80" i="23"/>
  <c r="AB83" i="23" s="1"/>
  <c r="AB23" i="23" s="1"/>
  <c r="BF80" i="23"/>
  <c r="AZ212" i="23"/>
  <c r="AZ213" i="23" s="1"/>
  <c r="AZ214" i="23" s="1"/>
  <c r="AZ215" i="23" s="1"/>
  <c r="AZ216" i="23" s="1"/>
  <c r="AZ217" i="23" s="1"/>
  <c r="F203" i="23"/>
  <c r="F205" i="23" s="1"/>
  <c r="F206" i="23" s="1"/>
  <c r="Q204" i="23"/>
  <c r="BB95" i="23"/>
  <c r="AW80" i="23"/>
  <c r="AV80" i="23"/>
  <c r="AU23" i="23"/>
  <c r="AS204" i="23"/>
  <c r="AS207" i="23" s="1"/>
  <c r="F80" i="23"/>
  <c r="F83" i="23" s="1"/>
  <c r="AU24" i="23"/>
  <c r="AQ80" i="23"/>
  <c r="AU22" i="23"/>
  <c r="J204" i="23"/>
  <c r="J207" i="23" s="1"/>
  <c r="AC204" i="23"/>
  <c r="AD80" i="23"/>
  <c r="AK80" i="23"/>
  <c r="AK83" i="23" s="1"/>
  <c r="Z80" i="23"/>
  <c r="Y204" i="23"/>
  <c r="V80" i="23"/>
  <c r="V83" i="23" s="1"/>
  <c r="AX203" i="23"/>
  <c r="AX205" i="23" s="1"/>
  <c r="AX206" i="23" s="1"/>
  <c r="AF80" i="23"/>
  <c r="W203" i="23"/>
  <c r="W205" i="23" s="1"/>
  <c r="W206" i="23" s="1"/>
  <c r="BG80" i="23"/>
  <c r="AB203" i="23"/>
  <c r="AB205" i="23" s="1"/>
  <c r="AB206" i="23" s="1"/>
  <c r="AZ204" i="23"/>
  <c r="AZ207" i="23" s="1"/>
  <c r="AT77" i="23"/>
  <c r="AT78" i="23" s="1"/>
  <c r="AT79" i="23"/>
  <c r="AT81" i="23" s="1"/>
  <c r="AT82" i="23" s="1"/>
  <c r="AY205" i="23"/>
  <c r="AY206" i="23" s="1"/>
  <c r="AY204" i="23"/>
  <c r="AP77" i="23"/>
  <c r="AP78" i="23" s="1"/>
  <c r="AP79" i="23" s="1"/>
  <c r="AP81" i="23" s="1"/>
  <c r="AP82" i="23" s="1"/>
  <c r="BF216" i="23"/>
  <c r="BF217" i="23" s="1"/>
  <c r="BF218" i="23" s="1"/>
  <c r="BF220" i="23" s="1"/>
  <c r="BF221" i="23" s="1"/>
  <c r="J96" i="23"/>
  <c r="J97" i="23" s="1"/>
  <c r="J95" i="23"/>
  <c r="AA81" i="23"/>
  <c r="AA82" i="23" s="1"/>
  <c r="AA80" i="23"/>
  <c r="AX81" i="23"/>
  <c r="AX82" i="23" s="1"/>
  <c r="AX80" i="23"/>
  <c r="AG92" i="23"/>
  <c r="AG93" i="23" s="1"/>
  <c r="AG94" i="23" s="1"/>
  <c r="AG96" i="23" s="1"/>
  <c r="AG97" i="23" s="1"/>
  <c r="H92" i="23"/>
  <c r="H93" i="23" s="1"/>
  <c r="AO205" i="23"/>
  <c r="AO206" i="23" s="1"/>
  <c r="AO204" i="23"/>
  <c r="AF92" i="23"/>
  <c r="AF93" i="23" s="1"/>
  <c r="AF94" i="23" s="1"/>
  <c r="AF96" i="23" s="1"/>
  <c r="AF97" i="23" s="1"/>
  <c r="AA216" i="23"/>
  <c r="AA217" i="23" s="1"/>
  <c r="O216" i="23"/>
  <c r="O217" i="23" s="1"/>
  <c r="AH92" i="23"/>
  <c r="AH93" i="23" s="1"/>
  <c r="BE92" i="23"/>
  <c r="BE93" i="23" s="1"/>
  <c r="K216" i="23"/>
  <c r="K217" i="23" s="1"/>
  <c r="AI92" i="23"/>
  <c r="AI93" i="23" s="1"/>
  <c r="AN216" i="23"/>
  <c r="AN217" i="23" s="1"/>
  <c r="AN218" i="23" s="1"/>
  <c r="L216" i="23"/>
  <c r="L217" i="23" s="1"/>
  <c r="L218" i="23" s="1"/>
  <c r="AP216" i="23"/>
  <c r="AP217" i="23" s="1"/>
  <c r="AP218" i="23" s="1"/>
  <c r="K92" i="23"/>
  <c r="K93" i="23" s="1"/>
  <c r="K94" i="23"/>
  <c r="K96" i="23" s="1"/>
  <c r="K97" i="23" s="1"/>
  <c r="AW216" i="23"/>
  <c r="AW217" i="23" s="1"/>
  <c r="AW218" i="23" s="1"/>
  <c r="AW220" i="23" s="1"/>
  <c r="AW221" i="23" s="1"/>
  <c r="AY92" i="23"/>
  <c r="AY93" i="23" s="1"/>
  <c r="AC96" i="23"/>
  <c r="AC97" i="23" s="1"/>
  <c r="AC95" i="23"/>
  <c r="BD92" i="23"/>
  <c r="BD93" i="23" s="1"/>
  <c r="BD94" i="23" s="1"/>
  <c r="BD96" i="23" s="1"/>
  <c r="BD97" i="23" s="1"/>
  <c r="AZ92" i="23"/>
  <c r="AZ93" i="23" s="1"/>
  <c r="BC216" i="23"/>
  <c r="BC217" i="23" s="1"/>
  <c r="BC218" i="23" s="1"/>
  <c r="BC220" i="23" s="1"/>
  <c r="BC221" i="23" s="1"/>
  <c r="BG216" i="23"/>
  <c r="BG217" i="23" s="1"/>
  <c r="W92" i="23"/>
  <c r="W93" i="23" s="1"/>
  <c r="W94" i="23"/>
  <c r="W96" i="23" s="1"/>
  <c r="W97" i="23" s="1"/>
  <c r="S81" i="23"/>
  <c r="S82" i="23" s="1"/>
  <c r="S80" i="23"/>
  <c r="X92" i="23"/>
  <c r="X93" i="23" s="1"/>
  <c r="X94" i="23" s="1"/>
  <c r="BC81" i="23"/>
  <c r="BC82" i="23" s="1"/>
  <c r="BC80" i="23"/>
  <c r="I218" i="23"/>
  <c r="I220" i="23" s="1"/>
  <c r="I221" i="23" s="1"/>
  <c r="I216" i="23"/>
  <c r="I217" i="23" s="1"/>
  <c r="I219" i="23"/>
  <c r="AX92" i="23"/>
  <c r="AX93" i="23" s="1"/>
  <c r="AX94" i="23" s="1"/>
  <c r="AX96" i="23" s="1"/>
  <c r="AX97" i="23" s="1"/>
  <c r="AF201" i="23"/>
  <c r="AF202" i="23" s="1"/>
  <c r="AF203" i="23" s="1"/>
  <c r="AF205" i="23" s="1"/>
  <c r="AF206" i="23" s="1"/>
  <c r="AD216" i="23"/>
  <c r="AD217" i="23" s="1"/>
  <c r="AD218" i="23" s="1"/>
  <c r="AD220" i="23" s="1"/>
  <c r="AD221" i="23" s="1"/>
  <c r="Z216" i="23"/>
  <c r="Z217" i="23" s="1"/>
  <c r="Z218" i="23" s="1"/>
  <c r="N77" i="23"/>
  <c r="N78" i="23" s="1"/>
  <c r="N79" i="23" s="1"/>
  <c r="AG216" i="23"/>
  <c r="AG217" i="23" s="1"/>
  <c r="AG218" i="23" s="1"/>
  <c r="AR92" i="23"/>
  <c r="AR93" i="23" s="1"/>
  <c r="AR94" i="23" s="1"/>
  <c r="AR96" i="23" s="1"/>
  <c r="AR97" i="23" s="1"/>
  <c r="AX216" i="23"/>
  <c r="AX217" i="23" s="1"/>
  <c r="AX218" i="23" s="1"/>
  <c r="AX220" i="23" s="1"/>
  <c r="AX221" i="23" s="1"/>
  <c r="AJ216" i="23"/>
  <c r="AJ217" i="23" s="1"/>
  <c r="AC216" i="23"/>
  <c r="AC217" i="23" s="1"/>
  <c r="AA92" i="23"/>
  <c r="AA93" i="23" s="1"/>
  <c r="AA94" i="23" s="1"/>
  <c r="AA96" i="23" s="1"/>
  <c r="AA97" i="23" s="1"/>
  <c r="AT205" i="23"/>
  <c r="AT206" i="23" s="1"/>
  <c r="AT204" i="23"/>
  <c r="Y216" i="23"/>
  <c r="Y217" i="23" s="1"/>
  <c r="N216" i="23"/>
  <c r="N217" i="23" s="1"/>
  <c r="N218" i="23" s="1"/>
  <c r="N220" i="23" s="1"/>
  <c r="N221" i="23" s="1"/>
  <c r="AY216" i="23"/>
  <c r="AY217" i="23" s="1"/>
  <c r="AY218" i="23" s="1"/>
  <c r="M216" i="23"/>
  <c r="M217" i="23" s="1"/>
  <c r="M218" i="23" s="1"/>
  <c r="M220" i="23" s="1"/>
  <c r="M221" i="23" s="1"/>
  <c r="AQ216" i="23"/>
  <c r="AQ217" i="23" s="1"/>
  <c r="AQ218" i="23"/>
  <c r="AQ220" i="23" s="1"/>
  <c r="AQ221" i="23" s="1"/>
  <c r="AN92" i="23"/>
  <c r="AN93" i="23" s="1"/>
  <c r="AN94" i="23"/>
  <c r="AN96" i="23" s="1"/>
  <c r="AN97" i="23" s="1"/>
  <c r="AT216" i="23"/>
  <c r="AT217" i="23" s="1"/>
  <c r="O92" i="23"/>
  <c r="O93" i="23" s="1"/>
  <c r="O94" i="23" s="1"/>
  <c r="O96" i="23" s="1"/>
  <c r="O97" i="23" s="1"/>
  <c r="K81" i="23"/>
  <c r="K82" i="23" s="1"/>
  <c r="K80" i="23"/>
  <c r="AP205" i="23"/>
  <c r="AP206" i="23" s="1"/>
  <c r="AP204" i="23"/>
  <c r="X201" i="23"/>
  <c r="X202" i="23" s="1"/>
  <c r="BA201" i="23"/>
  <c r="BA202" i="23" s="1"/>
  <c r="AL216" i="23"/>
  <c r="AL217" i="23" s="1"/>
  <c r="AL218" i="23" s="1"/>
  <c r="U205" i="23"/>
  <c r="U206" i="23" s="1"/>
  <c r="U204" i="23"/>
  <c r="K205" i="23"/>
  <c r="K206" i="23" s="1"/>
  <c r="K204" i="23"/>
  <c r="AS216" i="23"/>
  <c r="AS217" i="23" s="1"/>
  <c r="AS218" i="23" s="1"/>
  <c r="AE92" i="23"/>
  <c r="AE93" i="23" s="1"/>
  <c r="AE94" i="23" s="1"/>
  <c r="AE96" i="23" s="1"/>
  <c r="AE97" i="23" s="1"/>
  <c r="AB216" i="23"/>
  <c r="AB217" i="23" s="1"/>
  <c r="AB218" i="23" s="1"/>
  <c r="AB220" i="23" s="1"/>
  <c r="AB221" i="23" s="1"/>
  <c r="BF92" i="23"/>
  <c r="BF93" i="23" s="1"/>
  <c r="BF94" i="23" s="1"/>
  <c r="J216" i="23"/>
  <c r="J217" i="23" s="1"/>
  <c r="J218" i="23" s="1"/>
  <c r="BC92" i="23"/>
  <c r="BC93" i="23" s="1"/>
  <c r="BA81" i="23"/>
  <c r="BA82" i="23" s="1"/>
  <c r="BA80" i="23"/>
  <c r="AU216" i="23"/>
  <c r="AU217" i="23" s="1"/>
  <c r="AV201" i="23"/>
  <c r="AV202" i="23" s="1"/>
  <c r="AV203" i="23" s="1"/>
  <c r="AO81" i="23"/>
  <c r="AO82" i="23" s="1"/>
  <c r="AO80" i="23"/>
  <c r="AK216" i="23"/>
  <c r="AK217" i="23" s="1"/>
  <c r="BD201" i="23"/>
  <c r="BD202" i="23" s="1"/>
  <c r="BD203" i="23" s="1"/>
  <c r="BD205" i="23" s="1"/>
  <c r="BD206" i="23" s="1"/>
  <c r="AI205" i="23"/>
  <c r="AI206" i="23" s="1"/>
  <c r="AI204" i="23"/>
  <c r="W216" i="23"/>
  <c r="W217" i="23" s="1"/>
  <c r="W218" i="23" s="1"/>
  <c r="AB92" i="23"/>
  <c r="AB93" i="23" s="1"/>
  <c r="AB94" i="23" s="1"/>
  <c r="AB96" i="23" s="1"/>
  <c r="AB97" i="23" s="1"/>
  <c r="AW92" i="23"/>
  <c r="AW93" i="23" s="1"/>
  <c r="AW94" i="23" s="1"/>
  <c r="AW96" i="23" s="1"/>
  <c r="AW97" i="23" s="1"/>
  <c r="BA92" i="23"/>
  <c r="BA93" i="23" s="1"/>
  <c r="BA94" i="23" s="1"/>
  <c r="BA96" i="23" s="1"/>
  <c r="BA97" i="23" s="1"/>
  <c r="H201" i="23"/>
  <c r="H202" i="23" s="1"/>
  <c r="H203" i="23"/>
  <c r="H205" i="23" s="1"/>
  <c r="H206" i="23" s="1"/>
  <c r="AA205" i="23"/>
  <c r="AA206" i="23" s="1"/>
  <c r="AA204" i="23"/>
  <c r="Z92" i="23"/>
  <c r="Z93" i="23" s="1"/>
  <c r="Z94" i="23" s="1"/>
  <c r="Z96" i="23" s="1"/>
  <c r="Z97" i="23" s="1"/>
  <c r="G92" i="23"/>
  <c r="G93" i="23" s="1"/>
  <c r="AS92" i="23"/>
  <c r="AS93" i="23" s="1"/>
  <c r="AS94" i="23" s="1"/>
  <c r="AS96" i="23" s="1"/>
  <c r="AS97" i="23" s="1"/>
  <c r="Y92" i="23"/>
  <c r="Y93" i="23" s="1"/>
  <c r="Y94" i="23"/>
  <c r="Y96" i="23" s="1"/>
  <c r="Y97" i="23" s="1"/>
  <c r="BG205" i="23"/>
  <c r="BG206" i="23" s="1"/>
  <c r="BG204" i="23"/>
  <c r="X81" i="23"/>
  <c r="X82" i="23" s="1"/>
  <c r="X80" i="23"/>
  <c r="BE216" i="23"/>
  <c r="BE217" i="23" s="1"/>
  <c r="BE218" i="23" s="1"/>
  <c r="AV92" i="23"/>
  <c r="AV93" i="23" s="1"/>
  <c r="AQ92" i="23"/>
  <c r="AQ93" i="23" s="1"/>
  <c r="AQ94" i="23" s="1"/>
  <c r="AQ96" i="23" s="1"/>
  <c r="AQ97" i="23" s="1"/>
  <c r="I77" i="23"/>
  <c r="I78" i="23" s="1"/>
  <c r="BG92" i="23"/>
  <c r="BG93" i="23" s="1"/>
  <c r="BG94" i="23" s="1"/>
  <c r="BG96" i="23" s="1"/>
  <c r="BG97" i="23" s="1"/>
  <c r="M96" i="23"/>
  <c r="M97" i="23" s="1"/>
  <c r="M95" i="23"/>
  <c r="AU77" i="23"/>
  <c r="AU78" i="23" s="1"/>
  <c r="AU79" i="23"/>
  <c r="AU81" i="23" s="1"/>
  <c r="AU82" i="23" s="1"/>
  <c r="BB216" i="23"/>
  <c r="BB217" i="23" s="1"/>
  <c r="BB218" i="23" s="1"/>
  <c r="F216" i="23"/>
  <c r="F217" i="23" s="1"/>
  <c r="F218" i="23" s="1"/>
  <c r="F220" i="23" s="1"/>
  <c r="F221" i="23" s="1"/>
  <c r="AL88" i="23"/>
  <c r="AL89" i="23" s="1"/>
  <c r="AL90" i="23" s="1"/>
  <c r="AL91" i="23" s="1"/>
  <c r="S27" i="23"/>
  <c r="S29" i="23"/>
  <c r="S28" i="23"/>
  <c r="S26" i="23"/>
  <c r="AM92" i="23"/>
  <c r="AM93" i="23" s="1"/>
  <c r="AM94" i="23" s="1"/>
  <c r="AM96" i="23" s="1"/>
  <c r="AM97" i="23" s="1"/>
  <c r="AH216" i="23"/>
  <c r="AH217" i="23" s="1"/>
  <c r="AH218" i="23" s="1"/>
  <c r="AH220" i="23" s="1"/>
  <c r="AH221" i="23" s="1"/>
  <c r="AO23" i="23"/>
  <c r="AO25" i="23"/>
  <c r="AO22" i="23"/>
  <c r="AO24" i="23"/>
  <c r="AL77" i="23"/>
  <c r="AL78" i="23" s="1"/>
  <c r="AL79" i="23" s="1"/>
  <c r="AL81" i="23" s="1"/>
  <c r="AL82" i="23" s="1"/>
  <c r="BE79" i="23"/>
  <c r="BE81" i="23" s="1"/>
  <c r="BE82" i="23" s="1"/>
  <c r="AR79" i="23"/>
  <c r="AR81" i="23" s="1"/>
  <c r="AR82" i="23" s="1"/>
  <c r="Z204" i="23"/>
  <c r="Z207" i="23" s="1"/>
  <c r="BG83" i="23"/>
  <c r="AV212" i="23"/>
  <c r="AV213" i="23" s="1"/>
  <c r="AV214" i="23" s="1"/>
  <c r="AV215" i="23" s="1"/>
  <c r="AO92" i="23"/>
  <c r="AO93" i="23" s="1"/>
  <c r="AK27" i="23"/>
  <c r="AK29" i="23"/>
  <c r="AK26" i="23"/>
  <c r="AK28" i="23"/>
  <c r="L23" i="23"/>
  <c r="L25" i="23"/>
  <c r="L22" i="23"/>
  <c r="L24" i="23"/>
  <c r="W79" i="23"/>
  <c r="W81" i="23" s="1"/>
  <c r="W82" i="23" s="1"/>
  <c r="BC204" i="23"/>
  <c r="BC207" i="23" s="1"/>
  <c r="AZ79" i="23"/>
  <c r="AZ81" i="23" s="1"/>
  <c r="AZ82" i="23" s="1"/>
  <c r="L80" i="23"/>
  <c r="L83" i="23" s="1"/>
  <c r="BB98" i="23"/>
  <c r="BB150" i="23" s="1"/>
  <c r="AA23" i="23"/>
  <c r="AA25" i="23"/>
  <c r="AA22" i="23"/>
  <c r="AA24" i="23"/>
  <c r="BD23" i="23"/>
  <c r="BD22" i="23"/>
  <c r="BD25" i="23"/>
  <c r="BD24" i="23"/>
  <c r="AV211" i="23"/>
  <c r="AM79" i="23"/>
  <c r="AM81" i="23" s="1"/>
  <c r="AM82" i="23" s="1"/>
  <c r="I23" i="23"/>
  <c r="I24" i="23"/>
  <c r="I22" i="23"/>
  <c r="I25" i="23"/>
  <c r="AQ204" i="23"/>
  <c r="AQ207" i="23" s="1"/>
  <c r="BF204" i="23"/>
  <c r="BF207" i="23" s="1"/>
  <c r="BD79" i="23"/>
  <c r="BD81" i="23" s="1"/>
  <c r="BD82" i="23" s="1"/>
  <c r="H79" i="23"/>
  <c r="H81" i="23" s="1"/>
  <c r="H82" i="23" s="1"/>
  <c r="AE79" i="23"/>
  <c r="AE81" i="23" s="1"/>
  <c r="AE82" i="23" s="1"/>
  <c r="AY80" i="23"/>
  <c r="AY83" i="23" s="1"/>
  <c r="AF212" i="23"/>
  <c r="AF213" i="23" s="1"/>
  <c r="AF214" i="23" s="1"/>
  <c r="AF215" i="23" s="1"/>
  <c r="AI216" i="23"/>
  <c r="AI217" i="23" s="1"/>
  <c r="F92" i="23"/>
  <c r="F93" i="23" s="1"/>
  <c r="Z83" i="23"/>
  <c r="AQ83" i="23"/>
  <c r="AW83" i="23"/>
  <c r="AJ207" i="23"/>
  <c r="S216" i="23"/>
  <c r="S217" i="23" s="1"/>
  <c r="AP88" i="23"/>
  <c r="AP89" i="23" s="1"/>
  <c r="AP90" i="23" s="1"/>
  <c r="AP91" i="23" s="1"/>
  <c r="T204" i="23"/>
  <c r="T207" i="23" s="1"/>
  <c r="AQ23" i="23"/>
  <c r="AQ25" i="23"/>
  <c r="AQ22" i="23"/>
  <c r="AQ24" i="23"/>
  <c r="AR22" i="23"/>
  <c r="AR24" i="23"/>
  <c r="AB22" i="23"/>
  <c r="AB24" i="23"/>
  <c r="U80" i="23"/>
  <c r="U83" i="23" s="1"/>
  <c r="AH203" i="23"/>
  <c r="AH205" i="23" s="1"/>
  <c r="AH206" i="23" s="1"/>
  <c r="AJ94" i="23"/>
  <c r="AJ96" i="23" s="1"/>
  <c r="AJ97" i="23" s="1"/>
  <c r="AR204" i="23"/>
  <c r="AR207" i="23" s="1"/>
  <c r="R80" i="23"/>
  <c r="R83" i="23" s="1"/>
  <c r="X212" i="23"/>
  <c r="X213" i="23"/>
  <c r="X214" i="23" s="1"/>
  <c r="X215" i="23" s="1"/>
  <c r="AP87" i="23"/>
  <c r="AT88" i="23"/>
  <c r="AT89" i="23" s="1"/>
  <c r="AT90" i="23" s="1"/>
  <c r="AT91" i="23" s="1"/>
  <c r="F207" i="23"/>
  <c r="V216" i="23"/>
  <c r="V217" i="23" s="1"/>
  <c r="V218" i="23" s="1"/>
  <c r="V220" i="23" s="1"/>
  <c r="V221" i="23" s="1"/>
  <c r="AZ23" i="23"/>
  <c r="AZ22" i="23"/>
  <c r="AZ24" i="23"/>
  <c r="AZ25" i="23"/>
  <c r="BB204" i="23"/>
  <c r="BB207" i="23" s="1"/>
  <c r="AN23" i="23"/>
  <c r="AN25" i="23"/>
  <c r="AN22" i="23"/>
  <c r="AN24" i="23"/>
  <c r="AS79" i="23"/>
  <c r="AS81" i="23" s="1"/>
  <c r="AS82" i="23" s="1"/>
  <c r="AK94" i="23"/>
  <c r="AK96" i="23" s="1"/>
  <c r="AK97" i="23" s="1"/>
  <c r="AE203" i="23"/>
  <c r="AE205" i="23" s="1"/>
  <c r="AE206" i="23" s="1"/>
  <c r="Y79" i="23"/>
  <c r="Y81" i="23" s="1"/>
  <c r="Y82" i="23" s="1"/>
  <c r="Q92" i="23"/>
  <c r="Q93" i="23" s="1"/>
  <c r="Q94" i="23" s="1"/>
  <c r="Q96" i="23" s="1"/>
  <c r="Q97" i="23" s="1"/>
  <c r="AI80" i="23"/>
  <c r="AI83" i="23" s="1"/>
  <c r="AD92" i="23"/>
  <c r="AD93" i="23" s="1"/>
  <c r="AD94" i="23" s="1"/>
  <c r="AR216" i="23"/>
  <c r="AR217" i="23" s="1"/>
  <c r="AR218" i="23" s="1"/>
  <c r="AR220" i="23" s="1"/>
  <c r="AR221" i="23" s="1"/>
  <c r="AC207" i="23"/>
  <c r="BF25" i="23"/>
  <c r="BF23" i="23"/>
  <c r="BF24" i="23"/>
  <c r="BF22" i="23"/>
  <c r="AF83" i="23"/>
  <c r="AJ204" i="23"/>
  <c r="N204" i="23"/>
  <c r="N207" i="23" s="1"/>
  <c r="N27" i="23" s="1"/>
  <c r="T80" i="23"/>
  <c r="T83" i="23" s="1"/>
  <c r="T23" i="23" s="1"/>
  <c r="S92" i="23"/>
  <c r="S93" i="23" s="1"/>
  <c r="AG203" i="23"/>
  <c r="AG205" i="23" s="1"/>
  <c r="AG206" i="23" s="1"/>
  <c r="I203" i="23"/>
  <c r="I205" i="23" s="1"/>
  <c r="I206" i="23" s="1"/>
  <c r="AU203" i="23"/>
  <c r="AU205" i="23" s="1"/>
  <c r="AU206" i="23" s="1"/>
  <c r="L204" i="23"/>
  <c r="L207" i="23" s="1"/>
  <c r="R92" i="23"/>
  <c r="R93" i="23" s="1"/>
  <c r="AH22" i="23"/>
  <c r="AH24" i="23"/>
  <c r="AH25" i="23"/>
  <c r="AH23" i="23"/>
  <c r="T216" i="23"/>
  <c r="T217" i="23" s="1"/>
  <c r="T218" i="23" s="1"/>
  <c r="AH83" i="23"/>
  <c r="AM218" i="23"/>
  <c r="AM220" i="23" s="1"/>
  <c r="AM221" i="23" s="1"/>
  <c r="AM216" i="23"/>
  <c r="AM217" i="23" s="1"/>
  <c r="AM219" i="23"/>
  <c r="AL207" i="23"/>
  <c r="R207" i="23"/>
  <c r="M207" i="23"/>
  <c r="O204" i="23"/>
  <c r="O207" i="23" s="1"/>
  <c r="L95" i="23"/>
  <c r="AY27" i="23"/>
  <c r="AY29" i="23"/>
  <c r="AY26" i="23"/>
  <c r="AY28" i="23"/>
  <c r="BG26" i="23"/>
  <c r="BG28" i="23"/>
  <c r="BG27" i="23"/>
  <c r="BG29" i="23"/>
  <c r="AO216" i="23"/>
  <c r="AO217" i="23" s="1"/>
  <c r="AO218" i="23"/>
  <c r="AO220" i="23" s="1"/>
  <c r="AO221" i="23" s="1"/>
  <c r="BA212" i="23"/>
  <c r="BA213" i="23" s="1"/>
  <c r="BA214" i="23" s="1"/>
  <c r="BA215" i="23" s="1"/>
  <c r="AD83" i="23"/>
  <c r="Y207" i="23"/>
  <c r="AK207" i="23"/>
  <c r="BF83" i="23"/>
  <c r="L98" i="23"/>
  <c r="L150" i="23" s="1"/>
  <c r="AV83" i="23"/>
  <c r="AV23" i="23" s="1"/>
  <c r="AU88" i="23"/>
  <c r="AU89" i="23"/>
  <c r="AU90" i="23" s="1"/>
  <c r="AU91" i="23" s="1"/>
  <c r="T92" i="23"/>
  <c r="T93" i="23" s="1"/>
  <c r="U92" i="23"/>
  <c r="U93" i="23" s="1"/>
  <c r="U94" i="23" s="1"/>
  <c r="U96" i="23" s="1"/>
  <c r="U97" i="23" s="1"/>
  <c r="G216" i="23"/>
  <c r="G217" i="23" s="1"/>
  <c r="G218" i="23" s="1"/>
  <c r="G220" i="23" s="1"/>
  <c r="G221" i="23" s="1"/>
  <c r="BA211" i="23"/>
  <c r="Q207" i="23"/>
  <c r="AL87" i="23"/>
  <c r="V204" i="23"/>
  <c r="V207" i="23" s="1"/>
  <c r="P204" i="23"/>
  <c r="P207" i="23" s="1"/>
  <c r="Q80" i="23"/>
  <c r="Q83" i="23" s="1"/>
  <c r="Q23" i="23" s="1"/>
  <c r="Y23" i="23"/>
  <c r="Y22" i="23"/>
  <c r="Y25" i="23"/>
  <c r="Y24" i="23"/>
  <c r="V92" i="23"/>
  <c r="V93" i="23" s="1"/>
  <c r="S204" i="23"/>
  <c r="S207" i="23" s="1"/>
  <c r="AN83" i="23"/>
  <c r="P80" i="23"/>
  <c r="P83" i="23" s="1"/>
  <c r="BE207" i="23"/>
  <c r="G203" i="23"/>
  <c r="G205" i="23" s="1"/>
  <c r="G206" i="23" s="1"/>
  <c r="AN203" i="23"/>
  <c r="AN205" i="23" s="1"/>
  <c r="AN206" i="23" s="1"/>
  <c r="G79" i="23"/>
  <c r="G81" i="23" s="1"/>
  <c r="G82" i="23" s="1"/>
  <c r="AE216" i="23"/>
  <c r="AE217" i="23" s="1"/>
  <c r="U216" i="23"/>
  <c r="U217" i="23" s="1"/>
  <c r="H212" i="23"/>
  <c r="H213" i="23"/>
  <c r="H214" i="23" s="1"/>
  <c r="H215" i="23" s="1"/>
  <c r="N88" i="23"/>
  <c r="N89" i="23" s="1"/>
  <c r="N90" i="23" s="1"/>
  <c r="N91" i="23" s="1"/>
  <c r="AC23" i="23"/>
  <c r="AC25" i="23"/>
  <c r="AC22" i="23"/>
  <c r="AC24" i="23"/>
  <c r="P92" i="23"/>
  <c r="P93" i="23" s="1"/>
  <c r="P94" i="23" s="1"/>
  <c r="AQ26" i="23"/>
  <c r="AQ28" i="23"/>
  <c r="AQ27" i="23"/>
  <c r="AQ29" i="23"/>
  <c r="P216" i="23"/>
  <c r="P217" i="23" s="1"/>
  <c r="P218" i="23" s="1"/>
  <c r="P220" i="23" s="1"/>
  <c r="P221" i="23" s="1"/>
  <c r="BD212" i="23"/>
  <c r="BD213" i="23" s="1"/>
  <c r="BD214" i="23" s="1"/>
  <c r="BD215" i="23" s="1"/>
  <c r="Q216" i="23"/>
  <c r="Q217" i="23" s="1"/>
  <c r="R216" i="23"/>
  <c r="R217" i="23" s="1"/>
  <c r="I88" i="23"/>
  <c r="I89" i="23" s="1"/>
  <c r="I90" i="23" s="1"/>
  <c r="I91" i="23" s="1"/>
  <c r="V73" i="7"/>
  <c r="V88" i="7" s="1"/>
  <c r="V71" i="7"/>
  <c r="V86" i="7" s="1"/>
  <c r="V69" i="7"/>
  <c r="V84" i="7" s="1"/>
  <c r="V80" i="7"/>
  <c r="V95" i="7" s="1"/>
  <c r="V72" i="7"/>
  <c r="V87" i="7" s="1"/>
  <c r="V75" i="7"/>
  <c r="V90" i="7" s="1"/>
  <c r="V79" i="7"/>
  <c r="V94" i="7" s="1"/>
  <c r="V103" i="7"/>
  <c r="V106" i="7" s="1"/>
  <c r="V74" i="7"/>
  <c r="V89" i="7" s="1"/>
  <c r="V78" i="7"/>
  <c r="V93" i="7" s="1"/>
  <c r="V201" i="7"/>
  <c r="V202" i="7" s="1"/>
  <c r="V17" i="7"/>
  <c r="V25" i="7" s="1"/>
  <c r="V295" i="7"/>
  <c r="V296" i="7" s="1"/>
  <c r="V81" i="7"/>
  <c r="V96" i="7" s="1"/>
  <c r="V77" i="7"/>
  <c r="V92" i="7" s="1"/>
  <c r="V70" i="7"/>
  <c r="V85" i="7" s="1"/>
  <c r="V76" i="7"/>
  <c r="V91" i="7" s="1"/>
  <c r="M247" i="7"/>
  <c r="P4" i="17"/>
  <c r="P7" i="17" s="1"/>
  <c r="P8" i="17" s="1"/>
  <c r="P9" i="17" s="1"/>
  <c r="P11" i="17" s="1"/>
  <c r="P12" i="17" s="1"/>
  <c r="P14" i="17" s="1"/>
  <c r="P28" i="13" s="1"/>
  <c r="V3" i="11"/>
  <c r="T3" i="22"/>
  <c r="AH247" i="7"/>
  <c r="AF3" i="11"/>
  <c r="AD3" i="22"/>
  <c r="E209" i="7"/>
  <c r="E17" i="23" s="1"/>
  <c r="E16" i="23"/>
  <c r="E175" i="23" s="1"/>
  <c r="E189" i="23" s="1"/>
  <c r="Z3" i="22"/>
  <c r="AB3" i="11"/>
  <c r="AD3" i="11"/>
  <c r="AB3" i="22"/>
  <c r="H247" i="7"/>
  <c r="X247" i="7"/>
  <c r="N4" i="17"/>
  <c r="N7" i="17" s="1"/>
  <c r="N8" i="17" s="1"/>
  <c r="N9" i="17" s="1"/>
  <c r="T3" i="11"/>
  <c r="R3" i="22"/>
  <c r="K247" i="7"/>
  <c r="P76" i="7"/>
  <c r="P91" i="7" s="1"/>
  <c r="P69" i="7"/>
  <c r="P84" i="7" s="1"/>
  <c r="P103" i="7"/>
  <c r="P106" i="7" s="1"/>
  <c r="P295" i="7"/>
  <c r="P296" i="7" s="1"/>
  <c r="P77" i="7"/>
  <c r="P92" i="7" s="1"/>
  <c r="P79" i="7"/>
  <c r="P94" i="7" s="1"/>
  <c r="P80" i="7"/>
  <c r="P95" i="7" s="1"/>
  <c r="P74" i="7"/>
  <c r="P89" i="7" s="1"/>
  <c r="P73" i="7"/>
  <c r="P88" i="7" s="1"/>
  <c r="P201" i="7"/>
  <c r="P202" i="7" s="1"/>
  <c r="P78" i="7"/>
  <c r="P93" i="7" s="1"/>
  <c r="P70" i="7"/>
  <c r="P85" i="7" s="1"/>
  <c r="P71" i="7"/>
  <c r="P86" i="7" s="1"/>
  <c r="P81" i="7"/>
  <c r="P96" i="7" s="1"/>
  <c r="P72" i="7"/>
  <c r="P87" i="7" s="1"/>
  <c r="P75" i="7"/>
  <c r="P90" i="7" s="1"/>
  <c r="P17" i="7"/>
  <c r="R72" i="7"/>
  <c r="R87" i="7" s="1"/>
  <c r="R71" i="7"/>
  <c r="R86" i="7" s="1"/>
  <c r="R79" i="7"/>
  <c r="R94" i="7" s="1"/>
  <c r="R17" i="7"/>
  <c r="R70" i="7"/>
  <c r="R85" i="7" s="1"/>
  <c r="R80" i="7"/>
  <c r="R95" i="7" s="1"/>
  <c r="R77" i="7"/>
  <c r="R92" i="7" s="1"/>
  <c r="R78" i="7"/>
  <c r="R93" i="7" s="1"/>
  <c r="R69" i="7"/>
  <c r="R84" i="7" s="1"/>
  <c r="R295" i="7"/>
  <c r="R296" i="7" s="1"/>
  <c r="R201" i="7"/>
  <c r="R202" i="7" s="1"/>
  <c r="R81" i="7"/>
  <c r="R96" i="7" s="1"/>
  <c r="R103" i="7"/>
  <c r="R106" i="7" s="1"/>
  <c r="R73" i="7"/>
  <c r="R88" i="7" s="1"/>
  <c r="R76" i="7"/>
  <c r="R91" i="7" s="1"/>
  <c r="R75" i="7"/>
  <c r="R90" i="7" s="1"/>
  <c r="R74" i="7"/>
  <c r="R89" i="7" s="1"/>
  <c r="AA3" i="11"/>
  <c r="Y3" i="22"/>
  <c r="AE247" i="7"/>
  <c r="AN74" i="7"/>
  <c r="AN89" i="7" s="1"/>
  <c r="L3" i="22"/>
  <c r="N3" i="11"/>
  <c r="AD4" i="17"/>
  <c r="AD7" i="17" s="1"/>
  <c r="AD8" i="17" s="1"/>
  <c r="AD9" i="17" s="1"/>
  <c r="AD11" i="17" s="1"/>
  <c r="AD12" i="17" s="1"/>
  <c r="AJ3" i="11"/>
  <c r="AH3" i="22"/>
  <c r="J247" i="7"/>
  <c r="AB247" i="7"/>
  <c r="AI20" i="13"/>
  <c r="AI11" i="7"/>
  <c r="AI6" i="24"/>
  <c r="K3" i="11"/>
  <c r="I3" i="22"/>
  <c r="S3" i="11"/>
  <c r="Q3" i="22"/>
  <c r="M3" i="11"/>
  <c r="K3" i="22"/>
  <c r="AE4" i="17"/>
  <c r="AE7" i="17" s="1"/>
  <c r="AE8" i="17" s="1"/>
  <c r="AE9" i="17" s="1"/>
  <c r="AK3" i="11"/>
  <c r="AI3" i="22"/>
  <c r="W3" i="11"/>
  <c r="U3" i="22"/>
  <c r="AC247" i="7"/>
  <c r="T70" i="7"/>
  <c r="T85" i="7" s="1"/>
  <c r="T71" i="7"/>
  <c r="T86" i="7" s="1"/>
  <c r="T75" i="7"/>
  <c r="T90" i="7" s="1"/>
  <c r="T80" i="7"/>
  <c r="T95" i="7" s="1"/>
  <c r="T79" i="7"/>
  <c r="T94" i="7" s="1"/>
  <c r="T72" i="7"/>
  <c r="T87" i="7" s="1"/>
  <c r="T76" i="7"/>
  <c r="T91" i="7" s="1"/>
  <c r="T74" i="7"/>
  <c r="T89" i="7" s="1"/>
  <c r="T77" i="7"/>
  <c r="T92" i="7" s="1"/>
  <c r="T69" i="7"/>
  <c r="T84" i="7" s="1"/>
  <c r="T81" i="7"/>
  <c r="T96" i="7" s="1"/>
  <c r="T78" i="7"/>
  <c r="T93" i="7" s="1"/>
  <c r="T73" i="7"/>
  <c r="T88" i="7" s="1"/>
  <c r="T295" i="7"/>
  <c r="T296" i="7" s="1"/>
  <c r="T201" i="7"/>
  <c r="T202" i="7" s="1"/>
  <c r="T17" i="7"/>
  <c r="T103" i="7"/>
  <c r="T106" i="7" s="1"/>
  <c r="U75" i="7"/>
  <c r="U90" i="7" s="1"/>
  <c r="U79" i="7"/>
  <c r="U94" i="7" s="1"/>
  <c r="U78" i="7"/>
  <c r="U93" i="7" s="1"/>
  <c r="U73" i="7"/>
  <c r="U88" i="7" s="1"/>
  <c r="U72" i="7"/>
  <c r="U87" i="7" s="1"/>
  <c r="U71" i="7"/>
  <c r="U86" i="7" s="1"/>
  <c r="U69" i="7"/>
  <c r="U84" i="7" s="1"/>
  <c r="U70" i="7"/>
  <c r="U85" i="7" s="1"/>
  <c r="U201" i="7"/>
  <c r="U202" i="7" s="1"/>
  <c r="U77" i="7"/>
  <c r="U92" i="7" s="1"/>
  <c r="U17" i="7"/>
  <c r="U81" i="7"/>
  <c r="U96" i="7" s="1"/>
  <c r="U295" i="7"/>
  <c r="U296" i="7" s="1"/>
  <c r="U76" i="7"/>
  <c r="U91" i="7" s="1"/>
  <c r="U74" i="7"/>
  <c r="U89" i="7" s="1"/>
  <c r="U103" i="7"/>
  <c r="U106" i="7" s="1"/>
  <c r="U80" i="7"/>
  <c r="U95" i="7" s="1"/>
  <c r="AC4" i="17"/>
  <c r="AC7" i="17" s="1"/>
  <c r="AC8" i="17" s="1"/>
  <c r="AC9" i="17" s="1"/>
  <c r="AC11" i="17" s="1"/>
  <c r="AC12" i="17" s="1"/>
  <c r="AI3" i="11"/>
  <c r="AG3" i="22"/>
  <c r="AI209" i="7"/>
  <c r="AG247" i="7"/>
  <c r="AF247" i="7"/>
  <c r="I4" i="17"/>
  <c r="I7" i="17" s="1"/>
  <c r="I8" i="17" s="1"/>
  <c r="I9" i="17" s="1"/>
  <c r="I11" i="17" s="1"/>
  <c r="I12" i="17" s="1"/>
  <c r="M3" i="22"/>
  <c r="O3" i="11"/>
  <c r="AF4" i="17"/>
  <c r="AF7" i="17" s="1"/>
  <c r="AF8" i="17" s="1"/>
  <c r="AF9" i="17" s="1"/>
  <c r="AF11" i="17" s="1"/>
  <c r="AF12" i="17" s="1"/>
  <c r="AL3" i="11"/>
  <c r="AJ3" i="22"/>
  <c r="AG4" i="17"/>
  <c r="AG7" i="17" s="1"/>
  <c r="AG8" i="17" s="1"/>
  <c r="AG9" i="17" s="1"/>
  <c r="AG11" i="17" s="1"/>
  <c r="AG12" i="17" s="1"/>
  <c r="AM3" i="11"/>
  <c r="AK3" i="22"/>
  <c r="W247" i="7"/>
  <c r="G247" i="7"/>
  <c r="L247" i="7"/>
  <c r="BM3" i="11"/>
  <c r="BK3" i="22"/>
  <c r="O4" i="17"/>
  <c r="O7" i="17" s="1"/>
  <c r="O8" i="17" s="1"/>
  <c r="O9" i="17" s="1"/>
  <c r="O11" i="17" s="1"/>
  <c r="O12" i="17" s="1"/>
  <c r="O14" i="17" s="1"/>
  <c r="O28" i="13" s="1"/>
  <c r="U3" i="11"/>
  <c r="S3" i="22"/>
  <c r="AC3" i="22"/>
  <c r="AE3" i="11"/>
  <c r="AH4" i="17"/>
  <c r="AH7" i="17" s="1"/>
  <c r="AH8" i="17" s="1"/>
  <c r="AH9" i="17" s="1"/>
  <c r="AH11" i="17" s="1"/>
  <c r="AH12" i="17" s="1"/>
  <c r="AL3" i="22"/>
  <c r="AN3" i="11"/>
  <c r="F75" i="7"/>
  <c r="F90" i="7" s="1"/>
  <c r="F17" i="7"/>
  <c r="F74" i="7"/>
  <c r="F89" i="7" s="1"/>
  <c r="F71" i="7"/>
  <c r="F86" i="7" s="1"/>
  <c r="F76" i="7"/>
  <c r="F91" i="7" s="1"/>
  <c r="F103" i="7"/>
  <c r="F106" i="7" s="1"/>
  <c r="F73" i="7"/>
  <c r="F88" i="7" s="1"/>
  <c r="F295" i="7"/>
  <c r="F296" i="7" s="1"/>
  <c r="F72" i="7"/>
  <c r="F87" i="7" s="1"/>
  <c r="F78" i="7"/>
  <c r="F93" i="7" s="1"/>
  <c r="F201" i="7"/>
  <c r="F202" i="7" s="1"/>
  <c r="F70" i="7"/>
  <c r="F85" i="7" s="1"/>
  <c r="F77" i="7"/>
  <c r="F92" i="7" s="1"/>
  <c r="F79" i="7"/>
  <c r="F94" i="7" s="1"/>
  <c r="F80" i="7"/>
  <c r="F95" i="7" s="1"/>
  <c r="F81" i="7"/>
  <c r="F96" i="7" s="1"/>
  <c r="F69" i="7"/>
  <c r="F84" i="7" s="1"/>
  <c r="Q71" i="7"/>
  <c r="Q86" i="7" s="1"/>
  <c r="Q103" i="7"/>
  <c r="Q106" i="7" s="1"/>
  <c r="Q79" i="7"/>
  <c r="Q94" i="7" s="1"/>
  <c r="Q78" i="7"/>
  <c r="Q93" i="7" s="1"/>
  <c r="Q70" i="7"/>
  <c r="Q85" i="7" s="1"/>
  <c r="Q81" i="7"/>
  <c r="Q96" i="7" s="1"/>
  <c r="Q69" i="7"/>
  <c r="Q84" i="7" s="1"/>
  <c r="Q74" i="7"/>
  <c r="Q89" i="7" s="1"/>
  <c r="Q73" i="7"/>
  <c r="Q88" i="7" s="1"/>
  <c r="Q77" i="7"/>
  <c r="Q92" i="7" s="1"/>
  <c r="Q201" i="7"/>
  <c r="Q202" i="7" s="1"/>
  <c r="Q72" i="7"/>
  <c r="Q87" i="7" s="1"/>
  <c r="Q80" i="7"/>
  <c r="Q95" i="7" s="1"/>
  <c r="Q75" i="7"/>
  <c r="Q90" i="7" s="1"/>
  <c r="Q17" i="7"/>
  <c r="Q295" i="7"/>
  <c r="Q296" i="7" s="1"/>
  <c r="Q76" i="7"/>
  <c r="Q91" i="7" s="1"/>
  <c r="S78" i="7"/>
  <c r="S93" i="7" s="1"/>
  <c r="S70" i="7"/>
  <c r="S85" i="7" s="1"/>
  <c r="S81" i="7"/>
  <c r="S96" i="7" s="1"/>
  <c r="S79" i="7"/>
  <c r="S94" i="7" s="1"/>
  <c r="S17" i="7"/>
  <c r="S75" i="7"/>
  <c r="S90" i="7" s="1"/>
  <c r="S80" i="7"/>
  <c r="S95" i="7" s="1"/>
  <c r="S77" i="7"/>
  <c r="S92" i="7" s="1"/>
  <c r="S72" i="7"/>
  <c r="S87" i="7" s="1"/>
  <c r="S69" i="7"/>
  <c r="S84" i="7" s="1"/>
  <c r="S73" i="7"/>
  <c r="S88" i="7" s="1"/>
  <c r="S295" i="7"/>
  <c r="S296" i="7" s="1"/>
  <c r="S103" i="7"/>
  <c r="S106" i="7" s="1"/>
  <c r="S71" i="7"/>
  <c r="S86" i="7" s="1"/>
  <c r="S74" i="7"/>
  <c r="S89" i="7" s="1"/>
  <c r="S76" i="7"/>
  <c r="S91" i="7" s="1"/>
  <c r="S201" i="7"/>
  <c r="S202" i="7" s="1"/>
  <c r="W3" i="22"/>
  <c r="Y3" i="11"/>
  <c r="W4" i="17"/>
  <c r="W7" i="17" s="1"/>
  <c r="W8" i="17" s="1"/>
  <c r="W9" i="17" s="1"/>
  <c r="W11" i="17" s="1"/>
  <c r="W12" i="17" s="1"/>
  <c r="AC3" i="11"/>
  <c r="AA3" i="22"/>
  <c r="N72" i="7"/>
  <c r="N87" i="7" s="1"/>
  <c r="N79" i="7"/>
  <c r="N94" i="7" s="1"/>
  <c r="N295" i="7"/>
  <c r="N296" i="7" s="1"/>
  <c r="N77" i="7"/>
  <c r="N92" i="7" s="1"/>
  <c r="N71" i="7"/>
  <c r="N86" i="7" s="1"/>
  <c r="N73" i="7"/>
  <c r="N88" i="7" s="1"/>
  <c r="N103" i="7"/>
  <c r="N106" i="7" s="1"/>
  <c r="N70" i="7"/>
  <c r="N85" i="7" s="1"/>
  <c r="N76" i="7"/>
  <c r="N91" i="7" s="1"/>
  <c r="N78" i="7"/>
  <c r="N93" i="7" s="1"/>
  <c r="N74" i="7"/>
  <c r="N89" i="7" s="1"/>
  <c r="N201" i="7"/>
  <c r="N202" i="7" s="1"/>
  <c r="N80" i="7"/>
  <c r="N95" i="7" s="1"/>
  <c r="N81" i="7"/>
  <c r="N96" i="7" s="1"/>
  <c r="N69" i="7"/>
  <c r="N84" i="7" s="1"/>
  <c r="N17" i="7"/>
  <c r="N75" i="7"/>
  <c r="N90" i="7" s="1"/>
  <c r="Z247" i="7"/>
  <c r="L4" i="17"/>
  <c r="L7" i="17" s="1"/>
  <c r="L8" i="17" s="1"/>
  <c r="L9" i="17" s="1"/>
  <c r="L11" i="17" s="1"/>
  <c r="R3" i="11"/>
  <c r="P3" i="22"/>
  <c r="AD247" i="7"/>
  <c r="O75" i="7"/>
  <c r="O90" i="7" s="1"/>
  <c r="O79" i="7"/>
  <c r="O94" i="7" s="1"/>
  <c r="O71" i="7"/>
  <c r="O86" i="7" s="1"/>
  <c r="O76" i="7"/>
  <c r="O91" i="7" s="1"/>
  <c r="O201" i="7"/>
  <c r="O202" i="7" s="1"/>
  <c r="O72" i="7"/>
  <c r="O87" i="7" s="1"/>
  <c r="O80" i="7"/>
  <c r="O95" i="7" s="1"/>
  <c r="O69" i="7"/>
  <c r="O84" i="7" s="1"/>
  <c r="O295" i="7"/>
  <c r="O296" i="7" s="1"/>
  <c r="O78" i="7"/>
  <c r="O93" i="7" s="1"/>
  <c r="O77" i="7"/>
  <c r="O92" i="7" s="1"/>
  <c r="O74" i="7"/>
  <c r="O89" i="7" s="1"/>
  <c r="O73" i="7"/>
  <c r="O88" i="7" s="1"/>
  <c r="O17" i="7"/>
  <c r="O81" i="7"/>
  <c r="O96" i="7" s="1"/>
  <c r="O103" i="7"/>
  <c r="O106" i="7" s="1"/>
  <c r="O70" i="7"/>
  <c r="O85" i="7" s="1"/>
  <c r="AF325" i="7"/>
  <c r="AF330" i="7"/>
  <c r="AD234" i="7"/>
  <c r="AD332" i="7"/>
  <c r="AD244" i="7"/>
  <c r="AD241" i="7"/>
  <c r="AD223" i="7"/>
  <c r="AD233" i="7"/>
  <c r="AD327" i="7"/>
  <c r="AD346" i="7"/>
  <c r="AD333" i="7"/>
  <c r="AD341" i="7"/>
  <c r="AD248" i="7"/>
  <c r="AD331" i="7"/>
  <c r="AD250" i="7"/>
  <c r="AD324" i="7"/>
  <c r="AD232" i="7"/>
  <c r="AD249" i="7"/>
  <c r="AD254" i="7"/>
  <c r="AD237" i="7"/>
  <c r="AD242" i="7"/>
  <c r="AD243" i="7"/>
  <c r="AD235" i="7"/>
  <c r="AD251" i="7"/>
  <c r="AD143" i="7"/>
  <c r="AD238" i="7"/>
  <c r="AD230" i="7"/>
  <c r="AD239" i="7"/>
  <c r="AD240" i="7"/>
  <c r="AD246" i="7"/>
  <c r="AD218" i="7"/>
  <c r="AD252" i="7"/>
  <c r="AD245" i="7"/>
  <c r="AD231" i="7"/>
  <c r="AG236" i="7"/>
  <c r="AG231" i="7"/>
  <c r="J219" i="22"/>
  <c r="J217" i="22"/>
  <c r="J215" i="22"/>
  <c r="J211" i="22"/>
  <c r="J209" i="22"/>
  <c r="J223" i="22"/>
  <c r="J227" i="22"/>
  <c r="F80" i="21" s="1"/>
  <c r="J218" i="22"/>
  <c r="J205" i="22"/>
  <c r="J194" i="22"/>
  <c r="J192" i="22"/>
  <c r="J190" i="22"/>
  <c r="J188" i="22"/>
  <c r="J186" i="22"/>
  <c r="J206" i="22"/>
  <c r="J196" i="22"/>
  <c r="J224" i="22"/>
  <c r="J210" i="22"/>
  <c r="J212" i="22"/>
  <c r="J207" i="22"/>
  <c r="J220" i="22"/>
  <c r="J199" i="22"/>
  <c r="J208" i="22"/>
  <c r="J216" i="22"/>
  <c r="J198" i="22"/>
  <c r="J191" i="22"/>
  <c r="J189" i="22"/>
  <c r="J197" i="22"/>
  <c r="J187" i="22"/>
  <c r="J183" i="22"/>
  <c r="J203" i="22"/>
  <c r="J200" i="22"/>
  <c r="J184" i="22"/>
  <c r="J179" i="22"/>
  <c r="J171" i="22"/>
  <c r="J182" i="22"/>
  <c r="J177" i="22"/>
  <c r="J174" i="22"/>
  <c r="J204" i="22"/>
  <c r="J175" i="22"/>
  <c r="J170" i="22"/>
  <c r="J193" i="22"/>
  <c r="J178" i="22"/>
  <c r="J180" i="22"/>
  <c r="J169" i="22"/>
  <c r="J195" i="22"/>
  <c r="J185" i="22"/>
  <c r="J181" i="22"/>
  <c r="J167" i="22"/>
  <c r="J161" i="22"/>
  <c r="J168" i="22"/>
  <c r="J165" i="22"/>
  <c r="J162" i="22"/>
  <c r="J158" i="22"/>
  <c r="J166" i="22"/>
  <c r="J163" i="22"/>
  <c r="J152" i="22"/>
  <c r="J176" i="22"/>
  <c r="J154" i="22"/>
  <c r="J173" i="22"/>
  <c r="J147" i="22"/>
  <c r="F65" i="21" s="1"/>
  <c r="J137" i="22"/>
  <c r="J135" i="22"/>
  <c r="J133" i="22"/>
  <c r="J129" i="22"/>
  <c r="J127" i="22"/>
  <c r="J125" i="22"/>
  <c r="J138" i="22"/>
  <c r="J151" i="22"/>
  <c r="J144" i="22"/>
  <c r="J139" i="22"/>
  <c r="J172" i="22"/>
  <c r="J164" i="22"/>
  <c r="J122" i="22"/>
  <c r="J121" i="22"/>
  <c r="J157" i="22"/>
  <c r="J142" i="22"/>
  <c r="J143" i="22"/>
  <c r="J126" i="22"/>
  <c r="J120" i="22"/>
  <c r="J119" i="22"/>
  <c r="J150" i="22"/>
  <c r="J118" i="22"/>
  <c r="J117" i="22"/>
  <c r="J116" i="22"/>
  <c r="J136" i="22"/>
  <c r="J115" i="22"/>
  <c r="J113" i="22"/>
  <c r="J111" i="22"/>
  <c r="J107" i="22"/>
  <c r="J134" i="22"/>
  <c r="J130" i="22"/>
  <c r="J153" i="22"/>
  <c r="J124" i="22"/>
  <c r="J128" i="22"/>
  <c r="J102" i="22"/>
  <c r="J98" i="22"/>
  <c r="J92" i="22"/>
  <c r="J90" i="22"/>
  <c r="J88" i="22"/>
  <c r="J86" i="22"/>
  <c r="J84" i="22"/>
  <c r="J82" i="22"/>
  <c r="J80" i="22"/>
  <c r="J78" i="22"/>
  <c r="J76" i="22"/>
  <c r="J101" i="22"/>
  <c r="J112" i="22"/>
  <c r="J97" i="22"/>
  <c r="J104" i="22"/>
  <c r="J123" i="22"/>
  <c r="J93" i="22"/>
  <c r="J114" i="22"/>
  <c r="J96" i="22"/>
  <c r="J108" i="22"/>
  <c r="J79" i="22"/>
  <c r="J89" i="22"/>
  <c r="J106" i="22"/>
  <c r="J100" i="22"/>
  <c r="J83" i="22"/>
  <c r="J75" i="22"/>
  <c r="J85" i="22"/>
  <c r="J81" i="22"/>
  <c r="J99" i="22"/>
  <c r="J94" i="22"/>
  <c r="J87" i="22"/>
  <c r="J105" i="22"/>
  <c r="J103" i="22"/>
  <c r="J95" i="22"/>
  <c r="J60" i="22"/>
  <c r="J77" i="22"/>
  <c r="J58" i="22"/>
  <c r="J56" i="22"/>
  <c r="J54" i="22"/>
  <c r="J52" i="22"/>
  <c r="J50" i="22"/>
  <c r="J48" i="22"/>
  <c r="J46" i="22"/>
  <c r="J71" i="22"/>
  <c r="J70" i="22"/>
  <c r="J69" i="22"/>
  <c r="J68" i="22"/>
  <c r="J67" i="22"/>
  <c r="J91" i="22"/>
  <c r="J66" i="22"/>
  <c r="J65" i="22"/>
  <c r="J57" i="22"/>
  <c r="J53" i="22"/>
  <c r="J41" i="22"/>
  <c r="J51" i="22"/>
  <c r="J45" i="22"/>
  <c r="J44" i="22"/>
  <c r="J55" i="22"/>
  <c r="J40" i="22"/>
  <c r="J62" i="22"/>
  <c r="J43" i="22"/>
  <c r="J64" i="22"/>
  <c r="J72" i="22"/>
  <c r="J59" i="22"/>
  <c r="J39" i="22"/>
  <c r="J63" i="22"/>
  <c r="J49" i="22"/>
  <c r="J47" i="22"/>
  <c r="J33" i="22"/>
  <c r="J26" i="22"/>
  <c r="J25" i="22"/>
  <c r="J10" i="22"/>
  <c r="J28" i="22"/>
  <c r="J30" i="22"/>
  <c r="J19" i="22"/>
  <c r="J14" i="22"/>
  <c r="J12" i="22"/>
  <c r="J16" i="22"/>
  <c r="J35" i="22"/>
  <c r="J31" i="22"/>
  <c r="J36" i="22"/>
  <c r="J22" i="22"/>
  <c r="J37" i="22"/>
  <c r="J24" i="22"/>
  <c r="J9" i="22"/>
  <c r="J38" i="22"/>
  <c r="J20" i="22"/>
  <c r="J34" i="22"/>
  <c r="J32" i="22"/>
  <c r="J15" i="22"/>
  <c r="J13" i="22"/>
  <c r="J11" i="22"/>
  <c r="J42" i="22"/>
  <c r="J23" i="22"/>
  <c r="J61" i="22"/>
  <c r="J27" i="22"/>
  <c r="J21" i="22"/>
  <c r="J29" i="22"/>
  <c r="J18" i="22"/>
  <c r="J17" i="22"/>
  <c r="F5" i="15"/>
  <c r="F7" i="15" s="1"/>
  <c r="L5" i="11" s="1"/>
  <c r="AA324" i="7"/>
  <c r="AD253" i="7"/>
  <c r="AB125" i="7"/>
  <c r="AB192" i="7" s="1"/>
  <c r="AA333" i="7"/>
  <c r="AB336" i="7"/>
  <c r="AA337" i="7"/>
  <c r="AA343" i="7"/>
  <c r="AD344" i="7"/>
  <c r="AD342" i="7"/>
  <c r="AF329" i="7"/>
  <c r="AD330" i="7"/>
  <c r="AD326" i="7"/>
  <c r="AD386" i="7"/>
  <c r="AF334" i="7"/>
  <c r="AD337" i="7"/>
  <c r="AF338" i="7"/>
  <c r="AD335" i="7"/>
  <c r="AD340" i="7"/>
  <c r="AD348" i="7"/>
  <c r="AD338" i="7"/>
  <c r="AD336" i="7"/>
  <c r="AF327" i="7"/>
  <c r="AD343" i="7"/>
  <c r="AF343" i="7"/>
  <c r="AD334" i="7"/>
  <c r="AD329" i="7"/>
  <c r="AF326" i="7"/>
  <c r="AF348" i="7"/>
  <c r="AF324" i="7"/>
  <c r="AD325" i="7"/>
  <c r="AD347" i="7"/>
  <c r="AF340" i="7"/>
  <c r="AF336" i="7"/>
  <c r="AF332" i="7"/>
  <c r="AF337" i="7"/>
  <c r="AC189" i="14"/>
  <c r="AD125" i="7"/>
  <c r="AD192" i="7" s="1"/>
  <c r="O214" i="14"/>
  <c r="AN72" i="7"/>
  <c r="AN87" i="7" s="1"/>
  <c r="O185" i="14"/>
  <c r="AD144" i="7"/>
  <c r="AF236" i="7"/>
  <c r="L28" i="14"/>
  <c r="AD154" i="7"/>
  <c r="E40" i="7"/>
  <c r="E12" i="23" s="1"/>
  <c r="E68" i="23" s="1"/>
  <c r="AA338" i="7"/>
  <c r="AB346" i="7"/>
  <c r="AA329" i="7"/>
  <c r="AD134" i="7"/>
  <c r="AA330" i="7"/>
  <c r="AD135" i="7"/>
  <c r="AA334" i="7"/>
  <c r="AD139" i="7"/>
  <c r="AA348" i="7"/>
  <c r="AD149" i="7"/>
  <c r="N11" i="17"/>
  <c r="N12" i="17" s="1"/>
  <c r="N17" i="17" s="1"/>
  <c r="AD150" i="7"/>
  <c r="AD146" i="7"/>
  <c r="AB325" i="7"/>
  <c r="AD132" i="7"/>
  <c r="AA326" i="7"/>
  <c r="AD140" i="7"/>
  <c r="AD137" i="7"/>
  <c r="AD155" i="7"/>
  <c r="AA325" i="7"/>
  <c r="AD151" i="7"/>
  <c r="AB335" i="7"/>
  <c r="AA336" i="7"/>
  <c r="AE11" i="17"/>
  <c r="AE12" i="17" s="1"/>
  <c r="AE17" i="17" s="1"/>
  <c r="AD142" i="7"/>
  <c r="AB330" i="7"/>
  <c r="AD152" i="7"/>
  <c r="AD148" i="7"/>
  <c r="AD145" i="7"/>
  <c r="AA342" i="7"/>
  <c r="AA347" i="7"/>
  <c r="AA331" i="7"/>
  <c r="AA335" i="7"/>
  <c r="AA340" i="7"/>
  <c r="AA344" i="7"/>
  <c r="AA332" i="7"/>
  <c r="AA346" i="7"/>
  <c r="AA386" i="7"/>
  <c r="AA341" i="7"/>
  <c r="O53" i="14"/>
  <c r="AP12" i="14"/>
  <c r="AL189" i="14"/>
  <c r="AC58" i="14"/>
  <c r="AC59" i="14" s="1"/>
  <c r="AC60" i="14" s="1"/>
  <c r="M58" i="14"/>
  <c r="M59" i="14" s="1"/>
  <c r="M60" i="14" s="1"/>
  <c r="M62" i="14" s="1"/>
  <c r="M63" i="14" s="1"/>
  <c r="R170" i="14"/>
  <c r="R185" i="14" s="1"/>
  <c r="R52" i="14"/>
  <c r="R53" i="14" s="1"/>
  <c r="T52" i="14"/>
  <c r="T53" i="14" s="1"/>
  <c r="AA170" i="14"/>
  <c r="AA185" i="14" s="1"/>
  <c r="AA52" i="14"/>
  <c r="AA53" i="14" s="1"/>
  <c r="AH58" i="14"/>
  <c r="AH59" i="14" s="1"/>
  <c r="AH60" i="14" s="1"/>
  <c r="AH62" i="14" s="1"/>
  <c r="AH63" i="14" s="1"/>
  <c r="K170" i="14"/>
  <c r="K185" i="14" s="1"/>
  <c r="K52" i="14"/>
  <c r="K53" i="14" s="1"/>
  <c r="N54" i="14"/>
  <c r="N55" i="14" s="1"/>
  <c r="N56" i="14" s="1"/>
  <c r="N57" i="14" s="1"/>
  <c r="AH53" i="14"/>
  <c r="U54" i="14"/>
  <c r="U55" i="14" s="1"/>
  <c r="U56" i="14"/>
  <c r="U57" i="14" s="1"/>
  <c r="V54" i="14"/>
  <c r="V55" i="14" s="1"/>
  <c r="V56" i="14"/>
  <c r="V57" i="14" s="1"/>
  <c r="AD54" i="14"/>
  <c r="AD55" i="14" s="1"/>
  <c r="AD56" i="14" s="1"/>
  <c r="AD57" i="14" s="1"/>
  <c r="AB28" i="14"/>
  <c r="AB29" i="14" s="1"/>
  <c r="AB30" i="14" s="1"/>
  <c r="AB31" i="14" s="1"/>
  <c r="AB18" i="13" s="1"/>
  <c r="AB52" i="14"/>
  <c r="F54" i="14"/>
  <c r="F55" i="14" s="1"/>
  <c r="F56" i="14"/>
  <c r="F57" i="14" s="1"/>
  <c r="W54" i="14"/>
  <c r="W55" i="14" s="1"/>
  <c r="W56" i="14" s="1"/>
  <c r="W57" i="14" s="1"/>
  <c r="AI170" i="14"/>
  <c r="AI52" i="14"/>
  <c r="BG54" i="14"/>
  <c r="BG55" i="14" s="1"/>
  <c r="BG56" i="14" s="1"/>
  <c r="BG57" i="14" s="1"/>
  <c r="G54" i="14"/>
  <c r="G55" i="14" s="1"/>
  <c r="G56" i="14" s="1"/>
  <c r="G57" i="14" s="1"/>
  <c r="AF54" i="14"/>
  <c r="AF55" i="14" s="1"/>
  <c r="AF56" i="14" s="1"/>
  <c r="AF57" i="14" s="1"/>
  <c r="H54" i="14"/>
  <c r="H55" i="14" s="1"/>
  <c r="H56" i="14" s="1"/>
  <c r="H57" i="14" s="1"/>
  <c r="I54" i="14"/>
  <c r="I55" i="14" s="1"/>
  <c r="I56" i="14" s="1"/>
  <c r="I57" i="14" s="1"/>
  <c r="Y54" i="14"/>
  <c r="Y55" i="14" s="1"/>
  <c r="Y56" i="14" s="1"/>
  <c r="Y57" i="14" s="1"/>
  <c r="AE58" i="14"/>
  <c r="AE59" i="14" s="1"/>
  <c r="AE60" i="14" s="1"/>
  <c r="AE62" i="14" s="1"/>
  <c r="AE63" i="14" s="1"/>
  <c r="J4" i="13"/>
  <c r="J52" i="14"/>
  <c r="J53" i="14" s="1"/>
  <c r="AE53" i="14"/>
  <c r="X54" i="14"/>
  <c r="X55" i="14" s="1"/>
  <c r="X56" i="14" s="1"/>
  <c r="X57" i="14" s="1"/>
  <c r="P56" i="14"/>
  <c r="P57" i="14" s="1"/>
  <c r="P54" i="14"/>
  <c r="P55" i="14" s="1"/>
  <c r="Z54" i="14"/>
  <c r="Z55" i="14" s="1"/>
  <c r="Z56" i="14" s="1"/>
  <c r="Z57" i="14" s="1"/>
  <c r="P53" i="14"/>
  <c r="AA4" i="13"/>
  <c r="L53" i="14"/>
  <c r="L54" i="14"/>
  <c r="L55" i="14" s="1"/>
  <c r="L56" i="14" s="1"/>
  <c r="L57" i="14" s="1"/>
  <c r="S54" i="14"/>
  <c r="S55" i="14" s="1"/>
  <c r="S56" i="14"/>
  <c r="S57" i="14" s="1"/>
  <c r="AG54" i="14"/>
  <c r="AG55" i="14" s="1"/>
  <c r="AG56" i="14" s="1"/>
  <c r="AG57" i="14" s="1"/>
  <c r="AA28" i="14"/>
  <c r="AA29" i="14" s="1"/>
  <c r="AA30" i="14" s="1"/>
  <c r="AA31" i="14" s="1"/>
  <c r="AA18" i="13" s="1"/>
  <c r="O58" i="14"/>
  <c r="O59" i="14" s="1"/>
  <c r="O60" i="14" s="1"/>
  <c r="O62" i="14" s="1"/>
  <c r="O63" i="14" s="1"/>
  <c r="Q56" i="14"/>
  <c r="Q57" i="14" s="1"/>
  <c r="Q54" i="14"/>
  <c r="Q55" i="14" s="1"/>
  <c r="T214" i="14"/>
  <c r="E28" i="14"/>
  <c r="E29" i="14" s="1"/>
  <c r="E30" i="14" s="1"/>
  <c r="E31" i="14" s="1"/>
  <c r="E18" i="13" s="1"/>
  <c r="Q190" i="14"/>
  <c r="Q191" i="14" s="1"/>
  <c r="E52" i="14"/>
  <c r="Y189" i="14"/>
  <c r="U189" i="14"/>
  <c r="AE189" i="14"/>
  <c r="BG190" i="14"/>
  <c r="BG191" i="14" s="1"/>
  <c r="AI184" i="14"/>
  <c r="AI187" i="14" s="1"/>
  <c r="AI188" i="14" s="1"/>
  <c r="AI190" i="14" s="1"/>
  <c r="AF185" i="14"/>
  <c r="AF187" i="14"/>
  <c r="AF188" i="14" s="1"/>
  <c r="AF189" i="14" s="1"/>
  <c r="AD185" i="14"/>
  <c r="AD187" i="14"/>
  <c r="AD188" i="14" s="1"/>
  <c r="AD190" i="14" s="1"/>
  <c r="AD214" i="14"/>
  <c r="J187" i="14"/>
  <c r="J188" i="14" s="1"/>
  <c r="J190" i="14" s="1"/>
  <c r="J214" i="14"/>
  <c r="U3" i="21"/>
  <c r="U7" i="21" s="1"/>
  <c r="V190" i="14"/>
  <c r="V189" i="14"/>
  <c r="U3" i="15"/>
  <c r="K189" i="14"/>
  <c r="K190" i="14"/>
  <c r="I189" i="14"/>
  <c r="I190" i="14"/>
  <c r="AA189" i="14"/>
  <c r="AA190" i="14"/>
  <c r="K28" i="14"/>
  <c r="K29" i="14" s="1"/>
  <c r="K30" i="14" s="1"/>
  <c r="K31" i="14" s="1"/>
  <c r="K18" i="13" s="1"/>
  <c r="L214" i="14"/>
  <c r="K4" i="13"/>
  <c r="L187" i="14"/>
  <c r="L188" i="14" s="1"/>
  <c r="L190" i="14" s="1"/>
  <c r="M190" i="14"/>
  <c r="M189" i="14"/>
  <c r="AO192" i="14"/>
  <c r="AO191" i="14"/>
  <c r="AG187" i="14"/>
  <c r="AG188" i="14" s="1"/>
  <c r="AG189" i="14" s="1"/>
  <c r="H190" i="14"/>
  <c r="H189" i="14"/>
  <c r="W187" i="14"/>
  <c r="W188" i="14" s="1"/>
  <c r="W185" i="14"/>
  <c r="W214" i="14"/>
  <c r="AG185" i="14"/>
  <c r="R190" i="14"/>
  <c r="R189" i="14"/>
  <c r="AB187" i="14"/>
  <c r="AB188" i="14" s="1"/>
  <c r="AB214" i="14"/>
  <c r="P189" i="14"/>
  <c r="Z189" i="14"/>
  <c r="Z190" i="14"/>
  <c r="G190" i="14"/>
  <c r="G189" i="14"/>
  <c r="U4" i="17"/>
  <c r="U7" i="17" s="1"/>
  <c r="U8" i="17" s="1"/>
  <c r="U9" i="17" s="1"/>
  <c r="F196" i="14"/>
  <c r="F197" i="14" s="1"/>
  <c r="F201" i="14" s="1"/>
  <c r="F205" i="14" s="1"/>
  <c r="AL192" i="14"/>
  <c r="AL191" i="14"/>
  <c r="AM192" i="14"/>
  <c r="AM191" i="14"/>
  <c r="T190" i="14"/>
  <c r="T189" i="14"/>
  <c r="AH191" i="14"/>
  <c r="AH192" i="14"/>
  <c r="AN189" i="14"/>
  <c r="AN190" i="14"/>
  <c r="N194" i="14"/>
  <c r="N195" i="14" s="1"/>
  <c r="N193" i="14"/>
  <c r="Y192" i="14"/>
  <c r="Y191" i="14"/>
  <c r="AE191" i="14"/>
  <c r="AE192" i="14"/>
  <c r="U191" i="14"/>
  <c r="U192" i="14"/>
  <c r="X187" i="14"/>
  <c r="X188" i="14" s="1"/>
  <c r="X214" i="14"/>
  <c r="X185" i="14"/>
  <c r="AK193" i="14"/>
  <c r="AK194" i="14"/>
  <c r="AK195" i="14" s="1"/>
  <c r="AC191" i="14"/>
  <c r="AC192" i="14"/>
  <c r="E187" i="14"/>
  <c r="E188" i="14" s="1"/>
  <c r="E190" i="14" s="1"/>
  <c r="E214" i="14"/>
  <c r="O190" i="14"/>
  <c r="O189" i="14"/>
  <c r="P191" i="14"/>
  <c r="P192" i="14"/>
  <c r="S190" i="14"/>
  <c r="S189" i="14"/>
  <c r="J28" i="14"/>
  <c r="J29" i="14" s="1"/>
  <c r="J30" i="14" s="1"/>
  <c r="J31" i="14" s="1"/>
  <c r="J18" i="13" s="1"/>
  <c r="V3" i="21"/>
  <c r="V7" i="21" s="1"/>
  <c r="S3" i="21"/>
  <c r="S7" i="21" s="1"/>
  <c r="S3" i="15"/>
  <c r="V4" i="17"/>
  <c r="V7" i="17" s="1"/>
  <c r="V8" i="17" s="1"/>
  <c r="V9" i="17" s="1"/>
  <c r="S4" i="17"/>
  <c r="S7" i="17" s="1"/>
  <c r="S8" i="17" s="1"/>
  <c r="S9" i="17" s="1"/>
  <c r="V3" i="15"/>
  <c r="AB4" i="13"/>
  <c r="F8" i="21"/>
  <c r="F34" i="21" s="1"/>
  <c r="E170" i="14"/>
  <c r="E185" i="14" s="1"/>
  <c r="T170" i="14"/>
  <c r="T185" i="14" s="1"/>
  <c r="T4" i="13"/>
  <c r="T28" i="14"/>
  <c r="T29" i="14" s="1"/>
  <c r="T30" i="14" s="1"/>
  <c r="T31" i="14" s="1"/>
  <c r="T18" i="13" s="1"/>
  <c r="R4" i="13"/>
  <c r="Q3" i="21"/>
  <c r="Q7" i="21" s="1"/>
  <c r="Q3" i="15"/>
  <c r="AP169" i="14"/>
  <c r="AP11" i="14"/>
  <c r="Q4" i="17"/>
  <c r="Q7" i="17" s="1"/>
  <c r="Q8" i="17" s="1"/>
  <c r="Q9" i="17" s="1"/>
  <c r="Q11" i="17" s="1"/>
  <c r="Q12" i="17" s="1"/>
  <c r="R28" i="14"/>
  <c r="R29" i="14" s="1"/>
  <c r="R30" i="14" s="1"/>
  <c r="R31" i="14" s="1"/>
  <c r="R18" i="13" s="1"/>
  <c r="J170" i="14"/>
  <c r="J185" i="14" s="1"/>
  <c r="L170" i="14"/>
  <c r="L185" i="14" s="1"/>
  <c r="AB170" i="14"/>
  <c r="AB185" i="14" s="1"/>
  <c r="AQ3" i="14"/>
  <c r="AP6" i="14"/>
  <c r="AP173" i="14" s="1"/>
  <c r="AP8" i="14"/>
  <c r="AP5" i="14"/>
  <c r="AP172" i="14" s="1"/>
  <c r="AP7" i="14"/>
  <c r="AP9" i="14"/>
  <c r="AI28" i="14"/>
  <c r="AI29" i="14" s="1"/>
  <c r="AI30" i="14" s="1"/>
  <c r="AI31" i="14" s="1"/>
  <c r="AI18" i="13" s="1"/>
  <c r="AO25" i="14"/>
  <c r="AN79" i="7"/>
  <c r="AN94" i="7" s="1"/>
  <c r="AO48" i="14"/>
  <c r="AB218" i="7"/>
  <c r="AB246" i="7"/>
  <c r="AA227" i="7"/>
  <c r="AF386" i="7"/>
  <c r="AF342" i="7"/>
  <c r="AB343" i="7"/>
  <c r="AF341" i="7"/>
  <c r="AF344" i="7"/>
  <c r="AB144" i="7"/>
  <c r="AB230" i="7"/>
  <c r="AB240" i="7"/>
  <c r="AF331" i="7"/>
  <c r="AB133" i="7"/>
  <c r="AB232" i="7"/>
  <c r="AF335" i="7"/>
  <c r="AF347" i="7"/>
  <c r="AF346" i="7"/>
  <c r="AB143" i="7"/>
  <c r="AB138" i="7"/>
  <c r="AB326" i="7"/>
  <c r="AB334" i="7"/>
  <c r="AB386" i="7"/>
  <c r="AB329" i="7"/>
  <c r="AB324" i="7"/>
  <c r="AB341" i="7"/>
  <c r="AB344" i="7"/>
  <c r="AB331" i="7"/>
  <c r="AB347" i="7"/>
  <c r="AB338" i="7"/>
  <c r="AB342" i="7"/>
  <c r="AB332" i="7"/>
  <c r="AB337" i="7"/>
  <c r="AB340" i="7"/>
  <c r="AB348" i="7"/>
  <c r="AF232" i="7"/>
  <c r="AB327" i="7"/>
  <c r="AF254" i="7"/>
  <c r="E44" i="7"/>
  <c r="AF230" i="7"/>
  <c r="AF245" i="7"/>
  <c r="AF240" i="7"/>
  <c r="AB245" i="7"/>
  <c r="AG227" i="7"/>
  <c r="AG242" i="7"/>
  <c r="AG233" i="7"/>
  <c r="AG241" i="7"/>
  <c r="M125" i="7"/>
  <c r="M192" i="7" s="1"/>
  <c r="AB239" i="7"/>
  <c r="AG253" i="7"/>
  <c r="AG230" i="7"/>
  <c r="AB238" i="7"/>
  <c r="AG249" i="7"/>
  <c r="AG243" i="7"/>
  <c r="AG218" i="7"/>
  <c r="AG248" i="7"/>
  <c r="E119" i="7"/>
  <c r="E120" i="7" s="1"/>
  <c r="K138" i="7"/>
  <c r="AG246" i="7"/>
  <c r="AB249" i="7"/>
  <c r="AB248" i="7"/>
  <c r="AB253" i="7"/>
  <c r="AG237" i="7"/>
  <c r="AB237" i="7"/>
  <c r="AG234" i="7"/>
  <c r="AG250" i="7"/>
  <c r="AG232" i="7"/>
  <c r="AB234" i="7"/>
  <c r="AB241" i="7"/>
  <c r="AB233" i="7"/>
  <c r="AG239" i="7"/>
  <c r="AG252" i="7"/>
  <c r="AB250" i="7"/>
  <c r="AB223" i="7"/>
  <c r="AB236" i="7"/>
  <c r="AG235" i="7"/>
  <c r="AG240" i="7"/>
  <c r="AB242" i="7"/>
  <c r="AG245" i="7"/>
  <c r="AB243" i="7"/>
  <c r="AG238" i="7"/>
  <c r="AB252" i="7"/>
  <c r="AB251" i="7"/>
  <c r="AB235" i="7"/>
  <c r="AB231" i="7"/>
  <c r="AF140" i="7"/>
  <c r="K133" i="7"/>
  <c r="AF125" i="7"/>
  <c r="AF192" i="7" s="1"/>
  <c r="AC254" i="7"/>
  <c r="E43" i="7"/>
  <c r="E26" i="7"/>
  <c r="E9" i="23" s="1"/>
  <c r="E54" i="23" s="1"/>
  <c r="E48" i="7"/>
  <c r="E55" i="7"/>
  <c r="AF246" i="7"/>
  <c r="AF238" i="7"/>
  <c r="AB149" i="7"/>
  <c r="L227" i="7"/>
  <c r="AE135" i="7"/>
  <c r="AF233" i="7"/>
  <c r="AN75" i="7"/>
  <c r="AN90" i="7" s="1"/>
  <c r="AF223" i="7"/>
  <c r="K243" i="7"/>
  <c r="AF249" i="7"/>
  <c r="AN201" i="7"/>
  <c r="AN202" i="7" s="1"/>
  <c r="AF237" i="7"/>
  <c r="AN71" i="7"/>
  <c r="AN86" i="7" s="1"/>
  <c r="AN77" i="7"/>
  <c r="AN92" i="7" s="1"/>
  <c r="AB135" i="7"/>
  <c r="AB139" i="7"/>
  <c r="AN295" i="7"/>
  <c r="AN296" i="7" s="1"/>
  <c r="AN298" i="7" s="1"/>
  <c r="AN303" i="7" s="1"/>
  <c r="AB152" i="7"/>
  <c r="AB137" i="7"/>
  <c r="AB142" i="7"/>
  <c r="AB134" i="7"/>
  <c r="AB132" i="7"/>
  <c r="AB150" i="7"/>
  <c r="AB140" i="7"/>
  <c r="AB145" i="7"/>
  <c r="AB146" i="7"/>
  <c r="AB155" i="7"/>
  <c r="AG251" i="7"/>
  <c r="I325" i="7"/>
  <c r="AB151" i="7"/>
  <c r="AB154" i="7"/>
  <c r="AB148" i="7"/>
  <c r="AB156" i="7"/>
  <c r="AE141" i="7"/>
  <c r="AF143" i="7"/>
  <c r="AF144" i="7"/>
  <c r="AF133" i="7"/>
  <c r="AF146" i="7"/>
  <c r="AF227" i="7"/>
  <c r="AF138" i="7"/>
  <c r="I335" i="7"/>
  <c r="G231" i="7"/>
  <c r="G236" i="7"/>
  <c r="G243" i="7"/>
  <c r="I336" i="7"/>
  <c r="AB227" i="7"/>
  <c r="G141" i="7"/>
  <c r="Z240" i="7"/>
  <c r="I41" i="7"/>
  <c r="I99" i="7" s="1"/>
  <c r="I67" i="14" s="1"/>
  <c r="I68" i="14" s="1"/>
  <c r="I72" i="14" s="1"/>
  <c r="I73" i="14" s="1"/>
  <c r="I74" i="14" s="1"/>
  <c r="AF142" i="7"/>
  <c r="AF141" i="7"/>
  <c r="K246" i="7"/>
  <c r="AF139" i="7"/>
  <c r="K231" i="7"/>
  <c r="AF154" i="7"/>
  <c r="M133" i="7"/>
  <c r="M230" i="7"/>
  <c r="K236" i="7"/>
  <c r="M138" i="7"/>
  <c r="M218" i="7"/>
  <c r="AF155" i="7"/>
  <c r="AF156" i="7"/>
  <c r="M143" i="7"/>
  <c r="M150" i="7"/>
  <c r="M144" i="7"/>
  <c r="M151" i="7"/>
  <c r="AF152" i="7"/>
  <c r="AF145" i="7"/>
  <c r="AF149" i="7"/>
  <c r="AF150" i="7"/>
  <c r="AF134" i="7"/>
  <c r="AF148" i="7"/>
  <c r="AF135" i="7"/>
  <c r="AF151" i="7"/>
  <c r="AF137" i="7"/>
  <c r="AP10" i="7"/>
  <c r="AP12" i="7"/>
  <c r="AP9" i="7"/>
  <c r="AQ3" i="7"/>
  <c r="AQ3" i="17"/>
  <c r="AQ5" i="17" s="1"/>
  <c r="AE3" i="21"/>
  <c r="AE7" i="21" s="1"/>
  <c r="AE3" i="15"/>
  <c r="AN80" i="7"/>
  <c r="AN95" i="7" s="1"/>
  <c r="AN76" i="7"/>
  <c r="AN91" i="7" s="1"/>
  <c r="AN103" i="7"/>
  <c r="AN106" i="7" s="1"/>
  <c r="AN160" i="7" s="1"/>
  <c r="AN175" i="7" s="1"/>
  <c r="AN78" i="7"/>
  <c r="AN93" i="7" s="1"/>
  <c r="AN81" i="7"/>
  <c r="AN96" i="7" s="1"/>
  <c r="AN17" i="7"/>
  <c r="AN73" i="7"/>
  <c r="AN88" i="7" s="1"/>
  <c r="AN70" i="7"/>
  <c r="AN85" i="7" s="1"/>
  <c r="AN69" i="7"/>
  <c r="AN84" i="7" s="1"/>
  <c r="AE223" i="7"/>
  <c r="AE151" i="7"/>
  <c r="AA237" i="7"/>
  <c r="AA233" i="7"/>
  <c r="AA251" i="7"/>
  <c r="AA241" i="7"/>
  <c r="AA242" i="7"/>
  <c r="AD41" i="7"/>
  <c r="AD99" i="7" s="1"/>
  <c r="AD67" i="14" s="1"/>
  <c r="AD68" i="14" s="1"/>
  <c r="AH149" i="7"/>
  <c r="G156" i="7"/>
  <c r="AA248" i="7"/>
  <c r="AF251" i="7"/>
  <c r="G152" i="7"/>
  <c r="G151" i="7"/>
  <c r="G134" i="7"/>
  <c r="G145" i="7"/>
  <c r="AF253" i="7"/>
  <c r="G142" i="7"/>
  <c r="AA240" i="7"/>
  <c r="AA238" i="7"/>
  <c r="AA246" i="7"/>
  <c r="G137" i="7"/>
  <c r="AF241" i="7"/>
  <c r="AF250" i="7"/>
  <c r="G138" i="7"/>
  <c r="AF239" i="7"/>
  <c r="G133" i="7"/>
  <c r="AA234" i="7"/>
  <c r="AF243" i="7"/>
  <c r="AF252" i="7"/>
  <c r="G146" i="7"/>
  <c r="AE238" i="7"/>
  <c r="AA245" i="7"/>
  <c r="AA250" i="7"/>
  <c r="AA254" i="7"/>
  <c r="AF248" i="7"/>
  <c r="AA253" i="7"/>
  <c r="AA230" i="7"/>
  <c r="AF242" i="7"/>
  <c r="AF234" i="7"/>
  <c r="AA235" i="7"/>
  <c r="AA252" i="7"/>
  <c r="AA243" i="7"/>
  <c r="AF231" i="7"/>
  <c r="G132" i="7"/>
  <c r="H238" i="7"/>
  <c r="AA232" i="7"/>
  <c r="AF235" i="7"/>
  <c r="AA218" i="7"/>
  <c r="M154" i="7"/>
  <c r="AE227" i="7"/>
  <c r="E58" i="7"/>
  <c r="AA41" i="7"/>
  <c r="AA99" i="7" s="1"/>
  <c r="AA67" i="14" s="1"/>
  <c r="AA68" i="14" s="1"/>
  <c r="AA69" i="14" s="1"/>
  <c r="AH154" i="7"/>
  <c r="AH132" i="7"/>
  <c r="E53" i="7"/>
  <c r="E54" i="7"/>
  <c r="AG346" i="7"/>
  <c r="AG333" i="7"/>
  <c r="E45" i="7"/>
  <c r="E36" i="7"/>
  <c r="E11" i="23" s="1"/>
  <c r="E60" i="7"/>
  <c r="AA249" i="7"/>
  <c r="AF41" i="7"/>
  <c r="AF99" i="7" s="1"/>
  <c r="AF67" i="14" s="1"/>
  <c r="AF68" i="14" s="1"/>
  <c r="AE146" i="7"/>
  <c r="AE133" i="7"/>
  <c r="E42" i="7"/>
  <c r="AA139" i="7"/>
  <c r="AA145" i="7"/>
  <c r="E61" i="7"/>
  <c r="AH139" i="7"/>
  <c r="E114" i="7"/>
  <c r="E115" i="7" s="1"/>
  <c r="E153" i="7" s="1"/>
  <c r="E62" i="7"/>
  <c r="AE156" i="7"/>
  <c r="E110" i="7"/>
  <c r="X218" i="7"/>
  <c r="X154" i="7"/>
  <c r="AC231" i="7"/>
  <c r="E63" i="7"/>
  <c r="E158" i="7"/>
  <c r="E173" i="7" s="1"/>
  <c r="E188" i="7" s="1"/>
  <c r="E64" i="7"/>
  <c r="J235" i="7"/>
  <c r="Z325" i="7"/>
  <c r="E49" i="7"/>
  <c r="E128" i="7"/>
  <c r="E129" i="7" s="1"/>
  <c r="E147" i="7" s="1"/>
  <c r="X135" i="7"/>
  <c r="Z330" i="7"/>
  <c r="E65" i="7"/>
  <c r="AH141" i="7"/>
  <c r="AA134" i="7"/>
  <c r="AA151" i="7"/>
  <c r="E124" i="7"/>
  <c r="X141" i="7"/>
  <c r="AE137" i="7"/>
  <c r="E57" i="7"/>
  <c r="E47" i="7"/>
  <c r="AH140" i="7"/>
  <c r="AA146" i="7"/>
  <c r="E31" i="7"/>
  <c r="E10" i="23" s="1"/>
  <c r="AE134" i="7"/>
  <c r="Z230" i="7"/>
  <c r="E50" i="7"/>
  <c r="AH337" i="7"/>
  <c r="AA142" i="7"/>
  <c r="AE148" i="7"/>
  <c r="W145" i="7"/>
  <c r="AE145" i="7"/>
  <c r="Z254" i="7"/>
  <c r="E66" i="7"/>
  <c r="E46" i="7"/>
  <c r="E51" i="7"/>
  <c r="AA137" i="7"/>
  <c r="W148" i="7"/>
  <c r="W138" i="7"/>
  <c r="AE142" i="7"/>
  <c r="Z232" i="7"/>
  <c r="AH330" i="7"/>
  <c r="W133" i="7"/>
  <c r="AE138" i="7"/>
  <c r="AA239" i="7"/>
  <c r="I343" i="7"/>
  <c r="I347" i="7"/>
  <c r="I341" i="7"/>
  <c r="I348" i="7"/>
  <c r="AA153" i="7"/>
  <c r="AA133" i="7"/>
  <c r="I386" i="7"/>
  <c r="I332" i="7"/>
  <c r="I326" i="7"/>
  <c r="I344" i="7"/>
  <c r="I324" i="7"/>
  <c r="I327" i="7"/>
  <c r="I333" i="7"/>
  <c r="AG125" i="7"/>
  <c r="AG192" i="7" s="1"/>
  <c r="I346" i="7"/>
  <c r="I329" i="7"/>
  <c r="I340" i="7"/>
  <c r="I342" i="7"/>
  <c r="I331" i="7"/>
  <c r="I338" i="7"/>
  <c r="AA135" i="7"/>
  <c r="AE249" i="7"/>
  <c r="I337" i="7"/>
  <c r="BG68" i="14"/>
  <c r="BG69" i="14" s="1"/>
  <c r="AH335" i="7"/>
  <c r="AH136" i="7"/>
  <c r="AA141" i="7"/>
  <c r="AA155" i="7"/>
  <c r="AA156" i="7"/>
  <c r="AH125" i="7"/>
  <c r="AH192" i="7" s="1"/>
  <c r="I334" i="7"/>
  <c r="I330" i="7"/>
  <c r="AA138" i="7"/>
  <c r="AN25" i="14"/>
  <c r="AO49" i="14"/>
  <c r="AO44" i="14"/>
  <c r="AO19" i="13" s="1"/>
  <c r="AN44" i="14"/>
  <c r="AN19" i="13" s="1"/>
  <c r="AN49" i="14"/>
  <c r="AN50" i="14" s="1"/>
  <c r="F17" i="17"/>
  <c r="F14" i="17"/>
  <c r="F28" i="13" s="1"/>
  <c r="AA247" i="7"/>
  <c r="AA236" i="7"/>
  <c r="AA149" i="7"/>
  <c r="AA136" i="7"/>
  <c r="AA152" i="7"/>
  <c r="AA125" i="7"/>
  <c r="AA192" i="7" s="1"/>
  <c r="AA148" i="7"/>
  <c r="AA143" i="7"/>
  <c r="AA144" i="7"/>
  <c r="AA140" i="7"/>
  <c r="AA150" i="7"/>
  <c r="G337" i="7"/>
  <c r="AA154" i="7"/>
  <c r="G330" i="7"/>
  <c r="G325" i="7"/>
  <c r="H227" i="7"/>
  <c r="AG142" i="7"/>
  <c r="AA231" i="7"/>
  <c r="AC218" i="7"/>
  <c r="W41" i="7"/>
  <c r="W99" i="7" s="1"/>
  <c r="W67" i="14" s="1"/>
  <c r="AB41" i="7"/>
  <c r="AB99" i="7" s="1"/>
  <c r="AB67" i="14" s="1"/>
  <c r="AC232" i="7"/>
  <c r="AH326" i="7"/>
  <c r="AC239" i="7"/>
  <c r="AC234" i="7"/>
  <c r="AC252" i="7"/>
  <c r="AC227" i="7"/>
  <c r="K156" i="7"/>
  <c r="K132" i="7"/>
  <c r="AG324" i="7"/>
  <c r="K330" i="7"/>
  <c r="K325" i="7"/>
  <c r="K151" i="7"/>
  <c r="AG341" i="7"/>
  <c r="AG332" i="7"/>
  <c r="X243" i="7"/>
  <c r="K135" i="7"/>
  <c r="AG331" i="7"/>
  <c r="K134" i="7"/>
  <c r="K337" i="7"/>
  <c r="X133" i="7"/>
  <c r="AE232" i="7"/>
  <c r="K145" i="7"/>
  <c r="X138" i="7"/>
  <c r="K142" i="7"/>
  <c r="K137" i="7"/>
  <c r="M236" i="7"/>
  <c r="M231" i="7"/>
  <c r="X41" i="7"/>
  <c r="X99" i="7" s="1"/>
  <c r="X67" i="14" s="1"/>
  <c r="L230" i="7"/>
  <c r="X245" i="7"/>
  <c r="BG131" i="7"/>
  <c r="BG194" i="7" s="1"/>
  <c r="BG92" i="14" s="1"/>
  <c r="X232" i="7"/>
  <c r="AH386" i="7"/>
  <c r="AH145" i="7"/>
  <c r="AF15" i="17"/>
  <c r="AF27" i="13" s="1"/>
  <c r="L232" i="7"/>
  <c r="M152" i="7"/>
  <c r="AH146" i="7"/>
  <c r="L245" i="7"/>
  <c r="M149" i="7"/>
  <c r="AH137" i="7"/>
  <c r="AH336" i="7"/>
  <c r="AH133" i="7"/>
  <c r="Z3" i="21"/>
  <c r="Z7" i="21" s="1"/>
  <c r="Z4" i="17"/>
  <c r="Z7" i="17" s="1"/>
  <c r="Z8" i="17" s="1"/>
  <c r="Z9" i="17" s="1"/>
  <c r="Z11" i="17" s="1"/>
  <c r="Z12" i="17" s="1"/>
  <c r="M134" i="7"/>
  <c r="L236" i="7"/>
  <c r="K253" i="7"/>
  <c r="AH329" i="7"/>
  <c r="Y3" i="21"/>
  <c r="Y7" i="21" s="1"/>
  <c r="Y4" i="17"/>
  <c r="Y7" i="17" s="1"/>
  <c r="Y8" i="17" s="1"/>
  <c r="Y9" i="17" s="1"/>
  <c r="Y11" i="17" s="1"/>
  <c r="Y12" i="17" s="1"/>
  <c r="M137" i="7"/>
  <c r="L235" i="7"/>
  <c r="K254" i="7"/>
  <c r="AG15" i="17"/>
  <c r="AG27" i="13" s="1"/>
  <c r="M155" i="7"/>
  <c r="L243" i="7"/>
  <c r="K245" i="7"/>
  <c r="AH338" i="7"/>
  <c r="AD15" i="17"/>
  <c r="AD27" i="13" s="1"/>
  <c r="M142" i="7"/>
  <c r="M156" i="7"/>
  <c r="L231" i="7"/>
  <c r="M227" i="7"/>
  <c r="K230" i="7"/>
  <c r="AH325" i="7"/>
  <c r="M139" i="7"/>
  <c r="L239" i="7"/>
  <c r="K232" i="7"/>
  <c r="I15" i="17"/>
  <c r="I27" i="13" s="1"/>
  <c r="H3" i="21"/>
  <c r="H7" i="21" s="1"/>
  <c r="H4" i="17"/>
  <c r="H7" i="17" s="1"/>
  <c r="H8" i="17" s="1"/>
  <c r="H9" i="17" s="1"/>
  <c r="H11" i="17" s="1"/>
  <c r="H12" i="17" s="1"/>
  <c r="M145" i="7"/>
  <c r="M148" i="7"/>
  <c r="L234" i="7"/>
  <c r="K218" i="7"/>
  <c r="K235" i="7"/>
  <c r="M146" i="7"/>
  <c r="M135" i="7"/>
  <c r="K240" i="7"/>
  <c r="K234" i="7"/>
  <c r="AG145" i="7"/>
  <c r="L254" i="7"/>
  <c r="M132" i="7"/>
  <c r="G335" i="7"/>
  <c r="L250" i="7"/>
  <c r="L253" i="7"/>
  <c r="M141" i="7"/>
  <c r="K239" i="7"/>
  <c r="X3" i="21"/>
  <c r="X7" i="21" s="1"/>
  <c r="X4" i="17"/>
  <c r="X7" i="17" s="1"/>
  <c r="X8" i="17" s="1"/>
  <c r="X9" i="17" s="1"/>
  <c r="X11" i="17" s="1"/>
  <c r="X12" i="17" s="1"/>
  <c r="M3" i="21"/>
  <c r="M7" i="21" s="1"/>
  <c r="M4" i="17"/>
  <c r="M7" i="17" s="1"/>
  <c r="M8" i="17" s="1"/>
  <c r="M9" i="17" s="1"/>
  <c r="M11" i="17" s="1"/>
  <c r="M12" i="17" s="1"/>
  <c r="G3" i="21"/>
  <c r="G7" i="21" s="1"/>
  <c r="G4" i="17"/>
  <c r="G7" i="17" s="1"/>
  <c r="G8" i="17" s="1"/>
  <c r="G9" i="17" s="1"/>
  <c r="G11" i="17" s="1"/>
  <c r="G12" i="17" s="1"/>
  <c r="L218" i="7"/>
  <c r="M140" i="7"/>
  <c r="I229" i="7"/>
  <c r="I288" i="7" s="1"/>
  <c r="I117" i="14" s="1"/>
  <c r="I118" i="14" s="1"/>
  <c r="AC230" i="7"/>
  <c r="G336" i="7"/>
  <c r="AC245" i="7"/>
  <c r="K146" i="7"/>
  <c r="BG4" i="17"/>
  <c r="BG7" i="17" s="1"/>
  <c r="BG8" i="17" s="1"/>
  <c r="BG9" i="17" s="1"/>
  <c r="BG11" i="17" s="1"/>
  <c r="BG12" i="17" s="1"/>
  <c r="BG3" i="21"/>
  <c r="BG7" i="21" s="1"/>
  <c r="BG3" i="15"/>
  <c r="BG5" i="15" s="1"/>
  <c r="BM4" i="11" s="1"/>
  <c r="AG335" i="7"/>
  <c r="AH152" i="7"/>
  <c r="AI306" i="7"/>
  <c r="AI307" i="7" s="1"/>
  <c r="AI345" i="7" s="1"/>
  <c r="AI44" i="7"/>
  <c r="AI66" i="7"/>
  <c r="AI50" i="7"/>
  <c r="AI61" i="7"/>
  <c r="AI65" i="7"/>
  <c r="AI47" i="7"/>
  <c r="AI53" i="7"/>
  <c r="AI48" i="7"/>
  <c r="AI54" i="7"/>
  <c r="AI43" i="7"/>
  <c r="AI62" i="7"/>
  <c r="AI26" i="7"/>
  <c r="AI49" i="7"/>
  <c r="AI119" i="7"/>
  <c r="AI120" i="7" s="1"/>
  <c r="AI132" i="7" s="1"/>
  <c r="AI58" i="7"/>
  <c r="AI316" i="7"/>
  <c r="AI317" i="7" s="1"/>
  <c r="AI328" i="7" s="1"/>
  <c r="BG323" i="7"/>
  <c r="BG388" i="7" s="1"/>
  <c r="BG142" i="14" s="1"/>
  <c r="AI46" i="7"/>
  <c r="AI64" i="7"/>
  <c r="AI222" i="7"/>
  <c r="AI60" i="7"/>
  <c r="AI158" i="7"/>
  <c r="AI173" i="7" s="1"/>
  <c r="AI188" i="7" s="1"/>
  <c r="AI36" i="7"/>
  <c r="AI52" i="7"/>
  <c r="AI31" i="7"/>
  <c r="BG229" i="7"/>
  <c r="BG288" i="7" s="1"/>
  <c r="BG117" i="14" s="1"/>
  <c r="AI217" i="7"/>
  <c r="AI254" i="7" s="1"/>
  <c r="AI59" i="7"/>
  <c r="AI63" i="7"/>
  <c r="AI55" i="7"/>
  <c r="AI56" i="7"/>
  <c r="AI51" i="7"/>
  <c r="AI57" i="7"/>
  <c r="AI302" i="7"/>
  <c r="AI311" i="7"/>
  <c r="AI312" i="7" s="1"/>
  <c r="AI333" i="7" s="1"/>
  <c r="AI212" i="7"/>
  <c r="AI213" i="7" s="1"/>
  <c r="AI350" i="7"/>
  <c r="AI365" i="7" s="1"/>
  <c r="AI380" i="7" s="1"/>
  <c r="AI128" i="7"/>
  <c r="AI129" i="7" s="1"/>
  <c r="AI147" i="7" s="1"/>
  <c r="AG338" i="7"/>
  <c r="AH236" i="7"/>
  <c r="AG143" i="7"/>
  <c r="AH234" i="7"/>
  <c r="AG325" i="7"/>
  <c r="AH231" i="7"/>
  <c r="AH340" i="7"/>
  <c r="AH324" i="7"/>
  <c r="AH347" i="7"/>
  <c r="AH344" i="7"/>
  <c r="AH341" i="7"/>
  <c r="AH348" i="7"/>
  <c r="AH332" i="7"/>
  <c r="AH333" i="7"/>
  <c r="AH346" i="7"/>
  <c r="AH327" i="7"/>
  <c r="AH343" i="7"/>
  <c r="AH342" i="7"/>
  <c r="AH331" i="7"/>
  <c r="AG134" i="7"/>
  <c r="AH151" i="7"/>
  <c r="AH243" i="7"/>
  <c r="AG146" i="7"/>
  <c r="AH239" i="7"/>
  <c r="AG340" i="7"/>
  <c r="AG41" i="7"/>
  <c r="AG99" i="7" s="1"/>
  <c r="AG67" i="14" s="1"/>
  <c r="AH242" i="7"/>
  <c r="AG133" i="7"/>
  <c r="AH143" i="7"/>
  <c r="AH235" i="7"/>
  <c r="AG342" i="7"/>
  <c r="AG137" i="7"/>
  <c r="AH155" i="7"/>
  <c r="AH134" i="7"/>
  <c r="AH241" i="7"/>
  <c r="AG138" i="7"/>
  <c r="AH150" i="7"/>
  <c r="AI256" i="7"/>
  <c r="AI271" i="7" s="1"/>
  <c r="AI286" i="7" s="1"/>
  <c r="AH144" i="7"/>
  <c r="AI114" i="7"/>
  <c r="AI115" i="7" s="1"/>
  <c r="AI153" i="7" s="1"/>
  <c r="AG144" i="7"/>
  <c r="AI226" i="7"/>
  <c r="AH138" i="7"/>
  <c r="AH41" i="7"/>
  <c r="AH99" i="7" s="1"/>
  <c r="AH67" i="14" s="1"/>
  <c r="AG330" i="7"/>
  <c r="AG348" i="7"/>
  <c r="AH148" i="7"/>
  <c r="AI320" i="7"/>
  <c r="AI321" i="7" s="1"/>
  <c r="AI339" i="7" s="1"/>
  <c r="AI208" i="7"/>
  <c r="AG337" i="7"/>
  <c r="AH142" i="7"/>
  <c r="AG154" i="7"/>
  <c r="AG135" i="7"/>
  <c r="AG152" i="7"/>
  <c r="AG149" i="7"/>
  <c r="AG140" i="7"/>
  <c r="AG132" i="7"/>
  <c r="AG155" i="7"/>
  <c r="AG148" i="7"/>
  <c r="AG139" i="7"/>
  <c r="AG141" i="7"/>
  <c r="AG151" i="7"/>
  <c r="AG156" i="7"/>
  <c r="AG150" i="7"/>
  <c r="AH223" i="7"/>
  <c r="AH233" i="7"/>
  <c r="AG326" i="7"/>
  <c r="AG344" i="7"/>
  <c r="AH156" i="7"/>
  <c r="AG334" i="7"/>
  <c r="AG329" i="7"/>
  <c r="AG347" i="7"/>
  <c r="AI110" i="7"/>
  <c r="AG386" i="7"/>
  <c r="AH334" i="7"/>
  <c r="AH227" i="7"/>
  <c r="AH244" i="7"/>
  <c r="AI124" i="7"/>
  <c r="AG336" i="7"/>
  <c r="AH254" i="7"/>
  <c r="AH238" i="7"/>
  <c r="AH251" i="7"/>
  <c r="AH248" i="7"/>
  <c r="AH252" i="7"/>
  <c r="AH232" i="7"/>
  <c r="AH250" i="7"/>
  <c r="AH237" i="7"/>
  <c r="AH245" i="7"/>
  <c r="AH249" i="7"/>
  <c r="AH218" i="7"/>
  <c r="AH253" i="7"/>
  <c r="AH246" i="7"/>
  <c r="AH230" i="7"/>
  <c r="AH240" i="7"/>
  <c r="AG343" i="7"/>
  <c r="L3" i="15"/>
  <c r="L3" i="21"/>
  <c r="L7" i="21" s="1"/>
  <c r="AC3" i="15"/>
  <c r="AC3" i="21"/>
  <c r="AC7" i="21" s="1"/>
  <c r="N3" i="15"/>
  <c r="N3" i="21"/>
  <c r="N7" i="21" s="1"/>
  <c r="P3" i="15"/>
  <c r="P3" i="21"/>
  <c r="P7" i="21" s="1"/>
  <c r="AD3" i="15"/>
  <c r="AD3" i="21"/>
  <c r="AD7" i="21" s="1"/>
  <c r="I3" i="15"/>
  <c r="I3" i="21"/>
  <c r="I7" i="21" s="1"/>
  <c r="E3" i="15"/>
  <c r="E5" i="15" s="1"/>
  <c r="E3" i="21"/>
  <c r="E7" i="21" s="1"/>
  <c r="O3" i="15"/>
  <c r="O3" i="21"/>
  <c r="O7" i="21" s="1"/>
  <c r="W3" i="15"/>
  <c r="W3" i="21"/>
  <c r="W7" i="21" s="1"/>
  <c r="AI4" i="13"/>
  <c r="AH75" i="9"/>
  <c r="AH3" i="15"/>
  <c r="AH3" i="21"/>
  <c r="AH7" i="21" s="1"/>
  <c r="AG3" i="15"/>
  <c r="AG3" i="21"/>
  <c r="AG7" i="21" s="1"/>
  <c r="AF3" i="15"/>
  <c r="AF3" i="21"/>
  <c r="AF7" i="21" s="1"/>
  <c r="AE246" i="7"/>
  <c r="AC235" i="7"/>
  <c r="AC243" i="7"/>
  <c r="W234" i="7"/>
  <c r="AC236" i="7"/>
  <c r="AC253" i="7"/>
  <c r="M235" i="7"/>
  <c r="X240" i="7"/>
  <c r="X134" i="7"/>
  <c r="AE237" i="7"/>
  <c r="X252" i="7"/>
  <c r="X254" i="7"/>
  <c r="X142" i="7"/>
  <c r="W326" i="7"/>
  <c r="M243" i="7"/>
  <c r="X253" i="7"/>
  <c r="X146" i="7"/>
  <c r="M239" i="7"/>
  <c r="X145" i="7"/>
  <c r="X156" i="7"/>
  <c r="M234" i="7"/>
  <c r="X137" i="7"/>
  <c r="X151" i="7"/>
  <c r="H223" i="7"/>
  <c r="M245" i="7"/>
  <c r="M253" i="7"/>
  <c r="M240" i="7"/>
  <c r="K155" i="7"/>
  <c r="H249" i="7"/>
  <c r="M254" i="7"/>
  <c r="Z133" i="7"/>
  <c r="AE230" i="7"/>
  <c r="M248" i="7"/>
  <c r="M386" i="7"/>
  <c r="AE254" i="7"/>
  <c r="L242" i="7"/>
  <c r="AC330" i="7"/>
  <c r="AC338" i="7"/>
  <c r="AC325" i="7"/>
  <c r="AC249" i="7"/>
  <c r="X337" i="7"/>
  <c r="AE140" i="7"/>
  <c r="AC334" i="7"/>
  <c r="L246" i="7"/>
  <c r="K150" i="7"/>
  <c r="J134" i="7"/>
  <c r="AC251" i="7"/>
  <c r="W151" i="7"/>
  <c r="G227" i="7"/>
  <c r="H145" i="7"/>
  <c r="W231" i="7"/>
  <c r="H254" i="7"/>
  <c r="W134" i="7"/>
  <c r="AE143" i="7"/>
  <c r="AE154" i="7"/>
  <c r="J231" i="7"/>
  <c r="W142" i="7"/>
  <c r="AE235" i="7"/>
  <c r="J242" i="7"/>
  <c r="AE155" i="7"/>
  <c r="AE252" i="7"/>
  <c r="J236" i="7"/>
  <c r="K139" i="7"/>
  <c r="K125" i="7"/>
  <c r="K192" i="7" s="1"/>
  <c r="K335" i="7"/>
  <c r="W146" i="7"/>
  <c r="K136" i="7"/>
  <c r="AE245" i="7"/>
  <c r="L252" i="7"/>
  <c r="J223" i="7"/>
  <c r="K152" i="7"/>
  <c r="AE253" i="7"/>
  <c r="G235" i="7"/>
  <c r="K336" i="7"/>
  <c r="L237" i="7"/>
  <c r="H218" i="7"/>
  <c r="X236" i="7"/>
  <c r="AC142" i="7"/>
  <c r="W137" i="7"/>
  <c r="H232" i="7"/>
  <c r="K143" i="7"/>
  <c r="X231" i="7"/>
  <c r="W241" i="7"/>
  <c r="K140" i="7"/>
  <c r="W135" i="7"/>
  <c r="AE144" i="7"/>
  <c r="J241" i="7"/>
  <c r="H246" i="7"/>
  <c r="K148" i="7"/>
  <c r="W141" i="7"/>
  <c r="W143" i="7"/>
  <c r="H240" i="7"/>
  <c r="K144" i="7"/>
  <c r="X235" i="7"/>
  <c r="K149" i="7"/>
  <c r="L138" i="7"/>
  <c r="W132" i="7"/>
  <c r="AE218" i="7"/>
  <c r="H237" i="7"/>
  <c r="X239" i="7"/>
  <c r="K154" i="7"/>
  <c r="W156" i="7"/>
  <c r="AE240" i="7"/>
  <c r="Z142" i="7"/>
  <c r="X234" i="7"/>
  <c r="AC242" i="7"/>
  <c r="AC337" i="7"/>
  <c r="Z134" i="7"/>
  <c r="G234" i="7"/>
  <c r="X244" i="7"/>
  <c r="X386" i="7"/>
  <c r="K252" i="7"/>
  <c r="Z146" i="7"/>
  <c r="AC246" i="7"/>
  <c r="G334" i="7"/>
  <c r="W144" i="7"/>
  <c r="G139" i="7"/>
  <c r="X336" i="7"/>
  <c r="X242" i="7"/>
  <c r="G140" i="7"/>
  <c r="W154" i="7"/>
  <c r="AC250" i="7"/>
  <c r="Y60" i="7"/>
  <c r="Y44" i="7"/>
  <c r="Y42" i="7"/>
  <c r="Y58" i="7"/>
  <c r="Y57" i="7"/>
  <c r="Y64" i="7"/>
  <c r="Y63" i="7"/>
  <c r="Y52" i="7"/>
  <c r="Y66" i="7"/>
  <c r="Y50" i="7"/>
  <c r="Y65" i="7"/>
  <c r="Y49" i="7"/>
  <c r="Y62" i="7"/>
  <c r="Y61" i="7"/>
  <c r="G155" i="7"/>
  <c r="L133" i="7"/>
  <c r="AC326" i="7"/>
  <c r="G239" i="7"/>
  <c r="G143" i="7"/>
  <c r="G154" i="7"/>
  <c r="G144" i="7"/>
  <c r="Z336" i="7"/>
  <c r="AE337" i="7"/>
  <c r="AC329" i="7"/>
  <c r="Y43" i="7"/>
  <c r="Y47" i="7"/>
  <c r="Y54" i="7"/>
  <c r="Y55" i="7"/>
  <c r="Y53" i="7"/>
  <c r="Y51" i="7"/>
  <c r="Y48" i="7"/>
  <c r="Y46" i="7"/>
  <c r="L251" i="7"/>
  <c r="AC248" i="7"/>
  <c r="Z253" i="7"/>
  <c r="J326" i="7"/>
  <c r="Z41" i="7"/>
  <c r="Z99" i="7" s="1"/>
  <c r="Z67" i="14" s="1"/>
  <c r="Z251" i="7"/>
  <c r="H137" i="7"/>
  <c r="X148" i="7"/>
  <c r="M338" i="7"/>
  <c r="AC41" i="7"/>
  <c r="AC99" i="7" s="1"/>
  <c r="AC67" i="14" s="1"/>
  <c r="AE234" i="7"/>
  <c r="H134" i="7"/>
  <c r="M334" i="7"/>
  <c r="AE150" i="7"/>
  <c r="AC241" i="7"/>
  <c r="AE241" i="7"/>
  <c r="AE326" i="7"/>
  <c r="AE41" i="7"/>
  <c r="AE99" i="7" s="1"/>
  <c r="AE67" i="14" s="1"/>
  <c r="M41" i="7"/>
  <c r="M99" i="7" s="1"/>
  <c r="M67" i="14" s="1"/>
  <c r="H142" i="7"/>
  <c r="M335" i="7"/>
  <c r="AE152" i="7"/>
  <c r="AE236" i="7"/>
  <c r="AE334" i="7"/>
  <c r="Y83" i="7"/>
  <c r="Y98" i="7" s="1"/>
  <c r="W329" i="7"/>
  <c r="H133" i="7"/>
  <c r="M251" i="7"/>
  <c r="J133" i="7"/>
  <c r="M325" i="7"/>
  <c r="AE231" i="7"/>
  <c r="AC237" i="7"/>
  <c r="L241" i="7"/>
  <c r="L143" i="7"/>
  <c r="L137" i="7"/>
  <c r="AE239" i="7"/>
  <c r="AC238" i="7"/>
  <c r="Z346" i="7"/>
  <c r="Z343" i="7"/>
  <c r="Z348" i="7"/>
  <c r="Z340" i="7"/>
  <c r="Z332" i="7"/>
  <c r="Z324" i="7"/>
  <c r="Z342" i="7"/>
  <c r="Z347" i="7"/>
  <c r="Z344" i="7"/>
  <c r="Z333" i="7"/>
  <c r="Z331" i="7"/>
  <c r="Z327" i="7"/>
  <c r="Z341" i="7"/>
  <c r="Z223" i="7"/>
  <c r="Z233" i="7"/>
  <c r="AC386" i="7"/>
  <c r="Z125" i="7"/>
  <c r="Z192" i="7" s="1"/>
  <c r="Z136" i="7"/>
  <c r="Z246" i="7"/>
  <c r="Z252" i="7"/>
  <c r="AC146" i="7"/>
  <c r="AC336" i="7"/>
  <c r="AC136" i="7"/>
  <c r="AC125" i="7"/>
  <c r="AC192" i="7" s="1"/>
  <c r="Z155" i="7"/>
  <c r="Z139" i="7"/>
  <c r="Z152" i="7"/>
  <c r="Z150" i="7"/>
  <c r="Z132" i="7"/>
  <c r="Z149" i="7"/>
  <c r="Z135" i="7"/>
  <c r="Z141" i="7"/>
  <c r="Z140" i="7"/>
  <c r="Z156" i="7"/>
  <c r="Z148" i="7"/>
  <c r="Z151" i="7"/>
  <c r="Z154" i="7"/>
  <c r="AC143" i="7"/>
  <c r="Z326" i="7"/>
  <c r="AE348" i="7"/>
  <c r="AE340" i="7"/>
  <c r="AE332" i="7"/>
  <c r="AE324" i="7"/>
  <c r="AE342" i="7"/>
  <c r="AE347" i="7"/>
  <c r="AE331" i="7"/>
  <c r="AE344" i="7"/>
  <c r="AE341" i="7"/>
  <c r="AE333" i="7"/>
  <c r="AE346" i="7"/>
  <c r="AE343" i="7"/>
  <c r="AE327" i="7"/>
  <c r="Z236" i="7"/>
  <c r="Z248" i="7"/>
  <c r="Z334" i="7"/>
  <c r="Z143" i="7"/>
  <c r="Z241" i="7"/>
  <c r="AC137" i="7"/>
  <c r="Z329" i="7"/>
  <c r="AE329" i="7"/>
  <c r="Z231" i="7"/>
  <c r="Z238" i="7"/>
  <c r="AC145" i="7"/>
  <c r="Z337" i="7"/>
  <c r="AE335" i="7"/>
  <c r="Z239" i="7"/>
  <c r="Z249" i="7"/>
  <c r="AC138" i="7"/>
  <c r="Z335" i="7"/>
  <c r="Z137" i="7"/>
  <c r="AC335" i="7"/>
  <c r="AE136" i="7"/>
  <c r="AE125" i="7"/>
  <c r="AE192" i="7" s="1"/>
  <c r="AE248" i="7"/>
  <c r="AE330" i="7"/>
  <c r="Z234" i="7"/>
  <c r="AC133" i="7"/>
  <c r="Z144" i="7"/>
  <c r="AE338" i="7"/>
  <c r="Z242" i="7"/>
  <c r="AC144" i="7"/>
  <c r="Z338" i="7"/>
  <c r="AE386" i="7"/>
  <c r="Z235" i="7"/>
  <c r="Z250" i="7"/>
  <c r="AC134" i="7"/>
  <c r="AE149" i="7"/>
  <c r="Z386" i="7"/>
  <c r="Z145" i="7"/>
  <c r="AE242" i="7"/>
  <c r="Z244" i="7"/>
  <c r="Z227" i="7"/>
  <c r="AE250" i="7"/>
  <c r="AE325" i="7"/>
  <c r="Z243" i="7"/>
  <c r="Z237" i="7"/>
  <c r="AC150" i="7"/>
  <c r="AC152" i="7"/>
  <c r="AC149" i="7"/>
  <c r="AC141" i="7"/>
  <c r="AC135" i="7"/>
  <c r="AC156" i="7"/>
  <c r="AC148" i="7"/>
  <c r="AC151" i="7"/>
  <c r="AC155" i="7"/>
  <c r="AC140" i="7"/>
  <c r="AC154" i="7"/>
  <c r="AC132" i="7"/>
  <c r="AC139" i="7"/>
  <c r="AC223" i="7"/>
  <c r="AC233" i="7"/>
  <c r="AE139" i="7"/>
  <c r="Z138" i="7"/>
  <c r="AE243" i="7"/>
  <c r="AE251" i="7"/>
  <c r="AE336" i="7"/>
  <c r="AC343" i="7"/>
  <c r="AC327" i="7"/>
  <c r="AC348" i="7"/>
  <c r="AC340" i="7"/>
  <c r="AC342" i="7"/>
  <c r="AC347" i="7"/>
  <c r="AC331" i="7"/>
  <c r="AC344" i="7"/>
  <c r="AC341" i="7"/>
  <c r="AC333" i="7"/>
  <c r="AC346" i="7"/>
  <c r="AC332" i="7"/>
  <c r="AC324" i="7"/>
  <c r="Z245" i="7"/>
  <c r="H245" i="7"/>
  <c r="G233" i="7"/>
  <c r="G223" i="7"/>
  <c r="J252" i="7"/>
  <c r="J245" i="7"/>
  <c r="J246" i="7"/>
  <c r="J240" i="7"/>
  <c r="J218" i="7"/>
  <c r="J254" i="7"/>
  <c r="J253" i="7"/>
  <c r="J238" i="7"/>
  <c r="J232" i="7"/>
  <c r="J249" i="7"/>
  <c r="J237" i="7"/>
  <c r="J251" i="7"/>
  <c r="J250" i="7"/>
  <c r="J248" i="7"/>
  <c r="J230" i="7"/>
  <c r="H231" i="7"/>
  <c r="H251" i="7"/>
  <c r="H143" i="7"/>
  <c r="X251" i="7"/>
  <c r="M250" i="7"/>
  <c r="J146" i="7"/>
  <c r="X325" i="7"/>
  <c r="K237" i="7"/>
  <c r="W155" i="7"/>
  <c r="M337" i="7"/>
  <c r="L41" i="7"/>
  <c r="L99" i="7" s="1"/>
  <c r="L67" i="14" s="1"/>
  <c r="W337" i="7"/>
  <c r="H348" i="7"/>
  <c r="H332" i="7"/>
  <c r="H342" i="7"/>
  <c r="H347" i="7"/>
  <c r="H331" i="7"/>
  <c r="H341" i="7"/>
  <c r="H346" i="7"/>
  <c r="H340" i="7"/>
  <c r="H324" i="7"/>
  <c r="H343" i="7"/>
  <c r="H344" i="7"/>
  <c r="H327" i="7"/>
  <c r="H333" i="7"/>
  <c r="H234" i="7"/>
  <c r="G386" i="7"/>
  <c r="J338" i="7"/>
  <c r="J137" i="7"/>
  <c r="X326" i="7"/>
  <c r="K238" i="7"/>
  <c r="M329" i="7"/>
  <c r="H241" i="7"/>
  <c r="J334" i="7"/>
  <c r="M252" i="7"/>
  <c r="J145" i="7"/>
  <c r="K248" i="7"/>
  <c r="H239" i="7"/>
  <c r="J337" i="7"/>
  <c r="K347" i="7"/>
  <c r="K331" i="7"/>
  <c r="K341" i="7"/>
  <c r="K346" i="7"/>
  <c r="K340" i="7"/>
  <c r="K324" i="7"/>
  <c r="K344" i="7"/>
  <c r="K342" i="7"/>
  <c r="K348" i="7"/>
  <c r="K327" i="7"/>
  <c r="K332" i="7"/>
  <c r="K333" i="7"/>
  <c r="K343" i="7"/>
  <c r="J227" i="7"/>
  <c r="J244" i="7"/>
  <c r="K326" i="7"/>
  <c r="H243" i="7"/>
  <c r="H248" i="7"/>
  <c r="J329" i="7"/>
  <c r="H146" i="7"/>
  <c r="L325" i="7"/>
  <c r="K249" i="7"/>
  <c r="K338" i="7"/>
  <c r="H41" i="7"/>
  <c r="H99" i="7" s="1"/>
  <c r="H67" i="14" s="1"/>
  <c r="X348" i="7"/>
  <c r="X332" i="7"/>
  <c r="X342" i="7"/>
  <c r="X347" i="7"/>
  <c r="X331" i="7"/>
  <c r="X341" i="7"/>
  <c r="X346" i="7"/>
  <c r="X340" i="7"/>
  <c r="X324" i="7"/>
  <c r="X327" i="7"/>
  <c r="X344" i="7"/>
  <c r="X333" i="7"/>
  <c r="X343" i="7"/>
  <c r="W136" i="7"/>
  <c r="W125" i="7"/>
  <c r="W192" i="7" s="1"/>
  <c r="H242" i="7"/>
  <c r="G326" i="7"/>
  <c r="H250" i="7"/>
  <c r="J335" i="7"/>
  <c r="W235" i="7"/>
  <c r="K41" i="7"/>
  <c r="K99" i="7" s="1"/>
  <c r="K67" i="14" s="1"/>
  <c r="K68" i="14" s="1"/>
  <c r="H338" i="7"/>
  <c r="M238" i="7"/>
  <c r="L338" i="7"/>
  <c r="W140" i="7"/>
  <c r="K334" i="7"/>
  <c r="G241" i="7"/>
  <c r="H125" i="7"/>
  <c r="H192" i="7" s="1"/>
  <c r="H136" i="7"/>
  <c r="J330" i="7"/>
  <c r="H334" i="7"/>
  <c r="X237" i="7"/>
  <c r="M249" i="7"/>
  <c r="L155" i="7"/>
  <c r="L149" i="7"/>
  <c r="L148" i="7"/>
  <c r="L152" i="7"/>
  <c r="L151" i="7"/>
  <c r="L150" i="7"/>
  <c r="L156" i="7"/>
  <c r="L141" i="7"/>
  <c r="L135" i="7"/>
  <c r="L154" i="7"/>
  <c r="L139" i="7"/>
  <c r="L132" i="7"/>
  <c r="L140" i="7"/>
  <c r="X125" i="7"/>
  <c r="X192" i="7" s="1"/>
  <c r="X136" i="7"/>
  <c r="X150" i="7"/>
  <c r="L337" i="7"/>
  <c r="K241" i="7"/>
  <c r="W149" i="7"/>
  <c r="G343" i="7"/>
  <c r="G327" i="7"/>
  <c r="G348" i="7"/>
  <c r="G342" i="7"/>
  <c r="G347" i="7"/>
  <c r="G331" i="7"/>
  <c r="G341" i="7"/>
  <c r="G346" i="7"/>
  <c r="G333" i="7"/>
  <c r="G340" i="7"/>
  <c r="G344" i="7"/>
  <c r="G332" i="7"/>
  <c r="G324" i="7"/>
  <c r="J386" i="7"/>
  <c r="H138" i="7"/>
  <c r="W239" i="7"/>
  <c r="L136" i="7"/>
  <c r="L125" i="7"/>
  <c r="L192" i="7" s="1"/>
  <c r="H329" i="7"/>
  <c r="X149" i="7"/>
  <c r="L326" i="7"/>
  <c r="K250" i="7"/>
  <c r="L142" i="7"/>
  <c r="K242" i="7"/>
  <c r="J41" i="7"/>
  <c r="J99" i="7" s="1"/>
  <c r="J67" i="14" s="1"/>
  <c r="W334" i="7"/>
  <c r="M233" i="7"/>
  <c r="M223" i="7"/>
  <c r="J239" i="7"/>
  <c r="J325" i="7"/>
  <c r="H335" i="7"/>
  <c r="G149" i="7"/>
  <c r="X139" i="7"/>
  <c r="L334" i="7"/>
  <c r="L134" i="7"/>
  <c r="W139" i="7"/>
  <c r="W338" i="7"/>
  <c r="K233" i="7"/>
  <c r="K223" i="7"/>
  <c r="W253" i="7"/>
  <c r="W246" i="7"/>
  <c r="W245" i="7"/>
  <c r="W251" i="7"/>
  <c r="W250" i="7"/>
  <c r="W249" i="7"/>
  <c r="W248" i="7"/>
  <c r="W252" i="7"/>
  <c r="W240" i="7"/>
  <c r="W218" i="7"/>
  <c r="W232" i="7"/>
  <c r="W237" i="7"/>
  <c r="W230" i="7"/>
  <c r="W238" i="7"/>
  <c r="W254" i="7"/>
  <c r="G253" i="7"/>
  <c r="G246" i="7"/>
  <c r="G251" i="7"/>
  <c r="G250" i="7"/>
  <c r="G249" i="7"/>
  <c r="G248" i="7"/>
  <c r="G252" i="7"/>
  <c r="G254" i="7"/>
  <c r="G245" i="7"/>
  <c r="G237" i="7"/>
  <c r="G240" i="7"/>
  <c r="G232" i="7"/>
  <c r="G218" i="7"/>
  <c r="G238" i="7"/>
  <c r="G230" i="7"/>
  <c r="J243" i="7"/>
  <c r="J336" i="7"/>
  <c r="W243" i="7"/>
  <c r="H330" i="7"/>
  <c r="X238" i="7"/>
  <c r="M246" i="7"/>
  <c r="X152" i="7"/>
  <c r="L329" i="7"/>
  <c r="L145" i="7"/>
  <c r="W152" i="7"/>
  <c r="G41" i="7"/>
  <c r="G99" i="7" s="1"/>
  <c r="G67" i="14" s="1"/>
  <c r="K386" i="7"/>
  <c r="M242" i="7"/>
  <c r="W236" i="7"/>
  <c r="H386" i="7"/>
  <c r="X329" i="7"/>
  <c r="L335" i="7"/>
  <c r="W150" i="7"/>
  <c r="W335" i="7"/>
  <c r="W233" i="7"/>
  <c r="W223" i="7"/>
  <c r="J143" i="7"/>
  <c r="G242" i="7"/>
  <c r="L238" i="7"/>
  <c r="X233" i="7"/>
  <c r="X223" i="7"/>
  <c r="H151" i="7"/>
  <c r="H156" i="7"/>
  <c r="H155" i="7"/>
  <c r="H132" i="7"/>
  <c r="H149" i="7"/>
  <c r="H139" i="7"/>
  <c r="H150" i="7"/>
  <c r="H141" i="7"/>
  <c r="H154" i="7"/>
  <c r="H148" i="7"/>
  <c r="H152" i="7"/>
  <c r="H135" i="7"/>
  <c r="H140" i="7"/>
  <c r="J234" i="7"/>
  <c r="H253" i="7"/>
  <c r="M241" i="7"/>
  <c r="M341" i="7"/>
  <c r="M346" i="7"/>
  <c r="M340" i="7"/>
  <c r="M324" i="7"/>
  <c r="M344" i="7"/>
  <c r="M333" i="7"/>
  <c r="M343" i="7"/>
  <c r="M348" i="7"/>
  <c r="M331" i="7"/>
  <c r="M332" i="7"/>
  <c r="M342" i="7"/>
  <c r="M327" i="7"/>
  <c r="M347" i="7"/>
  <c r="G136" i="7"/>
  <c r="G125" i="7"/>
  <c r="G192" i="7" s="1"/>
  <c r="W242" i="7"/>
  <c r="H325" i="7"/>
  <c r="X248" i="7"/>
  <c r="X144" i="7"/>
  <c r="G148" i="7"/>
  <c r="J138" i="7"/>
  <c r="X155" i="7"/>
  <c r="X334" i="7"/>
  <c r="L330" i="7"/>
  <c r="L146" i="7"/>
  <c r="W330" i="7"/>
  <c r="X241" i="7"/>
  <c r="K244" i="7"/>
  <c r="K227" i="7"/>
  <c r="H336" i="7"/>
  <c r="X249" i="7"/>
  <c r="X143" i="7"/>
  <c r="G150" i="7"/>
  <c r="W244" i="7"/>
  <c r="W227" i="7"/>
  <c r="J144" i="7"/>
  <c r="X140" i="7"/>
  <c r="X338" i="7"/>
  <c r="L386" i="7"/>
  <c r="L144" i="7"/>
  <c r="M326" i="7"/>
  <c r="L341" i="7"/>
  <c r="L346" i="7"/>
  <c r="L340" i="7"/>
  <c r="L324" i="7"/>
  <c r="L344" i="7"/>
  <c r="L343" i="7"/>
  <c r="L331" i="7"/>
  <c r="L348" i="7"/>
  <c r="L327" i="7"/>
  <c r="L332" i="7"/>
  <c r="L347" i="7"/>
  <c r="L342" i="7"/>
  <c r="L333" i="7"/>
  <c r="W386" i="7"/>
  <c r="J125" i="7"/>
  <c r="J192" i="7" s="1"/>
  <c r="J136" i="7"/>
  <c r="L223" i="7"/>
  <c r="L233" i="7"/>
  <c r="L248" i="7"/>
  <c r="G338" i="7"/>
  <c r="H252" i="7"/>
  <c r="H326" i="7"/>
  <c r="X250" i="7"/>
  <c r="X335" i="7"/>
  <c r="L336" i="7"/>
  <c r="K251" i="7"/>
  <c r="M336" i="7"/>
  <c r="W325" i="7"/>
  <c r="H235" i="7"/>
  <c r="J342" i="7"/>
  <c r="J347" i="7"/>
  <c r="J341" i="7"/>
  <c r="J346" i="7"/>
  <c r="J340" i="7"/>
  <c r="J324" i="7"/>
  <c r="J344" i="7"/>
  <c r="J348" i="7"/>
  <c r="J327" i="7"/>
  <c r="J332" i="7"/>
  <c r="J343" i="7"/>
  <c r="J333" i="7"/>
  <c r="J331" i="7"/>
  <c r="K329" i="7"/>
  <c r="I131" i="7"/>
  <c r="I194" i="7" s="1"/>
  <c r="I92" i="14" s="1"/>
  <c r="W343" i="7"/>
  <c r="W327" i="7"/>
  <c r="W348" i="7"/>
  <c r="W342" i="7"/>
  <c r="W347" i="7"/>
  <c r="W331" i="7"/>
  <c r="W341" i="7"/>
  <c r="W346" i="7"/>
  <c r="W344" i="7"/>
  <c r="W333" i="7"/>
  <c r="W332" i="7"/>
  <c r="W324" i="7"/>
  <c r="W340" i="7"/>
  <c r="L249" i="7"/>
  <c r="H236" i="7"/>
  <c r="G329" i="7"/>
  <c r="H144" i="7"/>
  <c r="H337" i="7"/>
  <c r="X246" i="7"/>
  <c r="M237" i="7"/>
  <c r="J150" i="7"/>
  <c r="J149" i="7"/>
  <c r="J132" i="7"/>
  <c r="J148" i="7"/>
  <c r="J155" i="7"/>
  <c r="J156" i="7"/>
  <c r="J139" i="7"/>
  <c r="J140" i="7"/>
  <c r="J154" i="7"/>
  <c r="J135" i="7"/>
  <c r="J152" i="7"/>
  <c r="J151" i="7"/>
  <c r="J141" i="7"/>
  <c r="J142" i="7"/>
  <c r="X330" i="7"/>
  <c r="M330" i="7"/>
  <c r="W336" i="7"/>
  <c r="E222" i="7"/>
  <c r="E233" i="7" s="1"/>
  <c r="E256" i="7"/>
  <c r="Z3" i="15"/>
  <c r="X3" i="15"/>
  <c r="H3" i="15"/>
  <c r="M3" i="15"/>
  <c r="G3" i="15"/>
  <c r="Y3" i="15"/>
  <c r="E208" i="7"/>
  <c r="E14" i="23" s="1"/>
  <c r="E226" i="7"/>
  <c r="E244" i="7" s="1"/>
  <c r="E212" i="7"/>
  <c r="E213" i="7" s="1"/>
  <c r="E217" i="7"/>
  <c r="Z29" i="14"/>
  <c r="Z30" i="14" s="1"/>
  <c r="Z31" i="14" s="1"/>
  <c r="Z18" i="13" s="1"/>
  <c r="X29" i="14"/>
  <c r="X30" i="14" s="1"/>
  <c r="X31" i="14" s="1"/>
  <c r="X18" i="13" s="1"/>
  <c r="W29" i="14"/>
  <c r="W30" i="14" s="1"/>
  <c r="W31" i="14" s="1"/>
  <c r="W18" i="13" s="1"/>
  <c r="P29" i="14"/>
  <c r="P30" i="14" s="1"/>
  <c r="P31" i="14" s="1"/>
  <c r="P18" i="13" s="1"/>
  <c r="H29" i="14"/>
  <c r="H30" i="14" s="1"/>
  <c r="H31" i="14" s="1"/>
  <c r="H18" i="13" s="1"/>
  <c r="N29" i="14"/>
  <c r="N30" i="14" s="1"/>
  <c r="N31" i="14" s="1"/>
  <c r="N18" i="13" s="1"/>
  <c r="G29" i="14"/>
  <c r="G30" i="14" s="1"/>
  <c r="G31" i="14" s="1"/>
  <c r="G18" i="13" s="1"/>
  <c r="O29" i="14"/>
  <c r="O30" i="14" s="1"/>
  <c r="O31" i="14" s="1"/>
  <c r="O18" i="13" s="1"/>
  <c r="I29" i="14"/>
  <c r="I30" i="14" s="1"/>
  <c r="I31" i="14" s="1"/>
  <c r="I18" i="13" s="1"/>
  <c r="L29" i="14"/>
  <c r="L30" i="14" s="1"/>
  <c r="L31" i="14" s="1"/>
  <c r="L18" i="13" s="1"/>
  <c r="M29" i="14"/>
  <c r="M30" i="14" s="1"/>
  <c r="M31" i="14" s="1"/>
  <c r="M18" i="13" s="1"/>
  <c r="E4" i="17"/>
  <c r="E7" i="17" s="1"/>
  <c r="E8" i="17" s="1"/>
  <c r="E9" i="17" s="1"/>
  <c r="E11" i="17" s="1"/>
  <c r="Y111" i="7"/>
  <c r="Y119" i="7"/>
  <c r="Y120" i="7" s="1"/>
  <c r="Y110" i="7"/>
  <c r="Y124" i="7"/>
  <c r="Y136" i="7" s="1"/>
  <c r="Y114" i="7"/>
  <c r="Y115" i="7" s="1"/>
  <c r="Y153" i="7" s="1"/>
  <c r="Y158" i="7"/>
  <c r="Y128" i="7"/>
  <c r="Y129" i="7" s="1"/>
  <c r="Y147" i="7" s="1"/>
  <c r="Y209" i="7"/>
  <c r="Y212" i="7"/>
  <c r="Y213" i="7" s="1"/>
  <c r="Y222" i="7"/>
  <c r="Y233" i="7" s="1"/>
  <c r="Y256" i="7"/>
  <c r="Y226" i="7"/>
  <c r="Y244" i="7" s="1"/>
  <c r="Y217" i="7"/>
  <c r="Y208" i="7"/>
  <c r="Y356" i="7"/>
  <c r="Y371" i="7" s="1"/>
  <c r="Y351" i="7"/>
  <c r="Y366" i="7" s="1"/>
  <c r="Y361" i="7"/>
  <c r="Y376" i="7" s="1"/>
  <c r="Y354" i="7"/>
  <c r="Y369" i="7" s="1"/>
  <c r="Y355" i="7"/>
  <c r="Y370" i="7" s="1"/>
  <c r="Y357" i="7"/>
  <c r="Y372" i="7" s="1"/>
  <c r="Y353" i="7"/>
  <c r="Y368" i="7" s="1"/>
  <c r="Y358" i="7"/>
  <c r="Y373" i="7" s="1"/>
  <c r="Y362" i="7"/>
  <c r="Y377" i="7" s="1"/>
  <c r="Y298" i="7"/>
  <c r="Y352" i="7"/>
  <c r="Y367" i="7" s="1"/>
  <c r="Y360" i="7"/>
  <c r="Y375" i="7" s="1"/>
  <c r="Y363" i="7"/>
  <c r="Y378" i="7" s="1"/>
  <c r="Y359" i="7"/>
  <c r="Y374" i="7" s="1"/>
  <c r="Y36" i="7"/>
  <c r="Y31" i="7"/>
  <c r="Y26" i="7"/>
  <c r="Y40" i="7"/>
  <c r="E311" i="7"/>
  <c r="E312" i="7" s="1"/>
  <c r="E320" i="7"/>
  <c r="E321" i="7" s="1"/>
  <c r="E339" i="7" s="1"/>
  <c r="E302" i="7"/>
  <c r="E306" i="7"/>
  <c r="E307" i="7" s="1"/>
  <c r="E345" i="7" s="1"/>
  <c r="E316" i="7"/>
  <c r="E317" i="7" s="1"/>
  <c r="E328" i="7" s="1"/>
  <c r="E350" i="7"/>
  <c r="Z220" i="23" l="1"/>
  <c r="Z221" i="23" s="1"/>
  <c r="Z219" i="23"/>
  <c r="AA207" i="23"/>
  <c r="AA27" i="23" s="1"/>
  <c r="AO207" i="23"/>
  <c r="AE218" i="23"/>
  <c r="AE220" i="23" s="1"/>
  <c r="AE221" i="23" s="1"/>
  <c r="AQ219" i="23"/>
  <c r="AQ222" i="23" s="1"/>
  <c r="W15" i="17"/>
  <c r="W27" i="13" s="1"/>
  <c r="X96" i="23"/>
  <c r="X97" i="23" s="1"/>
  <c r="X95" i="23"/>
  <c r="W220" i="23"/>
  <c r="W221" i="23" s="1"/>
  <c r="W219" i="23"/>
  <c r="AZ218" i="23"/>
  <c r="AZ220" i="23" s="1"/>
  <c r="AZ221" i="23" s="1"/>
  <c r="N81" i="23"/>
  <c r="N82" i="23" s="1"/>
  <c r="N80" i="23"/>
  <c r="BB220" i="23"/>
  <c r="BB221" i="23" s="1"/>
  <c r="BB219" i="23"/>
  <c r="BF96" i="23"/>
  <c r="BF97" i="23" s="1"/>
  <c r="BF95" i="23"/>
  <c r="AN204" i="23"/>
  <c r="AN207" i="23" s="1"/>
  <c r="Z95" i="23"/>
  <c r="K95" i="23"/>
  <c r="BD204" i="23"/>
  <c r="BD207" i="23" s="1"/>
  <c r="AN95" i="23"/>
  <c r="W95" i="23"/>
  <c r="AT80" i="23"/>
  <c r="AQ95" i="23"/>
  <c r="AQ98" i="23" s="1"/>
  <c r="AQ150" i="23" s="1"/>
  <c r="AL80" i="23"/>
  <c r="AL83" i="23" s="1"/>
  <c r="AC218" i="23"/>
  <c r="AC220" i="23" s="1"/>
  <c r="AC221" i="23" s="1"/>
  <c r="AB204" i="23"/>
  <c r="AB207" i="23" s="1"/>
  <c r="G219" i="23"/>
  <c r="AI94" i="23"/>
  <c r="AI96" i="23" s="1"/>
  <c r="AI97" i="23" s="1"/>
  <c r="M219" i="23"/>
  <c r="M222" i="23" s="1"/>
  <c r="U95" i="23"/>
  <c r="AO219" i="23"/>
  <c r="AW95" i="23"/>
  <c r="AX219" i="23"/>
  <c r="W204" i="23"/>
  <c r="W207" i="23" s="1"/>
  <c r="I222" i="23"/>
  <c r="I277" i="23" s="1"/>
  <c r="BE94" i="23"/>
  <c r="BE96" i="23" s="1"/>
  <c r="BE97" i="23" s="1"/>
  <c r="AH204" i="23"/>
  <c r="AH207" i="23" s="1"/>
  <c r="AW204" i="23"/>
  <c r="AW207" i="23" s="1"/>
  <c r="AW27" i="23" s="1"/>
  <c r="AH219" i="23"/>
  <c r="AH222" i="23" s="1"/>
  <c r="AP207" i="23"/>
  <c r="AR95" i="23"/>
  <c r="AR98" i="23" s="1"/>
  <c r="AY95" i="23"/>
  <c r="J98" i="23"/>
  <c r="J150" i="23" s="1"/>
  <c r="J151" i="23" s="1"/>
  <c r="AX204" i="23"/>
  <c r="AX207" i="23" s="1"/>
  <c r="AD204" i="23"/>
  <c r="AD207" i="23" s="1"/>
  <c r="Y95" i="23"/>
  <c r="AY94" i="23"/>
  <c r="AY96" i="23" s="1"/>
  <c r="AY97" i="23" s="1"/>
  <c r="AM204" i="23"/>
  <c r="AM207" i="23" s="1"/>
  <c r="AM27" i="23" s="1"/>
  <c r="P219" i="23"/>
  <c r="AW219" i="23"/>
  <c r="O218" i="23"/>
  <c r="O220" i="23" s="1"/>
  <c r="O221" i="23" s="1"/>
  <c r="AM95" i="23"/>
  <c r="G94" i="23"/>
  <c r="G96" i="23" s="1"/>
  <c r="G97" i="23" s="1"/>
  <c r="BE80" i="23"/>
  <c r="AD96" i="23"/>
  <c r="AD97" i="23" s="1"/>
  <c r="AD95" i="23"/>
  <c r="AL92" i="23"/>
  <c r="AL93" i="23" s="1"/>
  <c r="AL94" i="23" s="1"/>
  <c r="AL96" i="23" s="1"/>
  <c r="AL97" i="23" s="1"/>
  <c r="AN220" i="23"/>
  <c r="AN221" i="23" s="1"/>
  <c r="AN219" i="23"/>
  <c r="BA216" i="23"/>
  <c r="BA217" i="23" s="1"/>
  <c r="BA218" i="23" s="1"/>
  <c r="BA220" i="23" s="1"/>
  <c r="BA221" i="23" s="1"/>
  <c r="BE220" i="23"/>
  <c r="BE221" i="23" s="1"/>
  <c r="BE219" i="23"/>
  <c r="AV205" i="23"/>
  <c r="AV206" i="23" s="1"/>
  <c r="AV204" i="23"/>
  <c r="AL220" i="23"/>
  <c r="AL221" i="23" s="1"/>
  <c r="AL219" i="23"/>
  <c r="I92" i="23"/>
  <c r="I93" i="23" s="1"/>
  <c r="I94" i="23" s="1"/>
  <c r="N92" i="23"/>
  <c r="N93" i="23" s="1"/>
  <c r="N94" i="23" s="1"/>
  <c r="N96" i="23" s="1"/>
  <c r="N97" i="23" s="1"/>
  <c r="AT92" i="23"/>
  <c r="AT93" i="23" s="1"/>
  <c r="AT94" i="23" s="1"/>
  <c r="AY220" i="23"/>
  <c r="AY221" i="23" s="1"/>
  <c r="AY219" i="23"/>
  <c r="P96" i="23"/>
  <c r="P97" i="23" s="1"/>
  <c r="P95" i="23"/>
  <c r="BD216" i="23"/>
  <c r="BD217" i="23" s="1"/>
  <c r="BD218" i="23" s="1"/>
  <c r="AU92" i="23"/>
  <c r="AU93" i="23" s="1"/>
  <c r="AU94" i="23" s="1"/>
  <c r="AU96" i="23" s="1"/>
  <c r="AU97" i="23" s="1"/>
  <c r="T220" i="23"/>
  <c r="T221" i="23" s="1"/>
  <c r="T219" i="23"/>
  <c r="J220" i="23"/>
  <c r="J221" i="23" s="1"/>
  <c r="J219" i="23"/>
  <c r="AG220" i="23"/>
  <c r="AG221" i="23" s="1"/>
  <c r="AG219" i="23"/>
  <c r="AV216" i="23"/>
  <c r="AV217" i="23" s="1"/>
  <c r="L220" i="23"/>
  <c r="L221" i="23" s="1"/>
  <c r="L219" i="23"/>
  <c r="AP92" i="23"/>
  <c r="AP93" i="23" s="1"/>
  <c r="AP94" i="23" s="1"/>
  <c r="AP96" i="23" s="1"/>
  <c r="AP97" i="23" s="1"/>
  <c r="O98" i="23"/>
  <c r="O150" i="23" s="1"/>
  <c r="AS220" i="23"/>
  <c r="AS221" i="23" s="1"/>
  <c r="AS219" i="23"/>
  <c r="AP220" i="23"/>
  <c r="AP221" i="23" s="1"/>
  <c r="AP219" i="23"/>
  <c r="R94" i="23"/>
  <c r="R96" i="23" s="1"/>
  <c r="R97" i="23" s="1"/>
  <c r="Q95" i="23"/>
  <c r="Q98" i="23" s="1"/>
  <c r="V219" i="23"/>
  <c r="V222" i="23" s="1"/>
  <c r="AV94" i="23"/>
  <c r="AV96" i="23" s="1"/>
  <c r="AV97" i="23" s="1"/>
  <c r="BA95" i="23"/>
  <c r="BA98" i="23" s="1"/>
  <c r="BA150" i="23" s="1"/>
  <c r="BA83" i="23"/>
  <c r="X203" i="23"/>
  <c r="X205" i="23" s="1"/>
  <c r="X206" i="23" s="1"/>
  <c r="Y218" i="23"/>
  <c r="Y220" i="23" s="1"/>
  <c r="Y221" i="23" s="1"/>
  <c r="AX222" i="23"/>
  <c r="AD219" i="23"/>
  <c r="AD222" i="23" s="1"/>
  <c r="BD95" i="23"/>
  <c r="BD98" i="23" s="1"/>
  <c r="BD150" i="23" s="1"/>
  <c r="AA218" i="23"/>
  <c r="AA220" i="23" s="1"/>
  <c r="AA221" i="23" s="1"/>
  <c r="AA83" i="23"/>
  <c r="R218" i="23"/>
  <c r="R220" i="23" s="1"/>
  <c r="R221" i="23" s="1"/>
  <c r="T94" i="23"/>
  <c r="T96" i="23" s="1"/>
  <c r="T97" i="23" s="1"/>
  <c r="S218" i="23"/>
  <c r="S220" i="23" s="1"/>
  <c r="S221" i="23" s="1"/>
  <c r="BC94" i="23"/>
  <c r="BC96" i="23" s="1"/>
  <c r="BC97" i="23" s="1"/>
  <c r="S83" i="23"/>
  <c r="AK95" i="23"/>
  <c r="AK98" i="23" s="1"/>
  <c r="AK150" i="23" s="1"/>
  <c r="AF95" i="23"/>
  <c r="AF98" i="23" s="1"/>
  <c r="AF150" i="23" s="1"/>
  <c r="Q218" i="23"/>
  <c r="Q220" i="23" s="1"/>
  <c r="Q221" i="23" s="1"/>
  <c r="AW98" i="23"/>
  <c r="AW150" i="23" s="1"/>
  <c r="AK218" i="23"/>
  <c r="AK220" i="23" s="1"/>
  <c r="AK221" i="23" s="1"/>
  <c r="AF204" i="23"/>
  <c r="AC98" i="23"/>
  <c r="AC150" i="23" s="1"/>
  <c r="AO94" i="23"/>
  <c r="AO96" i="23" s="1"/>
  <c r="AO97" i="23" s="1"/>
  <c r="M98" i="23"/>
  <c r="M150" i="23" s="1"/>
  <c r="AB95" i="23"/>
  <c r="AB98" i="23" s="1"/>
  <c r="K207" i="23"/>
  <c r="K83" i="23"/>
  <c r="AT207" i="23"/>
  <c r="AX95" i="23"/>
  <c r="AX98" i="23" s="1"/>
  <c r="AS80" i="23"/>
  <c r="AS83" i="23" s="1"/>
  <c r="AS23" i="23" s="1"/>
  <c r="AH94" i="23"/>
  <c r="AH96" i="23" s="1"/>
  <c r="AH97" i="23" s="1"/>
  <c r="BF219" i="23"/>
  <c r="BF222" i="23" s="1"/>
  <c r="AF207" i="23"/>
  <c r="AM222" i="23"/>
  <c r="J152" i="23"/>
  <c r="J149" i="23"/>
  <c r="J148" i="23"/>
  <c r="S94" i="23"/>
  <c r="S96" i="23" s="1"/>
  <c r="S97" i="23" s="1"/>
  <c r="AR219" i="23"/>
  <c r="AR222" i="23" s="1"/>
  <c r="BB153" i="23"/>
  <c r="BB152" i="23"/>
  <c r="BB151" i="23"/>
  <c r="BB147" i="23"/>
  <c r="BB149" i="23"/>
  <c r="BB148" i="23"/>
  <c r="X83" i="23"/>
  <c r="AO83" i="23"/>
  <c r="U207" i="23"/>
  <c r="O95" i="23"/>
  <c r="BG218" i="23"/>
  <c r="BG220" i="23" s="1"/>
  <c r="BG221" i="23" s="1"/>
  <c r="AM80" i="23"/>
  <c r="AM83" i="23" s="1"/>
  <c r="AM23" i="23" s="1"/>
  <c r="H94" i="23"/>
  <c r="H96" i="23" s="1"/>
  <c r="H97" i="23" s="1"/>
  <c r="AU80" i="23"/>
  <c r="AU83" i="23" s="1"/>
  <c r="X216" i="23"/>
  <c r="X217" i="23" s="1"/>
  <c r="X218" i="23" s="1"/>
  <c r="BG95" i="23"/>
  <c r="BG98" i="23" s="1"/>
  <c r="BG150" i="23" s="1"/>
  <c r="AA95" i="23"/>
  <c r="AA98" i="23" s="1"/>
  <c r="AA150" i="23" s="1"/>
  <c r="N83" i="23"/>
  <c r="N23" i="23" s="1"/>
  <c r="AY98" i="23"/>
  <c r="AY150" i="23" s="1"/>
  <c r="L153" i="23"/>
  <c r="L152" i="23"/>
  <c r="L147" i="23"/>
  <c r="L149" i="23"/>
  <c r="L151" i="23"/>
  <c r="L148" i="23"/>
  <c r="F94" i="23"/>
  <c r="F96" i="23" s="1"/>
  <c r="F97" i="23" s="1"/>
  <c r="I79" i="23"/>
  <c r="I81" i="23" s="1"/>
  <c r="I82" i="23" s="1"/>
  <c r="BG207" i="23"/>
  <c r="AE204" i="23"/>
  <c r="BC219" i="23"/>
  <c r="BC222" i="23" s="1"/>
  <c r="H216" i="23"/>
  <c r="H217" i="23" s="1"/>
  <c r="H218" i="23" s="1"/>
  <c r="G222" i="23"/>
  <c r="F219" i="23"/>
  <c r="F222" i="23" s="1"/>
  <c r="Y98" i="23"/>
  <c r="Y150" i="23" s="1"/>
  <c r="AU204" i="23"/>
  <c r="AU207" i="23" s="1"/>
  <c r="AU27" i="23" s="1"/>
  <c r="I272" i="23"/>
  <c r="I274" i="23"/>
  <c r="I271" i="23"/>
  <c r="I276" i="23"/>
  <c r="I273" i="23"/>
  <c r="I275" i="23"/>
  <c r="AP80" i="23"/>
  <c r="AP83" i="23" s="1"/>
  <c r="P222" i="23"/>
  <c r="AM98" i="23"/>
  <c r="AG204" i="23"/>
  <c r="AG207" i="23" s="1"/>
  <c r="H80" i="23"/>
  <c r="H83" i="23" s="1"/>
  <c r="Y80" i="23"/>
  <c r="Y83" i="23" s="1"/>
  <c r="W80" i="23"/>
  <c r="AT218" i="23"/>
  <c r="AT220" i="23" s="1"/>
  <c r="AT221" i="23" s="1"/>
  <c r="I204" i="23"/>
  <c r="I207" i="23" s="1"/>
  <c r="AJ95" i="23"/>
  <c r="AJ98" i="23" s="1"/>
  <c r="AW222" i="23"/>
  <c r="AG95" i="23"/>
  <c r="AG98" i="23" s="1"/>
  <c r="AG150" i="23" s="1"/>
  <c r="V94" i="23"/>
  <c r="V96" i="23" s="1"/>
  <c r="V97" i="23" s="1"/>
  <c r="W83" i="23"/>
  <c r="G80" i="23"/>
  <c r="G83" i="23" s="1"/>
  <c r="AB219" i="23"/>
  <c r="AB222" i="23" s="1"/>
  <c r="AE80" i="23"/>
  <c r="AE83" i="23" s="1"/>
  <c r="AY207" i="23"/>
  <c r="W98" i="23"/>
  <c r="W150" i="23" s="1"/>
  <c r="U98" i="23"/>
  <c r="U150" i="23" s="1"/>
  <c r="AR80" i="23"/>
  <c r="AR83" i="23" s="1"/>
  <c r="AR23" i="23" s="1"/>
  <c r="H204" i="23"/>
  <c r="H207" i="23" s="1"/>
  <c r="AI207" i="23"/>
  <c r="AU218" i="23"/>
  <c r="AU220" i="23" s="1"/>
  <c r="AU221" i="23" s="1"/>
  <c r="BA203" i="23"/>
  <c r="BA205" i="23" s="1"/>
  <c r="BA206" i="23" s="1"/>
  <c r="AN98" i="23"/>
  <c r="AN150" i="23" s="1"/>
  <c r="AJ218" i="23"/>
  <c r="AJ220" i="23" s="1"/>
  <c r="AJ221" i="23" s="1"/>
  <c r="Z222" i="23"/>
  <c r="BC83" i="23"/>
  <c r="AZ94" i="23"/>
  <c r="AZ96" i="23" s="1"/>
  <c r="AZ97" i="23" s="1"/>
  <c r="K98" i="23"/>
  <c r="K150" i="23" s="1"/>
  <c r="K218" i="23"/>
  <c r="K220" i="23" s="1"/>
  <c r="K221" i="23" s="1"/>
  <c r="AZ80" i="23"/>
  <c r="AZ83" i="23" s="1"/>
  <c r="AT83" i="23"/>
  <c r="AT23" i="23" s="1"/>
  <c r="AO222" i="23"/>
  <c r="Z98" i="23"/>
  <c r="Z150" i="23" s="1"/>
  <c r="U218" i="23"/>
  <c r="U220" i="23" s="1"/>
  <c r="U221" i="23" s="1"/>
  <c r="AI218" i="23"/>
  <c r="AI220" i="23" s="1"/>
  <c r="AI221" i="23" s="1"/>
  <c r="BB222" i="23"/>
  <c r="AS95" i="23"/>
  <c r="AS98" i="23" s="1"/>
  <c r="BD80" i="23"/>
  <c r="BD83" i="23" s="1"/>
  <c r="AE95" i="23"/>
  <c r="AE98" i="23" s="1"/>
  <c r="AE150" i="23" s="1"/>
  <c r="N219" i="23"/>
  <c r="N222" i="23" s="1"/>
  <c r="X98" i="23"/>
  <c r="X150" i="23" s="1"/>
  <c r="G204" i="23"/>
  <c r="G207" i="23" s="1"/>
  <c r="G27" i="23" s="1"/>
  <c r="AF216" i="23"/>
  <c r="AF217" i="23" s="1"/>
  <c r="AE207" i="23"/>
  <c r="BE83" i="23"/>
  <c r="AX83" i="23"/>
  <c r="AX23" i="23" s="1"/>
  <c r="E32" i="23"/>
  <c r="V21" i="7"/>
  <c r="AH15" i="17"/>
  <c r="AH27" i="13" s="1"/>
  <c r="V39" i="7"/>
  <c r="V56" i="7" s="1"/>
  <c r="V35" i="7"/>
  <c r="V36" i="7" s="1"/>
  <c r="V68" i="7"/>
  <c r="V83" i="7" s="1"/>
  <c r="V40" i="7"/>
  <c r="AC15" i="17"/>
  <c r="AC27" i="13" s="1"/>
  <c r="AN362" i="7"/>
  <c r="AN377" i="7" s="1"/>
  <c r="E121" i="23"/>
  <c r="E60" i="23"/>
  <c r="Y247" i="7"/>
  <c r="O161" i="7"/>
  <c r="O176" i="7" s="1"/>
  <c r="O108" i="7"/>
  <c r="O111" i="7" s="1"/>
  <c r="O166" i="7"/>
  <c r="O181" i="7" s="1"/>
  <c r="O168" i="7"/>
  <c r="O183" i="7" s="1"/>
  <c r="O170" i="7"/>
  <c r="O185" i="7" s="1"/>
  <c r="O171" i="7"/>
  <c r="O186" i="7" s="1"/>
  <c r="O167" i="7"/>
  <c r="O182" i="7" s="1"/>
  <c r="O163" i="7"/>
  <c r="O178" i="7" s="1"/>
  <c r="O165" i="7"/>
  <c r="O180" i="7" s="1"/>
  <c r="O164" i="7"/>
  <c r="O179" i="7" s="1"/>
  <c r="O159" i="7"/>
  <c r="O174" i="7" s="1"/>
  <c r="O160" i="7"/>
  <c r="O175" i="7" s="1"/>
  <c r="O162" i="7"/>
  <c r="O177" i="7" s="1"/>
  <c r="O169" i="7"/>
  <c r="O184" i="7" s="1"/>
  <c r="O114" i="7"/>
  <c r="O115" i="7" s="1"/>
  <c r="O153" i="7" s="1"/>
  <c r="O158" i="7"/>
  <c r="O173" i="7" s="1"/>
  <c r="L12" i="17"/>
  <c r="L15" i="17"/>
  <c r="L27" i="13" s="1"/>
  <c r="AM3" i="22"/>
  <c r="AO3" i="11"/>
  <c r="V266" i="7"/>
  <c r="V281" i="7" s="1"/>
  <c r="V269" i="7"/>
  <c r="V284" i="7" s="1"/>
  <c r="V260" i="7"/>
  <c r="V275" i="7" s="1"/>
  <c r="V263" i="7"/>
  <c r="V278" i="7" s="1"/>
  <c r="V264" i="7"/>
  <c r="V279" i="7" s="1"/>
  <c r="V262" i="7"/>
  <c r="V277" i="7" s="1"/>
  <c r="V258" i="7"/>
  <c r="V273" i="7" s="1"/>
  <c r="V257" i="7"/>
  <c r="V272" i="7" s="1"/>
  <c r="V265" i="7"/>
  <c r="V280" i="7" s="1"/>
  <c r="V261" i="7"/>
  <c r="V276" i="7" s="1"/>
  <c r="V259" i="7"/>
  <c r="V274" i="7" s="1"/>
  <c r="V204" i="7"/>
  <c r="V256" i="7" s="1"/>
  <c r="V271" i="7" s="1"/>
  <c r="V268" i="7"/>
  <c r="V283" i="7" s="1"/>
  <c r="V267" i="7"/>
  <c r="V282" i="7" s="1"/>
  <c r="V226" i="7"/>
  <c r="V244" i="7" s="1"/>
  <c r="E247" i="7"/>
  <c r="E18" i="23"/>
  <c r="E245" i="23" s="1"/>
  <c r="AA4" i="17"/>
  <c r="AA7" i="17" s="1"/>
  <c r="AA8" i="17" s="1"/>
  <c r="AA9" i="17" s="1"/>
  <c r="AA11" i="17" s="1"/>
  <c r="AA12" i="17" s="1"/>
  <c r="AA14" i="17" s="1"/>
  <c r="AA28" i="13" s="1"/>
  <c r="AG3" i="11"/>
  <c r="AE3" i="22"/>
  <c r="AA3" i="21"/>
  <c r="AA7" i="21" s="1"/>
  <c r="AE227" i="22" s="1"/>
  <c r="AA80" i="21" s="1"/>
  <c r="U358" i="7"/>
  <c r="U373" i="7" s="1"/>
  <c r="U353" i="7"/>
  <c r="U368" i="7" s="1"/>
  <c r="U354" i="7"/>
  <c r="U369" i="7" s="1"/>
  <c r="U351" i="7"/>
  <c r="U366" i="7" s="1"/>
  <c r="U357" i="7"/>
  <c r="U372" i="7" s="1"/>
  <c r="U360" i="7"/>
  <c r="U375" i="7" s="1"/>
  <c r="U298" i="7"/>
  <c r="U311" i="7" s="1"/>
  <c r="U312" i="7" s="1"/>
  <c r="U352" i="7"/>
  <c r="U367" i="7" s="1"/>
  <c r="U355" i="7"/>
  <c r="U370" i="7" s="1"/>
  <c r="U356" i="7"/>
  <c r="U371" i="7" s="1"/>
  <c r="U361" i="7"/>
  <c r="U376" i="7" s="1"/>
  <c r="U363" i="7"/>
  <c r="U378" i="7" s="1"/>
  <c r="U362" i="7"/>
  <c r="U377" i="7" s="1"/>
  <c r="U359" i="7"/>
  <c r="U374" i="7" s="1"/>
  <c r="U306" i="7"/>
  <c r="U307" i="7" s="1"/>
  <c r="U345" i="7" s="1"/>
  <c r="U350" i="7"/>
  <c r="U365" i="7" s="1"/>
  <c r="T162" i="7"/>
  <c r="T177" i="7" s="1"/>
  <c r="T164" i="7"/>
  <c r="T179" i="7" s="1"/>
  <c r="T167" i="7"/>
  <c r="T182" i="7" s="1"/>
  <c r="T171" i="7"/>
  <c r="T186" i="7" s="1"/>
  <c r="T170" i="7"/>
  <c r="T185" i="7" s="1"/>
  <c r="T108" i="7"/>
  <c r="T111" i="7" s="1"/>
  <c r="T163" i="7"/>
  <c r="T178" i="7" s="1"/>
  <c r="T110" i="7"/>
  <c r="T168" i="7"/>
  <c r="T183" i="7" s="1"/>
  <c r="T159" i="7"/>
  <c r="T174" i="7" s="1"/>
  <c r="T169" i="7"/>
  <c r="T184" i="7" s="1"/>
  <c r="T166" i="7"/>
  <c r="T181" i="7" s="1"/>
  <c r="T160" i="7"/>
  <c r="T175" i="7" s="1"/>
  <c r="T165" i="7"/>
  <c r="T180" i="7" s="1"/>
  <c r="T161" i="7"/>
  <c r="T176" i="7" s="1"/>
  <c r="E55" i="23"/>
  <c r="E123" i="23"/>
  <c r="E53" i="23"/>
  <c r="E141" i="23"/>
  <c r="E63" i="23"/>
  <c r="E111" i="23"/>
  <c r="E102" i="23"/>
  <c r="E103" i="23"/>
  <c r="E122" i="23"/>
  <c r="E105" i="23"/>
  <c r="E62" i="23"/>
  <c r="E67" i="23"/>
  <c r="E112" i="23"/>
  <c r="E113" i="23"/>
  <c r="E57" i="23"/>
  <c r="E104" i="23"/>
  <c r="E58" i="23"/>
  <c r="P22" i="7"/>
  <c r="P39" i="7"/>
  <c r="P35" i="7"/>
  <c r="P30" i="7"/>
  <c r="P21" i="7"/>
  <c r="P68" i="7"/>
  <c r="P83" i="7" s="1"/>
  <c r="P98" i="7" s="1"/>
  <c r="P25" i="7"/>
  <c r="R160" i="7"/>
  <c r="R175" i="7" s="1"/>
  <c r="R168" i="7"/>
  <c r="R183" i="7" s="1"/>
  <c r="R170" i="7"/>
  <c r="R185" i="7" s="1"/>
  <c r="R108" i="7"/>
  <c r="R110" i="7" s="1"/>
  <c r="R167" i="7"/>
  <c r="R182" i="7" s="1"/>
  <c r="R169" i="7"/>
  <c r="R184" i="7" s="1"/>
  <c r="R165" i="7"/>
  <c r="R180" i="7" s="1"/>
  <c r="R166" i="7"/>
  <c r="R181" i="7" s="1"/>
  <c r="R163" i="7"/>
  <c r="R178" i="7" s="1"/>
  <c r="R159" i="7"/>
  <c r="R174" i="7" s="1"/>
  <c r="R162" i="7"/>
  <c r="R177" i="7" s="1"/>
  <c r="R164" i="7"/>
  <c r="R179" i="7" s="1"/>
  <c r="R161" i="7"/>
  <c r="R176" i="7" s="1"/>
  <c r="R171" i="7"/>
  <c r="R186" i="7" s="1"/>
  <c r="AN22" i="7"/>
  <c r="E132" i="7"/>
  <c r="E141" i="7"/>
  <c r="E135" i="7"/>
  <c r="N22" i="7"/>
  <c r="N25" i="7"/>
  <c r="N21" i="7"/>
  <c r="N35" i="7"/>
  <c r="N39" i="7"/>
  <c r="N68" i="7"/>
  <c r="N83" i="7" s="1"/>
  <c r="N98" i="7" s="1"/>
  <c r="N30" i="7"/>
  <c r="Q263" i="7"/>
  <c r="Q278" i="7" s="1"/>
  <c r="Q258" i="7"/>
  <c r="Q273" i="7" s="1"/>
  <c r="Q259" i="7"/>
  <c r="Q274" i="7" s="1"/>
  <c r="Q267" i="7"/>
  <c r="Q282" i="7" s="1"/>
  <c r="Q262" i="7"/>
  <c r="Q277" i="7" s="1"/>
  <c r="Q269" i="7"/>
  <c r="Q284" i="7" s="1"/>
  <c r="Q257" i="7"/>
  <c r="Q272" i="7" s="1"/>
  <c r="Q261" i="7"/>
  <c r="Q276" i="7" s="1"/>
  <c r="Q265" i="7"/>
  <c r="Q280" i="7" s="1"/>
  <c r="Q266" i="7"/>
  <c r="Q281" i="7" s="1"/>
  <c r="Q264" i="7"/>
  <c r="Q279" i="7" s="1"/>
  <c r="Q268" i="7"/>
  <c r="Q283" i="7" s="1"/>
  <c r="Q204" i="7"/>
  <c r="Q260" i="7"/>
  <c r="Q275" i="7" s="1"/>
  <c r="F22" i="7"/>
  <c r="F30" i="7"/>
  <c r="F68" i="7"/>
  <c r="F83" i="7" s="1"/>
  <c r="F98" i="7" s="1"/>
  <c r="F25" i="7"/>
  <c r="F35" i="7"/>
  <c r="F21" i="7"/>
  <c r="F39" i="7"/>
  <c r="T22" i="7"/>
  <c r="T21" i="7"/>
  <c r="T35" i="7"/>
  <c r="T39" i="7"/>
  <c r="T30" i="7"/>
  <c r="T25" i="7"/>
  <c r="T68" i="7"/>
  <c r="T83" i="7" s="1"/>
  <c r="T98" i="7" s="1"/>
  <c r="O22" i="7"/>
  <c r="O21" i="7"/>
  <c r="O68" i="7"/>
  <c r="O83" i="7" s="1"/>
  <c r="O98" i="7" s="1"/>
  <c r="O25" i="7"/>
  <c r="O39" i="7"/>
  <c r="O35" i="7"/>
  <c r="U22" i="7"/>
  <c r="U68" i="7"/>
  <c r="U83" i="7" s="1"/>
  <c r="U98" i="7" s="1"/>
  <c r="U30" i="7"/>
  <c r="U25" i="7"/>
  <c r="U35" i="7"/>
  <c r="U39" i="7"/>
  <c r="U21" i="7"/>
  <c r="T265" i="7"/>
  <c r="T280" i="7" s="1"/>
  <c r="T260" i="7"/>
  <c r="T275" i="7" s="1"/>
  <c r="T264" i="7"/>
  <c r="T279" i="7" s="1"/>
  <c r="T258" i="7"/>
  <c r="T273" i="7" s="1"/>
  <c r="T257" i="7"/>
  <c r="T272" i="7" s="1"/>
  <c r="T267" i="7"/>
  <c r="T282" i="7" s="1"/>
  <c r="T268" i="7"/>
  <c r="T283" i="7" s="1"/>
  <c r="T262" i="7"/>
  <c r="T277" i="7" s="1"/>
  <c r="T263" i="7"/>
  <c r="T278" i="7" s="1"/>
  <c r="T261" i="7"/>
  <c r="T276" i="7" s="1"/>
  <c r="T259" i="7"/>
  <c r="T274" i="7" s="1"/>
  <c r="T269" i="7"/>
  <c r="T284" i="7" s="1"/>
  <c r="T266" i="7"/>
  <c r="T281" i="7" s="1"/>
  <c r="T204" i="7"/>
  <c r="T222" i="7" s="1"/>
  <c r="R267" i="7"/>
  <c r="R282" i="7" s="1"/>
  <c r="R264" i="7"/>
  <c r="R279" i="7" s="1"/>
  <c r="R263" i="7"/>
  <c r="R278" i="7" s="1"/>
  <c r="R268" i="7"/>
  <c r="R283" i="7" s="1"/>
  <c r="R269" i="7"/>
  <c r="R284" i="7" s="1"/>
  <c r="R204" i="7"/>
  <c r="R265" i="7"/>
  <c r="R280" i="7" s="1"/>
  <c r="R261" i="7"/>
  <c r="R276" i="7" s="1"/>
  <c r="R266" i="7"/>
  <c r="R281" i="7" s="1"/>
  <c r="R258" i="7"/>
  <c r="R273" i="7" s="1"/>
  <c r="R257" i="7"/>
  <c r="R272" i="7" s="1"/>
  <c r="R259" i="7"/>
  <c r="R274" i="7" s="1"/>
  <c r="R260" i="7"/>
  <c r="R275" i="7" s="1"/>
  <c r="R262" i="7"/>
  <c r="R277" i="7" s="1"/>
  <c r="E124" i="23"/>
  <c r="T356" i="7"/>
  <c r="T371" i="7" s="1"/>
  <c r="T351" i="7"/>
  <c r="T366" i="7" s="1"/>
  <c r="T361" i="7"/>
  <c r="T376" i="7" s="1"/>
  <c r="T355" i="7"/>
  <c r="T370" i="7" s="1"/>
  <c r="T298" i="7"/>
  <c r="T303" i="7" s="1"/>
  <c r="T363" i="7"/>
  <c r="T378" i="7" s="1"/>
  <c r="T360" i="7"/>
  <c r="T375" i="7" s="1"/>
  <c r="T354" i="7"/>
  <c r="T369" i="7" s="1"/>
  <c r="T359" i="7"/>
  <c r="T374" i="7" s="1"/>
  <c r="T353" i="7"/>
  <c r="T368" i="7" s="1"/>
  <c r="T358" i="7"/>
  <c r="T373" i="7" s="1"/>
  <c r="T352" i="7"/>
  <c r="T367" i="7" s="1"/>
  <c r="T362" i="7"/>
  <c r="T377" i="7" s="1"/>
  <c r="T357" i="7"/>
  <c r="T372" i="7" s="1"/>
  <c r="T306" i="7"/>
  <c r="T307" i="7" s="1"/>
  <c r="T345" i="7" s="1"/>
  <c r="T302" i="7"/>
  <c r="E109" i="23"/>
  <c r="R351" i="7"/>
  <c r="R366" i="7" s="1"/>
  <c r="R352" i="7"/>
  <c r="R367" i="7" s="1"/>
  <c r="R354" i="7"/>
  <c r="R369" i="7" s="1"/>
  <c r="R353" i="7"/>
  <c r="R368" i="7" s="1"/>
  <c r="R363" i="7"/>
  <c r="R378" i="7" s="1"/>
  <c r="R362" i="7"/>
  <c r="R377" i="7" s="1"/>
  <c r="R359" i="7"/>
  <c r="R374" i="7" s="1"/>
  <c r="R355" i="7"/>
  <c r="R370" i="7" s="1"/>
  <c r="R298" i="7"/>
  <c r="R361" i="7"/>
  <c r="R376" i="7" s="1"/>
  <c r="R360" i="7"/>
  <c r="R375" i="7" s="1"/>
  <c r="R358" i="7"/>
  <c r="R373" i="7" s="1"/>
  <c r="R357" i="7"/>
  <c r="R372" i="7" s="1"/>
  <c r="R356" i="7"/>
  <c r="R371" i="7" s="1"/>
  <c r="V162" i="7"/>
  <c r="V177" i="7" s="1"/>
  <c r="V168" i="7"/>
  <c r="V183" i="7" s="1"/>
  <c r="V108" i="7"/>
  <c r="V110" i="7" s="1"/>
  <c r="V171" i="7"/>
  <c r="V186" i="7" s="1"/>
  <c r="V163" i="7"/>
  <c r="V178" i="7" s="1"/>
  <c r="V159" i="7"/>
  <c r="V174" i="7" s="1"/>
  <c r="V164" i="7"/>
  <c r="V179" i="7" s="1"/>
  <c r="V165" i="7"/>
  <c r="V180" i="7" s="1"/>
  <c r="V161" i="7"/>
  <c r="V176" i="7" s="1"/>
  <c r="V166" i="7"/>
  <c r="V181" i="7" s="1"/>
  <c r="V170" i="7"/>
  <c r="V185" i="7" s="1"/>
  <c r="V169" i="7"/>
  <c r="V184" i="7" s="1"/>
  <c r="V167" i="7"/>
  <c r="V182" i="7" s="1"/>
  <c r="V160" i="7"/>
  <c r="V175" i="7" s="1"/>
  <c r="AI247" i="7"/>
  <c r="S22" i="7"/>
  <c r="S35" i="7"/>
  <c r="S68" i="7"/>
  <c r="S83" i="7" s="1"/>
  <c r="S98" i="7" s="1"/>
  <c r="S25" i="7"/>
  <c r="S21" i="7"/>
  <c r="S39" i="7"/>
  <c r="S30" i="7"/>
  <c r="U266" i="7"/>
  <c r="U281" i="7" s="1"/>
  <c r="U257" i="7"/>
  <c r="U272" i="7" s="1"/>
  <c r="U204" i="7"/>
  <c r="U260" i="7"/>
  <c r="U275" i="7" s="1"/>
  <c r="U226" i="7"/>
  <c r="U261" i="7"/>
  <c r="U276" i="7" s="1"/>
  <c r="U264" i="7"/>
  <c r="U279" i="7" s="1"/>
  <c r="U212" i="7"/>
  <c r="U213" i="7" s="1"/>
  <c r="U263" i="7"/>
  <c r="U278" i="7" s="1"/>
  <c r="U259" i="7"/>
  <c r="U274" i="7" s="1"/>
  <c r="U265" i="7"/>
  <c r="U280" i="7" s="1"/>
  <c r="U267" i="7"/>
  <c r="U282" i="7" s="1"/>
  <c r="U258" i="7"/>
  <c r="U273" i="7" s="1"/>
  <c r="U268" i="7"/>
  <c r="U283" i="7" s="1"/>
  <c r="U269" i="7"/>
  <c r="U284" i="7" s="1"/>
  <c r="U256" i="7"/>
  <c r="U271" i="7" s="1"/>
  <c r="U262" i="7"/>
  <c r="U277" i="7" s="1"/>
  <c r="T208" i="7"/>
  <c r="N268" i="7"/>
  <c r="N283" i="7" s="1"/>
  <c r="N264" i="7"/>
  <c r="N279" i="7" s="1"/>
  <c r="N257" i="7"/>
  <c r="N272" i="7" s="1"/>
  <c r="N266" i="7"/>
  <c r="N281" i="7" s="1"/>
  <c r="N261" i="7"/>
  <c r="N276" i="7" s="1"/>
  <c r="N204" i="7"/>
  <c r="N256" i="7" s="1"/>
  <c r="N271" i="7" s="1"/>
  <c r="N267" i="7"/>
  <c r="N282" i="7" s="1"/>
  <c r="N259" i="7"/>
  <c r="N274" i="7" s="1"/>
  <c r="N262" i="7"/>
  <c r="N277" i="7" s="1"/>
  <c r="N263" i="7"/>
  <c r="N278" i="7" s="1"/>
  <c r="N269" i="7"/>
  <c r="N284" i="7" s="1"/>
  <c r="N258" i="7"/>
  <c r="N273" i="7" s="1"/>
  <c r="N265" i="7"/>
  <c r="N280" i="7" s="1"/>
  <c r="N260" i="7"/>
  <c r="N275" i="7" s="1"/>
  <c r="V3" i="22"/>
  <c r="X3" i="11"/>
  <c r="E100" i="23"/>
  <c r="P259" i="7"/>
  <c r="P274" i="7" s="1"/>
  <c r="P267" i="7"/>
  <c r="P282" i="7" s="1"/>
  <c r="P266" i="7"/>
  <c r="P281" i="7" s="1"/>
  <c r="P261" i="7"/>
  <c r="P276" i="7" s="1"/>
  <c r="P263" i="7"/>
  <c r="P278" i="7" s="1"/>
  <c r="P264" i="7"/>
  <c r="P279" i="7" s="1"/>
  <c r="P204" i="7"/>
  <c r="P258" i="7"/>
  <c r="P273" i="7" s="1"/>
  <c r="P262" i="7"/>
  <c r="P277" i="7" s="1"/>
  <c r="P265" i="7"/>
  <c r="P280" i="7" s="1"/>
  <c r="P269" i="7"/>
  <c r="P284" i="7" s="1"/>
  <c r="P257" i="7"/>
  <c r="P272" i="7" s="1"/>
  <c r="P268" i="7"/>
  <c r="P283" i="7" s="1"/>
  <c r="P260" i="7"/>
  <c r="P275" i="7" s="1"/>
  <c r="E139" i="7"/>
  <c r="O298" i="7"/>
  <c r="O303" i="7" s="1"/>
  <c r="O351" i="7"/>
  <c r="O366" i="7" s="1"/>
  <c r="O356" i="7"/>
  <c r="O371" i="7" s="1"/>
  <c r="O361" i="7"/>
  <c r="O376" i="7" s="1"/>
  <c r="O354" i="7"/>
  <c r="O369" i="7" s="1"/>
  <c r="O362" i="7"/>
  <c r="O377" i="7" s="1"/>
  <c r="O353" i="7"/>
  <c r="O368" i="7" s="1"/>
  <c r="O360" i="7"/>
  <c r="O375" i="7" s="1"/>
  <c r="O357" i="7"/>
  <c r="O372" i="7" s="1"/>
  <c r="O363" i="7"/>
  <c r="O378" i="7" s="1"/>
  <c r="O355" i="7"/>
  <c r="O370" i="7" s="1"/>
  <c r="O311" i="7"/>
  <c r="O312" i="7" s="1"/>
  <c r="O358" i="7"/>
  <c r="O373" i="7" s="1"/>
  <c r="O352" i="7"/>
  <c r="O367" i="7" s="1"/>
  <c r="O359" i="7"/>
  <c r="O374" i="7" s="1"/>
  <c r="V98" i="7"/>
  <c r="X3" i="22"/>
  <c r="Z3" i="11"/>
  <c r="T226" i="7"/>
  <c r="S260" i="7"/>
  <c r="S275" i="7" s="1"/>
  <c r="S261" i="7"/>
  <c r="S276" i="7" s="1"/>
  <c r="S258" i="7"/>
  <c r="S273" i="7" s="1"/>
  <c r="S257" i="7"/>
  <c r="S272" i="7" s="1"/>
  <c r="S263" i="7"/>
  <c r="S278" i="7" s="1"/>
  <c r="S264" i="7"/>
  <c r="S279" i="7" s="1"/>
  <c r="S268" i="7"/>
  <c r="S283" i="7" s="1"/>
  <c r="S265" i="7"/>
  <c r="S280" i="7" s="1"/>
  <c r="S204" i="7"/>
  <c r="S267" i="7"/>
  <c r="S282" i="7" s="1"/>
  <c r="S269" i="7"/>
  <c r="S284" i="7" s="1"/>
  <c r="S259" i="7"/>
  <c r="S274" i="7" s="1"/>
  <c r="S266" i="7"/>
  <c r="S281" i="7" s="1"/>
  <c r="S262" i="7"/>
  <c r="S277" i="7" s="1"/>
  <c r="F264" i="7"/>
  <c r="F279" i="7" s="1"/>
  <c r="F257" i="7"/>
  <c r="F272" i="7" s="1"/>
  <c r="F267" i="7"/>
  <c r="F282" i="7" s="1"/>
  <c r="F265" i="7"/>
  <c r="F280" i="7" s="1"/>
  <c r="F268" i="7"/>
  <c r="F283" i="7" s="1"/>
  <c r="F261" i="7"/>
  <c r="F276" i="7" s="1"/>
  <c r="F269" i="7"/>
  <c r="F284" i="7" s="1"/>
  <c r="F204" i="7"/>
  <c r="F263" i="7"/>
  <c r="F278" i="7" s="1"/>
  <c r="F258" i="7"/>
  <c r="F273" i="7" s="1"/>
  <c r="F259" i="7"/>
  <c r="F274" i="7" s="1"/>
  <c r="F266" i="7"/>
  <c r="F281" i="7" s="1"/>
  <c r="F260" i="7"/>
  <c r="F275" i="7" s="1"/>
  <c r="F262" i="7"/>
  <c r="F277" i="7" s="1"/>
  <c r="V26" i="7"/>
  <c r="V59" i="7"/>
  <c r="E45" i="23"/>
  <c r="E37" i="23"/>
  <c r="E43" i="23" s="1"/>
  <c r="E50" i="23"/>
  <c r="E66" i="23" s="1"/>
  <c r="E38" i="23"/>
  <c r="E101" i="23"/>
  <c r="R39" i="7"/>
  <c r="R21" i="7"/>
  <c r="R35" i="7"/>
  <c r="R22" i="7"/>
  <c r="R30" i="7"/>
  <c r="R68" i="7"/>
  <c r="R83" i="7" s="1"/>
  <c r="R98" i="7" s="1"/>
  <c r="R25" i="7"/>
  <c r="J4" i="17"/>
  <c r="J7" i="17" s="1"/>
  <c r="J8" i="17" s="1"/>
  <c r="J9" i="17" s="1"/>
  <c r="J11" i="17" s="1"/>
  <c r="J12" i="17" s="1"/>
  <c r="P3" i="11"/>
  <c r="N3" i="22"/>
  <c r="T256" i="7"/>
  <c r="T271" i="7" s="1"/>
  <c r="N166" i="7"/>
  <c r="N181" i="7" s="1"/>
  <c r="N168" i="7"/>
  <c r="N183" i="7" s="1"/>
  <c r="N164" i="7"/>
  <c r="N179" i="7" s="1"/>
  <c r="N163" i="7"/>
  <c r="N178" i="7" s="1"/>
  <c r="N161" i="7"/>
  <c r="N176" i="7" s="1"/>
  <c r="N108" i="7"/>
  <c r="N159" i="7"/>
  <c r="N174" i="7" s="1"/>
  <c r="N170" i="7"/>
  <c r="N185" i="7" s="1"/>
  <c r="N169" i="7"/>
  <c r="N184" i="7" s="1"/>
  <c r="N167" i="7"/>
  <c r="N182" i="7" s="1"/>
  <c r="N171" i="7"/>
  <c r="N186" i="7" s="1"/>
  <c r="N160" i="7"/>
  <c r="N175" i="7" s="1"/>
  <c r="N165" i="7"/>
  <c r="N180" i="7" s="1"/>
  <c r="N162" i="7"/>
  <c r="N177" i="7" s="1"/>
  <c r="Q166" i="7"/>
  <c r="Q181" i="7" s="1"/>
  <c r="Q162" i="7"/>
  <c r="Q177" i="7" s="1"/>
  <c r="Q168" i="7"/>
  <c r="Q183" i="7" s="1"/>
  <c r="Q163" i="7"/>
  <c r="Q178" i="7" s="1"/>
  <c r="Q160" i="7"/>
  <c r="Q175" i="7" s="1"/>
  <c r="Q164" i="7"/>
  <c r="Q179" i="7" s="1"/>
  <c r="Q167" i="7"/>
  <c r="Q182" i="7" s="1"/>
  <c r="Q161" i="7"/>
  <c r="Q176" i="7" s="1"/>
  <c r="Q165" i="7"/>
  <c r="Q180" i="7" s="1"/>
  <c r="Q170" i="7"/>
  <c r="Q185" i="7" s="1"/>
  <c r="Q169" i="7"/>
  <c r="Q184" i="7" s="1"/>
  <c r="Q171" i="7"/>
  <c r="Q186" i="7" s="1"/>
  <c r="Q108" i="7"/>
  <c r="Q159" i="7"/>
  <c r="Q174" i="7" s="1"/>
  <c r="O267" i="7"/>
  <c r="O282" i="7" s="1"/>
  <c r="O262" i="7"/>
  <c r="O277" i="7" s="1"/>
  <c r="O204" i="7"/>
  <c r="O256" i="7" s="1"/>
  <c r="O271" i="7" s="1"/>
  <c r="O258" i="7"/>
  <c r="O273" i="7" s="1"/>
  <c r="O259" i="7"/>
  <c r="O274" i="7" s="1"/>
  <c r="O266" i="7"/>
  <c r="O281" i="7" s="1"/>
  <c r="O263" i="7"/>
  <c r="O278" i="7" s="1"/>
  <c r="O264" i="7"/>
  <c r="O279" i="7" s="1"/>
  <c r="O261" i="7"/>
  <c r="O276" i="7" s="1"/>
  <c r="O268" i="7"/>
  <c r="O283" i="7" s="1"/>
  <c r="O265" i="7"/>
  <c r="O280" i="7" s="1"/>
  <c r="O260" i="7"/>
  <c r="O275" i="7" s="1"/>
  <c r="O269" i="7"/>
  <c r="O284" i="7" s="1"/>
  <c r="O257" i="7"/>
  <c r="O272" i="7" s="1"/>
  <c r="F360" i="7"/>
  <c r="F375" i="7" s="1"/>
  <c r="F357" i="7"/>
  <c r="F372" i="7" s="1"/>
  <c r="F359" i="7"/>
  <c r="F374" i="7" s="1"/>
  <c r="F298" i="7"/>
  <c r="F352" i="7"/>
  <c r="F367" i="7" s="1"/>
  <c r="F354" i="7"/>
  <c r="F369" i="7" s="1"/>
  <c r="F361" i="7"/>
  <c r="F376" i="7" s="1"/>
  <c r="F355" i="7"/>
  <c r="F370" i="7" s="1"/>
  <c r="F363" i="7"/>
  <c r="F378" i="7" s="1"/>
  <c r="F358" i="7"/>
  <c r="F373" i="7" s="1"/>
  <c r="F356" i="7"/>
  <c r="F371" i="7" s="1"/>
  <c r="F353" i="7"/>
  <c r="F368" i="7" s="1"/>
  <c r="F351" i="7"/>
  <c r="F366" i="7" s="1"/>
  <c r="F362" i="7"/>
  <c r="F377" i="7" s="1"/>
  <c r="AN20" i="13"/>
  <c r="AN11" i="7"/>
  <c r="AN6" i="24"/>
  <c r="R208" i="7"/>
  <c r="AB4" i="17"/>
  <c r="AB7" i="17" s="1"/>
  <c r="AB8" i="17" s="1"/>
  <c r="AB9" i="17" s="1"/>
  <c r="AB11" i="17" s="1"/>
  <c r="AB12" i="17" s="1"/>
  <c r="AB17" i="17" s="1"/>
  <c r="AH3" i="11"/>
  <c r="AF3" i="22"/>
  <c r="K4" i="17"/>
  <c r="K7" i="17" s="1"/>
  <c r="K8" i="17" s="1"/>
  <c r="K9" i="17" s="1"/>
  <c r="K11" i="17" s="1"/>
  <c r="K12" i="17" s="1"/>
  <c r="Q3" i="11"/>
  <c r="O3" i="22"/>
  <c r="S159" i="7"/>
  <c r="S174" i="7" s="1"/>
  <c r="S171" i="7"/>
  <c r="S186" i="7" s="1"/>
  <c r="S170" i="7"/>
  <c r="S185" i="7" s="1"/>
  <c r="S165" i="7"/>
  <c r="S180" i="7" s="1"/>
  <c r="S168" i="7"/>
  <c r="S183" i="7" s="1"/>
  <c r="S167" i="7"/>
  <c r="S182" i="7" s="1"/>
  <c r="S163" i="7"/>
  <c r="S178" i="7" s="1"/>
  <c r="S160" i="7"/>
  <c r="S175" i="7" s="1"/>
  <c r="S164" i="7"/>
  <c r="S179" i="7" s="1"/>
  <c r="S161" i="7"/>
  <c r="S176" i="7" s="1"/>
  <c r="S108" i="7"/>
  <c r="S169" i="7"/>
  <c r="S184" i="7" s="1"/>
  <c r="S162" i="7"/>
  <c r="S177" i="7" s="1"/>
  <c r="S166" i="7"/>
  <c r="S181" i="7" s="1"/>
  <c r="Q356" i="7"/>
  <c r="Q371" i="7" s="1"/>
  <c r="Q358" i="7"/>
  <c r="Q373" i="7" s="1"/>
  <c r="Q362" i="7"/>
  <c r="Q377" i="7" s="1"/>
  <c r="Q351" i="7"/>
  <c r="Q366" i="7" s="1"/>
  <c r="Q363" i="7"/>
  <c r="Q378" i="7" s="1"/>
  <c r="Q361" i="7"/>
  <c r="Q376" i="7" s="1"/>
  <c r="Q298" i="7"/>
  <c r="Q355" i="7"/>
  <c r="Q370" i="7" s="1"/>
  <c r="Q360" i="7"/>
  <c r="Q375" i="7" s="1"/>
  <c r="Q354" i="7"/>
  <c r="Q369" i="7" s="1"/>
  <c r="Q359" i="7"/>
  <c r="Q374" i="7" s="1"/>
  <c r="Q352" i="7"/>
  <c r="Q367" i="7" s="1"/>
  <c r="Q353" i="7"/>
  <c r="Q368" i="7" s="1"/>
  <c r="Q357" i="7"/>
  <c r="Q372" i="7" s="1"/>
  <c r="E110" i="23"/>
  <c r="P361" i="7"/>
  <c r="P376" i="7" s="1"/>
  <c r="P298" i="7"/>
  <c r="P360" i="7"/>
  <c r="P375" i="7" s="1"/>
  <c r="P354" i="7"/>
  <c r="P369" i="7" s="1"/>
  <c r="P359" i="7"/>
  <c r="P374" i="7" s="1"/>
  <c r="P353" i="7"/>
  <c r="P368" i="7" s="1"/>
  <c r="P352" i="7"/>
  <c r="P367" i="7" s="1"/>
  <c r="P363" i="7"/>
  <c r="P378" i="7" s="1"/>
  <c r="P358" i="7"/>
  <c r="P373" i="7" s="1"/>
  <c r="P357" i="7"/>
  <c r="P372" i="7" s="1"/>
  <c r="P362" i="7"/>
  <c r="P377" i="7" s="1"/>
  <c r="P355" i="7"/>
  <c r="P370" i="7" s="1"/>
  <c r="P351" i="7"/>
  <c r="P366" i="7" s="1"/>
  <c r="P356" i="7"/>
  <c r="P371" i="7" s="1"/>
  <c r="R256" i="7"/>
  <c r="R271" i="7" s="1"/>
  <c r="AN263" i="7"/>
  <c r="AN278" i="7" s="1"/>
  <c r="S356" i="7"/>
  <c r="S371" i="7" s="1"/>
  <c r="S357" i="7"/>
  <c r="S372" i="7" s="1"/>
  <c r="S351" i="7"/>
  <c r="S366" i="7" s="1"/>
  <c r="S362" i="7"/>
  <c r="S377" i="7" s="1"/>
  <c r="S359" i="7"/>
  <c r="S374" i="7" s="1"/>
  <c r="S354" i="7"/>
  <c r="S369" i="7" s="1"/>
  <c r="S360" i="7"/>
  <c r="S375" i="7" s="1"/>
  <c r="S352" i="7"/>
  <c r="S367" i="7" s="1"/>
  <c r="S355" i="7"/>
  <c r="S370" i="7" s="1"/>
  <c r="S298" i="7"/>
  <c r="S363" i="7"/>
  <c r="S378" i="7" s="1"/>
  <c r="S361" i="7"/>
  <c r="S376" i="7" s="1"/>
  <c r="S353" i="7"/>
  <c r="S368" i="7" s="1"/>
  <c r="S358" i="7"/>
  <c r="S373" i="7" s="1"/>
  <c r="Q35" i="7"/>
  <c r="Q39" i="7"/>
  <c r="Q21" i="7"/>
  <c r="Q25" i="7"/>
  <c r="Q68" i="7"/>
  <c r="Q83" i="7" s="1"/>
  <c r="Q98" i="7" s="1"/>
  <c r="Q22" i="7"/>
  <c r="Q30" i="7"/>
  <c r="F168" i="7"/>
  <c r="F183" i="7" s="1"/>
  <c r="F163" i="7"/>
  <c r="F178" i="7" s="1"/>
  <c r="F166" i="7"/>
  <c r="F181" i="7" s="1"/>
  <c r="F165" i="7"/>
  <c r="F180" i="7" s="1"/>
  <c r="F159" i="7"/>
  <c r="F174" i="7" s="1"/>
  <c r="F160" i="7"/>
  <c r="F175" i="7" s="1"/>
  <c r="F169" i="7"/>
  <c r="F184" i="7" s="1"/>
  <c r="F164" i="7"/>
  <c r="F179" i="7" s="1"/>
  <c r="F167" i="7"/>
  <c r="F182" i="7" s="1"/>
  <c r="F161" i="7"/>
  <c r="F176" i="7" s="1"/>
  <c r="F170" i="7"/>
  <c r="F185" i="7" s="1"/>
  <c r="F162" i="7"/>
  <c r="F177" i="7" s="1"/>
  <c r="F171" i="7"/>
  <c r="F186" i="7" s="1"/>
  <c r="F108" i="7"/>
  <c r="U166" i="7"/>
  <c r="U181" i="7" s="1"/>
  <c r="U160" i="7"/>
  <c r="U175" i="7" s="1"/>
  <c r="U164" i="7"/>
  <c r="U179" i="7" s="1"/>
  <c r="U170" i="7"/>
  <c r="U185" i="7" s="1"/>
  <c r="U165" i="7"/>
  <c r="U180" i="7" s="1"/>
  <c r="U168" i="7"/>
  <c r="U183" i="7" s="1"/>
  <c r="U167" i="7"/>
  <c r="U182" i="7" s="1"/>
  <c r="U163" i="7"/>
  <c r="U178" i="7" s="1"/>
  <c r="U159" i="7"/>
  <c r="U174" i="7" s="1"/>
  <c r="U171" i="7"/>
  <c r="U186" i="7" s="1"/>
  <c r="U169" i="7"/>
  <c r="U184" i="7" s="1"/>
  <c r="U108" i="7"/>
  <c r="U162" i="7"/>
  <c r="U177" i="7" s="1"/>
  <c r="U161" i="7"/>
  <c r="U176" i="7" s="1"/>
  <c r="P167" i="7"/>
  <c r="P182" i="7" s="1"/>
  <c r="P160" i="7"/>
  <c r="P175" i="7" s="1"/>
  <c r="P170" i="7"/>
  <c r="P185" i="7" s="1"/>
  <c r="P164" i="7"/>
  <c r="P179" i="7" s="1"/>
  <c r="P169" i="7"/>
  <c r="P184" i="7" s="1"/>
  <c r="P159" i="7"/>
  <c r="P174" i="7" s="1"/>
  <c r="P163" i="7"/>
  <c r="P178" i="7" s="1"/>
  <c r="P171" i="7"/>
  <c r="P186" i="7" s="1"/>
  <c r="P168" i="7"/>
  <c r="P183" i="7" s="1"/>
  <c r="P162" i="7"/>
  <c r="P177" i="7" s="1"/>
  <c r="P166" i="7"/>
  <c r="P181" i="7" s="1"/>
  <c r="P165" i="7"/>
  <c r="P180" i="7" s="1"/>
  <c r="P108" i="7"/>
  <c r="P161" i="7"/>
  <c r="P176" i="7" s="1"/>
  <c r="V355" i="7"/>
  <c r="V370" i="7" s="1"/>
  <c r="V352" i="7"/>
  <c r="V367" i="7" s="1"/>
  <c r="V354" i="7"/>
  <c r="V369" i="7" s="1"/>
  <c r="V362" i="7"/>
  <c r="V377" i="7" s="1"/>
  <c r="V298" i="7"/>
  <c r="V363" i="7"/>
  <c r="V378" i="7" s="1"/>
  <c r="V360" i="7"/>
  <c r="V375" i="7" s="1"/>
  <c r="V351" i="7"/>
  <c r="V366" i="7" s="1"/>
  <c r="V358" i="7"/>
  <c r="V373" i="7" s="1"/>
  <c r="V353" i="7"/>
  <c r="V368" i="7" s="1"/>
  <c r="V361" i="7"/>
  <c r="V376" i="7" s="1"/>
  <c r="V356" i="7"/>
  <c r="V371" i="7" s="1"/>
  <c r="V357" i="7"/>
  <c r="V372" i="7" s="1"/>
  <c r="V359" i="7"/>
  <c r="V374" i="7" s="1"/>
  <c r="R212" i="7"/>
  <c r="R213" i="7" s="1"/>
  <c r="O30" i="7"/>
  <c r="N351" i="7"/>
  <c r="N366" i="7" s="1"/>
  <c r="N361" i="7"/>
  <c r="N376" i="7" s="1"/>
  <c r="N352" i="7"/>
  <c r="N367" i="7" s="1"/>
  <c r="N360" i="7"/>
  <c r="N375" i="7" s="1"/>
  <c r="N356" i="7"/>
  <c r="N371" i="7" s="1"/>
  <c r="N358" i="7"/>
  <c r="N373" i="7" s="1"/>
  <c r="N359" i="7"/>
  <c r="N374" i="7" s="1"/>
  <c r="N363" i="7"/>
  <c r="N378" i="7" s="1"/>
  <c r="N298" i="7"/>
  <c r="N357" i="7"/>
  <c r="N372" i="7" s="1"/>
  <c r="N362" i="7"/>
  <c r="N377" i="7" s="1"/>
  <c r="N353" i="7"/>
  <c r="N368" i="7" s="1"/>
  <c r="N355" i="7"/>
  <c r="N370" i="7" s="1"/>
  <c r="N354" i="7"/>
  <c r="N369" i="7" s="1"/>
  <c r="V22" i="7"/>
  <c r="V30" i="7"/>
  <c r="F11" i="15"/>
  <c r="L7" i="11" s="1"/>
  <c r="F17" i="15"/>
  <c r="L10" i="11" s="1"/>
  <c r="F9" i="15"/>
  <c r="L6" i="11" s="1"/>
  <c r="F29" i="15"/>
  <c r="F37" i="15" s="1"/>
  <c r="F38" i="15" s="1"/>
  <c r="F39" i="15" s="1"/>
  <c r="F40" i="15" s="1"/>
  <c r="AD229" i="7"/>
  <c r="AD288" i="7" s="1"/>
  <c r="AD117" i="14" s="1"/>
  <c r="AD118" i="14" s="1"/>
  <c r="AD119" i="14" s="1"/>
  <c r="F10" i="13"/>
  <c r="F3" i="9" s="1"/>
  <c r="J6" i="10" s="1"/>
  <c r="F19" i="15"/>
  <c r="L11" i="11" s="1"/>
  <c r="F15" i="15"/>
  <c r="L9" i="11" s="1"/>
  <c r="F13" i="15"/>
  <c r="L8" i="11" s="1"/>
  <c r="AN352" i="7"/>
  <c r="AN367" i="7" s="1"/>
  <c r="F31" i="15"/>
  <c r="F32" i="15" s="1"/>
  <c r="F33" i="15" s="1"/>
  <c r="F34" i="15" s="1"/>
  <c r="L4" i="11"/>
  <c r="AL224" i="22"/>
  <c r="AL219" i="22"/>
  <c r="AL217" i="22"/>
  <c r="AL215" i="22"/>
  <c r="AL211" i="22"/>
  <c r="AL223" i="22"/>
  <c r="AL227" i="22"/>
  <c r="AH80" i="21" s="1"/>
  <c r="AL198" i="22"/>
  <c r="AL216" i="22"/>
  <c r="AL209" i="22"/>
  <c r="AL200" i="22"/>
  <c r="AL203" i="22"/>
  <c r="AL197" i="22"/>
  <c r="AL208" i="22"/>
  <c r="AL194" i="22"/>
  <c r="AL192" i="22"/>
  <c r="AL218" i="22"/>
  <c r="AL204" i="22"/>
  <c r="AL205" i="22"/>
  <c r="AL210" i="22"/>
  <c r="AL206" i="22"/>
  <c r="AL212" i="22"/>
  <c r="AL184" i="22"/>
  <c r="AL182" i="22"/>
  <c r="AL180" i="22"/>
  <c r="AL178" i="22"/>
  <c r="AL176" i="22"/>
  <c r="AL174" i="22"/>
  <c r="AL199" i="22"/>
  <c r="AL190" i="22"/>
  <c r="AL220" i="22"/>
  <c r="AL188" i="22"/>
  <c r="AL193" i="22"/>
  <c r="AL189" i="22"/>
  <c r="AL196" i="22"/>
  <c r="AL169" i="22"/>
  <c r="AL167" i="22"/>
  <c r="AL165" i="22"/>
  <c r="AL163" i="22"/>
  <c r="AL181" i="22"/>
  <c r="AL175" i="22"/>
  <c r="AL187" i="22"/>
  <c r="AL185" i="22"/>
  <c r="AL172" i="22"/>
  <c r="AL173" i="22"/>
  <c r="AL191" i="22"/>
  <c r="AL183" i="22"/>
  <c r="AL162" i="22"/>
  <c r="AL195" i="22"/>
  <c r="AL168" i="22"/>
  <c r="AL157" i="22"/>
  <c r="AL153" i="22"/>
  <c r="AL151" i="22"/>
  <c r="AL147" i="22"/>
  <c r="AL143" i="22"/>
  <c r="AL139" i="22"/>
  <c r="AL137" i="22"/>
  <c r="AL135" i="22"/>
  <c r="AL207" i="22"/>
  <c r="AL186" i="22"/>
  <c r="AL166" i="22"/>
  <c r="AL164" i="22"/>
  <c r="AL179" i="22"/>
  <c r="AL138" i="22"/>
  <c r="AL171" i="22"/>
  <c r="AL154" i="22"/>
  <c r="AL142" i="22"/>
  <c r="AL161" i="22"/>
  <c r="AL144" i="22"/>
  <c r="AL177" i="22"/>
  <c r="AL158" i="22"/>
  <c r="AL150" i="22"/>
  <c r="AL170" i="22"/>
  <c r="AL152" i="22"/>
  <c r="AL126" i="22"/>
  <c r="AL125" i="22"/>
  <c r="AL114" i="22"/>
  <c r="AL112" i="22"/>
  <c r="AL108" i="22"/>
  <c r="AL106" i="22"/>
  <c r="AL104" i="22"/>
  <c r="AL102" i="22"/>
  <c r="AL123" i="22"/>
  <c r="AL122" i="22"/>
  <c r="AL133" i="22"/>
  <c r="AL129" i="22"/>
  <c r="AL121" i="22"/>
  <c r="AL120" i="22"/>
  <c r="AL134" i="22"/>
  <c r="AL130" i="22"/>
  <c r="AL119" i="22"/>
  <c r="AL128" i="22"/>
  <c r="AL124" i="22"/>
  <c r="AL115" i="22"/>
  <c r="AL127" i="22"/>
  <c r="AL107" i="22"/>
  <c r="AL95" i="22"/>
  <c r="AL92" i="22"/>
  <c r="AL90" i="22"/>
  <c r="AL88" i="22"/>
  <c r="AL86" i="22"/>
  <c r="AL84" i="22"/>
  <c r="AL82" i="22"/>
  <c r="AL105" i="22"/>
  <c r="AL98" i="22"/>
  <c r="AL136" i="22"/>
  <c r="AL111" i="22"/>
  <c r="AL101" i="22"/>
  <c r="AL118" i="22"/>
  <c r="AL117" i="22"/>
  <c r="AL116" i="22"/>
  <c r="AL100" i="22"/>
  <c r="AL113" i="22"/>
  <c r="AL99" i="22"/>
  <c r="AL81" i="22"/>
  <c r="AL77" i="22"/>
  <c r="AL72" i="22"/>
  <c r="AL70" i="22"/>
  <c r="AL68" i="22"/>
  <c r="AL66" i="22"/>
  <c r="AL64" i="22"/>
  <c r="AL62" i="22"/>
  <c r="AL60" i="22"/>
  <c r="AL96" i="22"/>
  <c r="AL85" i="22"/>
  <c r="AL80" i="22"/>
  <c r="AL76" i="22"/>
  <c r="AL103" i="22"/>
  <c r="AL97" i="22"/>
  <c r="AL87" i="22"/>
  <c r="AL79" i="22"/>
  <c r="AL93" i="22"/>
  <c r="AL91" i="22"/>
  <c r="AL71" i="22"/>
  <c r="AL67" i="22"/>
  <c r="AL89" i="22"/>
  <c r="AL65" i="22"/>
  <c r="AL83" i="22"/>
  <c r="AL63" i="22"/>
  <c r="AL61" i="22"/>
  <c r="AL59" i="22"/>
  <c r="AL94" i="22"/>
  <c r="AL58" i="22"/>
  <c r="AL78" i="22"/>
  <c r="AL52" i="22"/>
  <c r="AL39" i="22"/>
  <c r="AL48" i="22"/>
  <c r="AL54" i="22"/>
  <c r="AL51" i="22"/>
  <c r="AL53" i="22"/>
  <c r="AL46" i="22"/>
  <c r="AL75" i="22"/>
  <c r="AL50" i="22"/>
  <c r="AL38" i="22"/>
  <c r="AL36" i="22"/>
  <c r="AL34" i="22"/>
  <c r="AL32" i="22"/>
  <c r="AL30" i="22"/>
  <c r="AL28" i="22"/>
  <c r="AL26" i="22"/>
  <c r="AL41" i="22"/>
  <c r="AL69" i="22"/>
  <c r="AL55" i="22"/>
  <c r="AL57" i="22"/>
  <c r="AL44" i="22"/>
  <c r="AL56" i="22"/>
  <c r="AL47" i="22"/>
  <c r="AL40" i="22"/>
  <c r="AL49" i="22"/>
  <c r="AL45" i="22"/>
  <c r="AL37" i="22"/>
  <c r="AL27" i="22"/>
  <c r="AL22" i="22"/>
  <c r="AL29" i="22"/>
  <c r="AL25" i="22"/>
  <c r="AL43" i="22"/>
  <c r="AL20" i="22"/>
  <c r="AL24" i="22"/>
  <c r="AL33" i="22"/>
  <c r="AL35" i="22"/>
  <c r="AL17" i="22"/>
  <c r="AL14" i="22"/>
  <c r="AL12" i="22"/>
  <c r="AL10" i="22"/>
  <c r="AL31" i="22"/>
  <c r="AL18" i="22"/>
  <c r="AL42" i="22"/>
  <c r="AL16" i="22"/>
  <c r="AL21" i="22"/>
  <c r="AL23" i="22"/>
  <c r="AL19" i="22"/>
  <c r="AL15" i="22"/>
  <c r="AL13" i="22"/>
  <c r="AL11" i="22"/>
  <c r="AL9" i="22"/>
  <c r="BK227" i="22"/>
  <c r="BK220" i="22"/>
  <c r="BK218" i="22"/>
  <c r="BK216" i="22"/>
  <c r="BK212" i="22"/>
  <c r="BK210" i="22"/>
  <c r="BK208" i="22"/>
  <c r="BK224" i="22"/>
  <c r="BK203" i="22"/>
  <c r="BK196" i="22"/>
  <c r="BK217" i="22"/>
  <c r="BK204" i="22"/>
  <c r="BK223" i="22"/>
  <c r="BK193" i="22"/>
  <c r="BK191" i="22"/>
  <c r="BK189" i="22"/>
  <c r="BK205" i="22"/>
  <c r="BK195" i="22"/>
  <c r="BK211" i="22"/>
  <c r="BK209" i="22"/>
  <c r="BK206" i="22"/>
  <c r="BK219" i="22"/>
  <c r="BK200" i="22"/>
  <c r="BK183" i="22"/>
  <c r="BK181" i="22"/>
  <c r="BK179" i="22"/>
  <c r="BK177" i="22"/>
  <c r="BK175" i="22"/>
  <c r="BK173" i="22"/>
  <c r="BK171" i="22"/>
  <c r="BK169" i="22"/>
  <c r="BK190" i="22"/>
  <c r="BK187" i="22"/>
  <c r="BK188" i="22"/>
  <c r="BK186" i="22"/>
  <c r="BK185" i="22"/>
  <c r="BK207" i="22"/>
  <c r="BK215" i="22"/>
  <c r="BK199" i="22"/>
  <c r="BK198" i="22"/>
  <c r="BK168" i="22"/>
  <c r="BK166" i="22"/>
  <c r="BK164" i="22"/>
  <c r="BK162" i="22"/>
  <c r="BK158" i="22"/>
  <c r="BK184" i="22"/>
  <c r="BK176" i="22"/>
  <c r="BK197" i="22"/>
  <c r="BK174" i="22"/>
  <c r="BK194" i="22"/>
  <c r="BK163" i="22"/>
  <c r="BK154" i="22"/>
  <c r="BK152" i="22"/>
  <c r="BK150" i="22"/>
  <c r="BK144" i="22"/>
  <c r="BK180" i="22"/>
  <c r="BK178" i="22"/>
  <c r="BK182" i="22"/>
  <c r="BK192" i="22"/>
  <c r="BK157" i="22"/>
  <c r="BK153" i="22"/>
  <c r="BK151" i="22"/>
  <c r="BK165" i="22"/>
  <c r="BK133" i="22"/>
  <c r="BK129" i="22"/>
  <c r="BK127" i="22"/>
  <c r="BK125" i="22"/>
  <c r="BK123" i="22"/>
  <c r="BK121" i="22"/>
  <c r="BK119" i="22"/>
  <c r="BK117" i="22"/>
  <c r="BK115" i="22"/>
  <c r="BK172" i="22"/>
  <c r="BK136" i="22"/>
  <c r="BK135" i="22"/>
  <c r="BK134" i="22"/>
  <c r="BK130" i="22"/>
  <c r="BK128" i="22"/>
  <c r="BK126" i="22"/>
  <c r="BK124" i="22"/>
  <c r="BK167" i="22"/>
  <c r="BK143" i="22"/>
  <c r="BK161" i="22"/>
  <c r="BK139" i="22"/>
  <c r="BK147" i="22"/>
  <c r="BK170" i="22"/>
  <c r="BK122" i="22"/>
  <c r="BK142" i="22"/>
  <c r="BK120" i="22"/>
  <c r="BK138" i="22"/>
  <c r="BK137" i="22"/>
  <c r="BK118" i="22"/>
  <c r="BK116" i="22"/>
  <c r="BK113" i="22"/>
  <c r="BK94" i="22"/>
  <c r="BK101" i="22"/>
  <c r="BK97" i="22"/>
  <c r="BK107" i="22"/>
  <c r="BK105" i="22"/>
  <c r="BK91" i="22"/>
  <c r="BK89" i="22"/>
  <c r="BK87" i="22"/>
  <c r="BK85" i="22"/>
  <c r="BK83" i="22"/>
  <c r="BK102" i="22"/>
  <c r="BK93" i="22"/>
  <c r="BK100" i="22"/>
  <c r="BK111" i="22"/>
  <c r="BK106" i="22"/>
  <c r="BK114" i="22"/>
  <c r="BK104" i="22"/>
  <c r="BK98" i="22"/>
  <c r="BK86" i="22"/>
  <c r="BK71" i="22"/>
  <c r="BK69" i="22"/>
  <c r="BK67" i="22"/>
  <c r="BK65" i="22"/>
  <c r="BK63" i="22"/>
  <c r="BK61" i="22"/>
  <c r="BK59" i="22"/>
  <c r="BK75" i="22"/>
  <c r="BK95" i="22"/>
  <c r="BK90" i="22"/>
  <c r="BK112" i="22"/>
  <c r="BK78" i="22"/>
  <c r="BK96" i="22"/>
  <c r="BK99" i="22"/>
  <c r="BK88" i="22"/>
  <c r="BK108" i="22"/>
  <c r="BK77" i="22"/>
  <c r="BK72" i="22"/>
  <c r="BK82" i="22"/>
  <c r="BK81" i="22"/>
  <c r="BK84" i="22"/>
  <c r="BK103" i="22"/>
  <c r="BK92" i="22"/>
  <c r="BK60" i="22"/>
  <c r="BK58" i="22"/>
  <c r="BK76" i="22"/>
  <c r="BK80" i="22"/>
  <c r="BK57" i="22"/>
  <c r="BK55" i="22"/>
  <c r="BK53" i="22"/>
  <c r="BK51" i="22"/>
  <c r="BK49" i="22"/>
  <c r="BK47" i="22"/>
  <c r="BK70" i="22"/>
  <c r="BK68" i="22"/>
  <c r="BK66" i="22"/>
  <c r="BK79" i="22"/>
  <c r="BK64" i="22"/>
  <c r="BK62" i="22"/>
  <c r="BK56" i="22"/>
  <c r="BK48" i="22"/>
  <c r="BK46" i="22"/>
  <c r="BK52" i="22"/>
  <c r="BK40" i="22"/>
  <c r="BK50" i="22"/>
  <c r="BK37" i="22"/>
  <c r="BK35" i="22"/>
  <c r="BK33" i="22"/>
  <c r="BK31" i="22"/>
  <c r="BK29" i="22"/>
  <c r="BK27" i="22"/>
  <c r="BK25" i="22"/>
  <c r="BK23" i="22"/>
  <c r="BK21" i="22"/>
  <c r="BK19" i="22"/>
  <c r="BK17" i="22"/>
  <c r="BK44" i="22"/>
  <c r="BK43" i="22"/>
  <c r="BK54" i="22"/>
  <c r="BK39" i="22"/>
  <c r="BK45" i="22"/>
  <c r="BK42" i="22"/>
  <c r="BK38" i="22"/>
  <c r="BK36" i="22"/>
  <c r="BK34" i="22"/>
  <c r="BK32" i="22"/>
  <c r="BK30" i="22"/>
  <c r="BK41" i="22"/>
  <c r="BK22" i="22"/>
  <c r="BK16" i="22"/>
  <c r="BK26" i="22"/>
  <c r="BK20" i="22"/>
  <c r="BK28" i="22"/>
  <c r="BK24" i="22"/>
  <c r="BK18" i="22"/>
  <c r="BK13" i="22"/>
  <c r="BK11" i="22"/>
  <c r="BK9" i="22"/>
  <c r="BK15" i="22"/>
  <c r="BK14" i="22"/>
  <c r="BK12" i="22"/>
  <c r="BK10" i="22"/>
  <c r="P220" i="22"/>
  <c r="P218" i="22"/>
  <c r="P216" i="22"/>
  <c r="P212" i="22"/>
  <c r="P210" i="22"/>
  <c r="P224" i="22"/>
  <c r="P209" i="22"/>
  <c r="P207" i="22"/>
  <c r="P199" i="22"/>
  <c r="P223" i="22"/>
  <c r="P217" i="22"/>
  <c r="P200" i="22"/>
  <c r="P208" i="22"/>
  <c r="P198" i="22"/>
  <c r="P195" i="22"/>
  <c r="P193" i="22"/>
  <c r="P203" i="22"/>
  <c r="P227" i="22"/>
  <c r="P204" i="22"/>
  <c r="P219" i="22"/>
  <c r="P211" i="22"/>
  <c r="P215" i="22"/>
  <c r="P206" i="22"/>
  <c r="P205" i="22"/>
  <c r="P185" i="22"/>
  <c r="P190" i="22"/>
  <c r="P192" i="22"/>
  <c r="P194" i="22"/>
  <c r="P189" i="22"/>
  <c r="P179" i="22"/>
  <c r="P177" i="22"/>
  <c r="P170" i="22"/>
  <c r="P196" i="22"/>
  <c r="P181" i="22"/>
  <c r="P186" i="22"/>
  <c r="P187" i="22"/>
  <c r="P184" i="22"/>
  <c r="P197" i="22"/>
  <c r="P183" i="22"/>
  <c r="P165" i="22"/>
  <c r="P182" i="22"/>
  <c r="P180" i="22"/>
  <c r="P154" i="22"/>
  <c r="P152" i="22"/>
  <c r="P150" i="22"/>
  <c r="P144" i="22"/>
  <c r="P142" i="22"/>
  <c r="P138" i="22"/>
  <c r="P174" i="22"/>
  <c r="P158" i="22"/>
  <c r="P178" i="22"/>
  <c r="P162" i="22"/>
  <c r="P168" i="22"/>
  <c r="P163" i="22"/>
  <c r="P172" i="22"/>
  <c r="P176" i="22"/>
  <c r="P173" i="22"/>
  <c r="P171" i="22"/>
  <c r="P166" i="22"/>
  <c r="P188" i="22"/>
  <c r="P169" i="22"/>
  <c r="P151" i="22"/>
  <c r="P167" i="22"/>
  <c r="P157" i="22"/>
  <c r="P175" i="22"/>
  <c r="P134" i="22"/>
  <c r="P130" i="22"/>
  <c r="P128" i="22"/>
  <c r="P126" i="22"/>
  <c r="P191" i="22"/>
  <c r="P143" i="22"/>
  <c r="P164" i="22"/>
  <c r="P136" i="22"/>
  <c r="P161" i="22"/>
  <c r="P147" i="22"/>
  <c r="L65" i="21" s="1"/>
  <c r="P137" i="22"/>
  <c r="P135" i="22"/>
  <c r="P117" i="22"/>
  <c r="P116" i="22"/>
  <c r="P113" i="22"/>
  <c r="P111" i="22"/>
  <c r="P107" i="22"/>
  <c r="P105" i="22"/>
  <c r="P103" i="22"/>
  <c r="P101" i="22"/>
  <c r="P99" i="22"/>
  <c r="P97" i="22"/>
  <c r="P95" i="22"/>
  <c r="P139" i="22"/>
  <c r="P125" i="22"/>
  <c r="P133" i="22"/>
  <c r="P129" i="22"/>
  <c r="P124" i="22"/>
  <c r="P123" i="22"/>
  <c r="P122" i="22"/>
  <c r="P118" i="22"/>
  <c r="P127" i="22"/>
  <c r="P119" i="22"/>
  <c r="P96" i="22"/>
  <c r="P120" i="22"/>
  <c r="P114" i="22"/>
  <c r="P115" i="22"/>
  <c r="P102" i="22"/>
  <c r="P98" i="22"/>
  <c r="P94" i="22"/>
  <c r="P153" i="22"/>
  <c r="P112" i="22"/>
  <c r="P89" i="22"/>
  <c r="P78" i="22"/>
  <c r="P75" i="22"/>
  <c r="P92" i="22"/>
  <c r="P84" i="22"/>
  <c r="P83" i="22"/>
  <c r="P82" i="22"/>
  <c r="P106" i="22"/>
  <c r="P100" i="22"/>
  <c r="P85" i="22"/>
  <c r="P77" i="22"/>
  <c r="P90" i="22"/>
  <c r="P86" i="22"/>
  <c r="P80" i="22"/>
  <c r="P72" i="22"/>
  <c r="P121" i="22"/>
  <c r="P87" i="22"/>
  <c r="P93" i="22"/>
  <c r="P104" i="22"/>
  <c r="P88" i="22"/>
  <c r="P70" i="22"/>
  <c r="P71" i="22"/>
  <c r="P69" i="22"/>
  <c r="P68" i="22"/>
  <c r="P67" i="22"/>
  <c r="P66" i="22"/>
  <c r="P81" i="22"/>
  <c r="P65" i="22"/>
  <c r="P64" i="22"/>
  <c r="P57" i="22"/>
  <c r="P55" i="22"/>
  <c r="P53" i="22"/>
  <c r="P51" i="22"/>
  <c r="P63" i="22"/>
  <c r="P62" i="22"/>
  <c r="P91" i="22"/>
  <c r="P108" i="22"/>
  <c r="P76" i="22"/>
  <c r="P61" i="22"/>
  <c r="P60" i="22"/>
  <c r="P79" i="22"/>
  <c r="P40" i="22"/>
  <c r="P58" i="22"/>
  <c r="P48" i="22"/>
  <c r="P43" i="22"/>
  <c r="P39" i="22"/>
  <c r="P37" i="22"/>
  <c r="P35" i="22"/>
  <c r="P33" i="22"/>
  <c r="P31" i="22"/>
  <c r="P29" i="22"/>
  <c r="P27" i="22"/>
  <c r="P25" i="22"/>
  <c r="P23" i="22"/>
  <c r="P21" i="22"/>
  <c r="P19" i="22"/>
  <c r="P50" i="22"/>
  <c r="P46" i="22"/>
  <c r="P56" i="22"/>
  <c r="P42" i="22"/>
  <c r="P59" i="22"/>
  <c r="P47" i="22"/>
  <c r="P49" i="22"/>
  <c r="P41" i="22"/>
  <c r="P45" i="22"/>
  <c r="P54" i="22"/>
  <c r="P22" i="22"/>
  <c r="P36" i="22"/>
  <c r="P24" i="22"/>
  <c r="P20" i="22"/>
  <c r="P15" i="22"/>
  <c r="P13" i="22"/>
  <c r="P11" i="22"/>
  <c r="P9" i="22"/>
  <c r="P14" i="22"/>
  <c r="P52" i="22"/>
  <c r="P38" i="22"/>
  <c r="P34" i="22"/>
  <c r="P32" i="22"/>
  <c r="P28" i="22"/>
  <c r="P17" i="22"/>
  <c r="P18" i="22"/>
  <c r="P10" i="22"/>
  <c r="P26" i="22"/>
  <c r="P12" i="22"/>
  <c r="P44" i="22"/>
  <c r="P30" i="22"/>
  <c r="P16" i="22"/>
  <c r="S220" i="22"/>
  <c r="S218" i="22"/>
  <c r="S216" i="22"/>
  <c r="S212" i="22"/>
  <c r="S210" i="22"/>
  <c r="S208" i="22"/>
  <c r="S206" i="22"/>
  <c r="S204" i="22"/>
  <c r="S200" i="22"/>
  <c r="S198" i="22"/>
  <c r="S196" i="22"/>
  <c r="S224" i="22"/>
  <c r="S223" i="22"/>
  <c r="S217" i="22"/>
  <c r="S195" i="22"/>
  <c r="S193" i="22"/>
  <c r="S191" i="22"/>
  <c r="S189" i="22"/>
  <c r="S187" i="22"/>
  <c r="S185" i="22"/>
  <c r="S203" i="22"/>
  <c r="S227" i="22"/>
  <c r="O80" i="21" s="1"/>
  <c r="S197" i="22"/>
  <c r="S219" i="22"/>
  <c r="S211" i="22"/>
  <c r="S205" i="22"/>
  <c r="S209" i="22"/>
  <c r="S190" i="22"/>
  <c r="S192" i="22"/>
  <c r="S184" i="22"/>
  <c r="S182" i="22"/>
  <c r="S180" i="22"/>
  <c r="S178" i="22"/>
  <c r="S176" i="22"/>
  <c r="S174" i="22"/>
  <c r="S194" i="22"/>
  <c r="S199" i="22"/>
  <c r="S207" i="22"/>
  <c r="S181" i="22"/>
  <c r="S186" i="22"/>
  <c r="S175" i="22"/>
  <c r="S215" i="22"/>
  <c r="S173" i="22"/>
  <c r="S188" i="22"/>
  <c r="S183" i="22"/>
  <c r="S179" i="22"/>
  <c r="S177" i="22"/>
  <c r="S162" i="22"/>
  <c r="S168" i="22"/>
  <c r="S163" i="22"/>
  <c r="S172" i="22"/>
  <c r="S171" i="22"/>
  <c r="S166" i="22"/>
  <c r="S157" i="22"/>
  <c r="S153" i="22"/>
  <c r="S170" i="22"/>
  <c r="S169" i="22"/>
  <c r="S165" i="22"/>
  <c r="S154" i="22"/>
  <c r="S138" i="22"/>
  <c r="S158" i="22"/>
  <c r="S167" i="22"/>
  <c r="S144" i="22"/>
  <c r="S142" i="22"/>
  <c r="S150" i="22"/>
  <c r="S143" i="22"/>
  <c r="S151" i="22"/>
  <c r="S139" i="22"/>
  <c r="S147" i="22"/>
  <c r="O65" i="21" s="1"/>
  <c r="S125" i="22"/>
  <c r="S137" i="22"/>
  <c r="S133" i="22"/>
  <c r="S129" i="22"/>
  <c r="S161" i="22"/>
  <c r="S136" i="22"/>
  <c r="S134" i="22"/>
  <c r="S130" i="22"/>
  <c r="S114" i="22"/>
  <c r="S112" i="22"/>
  <c r="S164" i="22"/>
  <c r="S152" i="22"/>
  <c r="S128" i="22"/>
  <c r="S123" i="22"/>
  <c r="S122" i="22"/>
  <c r="S135" i="22"/>
  <c r="S124" i="22"/>
  <c r="S127" i="22"/>
  <c r="S121" i="22"/>
  <c r="S120" i="22"/>
  <c r="S126" i="22"/>
  <c r="S118" i="22"/>
  <c r="S119" i="22"/>
  <c r="S117" i="22"/>
  <c r="S96" i="22"/>
  <c r="S99" i="22"/>
  <c r="S111" i="22"/>
  <c r="S105" i="22"/>
  <c r="S95" i="22"/>
  <c r="S115" i="22"/>
  <c r="S106" i="22"/>
  <c r="S101" i="22"/>
  <c r="S104" i="22"/>
  <c r="S97" i="22"/>
  <c r="S100" i="22"/>
  <c r="S81" i="22"/>
  <c r="S113" i="22"/>
  <c r="S90" i="22"/>
  <c r="S85" i="22"/>
  <c r="S86" i="22"/>
  <c r="S80" i="22"/>
  <c r="S72" i="22"/>
  <c r="S94" i="22"/>
  <c r="S76" i="22"/>
  <c r="S87" i="22"/>
  <c r="S93" i="22"/>
  <c r="S88" i="22"/>
  <c r="S107" i="22"/>
  <c r="S98" i="22"/>
  <c r="S79" i="22"/>
  <c r="S91" i="22"/>
  <c r="S103" i="22"/>
  <c r="S102" i="22"/>
  <c r="S108" i="22"/>
  <c r="S92" i="22"/>
  <c r="S89" i="22"/>
  <c r="S84" i="22"/>
  <c r="S116" i="22"/>
  <c r="S67" i="22"/>
  <c r="S66" i="22"/>
  <c r="S65" i="22"/>
  <c r="S64" i="22"/>
  <c r="S57" i="22"/>
  <c r="S55" i="22"/>
  <c r="S53" i="22"/>
  <c r="S51" i="22"/>
  <c r="S49" i="22"/>
  <c r="S47" i="22"/>
  <c r="S45" i="22"/>
  <c r="S82" i="22"/>
  <c r="S78" i="22"/>
  <c r="S63" i="22"/>
  <c r="S62" i="22"/>
  <c r="S61" i="22"/>
  <c r="S60" i="22"/>
  <c r="S83" i="22"/>
  <c r="S59" i="22"/>
  <c r="S75" i="22"/>
  <c r="S58" i="22"/>
  <c r="S70" i="22"/>
  <c r="S77" i="22"/>
  <c r="S71" i="22"/>
  <c r="S69" i="22"/>
  <c r="S68" i="22"/>
  <c r="S39" i="22"/>
  <c r="S37" i="22"/>
  <c r="S35" i="22"/>
  <c r="S33" i="22"/>
  <c r="S31" i="22"/>
  <c r="S29" i="22"/>
  <c r="S27" i="22"/>
  <c r="S25" i="22"/>
  <c r="S23" i="22"/>
  <c r="S21" i="22"/>
  <c r="S19" i="22"/>
  <c r="S17" i="22"/>
  <c r="S50" i="22"/>
  <c r="S46" i="22"/>
  <c r="S56" i="22"/>
  <c r="S42" i="22"/>
  <c r="S41" i="22"/>
  <c r="S38" i="22"/>
  <c r="S36" i="22"/>
  <c r="S34" i="22"/>
  <c r="S32" i="22"/>
  <c r="S30" i="22"/>
  <c r="S28" i="22"/>
  <c r="S26" i="22"/>
  <c r="S52" i="22"/>
  <c r="S44" i="22"/>
  <c r="S40" i="22"/>
  <c r="S48" i="22"/>
  <c r="S43" i="22"/>
  <c r="S24" i="22"/>
  <c r="S20" i="22"/>
  <c r="S15" i="22"/>
  <c r="S13" i="22"/>
  <c r="S11" i="22"/>
  <c r="S9" i="22"/>
  <c r="S18" i="22"/>
  <c r="S14" i="22"/>
  <c r="S12" i="22"/>
  <c r="S10" i="22"/>
  <c r="S16" i="22"/>
  <c r="S54" i="22"/>
  <c r="S22" i="22"/>
  <c r="Y219" i="22"/>
  <c r="Y217" i="22"/>
  <c r="Y215" i="22"/>
  <c r="Y211" i="22"/>
  <c r="Y209" i="22"/>
  <c r="Y207" i="22"/>
  <c r="Y205" i="22"/>
  <c r="Y203" i="22"/>
  <c r="Y199" i="22"/>
  <c r="Y223" i="22"/>
  <c r="Y227" i="22"/>
  <c r="U80" i="21" s="1"/>
  <c r="Y220" i="22"/>
  <c r="Y218" i="22"/>
  <c r="Y216" i="22"/>
  <c r="Y212" i="22"/>
  <c r="Y224" i="22"/>
  <c r="Y197" i="22"/>
  <c r="Y204" i="22"/>
  <c r="Y194" i="22"/>
  <c r="Y192" i="22"/>
  <c r="Y190" i="22"/>
  <c r="Y196" i="22"/>
  <c r="Y206" i="22"/>
  <c r="Y193" i="22"/>
  <c r="Y195" i="22"/>
  <c r="Y200" i="22"/>
  <c r="Y188" i="22"/>
  <c r="Y208" i="22"/>
  <c r="Y191" i="22"/>
  <c r="Y189" i="22"/>
  <c r="Y187" i="22"/>
  <c r="Y186" i="22"/>
  <c r="Y183" i="22"/>
  <c r="Y198" i="22"/>
  <c r="Y210" i="22"/>
  <c r="Y178" i="22"/>
  <c r="Y180" i="22"/>
  <c r="Y176" i="22"/>
  <c r="Y171" i="22"/>
  <c r="Y182" i="22"/>
  <c r="Y181" i="22"/>
  <c r="Y157" i="22"/>
  <c r="Y153" i="22"/>
  <c r="Y151" i="22"/>
  <c r="Y147" i="22"/>
  <c r="Y143" i="22"/>
  <c r="U64" i="21" s="1"/>
  <c r="Y139" i="22"/>
  <c r="Y137" i="22"/>
  <c r="Y135" i="22"/>
  <c r="Y177" i="22"/>
  <c r="Y170" i="22"/>
  <c r="Y172" i="22"/>
  <c r="Y164" i="22"/>
  <c r="Y173" i="22"/>
  <c r="Y169" i="22"/>
  <c r="Y167" i="22"/>
  <c r="Y184" i="22"/>
  <c r="Y154" i="22"/>
  <c r="Y162" i="22"/>
  <c r="Y144" i="22"/>
  <c r="Y142" i="22"/>
  <c r="Y166" i="22"/>
  <c r="Y150" i="22"/>
  <c r="Y175" i="22"/>
  <c r="Y185" i="22"/>
  <c r="Y168" i="22"/>
  <c r="Y136" i="22"/>
  <c r="Y133" i="22"/>
  <c r="Y129" i="22"/>
  <c r="Y127" i="22"/>
  <c r="Y125" i="22"/>
  <c r="Y152" i="22"/>
  <c r="Y161" i="22"/>
  <c r="Y138" i="22"/>
  <c r="Y174" i="22"/>
  <c r="Y158" i="22"/>
  <c r="Y165" i="22"/>
  <c r="Y179" i="22"/>
  <c r="Y134" i="22"/>
  <c r="Y130" i="22"/>
  <c r="Y123" i="22"/>
  <c r="Y128" i="22"/>
  <c r="Y122" i="22"/>
  <c r="Y121" i="22"/>
  <c r="Y124" i="22"/>
  <c r="Y120" i="22"/>
  <c r="Y119" i="22"/>
  <c r="Y118" i="22"/>
  <c r="Y117" i="22"/>
  <c r="Y126" i="22"/>
  <c r="Y116" i="22"/>
  <c r="Y115" i="22"/>
  <c r="Y163" i="22"/>
  <c r="Y98" i="22"/>
  <c r="Y102" i="22"/>
  <c r="Y101" i="22"/>
  <c r="Y94" i="22"/>
  <c r="Y114" i="22"/>
  <c r="Y113" i="22"/>
  <c r="Y103" i="22"/>
  <c r="Y106" i="22"/>
  <c r="Y97" i="22"/>
  <c r="Y108" i="22"/>
  <c r="Y104" i="22"/>
  <c r="Y111" i="22"/>
  <c r="Y105" i="22"/>
  <c r="Y100" i="22"/>
  <c r="Y76" i="22"/>
  <c r="Y87" i="22"/>
  <c r="Y93" i="22"/>
  <c r="Y99" i="22"/>
  <c r="Y91" i="22"/>
  <c r="Y88" i="22"/>
  <c r="Y107" i="22"/>
  <c r="Y95" i="22"/>
  <c r="Y78" i="22"/>
  <c r="Y75" i="22"/>
  <c r="Y89" i="22"/>
  <c r="Y96" i="22"/>
  <c r="Y83" i="22"/>
  <c r="Y112" i="22"/>
  <c r="Y84" i="22"/>
  <c r="Y82" i="22"/>
  <c r="Y92" i="22"/>
  <c r="Y81" i="22"/>
  <c r="Y62" i="22"/>
  <c r="Y61" i="22"/>
  <c r="Y60" i="22"/>
  <c r="Y59" i="22"/>
  <c r="Y86" i="22"/>
  <c r="Y56" i="22"/>
  <c r="Y54" i="22"/>
  <c r="Y52" i="22"/>
  <c r="Y50" i="22"/>
  <c r="Y48" i="22"/>
  <c r="Y46" i="22"/>
  <c r="Y80" i="22"/>
  <c r="Y72" i="22"/>
  <c r="Y58" i="22"/>
  <c r="Y85" i="22"/>
  <c r="Y70" i="22"/>
  <c r="Y69" i="22"/>
  <c r="Y79" i="22"/>
  <c r="Y77" i="22"/>
  <c r="Y71" i="22"/>
  <c r="Y68" i="22"/>
  <c r="Y67" i="22"/>
  <c r="Y66" i="22"/>
  <c r="Y65" i="22"/>
  <c r="Y57" i="22"/>
  <c r="Y55" i="22"/>
  <c r="Y64" i="22"/>
  <c r="Y63" i="22"/>
  <c r="Y41" i="22"/>
  <c r="Y38" i="22"/>
  <c r="Y36" i="22"/>
  <c r="Y34" i="22"/>
  <c r="Y32" i="22"/>
  <c r="Y30" i="22"/>
  <c r="Y28" i="22"/>
  <c r="Y26" i="22"/>
  <c r="Y24" i="22"/>
  <c r="Y22" i="22"/>
  <c r="Y20" i="22"/>
  <c r="Y18" i="22"/>
  <c r="Y47" i="22"/>
  <c r="Y49" i="22"/>
  <c r="Y44" i="22"/>
  <c r="Y90" i="22"/>
  <c r="Y40" i="22"/>
  <c r="Y45" i="22"/>
  <c r="Y53" i="22"/>
  <c r="Y51" i="22"/>
  <c r="Y43" i="22"/>
  <c r="Y37" i="22"/>
  <c r="Y35" i="22"/>
  <c r="Y10" i="22"/>
  <c r="Y17" i="22"/>
  <c r="Y12" i="22"/>
  <c r="Y23" i="22"/>
  <c r="Y21" i="22"/>
  <c r="Y14" i="22"/>
  <c r="Y13" i="22"/>
  <c r="Y16" i="22"/>
  <c r="Y27" i="22"/>
  <c r="Y25" i="22"/>
  <c r="Y29" i="22"/>
  <c r="Y19" i="22"/>
  <c r="Y11" i="22"/>
  <c r="Y9" i="22"/>
  <c r="Y39" i="22"/>
  <c r="Y33" i="22"/>
  <c r="Y42" i="22"/>
  <c r="Y15" i="22"/>
  <c r="Y31" i="22"/>
  <c r="U224" i="22"/>
  <c r="U219" i="22"/>
  <c r="U217" i="22"/>
  <c r="U215" i="22"/>
  <c r="U211" i="22"/>
  <c r="U209" i="22"/>
  <c r="U223" i="22"/>
  <c r="U227" i="22"/>
  <c r="Q80" i="21" s="1"/>
  <c r="U198" i="22"/>
  <c r="U200" i="22"/>
  <c r="U210" i="22"/>
  <c r="U208" i="22"/>
  <c r="U203" i="22"/>
  <c r="U212" i="22"/>
  <c r="U220" i="22"/>
  <c r="U197" i="22"/>
  <c r="U204" i="22"/>
  <c r="U205" i="22"/>
  <c r="U216" i="22"/>
  <c r="U218" i="22"/>
  <c r="U192" i="22"/>
  <c r="U184" i="22"/>
  <c r="U182" i="22"/>
  <c r="U180" i="22"/>
  <c r="U178" i="22"/>
  <c r="U176" i="22"/>
  <c r="U174" i="22"/>
  <c r="U194" i="22"/>
  <c r="U206" i="22"/>
  <c r="U199" i="22"/>
  <c r="U196" i="22"/>
  <c r="U193" i="22"/>
  <c r="U195" i="22"/>
  <c r="U188" i="22"/>
  <c r="U172" i="22"/>
  <c r="U169" i="22"/>
  <c r="U167" i="22"/>
  <c r="U165" i="22"/>
  <c r="U163" i="22"/>
  <c r="U161" i="22"/>
  <c r="U173" i="22"/>
  <c r="U189" i="22"/>
  <c r="U190" i="22"/>
  <c r="U191" i="22"/>
  <c r="U185" i="22"/>
  <c r="U181" i="22"/>
  <c r="U179" i="22"/>
  <c r="U183" i="22"/>
  <c r="U171" i="22"/>
  <c r="U166" i="22"/>
  <c r="U177" i="22"/>
  <c r="U157" i="22"/>
  <c r="U153" i="22"/>
  <c r="U151" i="22"/>
  <c r="U147" i="22"/>
  <c r="U143" i="22"/>
  <c r="U207" i="22"/>
  <c r="U170" i="22"/>
  <c r="U164" i="22"/>
  <c r="U186" i="22"/>
  <c r="U175" i="22"/>
  <c r="U158" i="22"/>
  <c r="U187" i="22"/>
  <c r="U134" i="22"/>
  <c r="U130" i="22"/>
  <c r="U128" i="22"/>
  <c r="U126" i="22"/>
  <c r="U124" i="22"/>
  <c r="U122" i="22"/>
  <c r="U120" i="22"/>
  <c r="U118" i="22"/>
  <c r="U116" i="22"/>
  <c r="U150" i="22"/>
  <c r="U152" i="22"/>
  <c r="U137" i="22"/>
  <c r="U136" i="22"/>
  <c r="U135" i="22"/>
  <c r="U133" i="22"/>
  <c r="U129" i="22"/>
  <c r="U154" i="22"/>
  <c r="U138" i="22"/>
  <c r="U139" i="22"/>
  <c r="U162" i="22"/>
  <c r="U144" i="22"/>
  <c r="U114" i="22"/>
  <c r="U112" i="22"/>
  <c r="U108" i="22"/>
  <c r="U106" i="22"/>
  <c r="U104" i="22"/>
  <c r="U123" i="22"/>
  <c r="U127" i="22"/>
  <c r="U121" i="22"/>
  <c r="U168" i="22"/>
  <c r="U119" i="22"/>
  <c r="U142" i="22"/>
  <c r="U125" i="22"/>
  <c r="U107" i="22"/>
  <c r="U111" i="22"/>
  <c r="U105" i="22"/>
  <c r="U95" i="22"/>
  <c r="U98" i="22"/>
  <c r="U92" i="22"/>
  <c r="U90" i="22"/>
  <c r="U115" i="22"/>
  <c r="U102" i="22"/>
  <c r="U101" i="22"/>
  <c r="U100" i="22"/>
  <c r="U117" i="22"/>
  <c r="U85" i="22"/>
  <c r="U77" i="22"/>
  <c r="U113" i="22"/>
  <c r="U86" i="22"/>
  <c r="U80" i="22"/>
  <c r="U76" i="22"/>
  <c r="U94" i="22"/>
  <c r="U87" i="22"/>
  <c r="U99" i="22"/>
  <c r="U93" i="22"/>
  <c r="U88" i="22"/>
  <c r="U79" i="22"/>
  <c r="U91" i="22"/>
  <c r="U103" i="22"/>
  <c r="U96" i="22"/>
  <c r="U83" i="22"/>
  <c r="U82" i="22"/>
  <c r="U97" i="22"/>
  <c r="U65" i="22"/>
  <c r="U64" i="22"/>
  <c r="U57" i="22"/>
  <c r="U55" i="22"/>
  <c r="U53" i="22"/>
  <c r="U51" i="22"/>
  <c r="U49" i="22"/>
  <c r="U47" i="22"/>
  <c r="U45" i="22"/>
  <c r="U43" i="22"/>
  <c r="U41" i="22"/>
  <c r="U39" i="22"/>
  <c r="U78" i="22"/>
  <c r="U89" i="22"/>
  <c r="U63" i="22"/>
  <c r="U62" i="22"/>
  <c r="U81" i="22"/>
  <c r="U61" i="22"/>
  <c r="U60" i="22"/>
  <c r="U59" i="22"/>
  <c r="U75" i="22"/>
  <c r="U72" i="22"/>
  <c r="U58" i="22"/>
  <c r="U56" i="22"/>
  <c r="U54" i="22"/>
  <c r="U52" i="22"/>
  <c r="U70" i="22"/>
  <c r="U71" i="22"/>
  <c r="U69" i="22"/>
  <c r="U68" i="22"/>
  <c r="U84" i="22"/>
  <c r="U67" i="22"/>
  <c r="U66" i="22"/>
  <c r="U50" i="22"/>
  <c r="U46" i="22"/>
  <c r="U38" i="22"/>
  <c r="U36" i="22"/>
  <c r="U34" i="22"/>
  <c r="U32" i="22"/>
  <c r="U30" i="22"/>
  <c r="U28" i="22"/>
  <c r="U26" i="22"/>
  <c r="U24" i="22"/>
  <c r="U22" i="22"/>
  <c r="U44" i="22"/>
  <c r="U40" i="22"/>
  <c r="U48" i="22"/>
  <c r="U37" i="22"/>
  <c r="U35" i="22"/>
  <c r="U33" i="22"/>
  <c r="U31" i="22"/>
  <c r="U18" i="22"/>
  <c r="U17" i="22"/>
  <c r="U42" i="22"/>
  <c r="U23" i="22"/>
  <c r="U21" i="22"/>
  <c r="U14" i="22"/>
  <c r="U12" i="22"/>
  <c r="U10" i="22"/>
  <c r="U16" i="22"/>
  <c r="U27" i="22"/>
  <c r="U25" i="22"/>
  <c r="U29" i="22"/>
  <c r="U19" i="22"/>
  <c r="U20" i="22"/>
  <c r="U9" i="22"/>
  <c r="U11" i="22"/>
  <c r="U15" i="22"/>
  <c r="U13" i="22"/>
  <c r="AG220" i="22"/>
  <c r="AG218" i="22"/>
  <c r="AG216" i="22"/>
  <c r="AG212" i="22"/>
  <c r="AG210" i="22"/>
  <c r="AG208" i="22"/>
  <c r="AG206" i="22"/>
  <c r="AG204" i="22"/>
  <c r="AG200" i="22"/>
  <c r="AG224" i="22"/>
  <c r="AG219" i="22"/>
  <c r="AG217" i="22"/>
  <c r="AG215" i="22"/>
  <c r="AG211" i="22"/>
  <c r="AG207" i="22"/>
  <c r="AG195" i="22"/>
  <c r="AG193" i="22"/>
  <c r="AG191" i="22"/>
  <c r="AG227" i="22"/>
  <c r="AG199" i="22"/>
  <c r="AG198" i="22"/>
  <c r="AG209" i="22"/>
  <c r="AG223" i="22"/>
  <c r="AG186" i="22"/>
  <c r="AG203" i="22"/>
  <c r="AG185" i="22"/>
  <c r="AG196" i="22"/>
  <c r="AG184" i="22"/>
  <c r="AG197" i="22"/>
  <c r="AG190" i="22"/>
  <c r="AG192" i="22"/>
  <c r="AG170" i="22"/>
  <c r="AG194" i="22"/>
  <c r="AG189" i="22"/>
  <c r="AG182" i="22"/>
  <c r="AG205" i="22"/>
  <c r="AG188" i="22"/>
  <c r="AG183" i="22"/>
  <c r="AG177" i="22"/>
  <c r="AG187" i="22"/>
  <c r="AG169" i="22"/>
  <c r="AG154" i="22"/>
  <c r="AG152" i="22"/>
  <c r="AG150" i="22"/>
  <c r="AG144" i="22"/>
  <c r="AG142" i="22"/>
  <c r="AG138" i="22"/>
  <c r="AG136" i="22"/>
  <c r="AG173" i="22"/>
  <c r="AG161" i="22"/>
  <c r="AG176" i="22"/>
  <c r="AG158" i="22"/>
  <c r="AG165" i="22"/>
  <c r="AG162" i="22"/>
  <c r="AG175" i="22"/>
  <c r="AG168" i="22"/>
  <c r="AG163" i="22"/>
  <c r="AG157" i="22"/>
  <c r="AG174" i="22"/>
  <c r="AG135" i="22"/>
  <c r="AG181" i="22"/>
  <c r="AG178" i="22"/>
  <c r="AG167" i="22"/>
  <c r="AG153" i="22"/>
  <c r="AG171" i="22"/>
  <c r="AG151" i="22"/>
  <c r="AG139" i="22"/>
  <c r="AG134" i="22"/>
  <c r="AG130" i="22"/>
  <c r="AG128" i="22"/>
  <c r="AG126" i="22"/>
  <c r="AG124" i="22"/>
  <c r="AG180" i="22"/>
  <c r="AG179" i="22"/>
  <c r="AG166" i="22"/>
  <c r="AG127" i="22"/>
  <c r="AG117" i="22"/>
  <c r="AG116" i="22"/>
  <c r="AG115" i="22"/>
  <c r="AG164" i="22"/>
  <c r="AG125" i="22"/>
  <c r="AG143" i="22"/>
  <c r="AG123" i="22"/>
  <c r="AG172" i="22"/>
  <c r="AG147" i="22"/>
  <c r="AC65" i="21" s="1"/>
  <c r="AG121" i="22"/>
  <c r="AG120" i="22"/>
  <c r="AG119" i="22"/>
  <c r="AG108" i="22"/>
  <c r="AG133" i="22"/>
  <c r="AG103" i="22"/>
  <c r="AG104" i="22"/>
  <c r="AG113" i="22"/>
  <c r="AG112" i="22"/>
  <c r="AG96" i="22"/>
  <c r="AG137" i="22"/>
  <c r="AG99" i="22"/>
  <c r="AG107" i="22"/>
  <c r="AG95" i="22"/>
  <c r="AG129" i="22"/>
  <c r="AG105" i="22"/>
  <c r="AG98" i="22"/>
  <c r="AG122" i="22"/>
  <c r="AG102" i="22"/>
  <c r="AG94" i="22"/>
  <c r="AG118" i="22"/>
  <c r="AG106" i="22"/>
  <c r="AG78" i="22"/>
  <c r="AG111" i="22"/>
  <c r="AG83" i="22"/>
  <c r="AG89" i="22"/>
  <c r="AG84" i="22"/>
  <c r="AG92" i="22"/>
  <c r="AG81" i="22"/>
  <c r="AG77" i="22"/>
  <c r="AG85" i="22"/>
  <c r="AG72" i="22"/>
  <c r="AG114" i="22"/>
  <c r="AG80" i="22"/>
  <c r="AG90" i="22"/>
  <c r="AG86" i="22"/>
  <c r="AG101" i="22"/>
  <c r="AG97" i="22"/>
  <c r="AG87" i="22"/>
  <c r="AG88" i="22"/>
  <c r="AG100" i="22"/>
  <c r="AG82" i="22"/>
  <c r="AG76" i="22"/>
  <c r="AG70" i="22"/>
  <c r="AG75" i="22"/>
  <c r="AG69" i="22"/>
  <c r="AG68" i="22"/>
  <c r="AG79" i="22"/>
  <c r="AG71" i="22"/>
  <c r="AG67" i="22"/>
  <c r="AG66" i="22"/>
  <c r="AG57" i="22"/>
  <c r="AG55" i="22"/>
  <c r="AG53" i="22"/>
  <c r="AG51" i="22"/>
  <c r="AG49" i="22"/>
  <c r="AG47" i="22"/>
  <c r="AG45" i="22"/>
  <c r="AG65" i="22"/>
  <c r="AG64" i="22"/>
  <c r="AG91" i="22"/>
  <c r="AG63" i="22"/>
  <c r="AG62" i="22"/>
  <c r="AG61" i="22"/>
  <c r="AG60" i="22"/>
  <c r="AG59" i="22"/>
  <c r="AG56" i="22"/>
  <c r="AG54" i="22"/>
  <c r="AG40" i="22"/>
  <c r="AG43" i="22"/>
  <c r="AG37" i="22"/>
  <c r="AG35" i="22"/>
  <c r="AG33" i="22"/>
  <c r="AG31" i="22"/>
  <c r="AG29" i="22"/>
  <c r="AG27" i="22"/>
  <c r="AG25" i="22"/>
  <c r="AG23" i="22"/>
  <c r="AG21" i="22"/>
  <c r="AG19" i="22"/>
  <c r="AG17" i="22"/>
  <c r="AG52" i="22"/>
  <c r="AG39" i="22"/>
  <c r="AG93" i="22"/>
  <c r="AG48" i="22"/>
  <c r="AG42" i="22"/>
  <c r="AG46" i="22"/>
  <c r="AG50" i="22"/>
  <c r="AG41" i="22"/>
  <c r="AG38" i="22"/>
  <c r="AG36" i="22"/>
  <c r="AG34" i="22"/>
  <c r="AG58" i="22"/>
  <c r="AG11" i="22"/>
  <c r="AG26" i="22"/>
  <c r="AG9" i="22"/>
  <c r="AG28" i="22"/>
  <c r="AG13" i="22"/>
  <c r="AG15" i="22"/>
  <c r="AG44" i="22"/>
  <c r="AG22" i="22"/>
  <c r="AG30" i="22"/>
  <c r="AG10" i="22"/>
  <c r="AG24" i="22"/>
  <c r="AG20" i="22"/>
  <c r="AG12" i="22"/>
  <c r="AG18" i="22"/>
  <c r="AG14" i="22"/>
  <c r="AG32" i="22"/>
  <c r="AG16" i="22"/>
  <c r="AA219" i="22"/>
  <c r="AA217" i="22"/>
  <c r="AA215" i="22"/>
  <c r="AA211" i="22"/>
  <c r="AA209" i="22"/>
  <c r="AA207" i="22"/>
  <c r="AA205" i="22"/>
  <c r="AA203" i="22"/>
  <c r="AA199" i="22"/>
  <c r="AA197" i="22"/>
  <c r="AA223" i="22"/>
  <c r="AA227" i="22"/>
  <c r="W80" i="21" s="1"/>
  <c r="AA220" i="22"/>
  <c r="AA224" i="22"/>
  <c r="AA204" i="22"/>
  <c r="AA194" i="22"/>
  <c r="AA192" i="22"/>
  <c r="AA190" i="22"/>
  <c r="AA188" i="22"/>
  <c r="AA186" i="22"/>
  <c r="AA216" i="22"/>
  <c r="AA196" i="22"/>
  <c r="AA206" i="22"/>
  <c r="AA218" i="22"/>
  <c r="AA198" i="22"/>
  <c r="AA212" i="22"/>
  <c r="AA193" i="22"/>
  <c r="AA195" i="22"/>
  <c r="AA200" i="22"/>
  <c r="AA208" i="22"/>
  <c r="AA191" i="22"/>
  <c r="AA189" i="22"/>
  <c r="AA187" i="22"/>
  <c r="AA183" i="22"/>
  <c r="AA181" i="22"/>
  <c r="AA179" i="22"/>
  <c r="AA177" i="22"/>
  <c r="AA175" i="22"/>
  <c r="AA173" i="22"/>
  <c r="AA210" i="22"/>
  <c r="AA180" i="22"/>
  <c r="AA176" i="22"/>
  <c r="AA171" i="22"/>
  <c r="AA174" i="22"/>
  <c r="AA185" i="22"/>
  <c r="AA184" i="22"/>
  <c r="AA170" i="22"/>
  <c r="AA178" i="22"/>
  <c r="AA172" i="22"/>
  <c r="AA164" i="22"/>
  <c r="AA169" i="22"/>
  <c r="AA167" i="22"/>
  <c r="AA154" i="22"/>
  <c r="AA161" i="22"/>
  <c r="AA158" i="22"/>
  <c r="AA162" i="22"/>
  <c r="AA166" i="22"/>
  <c r="AA150" i="22"/>
  <c r="AA157" i="22"/>
  <c r="AA168" i="22"/>
  <c r="AA152" i="22"/>
  <c r="AA135" i="22"/>
  <c r="AA143" i="22"/>
  <c r="AA137" i="22"/>
  <c r="AA153" i="22"/>
  <c r="AA138" i="22"/>
  <c r="AA165" i="22"/>
  <c r="AA144" i="22"/>
  <c r="AA142" i="22"/>
  <c r="AA182" i="22"/>
  <c r="AA133" i="22"/>
  <c r="AA129" i="22"/>
  <c r="AA128" i="22"/>
  <c r="AA122" i="22"/>
  <c r="AA121" i="22"/>
  <c r="AA151" i="22"/>
  <c r="AA136" i="22"/>
  <c r="AA124" i="22"/>
  <c r="AA120" i="22"/>
  <c r="AA119" i="22"/>
  <c r="AA127" i="22"/>
  <c r="AA118" i="22"/>
  <c r="AA117" i="22"/>
  <c r="AA113" i="22"/>
  <c r="AA126" i="22"/>
  <c r="AA116" i="22"/>
  <c r="AA115" i="22"/>
  <c r="AA163" i="22"/>
  <c r="AA147" i="22"/>
  <c r="W65" i="21" s="1"/>
  <c r="AA139" i="22"/>
  <c r="AA134" i="22"/>
  <c r="AA130" i="22"/>
  <c r="AA123" i="22"/>
  <c r="AA98" i="22"/>
  <c r="AA102" i="22"/>
  <c r="AA101" i="22"/>
  <c r="AA114" i="22"/>
  <c r="AA103" i="22"/>
  <c r="AA106" i="22"/>
  <c r="AA97" i="22"/>
  <c r="AA108" i="22"/>
  <c r="AA104" i="22"/>
  <c r="AA107" i="22"/>
  <c r="AA105" i="22"/>
  <c r="AA93" i="22"/>
  <c r="AA79" i="22"/>
  <c r="AA91" i="22"/>
  <c r="AA111" i="22"/>
  <c r="AA99" i="22"/>
  <c r="AA88" i="22"/>
  <c r="AA125" i="22"/>
  <c r="AA94" i="22"/>
  <c r="AA95" i="22"/>
  <c r="AA75" i="22"/>
  <c r="AA89" i="22"/>
  <c r="AA78" i="22"/>
  <c r="AA96" i="22"/>
  <c r="AA83" i="22"/>
  <c r="AA112" i="22"/>
  <c r="AA84" i="22"/>
  <c r="AA82" i="22"/>
  <c r="AA81" i="22"/>
  <c r="AA92" i="22"/>
  <c r="AA85" i="22"/>
  <c r="AA90" i="22"/>
  <c r="AA86" i="22"/>
  <c r="AA60" i="22"/>
  <c r="AA59" i="22"/>
  <c r="AA56" i="22"/>
  <c r="AA54" i="22"/>
  <c r="AA52" i="22"/>
  <c r="AA50" i="22"/>
  <c r="AA48" i="22"/>
  <c r="AA46" i="22"/>
  <c r="AA72" i="22"/>
  <c r="AA58" i="22"/>
  <c r="AA80" i="22"/>
  <c r="AA76" i="22"/>
  <c r="AA70" i="22"/>
  <c r="AA69" i="22"/>
  <c r="AA100" i="22"/>
  <c r="AA77" i="22"/>
  <c r="AA71" i="22"/>
  <c r="AA68" i="22"/>
  <c r="AA67" i="22"/>
  <c r="AA66" i="22"/>
  <c r="AA65" i="22"/>
  <c r="AA57" i="22"/>
  <c r="AA64" i="22"/>
  <c r="AA63" i="22"/>
  <c r="AA62" i="22"/>
  <c r="AA61" i="22"/>
  <c r="AA41" i="22"/>
  <c r="AA38" i="22"/>
  <c r="AA36" i="22"/>
  <c r="AA34" i="22"/>
  <c r="AA32" i="22"/>
  <c r="AA30" i="22"/>
  <c r="AA28" i="22"/>
  <c r="AA26" i="22"/>
  <c r="AA24" i="22"/>
  <c r="AA22" i="22"/>
  <c r="AA20" i="22"/>
  <c r="AA18" i="22"/>
  <c r="AA16" i="22"/>
  <c r="AA47" i="22"/>
  <c r="AA49" i="22"/>
  <c r="AA44" i="22"/>
  <c r="AA40" i="22"/>
  <c r="AA45" i="22"/>
  <c r="AA53" i="22"/>
  <c r="AA51" i="22"/>
  <c r="AA43" i="22"/>
  <c r="AA87" i="22"/>
  <c r="AA37" i="22"/>
  <c r="AA35" i="22"/>
  <c r="AA33" i="22"/>
  <c r="AA31" i="22"/>
  <c r="AA29" i="22"/>
  <c r="AA27" i="22"/>
  <c r="AA25" i="22"/>
  <c r="AA39" i="22"/>
  <c r="AA23" i="22"/>
  <c r="AA21" i="22"/>
  <c r="AA14" i="22"/>
  <c r="AA12" i="22"/>
  <c r="AA10" i="22"/>
  <c r="AA9" i="22"/>
  <c r="AA19" i="22"/>
  <c r="AA11" i="22"/>
  <c r="AA55" i="22"/>
  <c r="AA15" i="22"/>
  <c r="AA13" i="22"/>
  <c r="AA42" i="22"/>
  <c r="AA17" i="22"/>
  <c r="I219" i="22"/>
  <c r="I217" i="22"/>
  <c r="I215" i="22"/>
  <c r="I211" i="22"/>
  <c r="I209" i="22"/>
  <c r="I207" i="22"/>
  <c r="I205" i="22"/>
  <c r="I203" i="22"/>
  <c r="I223" i="22"/>
  <c r="I227" i="22"/>
  <c r="E80" i="21" s="1"/>
  <c r="I220" i="22"/>
  <c r="I218" i="22"/>
  <c r="I216" i="22"/>
  <c r="I212" i="22"/>
  <c r="I224" i="22"/>
  <c r="I194" i="22"/>
  <c r="I192" i="22"/>
  <c r="I190" i="22"/>
  <c r="I206" i="22"/>
  <c r="I196" i="22"/>
  <c r="I210" i="22"/>
  <c r="I199" i="22"/>
  <c r="I208" i="22"/>
  <c r="I200" i="22"/>
  <c r="I191" i="22"/>
  <c r="I188" i="22"/>
  <c r="I189" i="22"/>
  <c r="I197" i="22"/>
  <c r="I187" i="22"/>
  <c r="I186" i="22"/>
  <c r="I183" i="22"/>
  <c r="I198" i="22"/>
  <c r="I195" i="22"/>
  <c r="I185" i="22"/>
  <c r="I184" i="22"/>
  <c r="I179" i="22"/>
  <c r="I171" i="22"/>
  <c r="I182" i="22"/>
  <c r="I177" i="22"/>
  <c r="I174" i="22"/>
  <c r="I181" i="22"/>
  <c r="I204" i="22"/>
  <c r="I157" i="22"/>
  <c r="I153" i="22"/>
  <c r="I151" i="22"/>
  <c r="I147" i="22"/>
  <c r="E65" i="21" s="1"/>
  <c r="I143" i="22"/>
  <c r="I139" i="22"/>
  <c r="I137" i="22"/>
  <c r="I169" i="22"/>
  <c r="I167" i="22"/>
  <c r="I180" i="22"/>
  <c r="I178" i="22"/>
  <c r="I161" i="22"/>
  <c r="I193" i="22"/>
  <c r="I168" i="22"/>
  <c r="I165" i="22"/>
  <c r="I162" i="22"/>
  <c r="I158" i="22"/>
  <c r="I176" i="22"/>
  <c r="I164" i="22"/>
  <c r="I170" i="22"/>
  <c r="I154" i="22"/>
  <c r="I166" i="22"/>
  <c r="I173" i="22"/>
  <c r="I135" i="22"/>
  <c r="I133" i="22"/>
  <c r="I129" i="22"/>
  <c r="I127" i="22"/>
  <c r="I125" i="22"/>
  <c r="I138" i="22"/>
  <c r="I175" i="22"/>
  <c r="I163" i="22"/>
  <c r="I150" i="22"/>
  <c r="I172" i="22"/>
  <c r="I124" i="22"/>
  <c r="I122" i="22"/>
  <c r="I121" i="22"/>
  <c r="I142" i="22"/>
  <c r="I144" i="22"/>
  <c r="I126" i="22"/>
  <c r="I120" i="22"/>
  <c r="I119" i="22"/>
  <c r="I118" i="22"/>
  <c r="I117" i="22"/>
  <c r="I116" i="22"/>
  <c r="I152" i="22"/>
  <c r="I136" i="22"/>
  <c r="I115" i="22"/>
  <c r="I134" i="22"/>
  <c r="I130" i="22"/>
  <c r="I128" i="22"/>
  <c r="I123" i="22"/>
  <c r="I114" i="22"/>
  <c r="I113" i="22"/>
  <c r="I108" i="22"/>
  <c r="I106" i="22"/>
  <c r="I103" i="22"/>
  <c r="I101" i="22"/>
  <c r="I94" i="22"/>
  <c r="I112" i="22"/>
  <c r="I97" i="22"/>
  <c r="I107" i="22"/>
  <c r="I104" i="22"/>
  <c r="I100" i="22"/>
  <c r="I105" i="22"/>
  <c r="I99" i="22"/>
  <c r="I102" i="22"/>
  <c r="I91" i="22"/>
  <c r="I96" i="22"/>
  <c r="I88" i="22"/>
  <c r="I79" i="22"/>
  <c r="I89" i="22"/>
  <c r="I111" i="22"/>
  <c r="I78" i="22"/>
  <c r="I92" i="22"/>
  <c r="I84" i="22"/>
  <c r="I83" i="22"/>
  <c r="I75" i="22"/>
  <c r="I82" i="22"/>
  <c r="I85" i="22"/>
  <c r="I81" i="22"/>
  <c r="I90" i="22"/>
  <c r="I93" i="22"/>
  <c r="I98" i="22"/>
  <c r="I87" i="22"/>
  <c r="I76" i="22"/>
  <c r="I60" i="22"/>
  <c r="I59" i="22"/>
  <c r="I77" i="22"/>
  <c r="I86" i="22"/>
  <c r="I58" i="22"/>
  <c r="I56" i="22"/>
  <c r="I54" i="22"/>
  <c r="I52" i="22"/>
  <c r="I50" i="22"/>
  <c r="I48" i="22"/>
  <c r="I46" i="22"/>
  <c r="I71" i="22"/>
  <c r="I70" i="22"/>
  <c r="I69" i="22"/>
  <c r="I95" i="22"/>
  <c r="I68" i="22"/>
  <c r="I67" i="22"/>
  <c r="I80" i="22"/>
  <c r="I66" i="22"/>
  <c r="I65" i="22"/>
  <c r="I64" i="22"/>
  <c r="I63" i="22"/>
  <c r="I57" i="22"/>
  <c r="I55" i="22"/>
  <c r="I72" i="22"/>
  <c r="I62" i="22"/>
  <c r="I61" i="22"/>
  <c r="I49" i="22"/>
  <c r="I47" i="22"/>
  <c r="I53" i="22"/>
  <c r="I51" i="22"/>
  <c r="I38" i="22"/>
  <c r="I36" i="22"/>
  <c r="I34" i="22"/>
  <c r="I32" i="22"/>
  <c r="I30" i="22"/>
  <c r="I28" i="22"/>
  <c r="I26" i="22"/>
  <c r="I24" i="22"/>
  <c r="I22" i="22"/>
  <c r="I20" i="22"/>
  <c r="I18" i="22"/>
  <c r="I45" i="22"/>
  <c r="I44" i="22"/>
  <c r="I40" i="22"/>
  <c r="I43" i="22"/>
  <c r="I39" i="22"/>
  <c r="I37" i="22"/>
  <c r="I35" i="22"/>
  <c r="I42" i="22"/>
  <c r="I29" i="22"/>
  <c r="I17" i="22"/>
  <c r="I19" i="22"/>
  <c r="I14" i="22"/>
  <c r="I33" i="22"/>
  <c r="I25" i="22"/>
  <c r="I10" i="22"/>
  <c r="I12" i="22"/>
  <c r="I16" i="22"/>
  <c r="I31" i="22"/>
  <c r="I13" i="22"/>
  <c r="I41" i="22"/>
  <c r="I11" i="22"/>
  <c r="I9" i="22"/>
  <c r="I15" i="22"/>
  <c r="I21" i="22"/>
  <c r="I23" i="22"/>
  <c r="I27" i="22"/>
  <c r="L219" i="22"/>
  <c r="L217" i="22"/>
  <c r="L215" i="22"/>
  <c r="L211" i="22"/>
  <c r="L209" i="22"/>
  <c r="L207" i="22"/>
  <c r="L205" i="22"/>
  <c r="L203" i="22"/>
  <c r="L199" i="22"/>
  <c r="L223" i="22"/>
  <c r="L227" i="22"/>
  <c r="H80" i="21" s="1"/>
  <c r="L220" i="22"/>
  <c r="L218" i="22"/>
  <c r="L216" i="22"/>
  <c r="L212" i="22"/>
  <c r="L210" i="22"/>
  <c r="L208" i="22"/>
  <c r="L194" i="22"/>
  <c r="L192" i="22"/>
  <c r="L190" i="22"/>
  <c r="L206" i="22"/>
  <c r="L196" i="22"/>
  <c r="L224" i="22"/>
  <c r="L200" i="22"/>
  <c r="L198" i="22"/>
  <c r="L189" i="22"/>
  <c r="L188" i="22"/>
  <c r="L187" i="22"/>
  <c r="L197" i="22"/>
  <c r="L186" i="22"/>
  <c r="L183" i="22"/>
  <c r="L181" i="22"/>
  <c r="L179" i="22"/>
  <c r="L185" i="22"/>
  <c r="L193" i="22"/>
  <c r="L204" i="22"/>
  <c r="L195" i="22"/>
  <c r="L182" i="22"/>
  <c r="L174" i="22"/>
  <c r="L177" i="22"/>
  <c r="L168" i="22"/>
  <c r="L166" i="22"/>
  <c r="L164" i="22"/>
  <c r="L162" i="22"/>
  <c r="L175" i="22"/>
  <c r="L191" i="22"/>
  <c r="L167" i="22"/>
  <c r="L180" i="22"/>
  <c r="L161" i="22"/>
  <c r="L165" i="22"/>
  <c r="L178" i="22"/>
  <c r="L158" i="22"/>
  <c r="L154" i="22"/>
  <c r="L163" i="22"/>
  <c r="L176" i="22"/>
  <c r="L170" i="22"/>
  <c r="L173" i="22"/>
  <c r="L151" i="22"/>
  <c r="L184" i="22"/>
  <c r="L171" i="22"/>
  <c r="L144" i="22"/>
  <c r="L139" i="22"/>
  <c r="L150" i="22"/>
  <c r="L172" i="22"/>
  <c r="L169" i="22"/>
  <c r="L152" i="22"/>
  <c r="L153" i="22"/>
  <c r="L157" i="22"/>
  <c r="L142" i="22"/>
  <c r="L126" i="22"/>
  <c r="L120" i="22"/>
  <c r="L119" i="22"/>
  <c r="L143" i="22"/>
  <c r="L118" i="22"/>
  <c r="L117" i="22"/>
  <c r="L147" i="22"/>
  <c r="H65" i="21" s="1"/>
  <c r="L138" i="22"/>
  <c r="L116" i="22"/>
  <c r="L137" i="22"/>
  <c r="L115" i="22"/>
  <c r="L113" i="22"/>
  <c r="L111" i="22"/>
  <c r="L107" i="22"/>
  <c r="L105" i="22"/>
  <c r="L103" i="22"/>
  <c r="L136" i="22"/>
  <c r="L125" i="22"/>
  <c r="L134" i="22"/>
  <c r="L130" i="22"/>
  <c r="L133" i="22"/>
  <c r="L129" i="22"/>
  <c r="L128" i="22"/>
  <c r="L135" i="22"/>
  <c r="L124" i="22"/>
  <c r="L108" i="22"/>
  <c r="L106" i="22"/>
  <c r="L101" i="22"/>
  <c r="L94" i="22"/>
  <c r="L112" i="22"/>
  <c r="L97" i="22"/>
  <c r="L104" i="22"/>
  <c r="L127" i="22"/>
  <c r="L100" i="22"/>
  <c r="L123" i="22"/>
  <c r="L121" i="22"/>
  <c r="L114" i="22"/>
  <c r="L102" i="22"/>
  <c r="L98" i="22"/>
  <c r="L89" i="22"/>
  <c r="L83" i="22"/>
  <c r="L78" i="22"/>
  <c r="L75" i="22"/>
  <c r="L92" i="22"/>
  <c r="L84" i="22"/>
  <c r="L85" i="22"/>
  <c r="L82" i="22"/>
  <c r="L81" i="22"/>
  <c r="L122" i="22"/>
  <c r="L99" i="22"/>
  <c r="L77" i="22"/>
  <c r="L90" i="22"/>
  <c r="L86" i="22"/>
  <c r="L93" i="22"/>
  <c r="L87" i="22"/>
  <c r="L95" i="22"/>
  <c r="L91" i="22"/>
  <c r="L58" i="22"/>
  <c r="L96" i="22"/>
  <c r="L71" i="22"/>
  <c r="L70" i="22"/>
  <c r="L69" i="22"/>
  <c r="L68" i="22"/>
  <c r="L67" i="22"/>
  <c r="L66" i="22"/>
  <c r="L65" i="22"/>
  <c r="L80" i="22"/>
  <c r="L88" i="22"/>
  <c r="L64" i="22"/>
  <c r="L63" i="22"/>
  <c r="L79" i="22"/>
  <c r="L51" i="22"/>
  <c r="L38" i="22"/>
  <c r="L36" i="22"/>
  <c r="L76" i="22"/>
  <c r="L52" i="22"/>
  <c r="L45" i="22"/>
  <c r="L44" i="22"/>
  <c r="L60" i="22"/>
  <c r="L54" i="22"/>
  <c r="L55" i="22"/>
  <c r="L40" i="22"/>
  <c r="L62" i="22"/>
  <c r="L48" i="22"/>
  <c r="L43" i="22"/>
  <c r="L50" i="22"/>
  <c r="L46" i="22"/>
  <c r="L39" i="22"/>
  <c r="L37" i="22"/>
  <c r="L35" i="22"/>
  <c r="L72" i="22"/>
  <c r="L59" i="22"/>
  <c r="L56" i="22"/>
  <c r="L42" i="22"/>
  <c r="L61" i="22"/>
  <c r="L49" i="22"/>
  <c r="L47" i="22"/>
  <c r="L57" i="22"/>
  <c r="L53" i="22"/>
  <c r="L41" i="22"/>
  <c r="L28" i="22"/>
  <c r="L19" i="22"/>
  <c r="L14" i="22"/>
  <c r="L12" i="22"/>
  <c r="L10" i="22"/>
  <c r="L16" i="22"/>
  <c r="L30" i="22"/>
  <c r="L31" i="22"/>
  <c r="L22" i="22"/>
  <c r="L33" i="22"/>
  <c r="L24" i="22"/>
  <c r="L20" i="22"/>
  <c r="L15" i="22"/>
  <c r="L13" i="22"/>
  <c r="L11" i="22"/>
  <c r="L9" i="22"/>
  <c r="L34" i="22"/>
  <c r="L32" i="22"/>
  <c r="L26" i="22"/>
  <c r="L23" i="22"/>
  <c r="L21" i="22"/>
  <c r="L27" i="22"/>
  <c r="L17" i="22"/>
  <c r="L29" i="22"/>
  <c r="L25" i="22"/>
  <c r="L18" i="22"/>
  <c r="AI220" i="22"/>
  <c r="AI218" i="22"/>
  <c r="AI216" i="22"/>
  <c r="AI212" i="22"/>
  <c r="AI210" i="22"/>
  <c r="AI208" i="22"/>
  <c r="AI206" i="22"/>
  <c r="AI204" i="22"/>
  <c r="AI200" i="22"/>
  <c r="AI198" i="22"/>
  <c r="AI196" i="22"/>
  <c r="AI224" i="22"/>
  <c r="AI211" i="22"/>
  <c r="AI219" i="22"/>
  <c r="AI207" i="22"/>
  <c r="AI195" i="22"/>
  <c r="AI193" i="22"/>
  <c r="AI191" i="22"/>
  <c r="AI189" i="22"/>
  <c r="AI187" i="22"/>
  <c r="AI185" i="22"/>
  <c r="AI199" i="22"/>
  <c r="AI227" i="22"/>
  <c r="AI209" i="22"/>
  <c r="AI215" i="22"/>
  <c r="AI203" i="22"/>
  <c r="AI197" i="22"/>
  <c r="AI217" i="22"/>
  <c r="AI223" i="22"/>
  <c r="AI184" i="22"/>
  <c r="AI182" i="22"/>
  <c r="AI180" i="22"/>
  <c r="AI178" i="22"/>
  <c r="AI176" i="22"/>
  <c r="AI174" i="22"/>
  <c r="AI190" i="22"/>
  <c r="AI205" i="22"/>
  <c r="AI194" i="22"/>
  <c r="AI188" i="22"/>
  <c r="AI183" i="22"/>
  <c r="AI177" i="22"/>
  <c r="AI179" i="22"/>
  <c r="AI181" i="22"/>
  <c r="AI175" i="22"/>
  <c r="AI172" i="22"/>
  <c r="AI173" i="22"/>
  <c r="AI158" i="22"/>
  <c r="AI165" i="22"/>
  <c r="AI162" i="22"/>
  <c r="AI186" i="22"/>
  <c r="AI168" i="22"/>
  <c r="AI163" i="22"/>
  <c r="AI157" i="22"/>
  <c r="AI153" i="22"/>
  <c r="AI192" i="22"/>
  <c r="AI167" i="22"/>
  <c r="AI164" i="22"/>
  <c r="AI152" i="22"/>
  <c r="AI171" i="22"/>
  <c r="AI142" i="22"/>
  <c r="AI150" i="22"/>
  <c r="AI166" i="22"/>
  <c r="AI136" i="22"/>
  <c r="AI135" i="22"/>
  <c r="AI170" i="22"/>
  <c r="AI143" i="22"/>
  <c r="AI137" i="22"/>
  <c r="AI115" i="22"/>
  <c r="AI161" i="22"/>
  <c r="AI126" i="22"/>
  <c r="AI154" i="22"/>
  <c r="AI169" i="22"/>
  <c r="AI125" i="22"/>
  <c r="AI114" i="22"/>
  <c r="AI112" i="22"/>
  <c r="AI123" i="22"/>
  <c r="AI122" i="22"/>
  <c r="AI133" i="22"/>
  <c r="AI129" i="22"/>
  <c r="AI144" i="22"/>
  <c r="AI138" i="22"/>
  <c r="AI128" i="22"/>
  <c r="AI124" i="22"/>
  <c r="AI119" i="22"/>
  <c r="AI151" i="22"/>
  <c r="AI127" i="22"/>
  <c r="AI139" i="22"/>
  <c r="AI120" i="22"/>
  <c r="AI104" i="22"/>
  <c r="AI147" i="22"/>
  <c r="AI99" i="22"/>
  <c r="AI130" i="22"/>
  <c r="AI121" i="22"/>
  <c r="AI107" i="22"/>
  <c r="AI95" i="22"/>
  <c r="AI105" i="22"/>
  <c r="AI98" i="22"/>
  <c r="AI102" i="22"/>
  <c r="AI118" i="22"/>
  <c r="AI116" i="22"/>
  <c r="AI106" i="22"/>
  <c r="AI108" i="22"/>
  <c r="AI103" i="22"/>
  <c r="AI113" i="22"/>
  <c r="AI111" i="22"/>
  <c r="AI84" i="22"/>
  <c r="AI83" i="22"/>
  <c r="AI82" i="22"/>
  <c r="AI92" i="22"/>
  <c r="AI89" i="22"/>
  <c r="AI96" i="22"/>
  <c r="AI72" i="22"/>
  <c r="AI85" i="22"/>
  <c r="AI80" i="22"/>
  <c r="AI90" i="22"/>
  <c r="AI86" i="22"/>
  <c r="AI117" i="22"/>
  <c r="AI76" i="22"/>
  <c r="AI101" i="22"/>
  <c r="AI97" i="22"/>
  <c r="AI87" i="22"/>
  <c r="AI79" i="22"/>
  <c r="AI88" i="22"/>
  <c r="AI100" i="22"/>
  <c r="AI94" i="22"/>
  <c r="AI93" i="22"/>
  <c r="AI91" i="22"/>
  <c r="AI81" i="22"/>
  <c r="AI75" i="22"/>
  <c r="AI69" i="22"/>
  <c r="AI68" i="22"/>
  <c r="AI71" i="22"/>
  <c r="AI67" i="22"/>
  <c r="AI66" i="22"/>
  <c r="AI57" i="22"/>
  <c r="AI55" i="22"/>
  <c r="AI53" i="22"/>
  <c r="AI51" i="22"/>
  <c r="AI49" i="22"/>
  <c r="AI47" i="22"/>
  <c r="AI45" i="22"/>
  <c r="AI65" i="22"/>
  <c r="AI64" i="22"/>
  <c r="AI63" i="22"/>
  <c r="AI62" i="22"/>
  <c r="AI77" i="22"/>
  <c r="AI61" i="22"/>
  <c r="AI60" i="22"/>
  <c r="AI59" i="22"/>
  <c r="AI78" i="22"/>
  <c r="AI70" i="22"/>
  <c r="AI43" i="22"/>
  <c r="AI37" i="22"/>
  <c r="AI35" i="22"/>
  <c r="AI33" i="22"/>
  <c r="AI31" i="22"/>
  <c r="AI29" i="22"/>
  <c r="AI27" i="22"/>
  <c r="AI25" i="22"/>
  <c r="AI23" i="22"/>
  <c r="AI21" i="22"/>
  <c r="AI19" i="22"/>
  <c r="AI17" i="22"/>
  <c r="AI52" i="22"/>
  <c r="AI54" i="22"/>
  <c r="AI48" i="22"/>
  <c r="AI42" i="22"/>
  <c r="AI46" i="22"/>
  <c r="AI50" i="22"/>
  <c r="AI41" i="22"/>
  <c r="AI38" i="22"/>
  <c r="AI36" i="22"/>
  <c r="AI34" i="22"/>
  <c r="AI32" i="22"/>
  <c r="AI30" i="22"/>
  <c r="AI28" i="22"/>
  <c r="AI26" i="22"/>
  <c r="AI134" i="22"/>
  <c r="AI56" i="22"/>
  <c r="AI22" i="22"/>
  <c r="AI15" i="22"/>
  <c r="AI13" i="22"/>
  <c r="AI11" i="22"/>
  <c r="AI9" i="22"/>
  <c r="AI58" i="22"/>
  <c r="AI24" i="22"/>
  <c r="AI20" i="22"/>
  <c r="AI16" i="22"/>
  <c r="AI39" i="22"/>
  <c r="AI10" i="22"/>
  <c r="AI14" i="22"/>
  <c r="AI12" i="22"/>
  <c r="AI18" i="22"/>
  <c r="AI44" i="22"/>
  <c r="AI40" i="22"/>
  <c r="M223" i="22"/>
  <c r="M227" i="22"/>
  <c r="I80" i="21" s="1"/>
  <c r="M220" i="22"/>
  <c r="M218" i="22"/>
  <c r="M216" i="22"/>
  <c r="M212" i="22"/>
  <c r="M210" i="22"/>
  <c r="M224" i="22"/>
  <c r="M215" i="22"/>
  <c r="M206" i="22"/>
  <c r="M196" i="22"/>
  <c r="M209" i="22"/>
  <c r="M207" i="22"/>
  <c r="M199" i="22"/>
  <c r="M217" i="22"/>
  <c r="M200" i="22"/>
  <c r="M208" i="22"/>
  <c r="M198" i="22"/>
  <c r="M203" i="22"/>
  <c r="M211" i="22"/>
  <c r="M205" i="22"/>
  <c r="M188" i="22"/>
  <c r="M187" i="22"/>
  <c r="M197" i="22"/>
  <c r="M186" i="22"/>
  <c r="M183" i="22"/>
  <c r="M181" i="22"/>
  <c r="M179" i="22"/>
  <c r="M177" i="22"/>
  <c r="M175" i="22"/>
  <c r="M173" i="22"/>
  <c r="M185" i="22"/>
  <c r="M190" i="22"/>
  <c r="M193" i="22"/>
  <c r="M204" i="22"/>
  <c r="M195" i="22"/>
  <c r="M219" i="22"/>
  <c r="M192" i="22"/>
  <c r="M168" i="22"/>
  <c r="M166" i="22"/>
  <c r="M164" i="22"/>
  <c r="M162" i="22"/>
  <c r="M158" i="22"/>
  <c r="M194" i="22"/>
  <c r="M170" i="22"/>
  <c r="M180" i="22"/>
  <c r="M184" i="22"/>
  <c r="M161" i="22"/>
  <c r="M182" i="22"/>
  <c r="M165" i="22"/>
  <c r="M178" i="22"/>
  <c r="M154" i="22"/>
  <c r="M152" i="22"/>
  <c r="M150" i="22"/>
  <c r="M144" i="22"/>
  <c r="M142" i="22"/>
  <c r="M189" i="22"/>
  <c r="M174" i="22"/>
  <c r="M163" i="22"/>
  <c r="M172" i="22"/>
  <c r="M171" i="22"/>
  <c r="M191" i="22"/>
  <c r="M169" i="22"/>
  <c r="M143" i="22"/>
  <c r="M136" i="22"/>
  <c r="M147" i="22"/>
  <c r="I65" i="21" s="1"/>
  <c r="M137" i="22"/>
  <c r="M135" i="22"/>
  <c r="M133" i="22"/>
  <c r="M129" i="22"/>
  <c r="M127" i="22"/>
  <c r="M125" i="22"/>
  <c r="M123" i="22"/>
  <c r="M121" i="22"/>
  <c r="M119" i="22"/>
  <c r="M117" i="22"/>
  <c r="M151" i="22"/>
  <c r="M139" i="22"/>
  <c r="M167" i="22"/>
  <c r="M157" i="22"/>
  <c r="M134" i="22"/>
  <c r="M130" i="22"/>
  <c r="M153" i="22"/>
  <c r="M176" i="22"/>
  <c r="M118" i="22"/>
  <c r="M138" i="22"/>
  <c r="M116" i="22"/>
  <c r="M115" i="22"/>
  <c r="M113" i="22"/>
  <c r="M111" i="22"/>
  <c r="M107" i="22"/>
  <c r="M105" i="22"/>
  <c r="M128" i="22"/>
  <c r="M122" i="22"/>
  <c r="M126" i="22"/>
  <c r="M124" i="22"/>
  <c r="M104" i="22"/>
  <c r="M100" i="22"/>
  <c r="M93" i="22"/>
  <c r="M91" i="22"/>
  <c r="M89" i="22"/>
  <c r="M96" i="22"/>
  <c r="M120" i="22"/>
  <c r="M99" i="22"/>
  <c r="M108" i="22"/>
  <c r="M106" i="22"/>
  <c r="M101" i="22"/>
  <c r="M83" i="22"/>
  <c r="M97" i="22"/>
  <c r="M92" i="22"/>
  <c r="M84" i="22"/>
  <c r="M85" i="22"/>
  <c r="M82" i="22"/>
  <c r="M81" i="22"/>
  <c r="M77" i="22"/>
  <c r="M90" i="22"/>
  <c r="M86" i="22"/>
  <c r="M114" i="22"/>
  <c r="M87" i="22"/>
  <c r="M80" i="22"/>
  <c r="M94" i="22"/>
  <c r="M103" i="22"/>
  <c r="M102" i="22"/>
  <c r="M88" i="22"/>
  <c r="M58" i="22"/>
  <c r="M56" i="22"/>
  <c r="M54" i="22"/>
  <c r="M52" i="22"/>
  <c r="M50" i="22"/>
  <c r="M48" i="22"/>
  <c r="M46" i="22"/>
  <c r="M44" i="22"/>
  <c r="M42" i="22"/>
  <c r="M40" i="22"/>
  <c r="M71" i="22"/>
  <c r="M70" i="22"/>
  <c r="M69" i="22"/>
  <c r="M68" i="22"/>
  <c r="M67" i="22"/>
  <c r="M112" i="22"/>
  <c r="M95" i="22"/>
  <c r="M66" i="22"/>
  <c r="M65" i="22"/>
  <c r="M78" i="22"/>
  <c r="M64" i="22"/>
  <c r="M63" i="22"/>
  <c r="M57" i="22"/>
  <c r="M55" i="22"/>
  <c r="M53" i="22"/>
  <c r="M72" i="22"/>
  <c r="M62" i="22"/>
  <c r="M61" i="22"/>
  <c r="M98" i="22"/>
  <c r="M76" i="22"/>
  <c r="M60" i="22"/>
  <c r="M59" i="22"/>
  <c r="M45" i="22"/>
  <c r="M79" i="22"/>
  <c r="M43" i="22"/>
  <c r="M75" i="22"/>
  <c r="M39" i="22"/>
  <c r="M37" i="22"/>
  <c r="M35" i="22"/>
  <c r="M33" i="22"/>
  <c r="M31" i="22"/>
  <c r="M29" i="22"/>
  <c r="M27" i="22"/>
  <c r="M25" i="22"/>
  <c r="M23" i="22"/>
  <c r="M51" i="22"/>
  <c r="M38" i="22"/>
  <c r="M36" i="22"/>
  <c r="M34" i="22"/>
  <c r="M32" i="22"/>
  <c r="M30" i="22"/>
  <c r="M16" i="22"/>
  <c r="M49" i="22"/>
  <c r="M22" i="22"/>
  <c r="M17" i="22"/>
  <c r="M24" i="22"/>
  <c r="M41" i="22"/>
  <c r="M20" i="22"/>
  <c r="M15" i="22"/>
  <c r="M13" i="22"/>
  <c r="M11" i="22"/>
  <c r="M9" i="22"/>
  <c r="M21" i="22"/>
  <c r="M47" i="22"/>
  <c r="M18" i="22"/>
  <c r="M26" i="22"/>
  <c r="M28" i="22"/>
  <c r="M10" i="22"/>
  <c r="M14" i="22"/>
  <c r="M19" i="22"/>
  <c r="M12" i="22"/>
  <c r="AC223" i="22"/>
  <c r="AC227" i="22"/>
  <c r="Y80" i="21" s="1"/>
  <c r="AC220" i="22"/>
  <c r="AC218" i="22"/>
  <c r="AC216" i="22"/>
  <c r="AC212" i="22"/>
  <c r="AC210" i="22"/>
  <c r="AC224" i="22"/>
  <c r="AC217" i="22"/>
  <c r="AC196" i="22"/>
  <c r="AC205" i="22"/>
  <c r="AC206" i="22"/>
  <c r="AC219" i="22"/>
  <c r="AC211" i="22"/>
  <c r="AC207" i="22"/>
  <c r="AC199" i="22"/>
  <c r="AC198" i="22"/>
  <c r="AC215" i="22"/>
  <c r="AC209" i="22"/>
  <c r="AC203" i="22"/>
  <c r="AC195" i="22"/>
  <c r="AC200" i="22"/>
  <c r="AC192" i="22"/>
  <c r="AC194" i="22"/>
  <c r="AC191" i="22"/>
  <c r="AC189" i="22"/>
  <c r="AC188" i="22"/>
  <c r="AC187" i="22"/>
  <c r="AC183" i="22"/>
  <c r="AC181" i="22"/>
  <c r="AC179" i="22"/>
  <c r="AC177" i="22"/>
  <c r="AC175" i="22"/>
  <c r="AC173" i="22"/>
  <c r="AC208" i="22"/>
  <c r="AC186" i="22"/>
  <c r="AC185" i="22"/>
  <c r="AC204" i="22"/>
  <c r="AC168" i="22"/>
  <c r="AC166" i="22"/>
  <c r="AC164" i="22"/>
  <c r="AC162" i="22"/>
  <c r="AC158" i="22"/>
  <c r="AC190" i="22"/>
  <c r="AC174" i="22"/>
  <c r="AC184" i="22"/>
  <c r="AC182" i="22"/>
  <c r="AC193" i="22"/>
  <c r="AC197" i="22"/>
  <c r="AC178" i="22"/>
  <c r="AC170" i="22"/>
  <c r="AC171" i="22"/>
  <c r="AC169" i="22"/>
  <c r="AC167" i="22"/>
  <c r="AC154" i="22"/>
  <c r="AC152" i="22"/>
  <c r="AC150" i="22"/>
  <c r="AC144" i="22"/>
  <c r="AC142" i="22"/>
  <c r="AC176" i="22"/>
  <c r="AC161" i="22"/>
  <c r="AC165" i="22"/>
  <c r="AC136" i="22"/>
  <c r="AC133" i="22"/>
  <c r="AC129" i="22"/>
  <c r="AC127" i="22"/>
  <c r="AC125" i="22"/>
  <c r="AC123" i="22"/>
  <c r="AC121" i="22"/>
  <c r="AC119" i="22"/>
  <c r="AC117" i="22"/>
  <c r="AC115" i="22"/>
  <c r="AC143" i="22"/>
  <c r="AC137" i="22"/>
  <c r="AC153" i="22"/>
  <c r="AC138" i="22"/>
  <c r="AC163" i="22"/>
  <c r="AC147" i="22"/>
  <c r="Y65" i="21" s="1"/>
  <c r="AC180" i="22"/>
  <c r="AC151" i="22"/>
  <c r="AC139" i="22"/>
  <c r="AC134" i="22"/>
  <c r="AC130" i="22"/>
  <c r="AC124" i="22"/>
  <c r="AC120" i="22"/>
  <c r="AC118" i="22"/>
  <c r="AC113" i="22"/>
  <c r="AC111" i="22"/>
  <c r="AC107" i="22"/>
  <c r="AC105" i="22"/>
  <c r="AC135" i="22"/>
  <c r="AC126" i="22"/>
  <c r="AC116" i="22"/>
  <c r="AC172" i="22"/>
  <c r="AC157" i="22"/>
  <c r="AC128" i="22"/>
  <c r="AC122" i="22"/>
  <c r="AC102" i="22"/>
  <c r="AC101" i="22"/>
  <c r="AC94" i="22"/>
  <c r="AC106" i="22"/>
  <c r="AC103" i="22"/>
  <c r="AC97" i="22"/>
  <c r="AC108" i="22"/>
  <c r="AC100" i="22"/>
  <c r="AC93" i="22"/>
  <c r="AC91" i="22"/>
  <c r="AC89" i="22"/>
  <c r="AC104" i="22"/>
  <c r="AC112" i="22"/>
  <c r="AC98" i="22"/>
  <c r="AC88" i="22"/>
  <c r="AC99" i="22"/>
  <c r="AC95" i="22"/>
  <c r="AC78" i="22"/>
  <c r="AC83" i="22"/>
  <c r="AC96" i="22"/>
  <c r="AC84" i="22"/>
  <c r="AC82" i="22"/>
  <c r="AC81" i="22"/>
  <c r="AC114" i="22"/>
  <c r="AC92" i="22"/>
  <c r="AC85" i="22"/>
  <c r="AC77" i="22"/>
  <c r="AC87" i="22"/>
  <c r="AC56" i="22"/>
  <c r="AC54" i="22"/>
  <c r="AC52" i="22"/>
  <c r="AC50" i="22"/>
  <c r="AC48" i="22"/>
  <c r="AC46" i="22"/>
  <c r="AC44" i="22"/>
  <c r="AC42" i="22"/>
  <c r="AC40" i="22"/>
  <c r="AC72" i="22"/>
  <c r="AC58" i="22"/>
  <c r="AC86" i="22"/>
  <c r="AC80" i="22"/>
  <c r="AC76" i="22"/>
  <c r="AC75" i="22"/>
  <c r="AC70" i="22"/>
  <c r="AC69" i="22"/>
  <c r="AC71" i="22"/>
  <c r="AC68" i="22"/>
  <c r="AC67" i="22"/>
  <c r="AC79" i="22"/>
  <c r="AC66" i="22"/>
  <c r="AC65" i="22"/>
  <c r="AC57" i="22"/>
  <c r="AC55" i="22"/>
  <c r="AC53" i="22"/>
  <c r="AC64" i="22"/>
  <c r="AC63" i="22"/>
  <c r="AC90" i="22"/>
  <c r="AC62" i="22"/>
  <c r="AC61" i="22"/>
  <c r="AC60" i="22"/>
  <c r="AC59" i="22"/>
  <c r="AC47" i="22"/>
  <c r="AC49" i="22"/>
  <c r="AC45" i="22"/>
  <c r="AC51" i="22"/>
  <c r="AC43" i="22"/>
  <c r="AC37" i="22"/>
  <c r="AC35" i="22"/>
  <c r="AC33" i="22"/>
  <c r="AC31" i="22"/>
  <c r="AC29" i="22"/>
  <c r="AC27" i="22"/>
  <c r="AC25" i="22"/>
  <c r="AC23" i="22"/>
  <c r="AC39" i="22"/>
  <c r="AC41" i="22"/>
  <c r="AC38" i="22"/>
  <c r="AC36" i="22"/>
  <c r="AC34" i="22"/>
  <c r="AC32" i="22"/>
  <c r="AC18" i="22"/>
  <c r="AC19" i="22"/>
  <c r="AC16" i="22"/>
  <c r="AC26" i="22"/>
  <c r="AC28" i="22"/>
  <c r="AC15" i="22"/>
  <c r="AC13" i="22"/>
  <c r="AC11" i="22"/>
  <c r="AC9" i="22"/>
  <c r="AC30" i="22"/>
  <c r="AC22" i="22"/>
  <c r="AC24" i="22"/>
  <c r="AC20" i="22"/>
  <c r="AC17" i="22"/>
  <c r="AC10" i="22"/>
  <c r="AC14" i="22"/>
  <c r="AC21" i="22"/>
  <c r="AC12" i="22"/>
  <c r="K219" i="22"/>
  <c r="K217" i="22"/>
  <c r="K215" i="22"/>
  <c r="K211" i="22"/>
  <c r="K209" i="22"/>
  <c r="K207" i="22"/>
  <c r="K205" i="22"/>
  <c r="K203" i="22"/>
  <c r="K199" i="22"/>
  <c r="K197" i="22"/>
  <c r="K223" i="22"/>
  <c r="K227" i="22"/>
  <c r="G80" i="21" s="1"/>
  <c r="K224" i="22"/>
  <c r="K194" i="22"/>
  <c r="K192" i="22"/>
  <c r="K190" i="22"/>
  <c r="K188" i="22"/>
  <c r="K186" i="22"/>
  <c r="K206" i="22"/>
  <c r="K196" i="22"/>
  <c r="K210" i="22"/>
  <c r="K212" i="22"/>
  <c r="K220" i="22"/>
  <c r="K208" i="22"/>
  <c r="K200" i="22"/>
  <c r="K216" i="22"/>
  <c r="K204" i="22"/>
  <c r="K218" i="22"/>
  <c r="K191" i="22"/>
  <c r="K189" i="22"/>
  <c r="K187" i="22"/>
  <c r="K183" i="22"/>
  <c r="K181" i="22"/>
  <c r="K179" i="22"/>
  <c r="K177" i="22"/>
  <c r="K175" i="22"/>
  <c r="K185" i="22"/>
  <c r="K193" i="22"/>
  <c r="K171" i="22"/>
  <c r="K182" i="22"/>
  <c r="K174" i="22"/>
  <c r="K170" i="22"/>
  <c r="K198" i="22"/>
  <c r="K178" i="22"/>
  <c r="K195" i="22"/>
  <c r="K167" i="22"/>
  <c r="K180" i="22"/>
  <c r="K161" i="22"/>
  <c r="K168" i="22"/>
  <c r="K165" i="22"/>
  <c r="K162" i="22"/>
  <c r="K158" i="22"/>
  <c r="K154" i="22"/>
  <c r="K173" i="22"/>
  <c r="K172" i="22"/>
  <c r="K164" i="22"/>
  <c r="K176" i="22"/>
  <c r="K153" i="22"/>
  <c r="K143" i="22"/>
  <c r="K136" i="22"/>
  <c r="K166" i="22"/>
  <c r="K138" i="22"/>
  <c r="K151" i="22"/>
  <c r="K184" i="22"/>
  <c r="K157" i="22"/>
  <c r="K142" i="22"/>
  <c r="K169" i="22"/>
  <c r="K152" i="22"/>
  <c r="K126" i="22"/>
  <c r="K120" i="22"/>
  <c r="K119" i="22"/>
  <c r="K144" i="22"/>
  <c r="K150" i="22"/>
  <c r="K139" i="22"/>
  <c r="K118" i="22"/>
  <c r="K117" i="22"/>
  <c r="K147" i="22"/>
  <c r="K116" i="22"/>
  <c r="K137" i="22"/>
  <c r="K115" i="22"/>
  <c r="K113" i="22"/>
  <c r="K125" i="22"/>
  <c r="K134" i="22"/>
  <c r="K130" i="22"/>
  <c r="K133" i="22"/>
  <c r="K129" i="22"/>
  <c r="K163" i="22"/>
  <c r="K128" i="22"/>
  <c r="K123" i="22"/>
  <c r="K127" i="22"/>
  <c r="K122" i="22"/>
  <c r="K108" i="22"/>
  <c r="K106" i="22"/>
  <c r="K103" i="22"/>
  <c r="K124" i="22"/>
  <c r="K112" i="22"/>
  <c r="K97" i="22"/>
  <c r="K104" i="22"/>
  <c r="K107" i="22"/>
  <c r="K100" i="22"/>
  <c r="K111" i="22"/>
  <c r="K105" i="22"/>
  <c r="K96" i="22"/>
  <c r="K135" i="22"/>
  <c r="K99" i="22"/>
  <c r="K95" i="22"/>
  <c r="K88" i="22"/>
  <c r="K79" i="22"/>
  <c r="K101" i="22"/>
  <c r="K89" i="22"/>
  <c r="K83" i="22"/>
  <c r="K78" i="22"/>
  <c r="K75" i="22"/>
  <c r="K92" i="22"/>
  <c r="K84" i="22"/>
  <c r="K85" i="22"/>
  <c r="K82" i="22"/>
  <c r="K81" i="22"/>
  <c r="K77" i="22"/>
  <c r="K121" i="22"/>
  <c r="K90" i="22"/>
  <c r="K114" i="22"/>
  <c r="K86" i="22"/>
  <c r="K98" i="22"/>
  <c r="K91" i="22"/>
  <c r="K58" i="22"/>
  <c r="K56" i="22"/>
  <c r="K54" i="22"/>
  <c r="K52" i="22"/>
  <c r="K50" i="22"/>
  <c r="K48" i="22"/>
  <c r="K46" i="22"/>
  <c r="K102" i="22"/>
  <c r="K71" i="22"/>
  <c r="K70" i="22"/>
  <c r="K69" i="22"/>
  <c r="K68" i="22"/>
  <c r="K67" i="22"/>
  <c r="K66" i="22"/>
  <c r="K65" i="22"/>
  <c r="K80" i="22"/>
  <c r="K94" i="22"/>
  <c r="K64" i="22"/>
  <c r="K63" i="22"/>
  <c r="K57" i="22"/>
  <c r="K72" i="22"/>
  <c r="K62" i="22"/>
  <c r="K61" i="22"/>
  <c r="K93" i="22"/>
  <c r="K87" i="22"/>
  <c r="K76" i="22"/>
  <c r="K60" i="22"/>
  <c r="K59" i="22"/>
  <c r="K53" i="22"/>
  <c r="K41" i="22"/>
  <c r="K51" i="22"/>
  <c r="K38" i="22"/>
  <c r="K36" i="22"/>
  <c r="K34" i="22"/>
  <c r="K32" i="22"/>
  <c r="K30" i="22"/>
  <c r="K28" i="22"/>
  <c r="K26" i="22"/>
  <c r="K24" i="22"/>
  <c r="K22" i="22"/>
  <c r="K20" i="22"/>
  <c r="K18" i="22"/>
  <c r="K16" i="22"/>
  <c r="K45" i="22"/>
  <c r="K44" i="22"/>
  <c r="K55" i="22"/>
  <c r="K40" i="22"/>
  <c r="K43" i="22"/>
  <c r="K39" i="22"/>
  <c r="K37" i="22"/>
  <c r="K35" i="22"/>
  <c r="K33" i="22"/>
  <c r="K31" i="22"/>
  <c r="K29" i="22"/>
  <c r="K27" i="22"/>
  <c r="K42" i="22"/>
  <c r="K19" i="22"/>
  <c r="K14" i="22"/>
  <c r="K12" i="22"/>
  <c r="K10" i="22"/>
  <c r="K49" i="22"/>
  <c r="K11" i="22"/>
  <c r="K9" i="22"/>
  <c r="K23" i="22"/>
  <c r="K25" i="22"/>
  <c r="K15" i="22"/>
  <c r="K13" i="22"/>
  <c r="K21" i="22"/>
  <c r="K47" i="22"/>
  <c r="K17" i="22"/>
  <c r="AJ220" i="22"/>
  <c r="AJ218" i="22"/>
  <c r="AJ216" i="22"/>
  <c r="AJ212" i="22"/>
  <c r="AJ210" i="22"/>
  <c r="AJ208" i="22"/>
  <c r="AJ206" i="22"/>
  <c r="AJ204" i="22"/>
  <c r="AJ200" i="22"/>
  <c r="AJ224" i="22"/>
  <c r="AJ219" i="22"/>
  <c r="AJ217" i="22"/>
  <c r="AJ215" i="22"/>
  <c r="AJ211" i="22"/>
  <c r="AJ209" i="22"/>
  <c r="AJ223" i="22"/>
  <c r="AJ227" i="22"/>
  <c r="AF80" i="21" s="1"/>
  <c r="AJ207" i="22"/>
  <c r="AJ195" i="22"/>
  <c r="AJ193" i="22"/>
  <c r="AJ191" i="22"/>
  <c r="AJ189" i="22"/>
  <c r="AJ199" i="22"/>
  <c r="AJ198" i="22"/>
  <c r="AJ203" i="22"/>
  <c r="AJ197" i="22"/>
  <c r="AJ196" i="22"/>
  <c r="AJ184" i="22"/>
  <c r="AJ182" i="22"/>
  <c r="AJ180" i="22"/>
  <c r="AJ178" i="22"/>
  <c r="AJ190" i="22"/>
  <c r="AJ183" i="22"/>
  <c r="AJ177" i="22"/>
  <c r="AJ188" i="22"/>
  <c r="AJ179" i="22"/>
  <c r="AJ205" i="22"/>
  <c r="AJ169" i="22"/>
  <c r="AJ167" i="22"/>
  <c r="AJ165" i="22"/>
  <c r="AJ163" i="22"/>
  <c r="AJ161" i="22"/>
  <c r="AJ187" i="22"/>
  <c r="AJ185" i="22"/>
  <c r="AJ176" i="22"/>
  <c r="AJ186" i="22"/>
  <c r="AJ173" i="22"/>
  <c r="AJ162" i="22"/>
  <c r="AJ168" i="22"/>
  <c r="AJ194" i="22"/>
  <c r="AJ157" i="22"/>
  <c r="AJ153" i="22"/>
  <c r="AJ175" i="22"/>
  <c r="AJ166" i="22"/>
  <c r="AJ172" i="22"/>
  <c r="AJ170" i="22"/>
  <c r="AJ147" i="22"/>
  <c r="AF65" i="21" s="1"/>
  <c r="AJ181" i="22"/>
  <c r="AJ138" i="22"/>
  <c r="AJ171" i="22"/>
  <c r="AJ192" i="22"/>
  <c r="AJ154" i="22"/>
  <c r="AJ174" i="22"/>
  <c r="AJ144" i="22"/>
  <c r="AJ136" i="22"/>
  <c r="AJ143" i="22"/>
  <c r="AJ137" i="22"/>
  <c r="AJ115" i="22"/>
  <c r="AJ135" i="22"/>
  <c r="AJ126" i="22"/>
  <c r="AJ152" i="22"/>
  <c r="AJ164" i="22"/>
  <c r="AJ125" i="22"/>
  <c r="AJ114" i="22"/>
  <c r="AJ112" i="22"/>
  <c r="AJ108" i="22"/>
  <c r="AJ106" i="22"/>
  <c r="AJ104" i="22"/>
  <c r="AJ102" i="22"/>
  <c r="AJ123" i="22"/>
  <c r="AJ122" i="22"/>
  <c r="AJ158" i="22"/>
  <c r="AJ133" i="22"/>
  <c r="AJ129" i="22"/>
  <c r="AJ142" i="22"/>
  <c r="AJ121" i="22"/>
  <c r="AJ120" i="22"/>
  <c r="AJ139" i="22"/>
  <c r="AJ134" i="22"/>
  <c r="AJ130" i="22"/>
  <c r="AJ124" i="22"/>
  <c r="AJ151" i="22"/>
  <c r="AJ113" i="22"/>
  <c r="AJ96" i="22"/>
  <c r="AJ150" i="22"/>
  <c r="AJ127" i="22"/>
  <c r="AJ99" i="22"/>
  <c r="AJ107" i="22"/>
  <c r="AJ95" i="22"/>
  <c r="AJ105" i="22"/>
  <c r="AJ111" i="22"/>
  <c r="AJ101" i="22"/>
  <c r="AJ117" i="22"/>
  <c r="AJ97" i="22"/>
  <c r="AJ100" i="22"/>
  <c r="AJ84" i="22"/>
  <c r="AJ83" i="22"/>
  <c r="AJ82" i="22"/>
  <c r="AJ92" i="22"/>
  <c r="AJ89" i="22"/>
  <c r="AJ118" i="22"/>
  <c r="AJ81" i="22"/>
  <c r="AJ128" i="22"/>
  <c r="AJ98" i="22"/>
  <c r="AJ85" i="22"/>
  <c r="AJ80" i="22"/>
  <c r="AJ90" i="22"/>
  <c r="AJ86" i="22"/>
  <c r="AJ103" i="22"/>
  <c r="AJ76" i="22"/>
  <c r="AJ87" i="22"/>
  <c r="AJ79" i="22"/>
  <c r="AJ116" i="22"/>
  <c r="AJ88" i="22"/>
  <c r="AJ94" i="22"/>
  <c r="AJ93" i="22"/>
  <c r="AJ91" i="22"/>
  <c r="AJ119" i="22"/>
  <c r="AJ75" i="22"/>
  <c r="AJ72" i="22"/>
  <c r="AJ69" i="22"/>
  <c r="AJ68" i="22"/>
  <c r="AJ71" i="22"/>
  <c r="AJ67" i="22"/>
  <c r="AJ66" i="22"/>
  <c r="AJ65" i="22"/>
  <c r="AJ64" i="22"/>
  <c r="AJ63" i="22"/>
  <c r="AJ62" i="22"/>
  <c r="AJ77" i="22"/>
  <c r="AJ61" i="22"/>
  <c r="AJ60" i="22"/>
  <c r="AJ59" i="22"/>
  <c r="AJ58" i="22"/>
  <c r="AJ45" i="22"/>
  <c r="AJ37" i="22"/>
  <c r="AJ52" i="22"/>
  <c r="AJ39" i="22"/>
  <c r="AJ70" i="22"/>
  <c r="AJ54" i="22"/>
  <c r="AJ51" i="22"/>
  <c r="AJ48" i="22"/>
  <c r="AJ53" i="22"/>
  <c r="AJ42" i="22"/>
  <c r="AJ46" i="22"/>
  <c r="AJ50" i="22"/>
  <c r="AJ78" i="22"/>
  <c r="AJ41" i="22"/>
  <c r="AJ38" i="22"/>
  <c r="AJ36" i="22"/>
  <c r="AJ55" i="22"/>
  <c r="AJ57" i="22"/>
  <c r="AJ44" i="22"/>
  <c r="AJ40" i="22"/>
  <c r="AJ43" i="22"/>
  <c r="AJ28" i="22"/>
  <c r="AJ19" i="22"/>
  <c r="AJ15" i="22"/>
  <c r="AJ13" i="22"/>
  <c r="AJ11" i="22"/>
  <c r="AJ9" i="22"/>
  <c r="AJ25" i="22"/>
  <c r="AJ22" i="22"/>
  <c r="AJ49" i="22"/>
  <c r="AJ27" i="22"/>
  <c r="AJ30" i="22"/>
  <c r="AJ29" i="22"/>
  <c r="AJ24" i="22"/>
  <c r="AJ20" i="22"/>
  <c r="AJ21" i="22"/>
  <c r="AJ56" i="22"/>
  <c r="AJ33" i="22"/>
  <c r="AJ17" i="22"/>
  <c r="AJ14" i="22"/>
  <c r="AJ12" i="22"/>
  <c r="AJ10" i="22"/>
  <c r="AJ26" i="22"/>
  <c r="AJ31" i="22"/>
  <c r="AJ18" i="22"/>
  <c r="AJ47" i="22"/>
  <c r="AJ16" i="22"/>
  <c r="AJ35" i="22"/>
  <c r="AJ32" i="22"/>
  <c r="AJ23" i="22"/>
  <c r="AJ34" i="22"/>
  <c r="AE207" i="22"/>
  <c r="AE195" i="22"/>
  <c r="AE193" i="22"/>
  <c r="AE191" i="22"/>
  <c r="AE199" i="22"/>
  <c r="AE183" i="22"/>
  <c r="AE181" i="22"/>
  <c r="AE179" i="22"/>
  <c r="AE177" i="22"/>
  <c r="AE175" i="22"/>
  <c r="AE166" i="22"/>
  <c r="AE164" i="22"/>
  <c r="AE162" i="22"/>
  <c r="AE174" i="22"/>
  <c r="AE184" i="22"/>
  <c r="AE161" i="22"/>
  <c r="AE158" i="22"/>
  <c r="AE165" i="22"/>
  <c r="AE157" i="22"/>
  <c r="AE153" i="22"/>
  <c r="AE147" i="22"/>
  <c r="AA65" i="21" s="1"/>
  <c r="AE138" i="22"/>
  <c r="AE163" i="22"/>
  <c r="AE151" i="22"/>
  <c r="AE139" i="22"/>
  <c r="AE106" i="22"/>
  <c r="AE97" i="22"/>
  <c r="AE120" i="22"/>
  <c r="AE100" i="22"/>
  <c r="AE93" i="22"/>
  <c r="AE98" i="22"/>
  <c r="AE102" i="22"/>
  <c r="AE101" i="22"/>
  <c r="AE71" i="22"/>
  <c r="AE69" i="22"/>
  <c r="AE82" i="22"/>
  <c r="AE107" i="22"/>
  <c r="AE92" i="22"/>
  <c r="AE81" i="22"/>
  <c r="AE77" i="22"/>
  <c r="AE66" i="22"/>
  <c r="AE57" i="22"/>
  <c r="AE55" i="22"/>
  <c r="AE53" i="22"/>
  <c r="AE51" i="22"/>
  <c r="AE37" i="22"/>
  <c r="AE35" i="22"/>
  <c r="AE33" i="22"/>
  <c r="AE31" i="22"/>
  <c r="AE29" i="22"/>
  <c r="AE50" i="22"/>
  <c r="AE41" i="22"/>
  <c r="AE38" i="22"/>
  <c r="AE36" i="22"/>
  <c r="AE34" i="22"/>
  <c r="AE24" i="22"/>
  <c r="AE20" i="22"/>
  <c r="AE17" i="22"/>
  <c r="AE14" i="22"/>
  <c r="AE12" i="22"/>
  <c r="R220" i="22"/>
  <c r="R218" i="22"/>
  <c r="R216" i="22"/>
  <c r="R212" i="22"/>
  <c r="R210" i="22"/>
  <c r="R224" i="22"/>
  <c r="R223" i="22"/>
  <c r="R227" i="22"/>
  <c r="R199" i="22"/>
  <c r="R217" i="22"/>
  <c r="R200" i="22"/>
  <c r="R198" i="22"/>
  <c r="R195" i="22"/>
  <c r="R193" i="22"/>
  <c r="R191" i="22"/>
  <c r="R189" i="22"/>
  <c r="R187" i="22"/>
  <c r="R208" i="22"/>
  <c r="R203" i="22"/>
  <c r="R204" i="22"/>
  <c r="R197" i="22"/>
  <c r="R219" i="22"/>
  <c r="R211" i="22"/>
  <c r="R205" i="22"/>
  <c r="R207" i="22"/>
  <c r="R209" i="22"/>
  <c r="R190" i="22"/>
  <c r="R192" i="22"/>
  <c r="R184" i="22"/>
  <c r="R182" i="22"/>
  <c r="R206" i="22"/>
  <c r="R194" i="22"/>
  <c r="R196" i="22"/>
  <c r="R181" i="22"/>
  <c r="R186" i="22"/>
  <c r="R178" i="22"/>
  <c r="R175" i="22"/>
  <c r="R180" i="22"/>
  <c r="R172" i="22"/>
  <c r="R215" i="22"/>
  <c r="R176" i="22"/>
  <c r="R173" i="22"/>
  <c r="R188" i="22"/>
  <c r="R174" i="22"/>
  <c r="R158" i="22"/>
  <c r="R185" i="22"/>
  <c r="R162" i="22"/>
  <c r="R168" i="22"/>
  <c r="R163" i="22"/>
  <c r="R183" i="22"/>
  <c r="R179" i="22"/>
  <c r="R177" i="22"/>
  <c r="R171" i="22"/>
  <c r="R166" i="22"/>
  <c r="R170" i="22"/>
  <c r="R167" i="22"/>
  <c r="R164" i="22"/>
  <c r="R165" i="22"/>
  <c r="R151" i="22"/>
  <c r="R139" i="22"/>
  <c r="R157" i="22"/>
  <c r="R134" i="22"/>
  <c r="R130" i="22"/>
  <c r="R128" i="22"/>
  <c r="R126" i="22"/>
  <c r="R124" i="22"/>
  <c r="R144" i="22"/>
  <c r="R142" i="22"/>
  <c r="R153" i="22"/>
  <c r="R161" i="22"/>
  <c r="R152" i="22"/>
  <c r="R147" i="22"/>
  <c r="R137" i="22"/>
  <c r="R136" i="22"/>
  <c r="R150" i="22"/>
  <c r="R138" i="22"/>
  <c r="R125" i="22"/>
  <c r="R133" i="22"/>
  <c r="R129" i="22"/>
  <c r="R169" i="22"/>
  <c r="R154" i="22"/>
  <c r="R114" i="22"/>
  <c r="R112" i="22"/>
  <c r="R108" i="22"/>
  <c r="R123" i="22"/>
  <c r="R122" i="22"/>
  <c r="R135" i="22"/>
  <c r="R127" i="22"/>
  <c r="R121" i="22"/>
  <c r="R120" i="22"/>
  <c r="R143" i="22"/>
  <c r="R118" i="22"/>
  <c r="R93" i="22"/>
  <c r="R91" i="22"/>
  <c r="R89" i="22"/>
  <c r="R87" i="22"/>
  <c r="R85" i="22"/>
  <c r="R83" i="22"/>
  <c r="R81" i="22"/>
  <c r="R79" i="22"/>
  <c r="R77" i="22"/>
  <c r="R116" i="22"/>
  <c r="R107" i="22"/>
  <c r="R99" i="22"/>
  <c r="R111" i="22"/>
  <c r="R105" i="22"/>
  <c r="R95" i="22"/>
  <c r="R102" i="22"/>
  <c r="R98" i="22"/>
  <c r="R113" i="22"/>
  <c r="R103" i="22"/>
  <c r="R119" i="22"/>
  <c r="R82" i="22"/>
  <c r="R115" i="22"/>
  <c r="R97" i="22"/>
  <c r="R106" i="22"/>
  <c r="R100" i="22"/>
  <c r="R90" i="22"/>
  <c r="R86" i="22"/>
  <c r="R80" i="22"/>
  <c r="R72" i="22"/>
  <c r="R94" i="22"/>
  <c r="R76" i="22"/>
  <c r="R117" i="22"/>
  <c r="R88" i="22"/>
  <c r="R104" i="22"/>
  <c r="R96" i="22"/>
  <c r="R84" i="22"/>
  <c r="R71" i="22"/>
  <c r="R69" i="22"/>
  <c r="R68" i="22"/>
  <c r="R67" i="22"/>
  <c r="R66" i="22"/>
  <c r="R92" i="22"/>
  <c r="R65" i="22"/>
  <c r="R64" i="22"/>
  <c r="R57" i="22"/>
  <c r="R55" i="22"/>
  <c r="R53" i="22"/>
  <c r="R51" i="22"/>
  <c r="R49" i="22"/>
  <c r="R47" i="22"/>
  <c r="R45" i="22"/>
  <c r="R78" i="22"/>
  <c r="R101" i="22"/>
  <c r="R63" i="22"/>
  <c r="R62" i="22"/>
  <c r="R61" i="22"/>
  <c r="R60" i="22"/>
  <c r="R59" i="22"/>
  <c r="R75" i="22"/>
  <c r="R48" i="22"/>
  <c r="R43" i="22"/>
  <c r="R58" i="22"/>
  <c r="R50" i="22"/>
  <c r="R46" i="22"/>
  <c r="R70" i="22"/>
  <c r="R56" i="22"/>
  <c r="R42" i="22"/>
  <c r="R41" i="22"/>
  <c r="R54" i="22"/>
  <c r="R40" i="22"/>
  <c r="R9" i="22"/>
  <c r="R27" i="22"/>
  <c r="R24" i="22"/>
  <c r="R20" i="22"/>
  <c r="R15" i="22"/>
  <c r="R36" i="22"/>
  <c r="R31" i="22"/>
  <c r="R13" i="22"/>
  <c r="R11" i="22"/>
  <c r="R35" i="22"/>
  <c r="R30" i="22"/>
  <c r="R16" i="22"/>
  <c r="R25" i="22"/>
  <c r="R52" i="22"/>
  <c r="R37" i="22"/>
  <c r="R32" i="22"/>
  <c r="R38" i="22"/>
  <c r="R34" i="22"/>
  <c r="R10" i="22"/>
  <c r="R17" i="22"/>
  <c r="R18" i="22"/>
  <c r="R26" i="22"/>
  <c r="R23" i="22"/>
  <c r="R21" i="22"/>
  <c r="R39" i="22"/>
  <c r="R28" i="22"/>
  <c r="R14" i="22"/>
  <c r="R12" i="22"/>
  <c r="R44" i="22"/>
  <c r="R29" i="22"/>
  <c r="R19" i="22"/>
  <c r="R33" i="22"/>
  <c r="R22" i="22"/>
  <c r="AD227" i="22"/>
  <c r="Z80" i="21" s="1"/>
  <c r="AD220" i="22"/>
  <c r="AD218" i="22"/>
  <c r="AD216" i="22"/>
  <c r="AD212" i="22"/>
  <c r="AD210" i="22"/>
  <c r="AD224" i="22"/>
  <c r="AD223" i="22"/>
  <c r="AD196" i="22"/>
  <c r="AD205" i="22"/>
  <c r="AD206" i="22"/>
  <c r="AD219" i="22"/>
  <c r="AD211" i="22"/>
  <c r="AD207" i="22"/>
  <c r="AD195" i="22"/>
  <c r="AD193" i="22"/>
  <c r="AD199" i="22"/>
  <c r="AD198" i="22"/>
  <c r="AD200" i="22"/>
  <c r="AD215" i="22"/>
  <c r="AD209" i="22"/>
  <c r="AD208" i="22"/>
  <c r="AD204" i="22"/>
  <c r="AD217" i="22"/>
  <c r="AD192" i="22"/>
  <c r="AD194" i="22"/>
  <c r="AD191" i="22"/>
  <c r="AD189" i="22"/>
  <c r="AD188" i="22"/>
  <c r="AD187" i="22"/>
  <c r="AD183" i="22"/>
  <c r="AD181" i="22"/>
  <c r="AD179" i="22"/>
  <c r="AD177" i="22"/>
  <c r="AD175" i="22"/>
  <c r="AD173" i="22"/>
  <c r="AD203" i="22"/>
  <c r="AD186" i="22"/>
  <c r="AD185" i="22"/>
  <c r="AD197" i="22"/>
  <c r="AD168" i="22"/>
  <c r="AD166" i="22"/>
  <c r="AD164" i="22"/>
  <c r="AD190" i="22"/>
  <c r="AD174" i="22"/>
  <c r="AD184" i="22"/>
  <c r="AD170" i="22"/>
  <c r="AD171" i="22"/>
  <c r="AD169" i="22"/>
  <c r="AD167" i="22"/>
  <c r="AD154" i="22"/>
  <c r="AD152" i="22"/>
  <c r="AD150" i="22"/>
  <c r="AD144" i="22"/>
  <c r="AD142" i="22"/>
  <c r="AD138" i="22"/>
  <c r="AD136" i="22"/>
  <c r="AD176" i="22"/>
  <c r="AD161" i="22"/>
  <c r="AD158" i="22"/>
  <c r="AD165" i="22"/>
  <c r="AD162" i="22"/>
  <c r="AD163" i="22"/>
  <c r="AD182" i="22"/>
  <c r="AD157" i="22"/>
  <c r="AD178" i="22"/>
  <c r="AD153" i="22"/>
  <c r="AD147" i="22"/>
  <c r="Z65" i="21" s="1"/>
  <c r="AD180" i="22"/>
  <c r="AD151" i="22"/>
  <c r="AD137" i="22"/>
  <c r="AD120" i="22"/>
  <c r="AD119" i="22"/>
  <c r="AD118" i="22"/>
  <c r="AD127" i="22"/>
  <c r="AD117" i="22"/>
  <c r="AD113" i="22"/>
  <c r="AD111" i="22"/>
  <c r="AD107" i="22"/>
  <c r="AD105" i="22"/>
  <c r="AD103" i="22"/>
  <c r="AD135" i="22"/>
  <c r="AD126" i="22"/>
  <c r="AD116" i="22"/>
  <c r="AD115" i="22"/>
  <c r="AD125" i="22"/>
  <c r="AD143" i="22"/>
  <c r="AD139" i="22"/>
  <c r="AD134" i="22"/>
  <c r="AD130" i="22"/>
  <c r="AD123" i="22"/>
  <c r="AD124" i="22"/>
  <c r="AD121" i="22"/>
  <c r="AD114" i="22"/>
  <c r="AD133" i="22"/>
  <c r="AD108" i="22"/>
  <c r="AD172" i="22"/>
  <c r="AD100" i="22"/>
  <c r="AD93" i="22"/>
  <c r="AD91" i="22"/>
  <c r="AD89" i="22"/>
  <c r="AD87" i="22"/>
  <c r="AD85" i="22"/>
  <c r="AD83" i="22"/>
  <c r="AD81" i="22"/>
  <c r="AD104" i="22"/>
  <c r="AD112" i="22"/>
  <c r="AD96" i="22"/>
  <c r="AD99" i="22"/>
  <c r="AD129" i="22"/>
  <c r="AD128" i="22"/>
  <c r="AD122" i="22"/>
  <c r="AD88" i="22"/>
  <c r="AD106" i="22"/>
  <c r="AD71" i="22"/>
  <c r="AD69" i="22"/>
  <c r="AD67" i="22"/>
  <c r="AD65" i="22"/>
  <c r="AD63" i="22"/>
  <c r="AD61" i="22"/>
  <c r="AD59" i="22"/>
  <c r="AD94" i="22"/>
  <c r="AD95" i="22"/>
  <c r="AD98" i="22"/>
  <c r="AD84" i="22"/>
  <c r="AD82" i="22"/>
  <c r="AD92" i="22"/>
  <c r="AD77" i="22"/>
  <c r="AD102" i="22"/>
  <c r="AD80" i="22"/>
  <c r="AD101" i="22"/>
  <c r="AD90" i="22"/>
  <c r="AD86" i="22"/>
  <c r="AD78" i="22"/>
  <c r="AD72" i="22"/>
  <c r="AD58" i="22"/>
  <c r="AD76" i="22"/>
  <c r="AD75" i="22"/>
  <c r="AD70" i="22"/>
  <c r="AD68" i="22"/>
  <c r="AD79" i="22"/>
  <c r="AD66" i="22"/>
  <c r="AD57" i="22"/>
  <c r="AD64" i="22"/>
  <c r="AD97" i="22"/>
  <c r="AD60" i="22"/>
  <c r="AD56" i="22"/>
  <c r="AD49" i="22"/>
  <c r="AD44" i="22"/>
  <c r="AD62" i="22"/>
  <c r="AD45" i="22"/>
  <c r="AD40" i="22"/>
  <c r="AD51" i="22"/>
  <c r="AD53" i="22"/>
  <c r="AD43" i="22"/>
  <c r="AD37" i="22"/>
  <c r="AD35" i="22"/>
  <c r="AD33" i="22"/>
  <c r="AD31" i="22"/>
  <c r="AD29" i="22"/>
  <c r="AD27" i="22"/>
  <c r="AD52" i="22"/>
  <c r="AD39" i="22"/>
  <c r="AD54" i="22"/>
  <c r="AD48" i="22"/>
  <c r="AD55" i="22"/>
  <c r="AD42" i="22"/>
  <c r="AD46" i="22"/>
  <c r="AD47" i="22"/>
  <c r="AD36" i="22"/>
  <c r="AD32" i="22"/>
  <c r="AD16" i="22"/>
  <c r="AD19" i="22"/>
  <c r="AD17" i="22"/>
  <c r="AD34" i="22"/>
  <c r="AD25" i="22"/>
  <c r="AD41" i="22"/>
  <c r="AD38" i="22"/>
  <c r="AD26" i="22"/>
  <c r="AD23" i="22"/>
  <c r="AD28" i="22"/>
  <c r="AD15" i="22"/>
  <c r="AD13" i="22"/>
  <c r="AD11" i="22"/>
  <c r="AD9" i="22"/>
  <c r="AD30" i="22"/>
  <c r="AD22" i="22"/>
  <c r="AD24" i="22"/>
  <c r="AD20" i="22"/>
  <c r="AD50" i="22"/>
  <c r="AD18" i="22"/>
  <c r="AD21" i="22"/>
  <c r="AD14" i="22"/>
  <c r="AD12" i="22"/>
  <c r="AD10" i="22"/>
  <c r="AH220" i="22"/>
  <c r="AH218" i="22"/>
  <c r="AH216" i="22"/>
  <c r="AH212" i="22"/>
  <c r="AH210" i="22"/>
  <c r="AH224" i="22"/>
  <c r="AH223" i="22"/>
  <c r="AH227" i="22"/>
  <c r="AD80" i="21" s="1"/>
  <c r="AH211" i="22"/>
  <c r="AH219" i="22"/>
  <c r="AH207" i="22"/>
  <c r="AH195" i="22"/>
  <c r="AH193" i="22"/>
  <c r="AH191" i="22"/>
  <c r="AH189" i="22"/>
  <c r="AH187" i="22"/>
  <c r="AH199" i="22"/>
  <c r="AH198" i="22"/>
  <c r="AH209" i="22"/>
  <c r="AH200" i="22"/>
  <c r="AH215" i="22"/>
  <c r="AH208" i="22"/>
  <c r="AH203" i="22"/>
  <c r="AH197" i="22"/>
  <c r="AH204" i="22"/>
  <c r="AH205" i="22"/>
  <c r="AH206" i="22"/>
  <c r="AH185" i="22"/>
  <c r="AH196" i="22"/>
  <c r="AH217" i="22"/>
  <c r="AH184" i="22"/>
  <c r="AH182" i="22"/>
  <c r="AH190" i="22"/>
  <c r="AH192" i="22"/>
  <c r="AH194" i="22"/>
  <c r="AH188" i="22"/>
  <c r="AH183" i="22"/>
  <c r="AH177" i="22"/>
  <c r="AH179" i="22"/>
  <c r="AH169" i="22"/>
  <c r="AH181" i="22"/>
  <c r="AH175" i="22"/>
  <c r="AH172" i="22"/>
  <c r="AH180" i="22"/>
  <c r="AH176" i="22"/>
  <c r="AH173" i="22"/>
  <c r="AH161" i="22"/>
  <c r="AH158" i="22"/>
  <c r="AH165" i="22"/>
  <c r="AH162" i="22"/>
  <c r="AH186" i="22"/>
  <c r="AH168" i="22"/>
  <c r="AH163" i="22"/>
  <c r="AH157" i="22"/>
  <c r="AH166" i="22"/>
  <c r="AH178" i="22"/>
  <c r="AH171" i="22"/>
  <c r="AH170" i="22"/>
  <c r="AH143" i="22"/>
  <c r="AH137" i="22"/>
  <c r="AH167" i="22"/>
  <c r="AH153" i="22"/>
  <c r="AH147" i="22"/>
  <c r="AH151" i="22"/>
  <c r="AH139" i="22"/>
  <c r="AH134" i="22"/>
  <c r="AH130" i="22"/>
  <c r="AH128" i="22"/>
  <c r="AH126" i="22"/>
  <c r="AH124" i="22"/>
  <c r="AH164" i="22"/>
  <c r="AH154" i="22"/>
  <c r="AH150" i="22"/>
  <c r="AH136" i="22"/>
  <c r="AH135" i="22"/>
  <c r="AH127" i="22"/>
  <c r="AH117" i="22"/>
  <c r="AH116" i="22"/>
  <c r="AH152" i="22"/>
  <c r="AH125" i="22"/>
  <c r="AH114" i="22"/>
  <c r="AH112" i="22"/>
  <c r="AH108" i="22"/>
  <c r="AH123" i="22"/>
  <c r="AH122" i="22"/>
  <c r="AH174" i="22"/>
  <c r="AH142" i="22"/>
  <c r="AH133" i="22"/>
  <c r="AH129" i="22"/>
  <c r="AH100" i="22"/>
  <c r="AH93" i="22"/>
  <c r="AH91" i="22"/>
  <c r="AH89" i="22"/>
  <c r="AH87" i="22"/>
  <c r="AH85" i="22"/>
  <c r="AH83" i="22"/>
  <c r="AH81" i="22"/>
  <c r="AH79" i="22"/>
  <c r="AH77" i="22"/>
  <c r="AH138" i="22"/>
  <c r="AH115" i="22"/>
  <c r="AH113" i="22"/>
  <c r="AH99" i="22"/>
  <c r="AH121" i="22"/>
  <c r="AH107" i="22"/>
  <c r="AH144" i="22"/>
  <c r="AH111" i="22"/>
  <c r="AH101" i="22"/>
  <c r="AH119" i="22"/>
  <c r="AH106" i="22"/>
  <c r="AH95" i="22"/>
  <c r="AH84" i="22"/>
  <c r="AH82" i="22"/>
  <c r="AH118" i="22"/>
  <c r="AH92" i="22"/>
  <c r="AH98" i="22"/>
  <c r="AH96" i="22"/>
  <c r="AH72" i="22"/>
  <c r="AH104" i="22"/>
  <c r="AH80" i="22"/>
  <c r="AH103" i="22"/>
  <c r="AH102" i="22"/>
  <c r="AH90" i="22"/>
  <c r="AH86" i="22"/>
  <c r="AH76" i="22"/>
  <c r="AH105" i="22"/>
  <c r="AH97" i="22"/>
  <c r="AH70" i="22"/>
  <c r="AH75" i="22"/>
  <c r="AH69" i="22"/>
  <c r="AH68" i="22"/>
  <c r="AH71" i="22"/>
  <c r="AH67" i="22"/>
  <c r="AH66" i="22"/>
  <c r="AH57" i="22"/>
  <c r="AH55" i="22"/>
  <c r="AH53" i="22"/>
  <c r="AH51" i="22"/>
  <c r="AH49" i="22"/>
  <c r="AH47" i="22"/>
  <c r="AH45" i="22"/>
  <c r="AH65" i="22"/>
  <c r="AH64" i="22"/>
  <c r="AH88" i="22"/>
  <c r="AH63" i="22"/>
  <c r="AH62" i="22"/>
  <c r="AH94" i="22"/>
  <c r="AH61" i="22"/>
  <c r="AH60" i="22"/>
  <c r="AH58" i="22"/>
  <c r="AH120" i="22"/>
  <c r="AH43" i="22"/>
  <c r="AH52" i="22"/>
  <c r="AH39" i="22"/>
  <c r="AH59" i="22"/>
  <c r="AH54" i="22"/>
  <c r="AH48" i="22"/>
  <c r="AH42" i="22"/>
  <c r="AH46" i="22"/>
  <c r="AH78" i="22"/>
  <c r="AH50" i="22"/>
  <c r="AH41" i="22"/>
  <c r="AH44" i="22"/>
  <c r="AH40" i="22"/>
  <c r="AH34" i="22"/>
  <c r="AH26" i="22"/>
  <c r="AH25" i="22"/>
  <c r="AH15" i="22"/>
  <c r="AH13" i="22"/>
  <c r="AH37" i="22"/>
  <c r="AH28" i="22"/>
  <c r="AH19" i="22"/>
  <c r="AH11" i="22"/>
  <c r="AH38" i="22"/>
  <c r="AH9" i="22"/>
  <c r="AH27" i="22"/>
  <c r="AH22" i="22"/>
  <c r="AH30" i="22"/>
  <c r="AH29" i="22"/>
  <c r="AH56" i="22"/>
  <c r="AH24" i="22"/>
  <c r="AH20" i="22"/>
  <c r="AH33" i="22"/>
  <c r="AH17" i="22"/>
  <c r="AH10" i="22"/>
  <c r="AH31" i="22"/>
  <c r="AH14" i="22"/>
  <c r="AH12" i="22"/>
  <c r="AH18" i="22"/>
  <c r="AH21" i="22"/>
  <c r="AH16" i="22"/>
  <c r="AH36" i="22"/>
  <c r="AH35" i="22"/>
  <c r="AH32" i="22"/>
  <c r="AH23" i="22"/>
  <c r="Q220" i="22"/>
  <c r="Q218" i="22"/>
  <c r="Q216" i="22"/>
  <c r="Q212" i="22"/>
  <c r="Q210" i="22"/>
  <c r="Q208" i="22"/>
  <c r="Q206" i="22"/>
  <c r="Q204" i="22"/>
  <c r="Q200" i="22"/>
  <c r="Q224" i="22"/>
  <c r="Q219" i="22"/>
  <c r="Q217" i="22"/>
  <c r="Q215" i="22"/>
  <c r="Q207" i="22"/>
  <c r="Q199" i="22"/>
  <c r="Q223" i="22"/>
  <c r="Q198" i="22"/>
  <c r="Q195" i="22"/>
  <c r="Q193" i="22"/>
  <c r="Q191" i="22"/>
  <c r="Q203" i="22"/>
  <c r="Q227" i="22"/>
  <c r="M80" i="21" s="1"/>
  <c r="Q211" i="22"/>
  <c r="Q209" i="22"/>
  <c r="Q185" i="22"/>
  <c r="Q190" i="22"/>
  <c r="Q192" i="22"/>
  <c r="Q184" i="22"/>
  <c r="Q194" i="22"/>
  <c r="Q196" i="22"/>
  <c r="Q188" i="22"/>
  <c r="Q187" i="22"/>
  <c r="Q181" i="22"/>
  <c r="Q186" i="22"/>
  <c r="Q178" i="22"/>
  <c r="Q175" i="22"/>
  <c r="Q205" i="22"/>
  <c r="Q189" i="22"/>
  <c r="Q180" i="22"/>
  <c r="Q172" i="22"/>
  <c r="Q169" i="22"/>
  <c r="Q182" i="22"/>
  <c r="Q154" i="22"/>
  <c r="Q152" i="22"/>
  <c r="Q150" i="22"/>
  <c r="Q144" i="22"/>
  <c r="Q142" i="22"/>
  <c r="Q138" i="22"/>
  <c r="Q136" i="22"/>
  <c r="Q174" i="22"/>
  <c r="Q158" i="22"/>
  <c r="Q162" i="22"/>
  <c r="Q168" i="22"/>
  <c r="Q163" i="22"/>
  <c r="Q183" i="22"/>
  <c r="Q179" i="22"/>
  <c r="Q177" i="22"/>
  <c r="Q176" i="22"/>
  <c r="Q173" i="22"/>
  <c r="Q171" i="22"/>
  <c r="Q166" i="22"/>
  <c r="Q157" i="22"/>
  <c r="Q167" i="22"/>
  <c r="Q197" i="22"/>
  <c r="Q134" i="22"/>
  <c r="Q130" i="22"/>
  <c r="Q128" i="22"/>
  <c r="Q126" i="22"/>
  <c r="Q124" i="22"/>
  <c r="Q164" i="22"/>
  <c r="Q161" i="22"/>
  <c r="Q147" i="22"/>
  <c r="M65" i="21" s="1"/>
  <c r="Q137" i="22"/>
  <c r="Q135" i="22"/>
  <c r="Q143" i="22"/>
  <c r="Q139" i="22"/>
  <c r="Q115" i="22"/>
  <c r="Q151" i="22"/>
  <c r="Q125" i="22"/>
  <c r="Q170" i="22"/>
  <c r="Q165" i="22"/>
  <c r="Q133" i="22"/>
  <c r="Q129" i="22"/>
  <c r="Q123" i="22"/>
  <c r="Q122" i="22"/>
  <c r="Q127" i="22"/>
  <c r="Q153" i="22"/>
  <c r="Q100" i="22"/>
  <c r="Q119" i="22"/>
  <c r="Q117" i="22"/>
  <c r="Q116" i="22"/>
  <c r="Q107" i="22"/>
  <c r="Q120" i="22"/>
  <c r="Q99" i="22"/>
  <c r="Q111" i="22"/>
  <c r="Q105" i="22"/>
  <c r="Q114" i="22"/>
  <c r="Q121" i="22"/>
  <c r="Q108" i="22"/>
  <c r="Q106" i="22"/>
  <c r="Q101" i="22"/>
  <c r="Q104" i="22"/>
  <c r="Q92" i="22"/>
  <c r="Q84" i="22"/>
  <c r="Q83" i="22"/>
  <c r="Q82" i="22"/>
  <c r="Q97" i="22"/>
  <c r="Q81" i="22"/>
  <c r="Q113" i="22"/>
  <c r="Q85" i="22"/>
  <c r="Q118" i="22"/>
  <c r="Q90" i="22"/>
  <c r="Q86" i="22"/>
  <c r="Q80" i="22"/>
  <c r="Q72" i="22"/>
  <c r="Q94" i="22"/>
  <c r="Q87" i="22"/>
  <c r="Q76" i="22"/>
  <c r="Q93" i="22"/>
  <c r="Q98" i="22"/>
  <c r="Q95" i="22"/>
  <c r="Q88" i="22"/>
  <c r="Q79" i="22"/>
  <c r="Q112" i="22"/>
  <c r="Q91" i="22"/>
  <c r="Q96" i="22"/>
  <c r="Q77" i="22"/>
  <c r="Q103" i="22"/>
  <c r="Q71" i="22"/>
  <c r="Q69" i="22"/>
  <c r="Q68" i="22"/>
  <c r="Q102" i="22"/>
  <c r="Q67" i="22"/>
  <c r="Q66" i="22"/>
  <c r="Q89" i="22"/>
  <c r="Q65" i="22"/>
  <c r="Q64" i="22"/>
  <c r="Q57" i="22"/>
  <c r="Q55" i="22"/>
  <c r="Q53" i="22"/>
  <c r="Q51" i="22"/>
  <c r="Q49" i="22"/>
  <c r="Q47" i="22"/>
  <c r="Q45" i="22"/>
  <c r="Q78" i="22"/>
  <c r="Q63" i="22"/>
  <c r="Q62" i="22"/>
  <c r="Q61" i="22"/>
  <c r="Q60" i="22"/>
  <c r="Q59" i="22"/>
  <c r="Q58" i="22"/>
  <c r="Q56" i="22"/>
  <c r="Q70" i="22"/>
  <c r="Q48" i="22"/>
  <c r="Q43" i="22"/>
  <c r="Q39" i="22"/>
  <c r="Q37" i="22"/>
  <c r="Q35" i="22"/>
  <c r="Q33" i="22"/>
  <c r="Q31" i="22"/>
  <c r="Q29" i="22"/>
  <c r="Q27" i="22"/>
  <c r="Q25" i="22"/>
  <c r="Q23" i="22"/>
  <c r="Q21" i="22"/>
  <c r="Q19" i="22"/>
  <c r="Q50" i="22"/>
  <c r="Q46" i="22"/>
  <c r="Q75" i="22"/>
  <c r="Q42" i="22"/>
  <c r="Q41" i="22"/>
  <c r="Q38" i="22"/>
  <c r="Q36" i="22"/>
  <c r="Q34" i="22"/>
  <c r="Q52" i="22"/>
  <c r="Q44" i="22"/>
  <c r="Q40" i="22"/>
  <c r="Q24" i="22"/>
  <c r="Q15" i="22"/>
  <c r="Q9" i="22"/>
  <c r="Q11" i="22"/>
  <c r="Q20" i="22"/>
  <c r="Q13" i="22"/>
  <c r="Q10" i="22"/>
  <c r="Q14" i="22"/>
  <c r="Q32" i="22"/>
  <c r="Q22" i="22"/>
  <c r="Q17" i="22"/>
  <c r="Q18" i="22"/>
  <c r="Q26" i="22"/>
  <c r="Q28" i="22"/>
  <c r="Q12" i="22"/>
  <c r="Q30" i="22"/>
  <c r="Q16" i="22"/>
  <c r="Q54" i="22"/>
  <c r="AK224" i="22"/>
  <c r="AK219" i="22"/>
  <c r="AK217" i="22"/>
  <c r="AK215" i="22"/>
  <c r="AK211" i="22"/>
  <c r="AK209" i="22"/>
  <c r="AK223" i="22"/>
  <c r="AK227" i="22"/>
  <c r="AG80" i="21" s="1"/>
  <c r="AK199" i="22"/>
  <c r="AK198" i="22"/>
  <c r="AK216" i="22"/>
  <c r="AK200" i="22"/>
  <c r="AK203" i="22"/>
  <c r="AK197" i="22"/>
  <c r="AK208" i="22"/>
  <c r="AK218" i="22"/>
  <c r="AK204" i="22"/>
  <c r="AK205" i="22"/>
  <c r="AK212" i="22"/>
  <c r="AK220" i="22"/>
  <c r="AK207" i="22"/>
  <c r="AK196" i="22"/>
  <c r="AK191" i="22"/>
  <c r="AK184" i="22"/>
  <c r="AK182" i="22"/>
  <c r="AK180" i="22"/>
  <c r="AK178" i="22"/>
  <c r="AK176" i="22"/>
  <c r="AK174" i="22"/>
  <c r="AK172" i="22"/>
  <c r="AK190" i="22"/>
  <c r="AK206" i="22"/>
  <c r="AK210" i="22"/>
  <c r="AK192" i="22"/>
  <c r="AK187" i="22"/>
  <c r="AK189" i="22"/>
  <c r="AK188" i="22"/>
  <c r="AK179" i="22"/>
  <c r="AK169" i="22"/>
  <c r="AK167" i="22"/>
  <c r="AK165" i="22"/>
  <c r="AK163" i="22"/>
  <c r="AK161" i="22"/>
  <c r="AK181" i="22"/>
  <c r="AK175" i="22"/>
  <c r="AK185" i="22"/>
  <c r="AK195" i="22"/>
  <c r="AK186" i="22"/>
  <c r="AK177" i="22"/>
  <c r="AK183" i="22"/>
  <c r="AK162" i="22"/>
  <c r="AK168" i="22"/>
  <c r="AK194" i="22"/>
  <c r="AK157" i="22"/>
  <c r="AK153" i="22"/>
  <c r="AK151" i="22"/>
  <c r="AK147" i="22"/>
  <c r="AK143" i="22"/>
  <c r="AK193" i="22"/>
  <c r="AK166" i="22"/>
  <c r="AK171" i="22"/>
  <c r="AK152" i="22"/>
  <c r="AK173" i="22"/>
  <c r="AK139" i="22"/>
  <c r="AK134" i="22"/>
  <c r="AK130" i="22"/>
  <c r="AK128" i="22"/>
  <c r="AK126" i="22"/>
  <c r="AK124" i="22"/>
  <c r="AK122" i="22"/>
  <c r="AK120" i="22"/>
  <c r="AK118" i="22"/>
  <c r="AK116" i="22"/>
  <c r="AK154" i="22"/>
  <c r="AK164" i="22"/>
  <c r="AK142" i="22"/>
  <c r="AK133" i="22"/>
  <c r="AK129" i="22"/>
  <c r="AK137" i="22"/>
  <c r="AK170" i="22"/>
  <c r="AK135" i="22"/>
  <c r="AK125" i="22"/>
  <c r="AK114" i="22"/>
  <c r="AK112" i="22"/>
  <c r="AK108" i="22"/>
  <c r="AK106" i="22"/>
  <c r="AK104" i="22"/>
  <c r="AK123" i="22"/>
  <c r="AK158" i="22"/>
  <c r="AK121" i="22"/>
  <c r="AK150" i="22"/>
  <c r="AK127" i="22"/>
  <c r="AK136" i="22"/>
  <c r="AK113" i="22"/>
  <c r="AK138" i="22"/>
  <c r="AK99" i="22"/>
  <c r="AK107" i="22"/>
  <c r="AK95" i="22"/>
  <c r="AK92" i="22"/>
  <c r="AK90" i="22"/>
  <c r="AK105" i="22"/>
  <c r="AK98" i="22"/>
  <c r="AK144" i="22"/>
  <c r="AK111" i="22"/>
  <c r="AK94" i="22"/>
  <c r="AK119" i="22"/>
  <c r="AK103" i="22"/>
  <c r="AK115" i="22"/>
  <c r="AK89" i="22"/>
  <c r="AK81" i="22"/>
  <c r="AK77" i="22"/>
  <c r="AK96" i="22"/>
  <c r="AK85" i="22"/>
  <c r="AK86" i="22"/>
  <c r="AK76" i="22"/>
  <c r="AK117" i="22"/>
  <c r="AK102" i="22"/>
  <c r="AK101" i="22"/>
  <c r="AK97" i="22"/>
  <c r="AK87" i="22"/>
  <c r="AK79" i="22"/>
  <c r="AK88" i="22"/>
  <c r="AK71" i="22"/>
  <c r="AK67" i="22"/>
  <c r="AK66" i="22"/>
  <c r="AK57" i="22"/>
  <c r="AK55" i="22"/>
  <c r="AK53" i="22"/>
  <c r="AK51" i="22"/>
  <c r="AK49" i="22"/>
  <c r="AK47" i="22"/>
  <c r="AK45" i="22"/>
  <c r="AK43" i="22"/>
  <c r="AK41" i="22"/>
  <c r="AK39" i="22"/>
  <c r="AK80" i="22"/>
  <c r="AK65" i="22"/>
  <c r="AK64" i="22"/>
  <c r="AK83" i="22"/>
  <c r="AK63" i="22"/>
  <c r="AK62" i="22"/>
  <c r="AK100" i="22"/>
  <c r="AK91" i="22"/>
  <c r="AK61" i="22"/>
  <c r="AK60" i="22"/>
  <c r="AK59" i="22"/>
  <c r="AK56" i="22"/>
  <c r="AK54" i="22"/>
  <c r="AK52" i="22"/>
  <c r="AK58" i="22"/>
  <c r="AK78" i="22"/>
  <c r="AK93" i="22"/>
  <c r="AK70" i="22"/>
  <c r="AK82" i="22"/>
  <c r="AK75" i="22"/>
  <c r="AK72" i="22"/>
  <c r="AK69" i="22"/>
  <c r="AK68" i="22"/>
  <c r="AK48" i="22"/>
  <c r="AK42" i="22"/>
  <c r="AK46" i="22"/>
  <c r="AK50" i="22"/>
  <c r="AK38" i="22"/>
  <c r="AK36" i="22"/>
  <c r="AK34" i="22"/>
  <c r="AK32" i="22"/>
  <c r="AK30" i="22"/>
  <c r="AK28" i="22"/>
  <c r="AK26" i="22"/>
  <c r="AK24" i="22"/>
  <c r="AK22" i="22"/>
  <c r="AK44" i="22"/>
  <c r="AK84" i="22"/>
  <c r="AK37" i="22"/>
  <c r="AK35" i="22"/>
  <c r="AK33" i="22"/>
  <c r="AK25" i="22"/>
  <c r="AK27" i="22"/>
  <c r="AK29" i="22"/>
  <c r="AK20" i="22"/>
  <c r="AK23" i="22"/>
  <c r="AK17" i="22"/>
  <c r="AK14" i="22"/>
  <c r="AK12" i="22"/>
  <c r="AK10" i="22"/>
  <c r="AK19" i="22"/>
  <c r="AK31" i="22"/>
  <c r="AK18" i="22"/>
  <c r="AK16" i="22"/>
  <c r="AK21" i="22"/>
  <c r="AK40" i="22"/>
  <c r="AK9" i="22"/>
  <c r="AK13" i="22"/>
  <c r="AK15" i="22"/>
  <c r="AK11" i="22"/>
  <c r="W219" i="22"/>
  <c r="W217" i="22"/>
  <c r="W215" i="22"/>
  <c r="W211" i="22"/>
  <c r="W209" i="22"/>
  <c r="W223" i="22"/>
  <c r="W227" i="22"/>
  <c r="S80" i="21" s="1"/>
  <c r="W210" i="22"/>
  <c r="W208" i="22"/>
  <c r="W203" i="22"/>
  <c r="W212" i="22"/>
  <c r="W224" i="22"/>
  <c r="W220" i="22"/>
  <c r="W197" i="22"/>
  <c r="W204" i="22"/>
  <c r="W205" i="22"/>
  <c r="W194" i="22"/>
  <c r="W192" i="22"/>
  <c r="W190" i="22"/>
  <c r="W216" i="22"/>
  <c r="W196" i="22"/>
  <c r="W206" i="22"/>
  <c r="W207" i="22"/>
  <c r="W218" i="22"/>
  <c r="W184" i="22"/>
  <c r="W182" i="22"/>
  <c r="W180" i="22"/>
  <c r="W178" i="22"/>
  <c r="W176" i="22"/>
  <c r="W174" i="22"/>
  <c r="W172" i="22"/>
  <c r="W170" i="22"/>
  <c r="W199" i="22"/>
  <c r="W193" i="22"/>
  <c r="W195" i="22"/>
  <c r="W200" i="22"/>
  <c r="W188" i="22"/>
  <c r="W191" i="22"/>
  <c r="W189" i="22"/>
  <c r="W187" i="22"/>
  <c r="W198" i="22"/>
  <c r="W169" i="22"/>
  <c r="W167" i="22"/>
  <c r="W165" i="22"/>
  <c r="W163" i="22"/>
  <c r="W161" i="22"/>
  <c r="W173" i="22"/>
  <c r="W171" i="22"/>
  <c r="W183" i="22"/>
  <c r="W179" i="22"/>
  <c r="W177" i="22"/>
  <c r="W185" i="22"/>
  <c r="W166" i="22"/>
  <c r="W157" i="22"/>
  <c r="W153" i="22"/>
  <c r="W151" i="22"/>
  <c r="W147" i="22"/>
  <c r="S65" i="21" s="1"/>
  <c r="W143" i="22"/>
  <c r="W164" i="22"/>
  <c r="W186" i="22"/>
  <c r="W154" i="22"/>
  <c r="W152" i="22"/>
  <c r="W168" i="22"/>
  <c r="W134" i="22"/>
  <c r="W130" i="22"/>
  <c r="W128" i="22"/>
  <c r="W126" i="22"/>
  <c r="W124" i="22"/>
  <c r="W122" i="22"/>
  <c r="W120" i="22"/>
  <c r="W118" i="22"/>
  <c r="W116" i="22"/>
  <c r="W144" i="22"/>
  <c r="W142" i="22"/>
  <c r="W181" i="22"/>
  <c r="W175" i="22"/>
  <c r="W136" i="22"/>
  <c r="W133" i="22"/>
  <c r="W129" i="22"/>
  <c r="W127" i="22"/>
  <c r="W125" i="22"/>
  <c r="W162" i="22"/>
  <c r="W158" i="22"/>
  <c r="W139" i="22"/>
  <c r="W150" i="22"/>
  <c r="W138" i="22"/>
  <c r="W137" i="22"/>
  <c r="W123" i="22"/>
  <c r="W121" i="22"/>
  <c r="W135" i="22"/>
  <c r="W119" i="22"/>
  <c r="W117" i="22"/>
  <c r="W111" i="22"/>
  <c r="W105" i="22"/>
  <c r="W98" i="22"/>
  <c r="W92" i="22"/>
  <c r="W90" i="22"/>
  <c r="W88" i="22"/>
  <c r="W86" i="22"/>
  <c r="W84" i="22"/>
  <c r="W115" i="22"/>
  <c r="W102" i="22"/>
  <c r="W94" i="22"/>
  <c r="W114" i="22"/>
  <c r="W101" i="22"/>
  <c r="W113" i="22"/>
  <c r="W106" i="22"/>
  <c r="W108" i="22"/>
  <c r="W97" i="22"/>
  <c r="W100" i="22"/>
  <c r="W112" i="22"/>
  <c r="W96" i="22"/>
  <c r="W80" i="22"/>
  <c r="W72" i="22"/>
  <c r="W70" i="22"/>
  <c r="W68" i="22"/>
  <c r="W66" i="22"/>
  <c r="W64" i="22"/>
  <c r="W62" i="22"/>
  <c r="W60" i="22"/>
  <c r="W58" i="22"/>
  <c r="W87" i="22"/>
  <c r="W93" i="22"/>
  <c r="W99" i="22"/>
  <c r="W79" i="22"/>
  <c r="W91" i="22"/>
  <c r="W107" i="22"/>
  <c r="W95" i="22"/>
  <c r="W71" i="22"/>
  <c r="W104" i="22"/>
  <c r="W103" i="22"/>
  <c r="W78" i="22"/>
  <c r="W89" i="22"/>
  <c r="W83" i="22"/>
  <c r="W85" i="22"/>
  <c r="W63" i="22"/>
  <c r="W82" i="22"/>
  <c r="W81" i="22"/>
  <c r="W61" i="22"/>
  <c r="W59" i="22"/>
  <c r="W75" i="22"/>
  <c r="W56" i="22"/>
  <c r="W54" i="22"/>
  <c r="W52" i="22"/>
  <c r="W50" i="22"/>
  <c r="W48" i="22"/>
  <c r="W76" i="22"/>
  <c r="W69" i="22"/>
  <c r="W77" i="22"/>
  <c r="W67" i="22"/>
  <c r="W65" i="22"/>
  <c r="W57" i="22"/>
  <c r="W42" i="22"/>
  <c r="W41" i="22"/>
  <c r="W38" i="22"/>
  <c r="W36" i="22"/>
  <c r="W34" i="22"/>
  <c r="W32" i="22"/>
  <c r="W30" i="22"/>
  <c r="W28" i="22"/>
  <c r="W26" i="22"/>
  <c r="W24" i="22"/>
  <c r="W22" i="22"/>
  <c r="W20" i="22"/>
  <c r="W18" i="22"/>
  <c r="W47" i="22"/>
  <c r="W49" i="22"/>
  <c r="W44" i="22"/>
  <c r="W40" i="22"/>
  <c r="W45" i="22"/>
  <c r="W53" i="22"/>
  <c r="W51" i="22"/>
  <c r="W37" i="22"/>
  <c r="W35" i="22"/>
  <c r="W33" i="22"/>
  <c r="W31" i="22"/>
  <c r="W55" i="22"/>
  <c r="W46" i="22"/>
  <c r="W43" i="22"/>
  <c r="W17" i="22"/>
  <c r="W23" i="22"/>
  <c r="W21" i="22"/>
  <c r="W14" i="22"/>
  <c r="W12" i="22"/>
  <c r="W10" i="22"/>
  <c r="W16" i="22"/>
  <c r="W27" i="22"/>
  <c r="W25" i="22"/>
  <c r="W39" i="22"/>
  <c r="W29" i="22"/>
  <c r="W19" i="22"/>
  <c r="W15" i="22"/>
  <c r="W13" i="22"/>
  <c r="W11" i="22"/>
  <c r="W9" i="22"/>
  <c r="T220" i="22"/>
  <c r="T218" i="22"/>
  <c r="T216" i="22"/>
  <c r="T212" i="22"/>
  <c r="T210" i="22"/>
  <c r="T208" i="22"/>
  <c r="T206" i="22"/>
  <c r="T204" i="22"/>
  <c r="T200" i="22"/>
  <c r="T224" i="22"/>
  <c r="T219" i="22"/>
  <c r="T217" i="22"/>
  <c r="T215" i="22"/>
  <c r="T211" i="22"/>
  <c r="T209" i="22"/>
  <c r="T223" i="22"/>
  <c r="T227" i="22"/>
  <c r="P80" i="21" s="1"/>
  <c r="T195" i="22"/>
  <c r="T193" i="22"/>
  <c r="T191" i="22"/>
  <c r="T189" i="22"/>
  <c r="T198" i="22"/>
  <c r="T203" i="22"/>
  <c r="T197" i="22"/>
  <c r="T205" i="22"/>
  <c r="T207" i="22"/>
  <c r="T192" i="22"/>
  <c r="T184" i="22"/>
  <c r="T182" i="22"/>
  <c r="T180" i="22"/>
  <c r="T178" i="22"/>
  <c r="T194" i="22"/>
  <c r="T199" i="22"/>
  <c r="T196" i="22"/>
  <c r="T188" i="22"/>
  <c r="T186" i="22"/>
  <c r="T175" i="22"/>
  <c r="T172" i="22"/>
  <c r="T169" i="22"/>
  <c r="T167" i="22"/>
  <c r="T165" i="22"/>
  <c r="T163" i="22"/>
  <c r="T161" i="22"/>
  <c r="T176" i="22"/>
  <c r="T190" i="22"/>
  <c r="T187" i="22"/>
  <c r="T183" i="22"/>
  <c r="T174" i="22"/>
  <c r="T185" i="22"/>
  <c r="T168" i="22"/>
  <c r="T181" i="22"/>
  <c r="T179" i="22"/>
  <c r="T171" i="22"/>
  <c r="T166" i="22"/>
  <c r="T177" i="22"/>
  <c r="T157" i="22"/>
  <c r="T153" i="22"/>
  <c r="T173" i="22"/>
  <c r="T170" i="22"/>
  <c r="T164" i="22"/>
  <c r="T139" i="22"/>
  <c r="T144" i="22"/>
  <c r="T142" i="22"/>
  <c r="T150" i="22"/>
  <c r="T162" i="22"/>
  <c r="T151" i="22"/>
  <c r="T154" i="22"/>
  <c r="T138" i="22"/>
  <c r="T147" i="22"/>
  <c r="P65" i="21" s="1"/>
  <c r="T125" i="22"/>
  <c r="T137" i="22"/>
  <c r="T133" i="22"/>
  <c r="T129" i="22"/>
  <c r="T136" i="22"/>
  <c r="T134" i="22"/>
  <c r="T130" i="22"/>
  <c r="T114" i="22"/>
  <c r="T112" i="22"/>
  <c r="T108" i="22"/>
  <c r="T106" i="22"/>
  <c r="T104" i="22"/>
  <c r="T102" i="22"/>
  <c r="T152" i="22"/>
  <c r="T128" i="22"/>
  <c r="T123" i="22"/>
  <c r="T122" i="22"/>
  <c r="T135" i="22"/>
  <c r="T124" i="22"/>
  <c r="T127" i="22"/>
  <c r="T121" i="22"/>
  <c r="T120" i="22"/>
  <c r="T158" i="22"/>
  <c r="T119" i="22"/>
  <c r="T118" i="22"/>
  <c r="T117" i="22"/>
  <c r="T116" i="22"/>
  <c r="T107" i="22"/>
  <c r="T99" i="22"/>
  <c r="T111" i="22"/>
  <c r="T105" i="22"/>
  <c r="T95" i="22"/>
  <c r="T98" i="22"/>
  <c r="T126" i="22"/>
  <c r="T115" i="22"/>
  <c r="T94" i="22"/>
  <c r="T113" i="22"/>
  <c r="T103" i="22"/>
  <c r="T97" i="22"/>
  <c r="T81" i="22"/>
  <c r="T90" i="22"/>
  <c r="T85" i="22"/>
  <c r="T77" i="22"/>
  <c r="T100" i="22"/>
  <c r="T86" i="22"/>
  <c r="T76" i="22"/>
  <c r="T87" i="22"/>
  <c r="T93" i="22"/>
  <c r="T88" i="22"/>
  <c r="T79" i="22"/>
  <c r="T91" i="22"/>
  <c r="T92" i="22"/>
  <c r="T89" i="22"/>
  <c r="T84" i="22"/>
  <c r="T101" i="22"/>
  <c r="T67" i="22"/>
  <c r="T66" i="22"/>
  <c r="T65" i="22"/>
  <c r="T64" i="22"/>
  <c r="T96" i="22"/>
  <c r="T82" i="22"/>
  <c r="T78" i="22"/>
  <c r="T63" i="22"/>
  <c r="T62" i="22"/>
  <c r="T61" i="22"/>
  <c r="T60" i="22"/>
  <c r="T83" i="22"/>
  <c r="T80" i="22"/>
  <c r="T59" i="22"/>
  <c r="T75" i="22"/>
  <c r="T72" i="22"/>
  <c r="T143" i="22"/>
  <c r="T58" i="22"/>
  <c r="T68" i="22"/>
  <c r="T39" i="22"/>
  <c r="T37" i="22"/>
  <c r="T55" i="22"/>
  <c r="T50" i="22"/>
  <c r="T46" i="22"/>
  <c r="T70" i="22"/>
  <c r="T56" i="22"/>
  <c r="T42" i="22"/>
  <c r="T41" i="22"/>
  <c r="T47" i="22"/>
  <c r="T38" i="22"/>
  <c r="T36" i="22"/>
  <c r="T49" i="22"/>
  <c r="T69" i="22"/>
  <c r="T52" i="22"/>
  <c r="T44" i="22"/>
  <c r="T54" i="22"/>
  <c r="T53" i="22"/>
  <c r="T51" i="22"/>
  <c r="T20" i="22"/>
  <c r="T15" i="22"/>
  <c r="T13" i="22"/>
  <c r="T11" i="22"/>
  <c r="T9" i="22"/>
  <c r="T35" i="22"/>
  <c r="T31" i="22"/>
  <c r="T57" i="22"/>
  <c r="T43" i="22"/>
  <c r="T32" i="22"/>
  <c r="T34" i="22"/>
  <c r="T22" i="22"/>
  <c r="T18" i="22"/>
  <c r="T17" i="22"/>
  <c r="T45" i="22"/>
  <c r="T71" i="22"/>
  <c r="T48" i="22"/>
  <c r="T26" i="22"/>
  <c r="T23" i="22"/>
  <c r="T21" i="22"/>
  <c r="T14" i="22"/>
  <c r="T12" i="22"/>
  <c r="T10" i="22"/>
  <c r="T28" i="22"/>
  <c r="T19" i="22"/>
  <c r="T16" i="22"/>
  <c r="T29" i="22"/>
  <c r="T40" i="22"/>
  <c r="T30" i="22"/>
  <c r="T27" i="22"/>
  <c r="T25" i="22"/>
  <c r="T33" i="22"/>
  <c r="T24" i="22"/>
  <c r="AB219" i="22"/>
  <c r="AB217" i="22"/>
  <c r="AB215" i="22"/>
  <c r="AB211" i="22"/>
  <c r="AB209" i="22"/>
  <c r="AB207" i="22"/>
  <c r="AB205" i="22"/>
  <c r="AB203" i="22"/>
  <c r="AB199" i="22"/>
  <c r="AB223" i="22"/>
  <c r="AB227" i="22"/>
  <c r="X80" i="21" s="1"/>
  <c r="AB220" i="22"/>
  <c r="AB218" i="22"/>
  <c r="AB216" i="22"/>
  <c r="AB212" i="22"/>
  <c r="AB210" i="22"/>
  <c r="AB208" i="22"/>
  <c r="AB194" i="22"/>
  <c r="AB192" i="22"/>
  <c r="AB190" i="22"/>
  <c r="AB196" i="22"/>
  <c r="AB206" i="22"/>
  <c r="AB200" i="22"/>
  <c r="AB224" i="22"/>
  <c r="AB193" i="22"/>
  <c r="AB195" i="22"/>
  <c r="AB191" i="22"/>
  <c r="AB189" i="22"/>
  <c r="AB188" i="22"/>
  <c r="AB187" i="22"/>
  <c r="AB183" i="22"/>
  <c r="AB181" i="22"/>
  <c r="AB179" i="22"/>
  <c r="AB198" i="22"/>
  <c r="AB186" i="22"/>
  <c r="AB185" i="22"/>
  <c r="AB204" i="22"/>
  <c r="AB180" i="22"/>
  <c r="AB176" i="22"/>
  <c r="AB171" i="22"/>
  <c r="AB168" i="22"/>
  <c r="AB166" i="22"/>
  <c r="AB164" i="22"/>
  <c r="AB162" i="22"/>
  <c r="AB184" i="22"/>
  <c r="AB177" i="22"/>
  <c r="AB170" i="22"/>
  <c r="AB182" i="22"/>
  <c r="AB175" i="22"/>
  <c r="AB178" i="22"/>
  <c r="AB172" i="22"/>
  <c r="AB173" i="22"/>
  <c r="AB169" i="22"/>
  <c r="AB167" i="22"/>
  <c r="AB154" i="22"/>
  <c r="AB161" i="22"/>
  <c r="AB158" i="22"/>
  <c r="AB165" i="22"/>
  <c r="AB197" i="22"/>
  <c r="AB157" i="22"/>
  <c r="AB152" i="22"/>
  <c r="AB135" i="22"/>
  <c r="AB143" i="22"/>
  <c r="AB137" i="22"/>
  <c r="AB153" i="22"/>
  <c r="AB138" i="22"/>
  <c r="AB163" i="22"/>
  <c r="AB147" i="22"/>
  <c r="X65" i="21" s="1"/>
  <c r="AB144" i="22"/>
  <c r="AB142" i="22"/>
  <c r="AB150" i="22"/>
  <c r="AB128" i="22"/>
  <c r="AB122" i="22"/>
  <c r="AB121" i="22"/>
  <c r="AB151" i="22"/>
  <c r="AB136" i="22"/>
  <c r="AB124" i="22"/>
  <c r="AB120" i="22"/>
  <c r="AB119" i="22"/>
  <c r="AB127" i="22"/>
  <c r="AB118" i="22"/>
  <c r="AB117" i="22"/>
  <c r="AB113" i="22"/>
  <c r="AB111" i="22"/>
  <c r="AB107" i="22"/>
  <c r="AB105" i="22"/>
  <c r="AB103" i="22"/>
  <c r="AB126" i="22"/>
  <c r="AB116" i="22"/>
  <c r="AB115" i="22"/>
  <c r="AB125" i="22"/>
  <c r="AB133" i="22"/>
  <c r="AB129" i="22"/>
  <c r="AB139" i="22"/>
  <c r="AB174" i="22"/>
  <c r="AB114" i="22"/>
  <c r="AB106" i="22"/>
  <c r="AB97" i="22"/>
  <c r="AB108" i="22"/>
  <c r="AB130" i="22"/>
  <c r="AB123" i="22"/>
  <c r="AB100" i="22"/>
  <c r="AB93" i="22"/>
  <c r="AB112" i="22"/>
  <c r="AB96" i="22"/>
  <c r="AB99" i="22"/>
  <c r="AB134" i="22"/>
  <c r="AB95" i="22"/>
  <c r="AB79" i="22"/>
  <c r="AB91" i="22"/>
  <c r="AB88" i="22"/>
  <c r="AB94" i="22"/>
  <c r="AB75" i="22"/>
  <c r="AB89" i="22"/>
  <c r="AB78" i="22"/>
  <c r="AB83" i="22"/>
  <c r="AB104" i="22"/>
  <c r="AB98" i="22"/>
  <c r="AB84" i="22"/>
  <c r="AB82" i="22"/>
  <c r="AB81" i="22"/>
  <c r="AB92" i="22"/>
  <c r="AB85" i="22"/>
  <c r="AB77" i="22"/>
  <c r="AB102" i="22"/>
  <c r="AB90" i="22"/>
  <c r="AB86" i="22"/>
  <c r="AB87" i="22"/>
  <c r="AB60" i="22"/>
  <c r="AB72" i="22"/>
  <c r="AB58" i="22"/>
  <c r="AB80" i="22"/>
  <c r="AB101" i="22"/>
  <c r="AB76" i="22"/>
  <c r="AB70" i="22"/>
  <c r="AB69" i="22"/>
  <c r="AB71" i="22"/>
  <c r="AB68" i="22"/>
  <c r="AB67" i="22"/>
  <c r="AB66" i="22"/>
  <c r="AB65" i="22"/>
  <c r="AB57" i="22"/>
  <c r="AB41" i="22"/>
  <c r="AB38" i="22"/>
  <c r="AB36" i="22"/>
  <c r="AB56" i="22"/>
  <c r="AB47" i="22"/>
  <c r="AB49" i="22"/>
  <c r="AB44" i="22"/>
  <c r="AB62" i="22"/>
  <c r="AB40" i="22"/>
  <c r="AB45" i="22"/>
  <c r="AB53" i="22"/>
  <c r="AB51" i="22"/>
  <c r="AB64" i="22"/>
  <c r="AB59" i="22"/>
  <c r="AB43" i="22"/>
  <c r="AB52" i="22"/>
  <c r="AB37" i="22"/>
  <c r="AB35" i="22"/>
  <c r="AB54" i="22"/>
  <c r="AB39" i="22"/>
  <c r="AB61" i="22"/>
  <c r="AB48" i="22"/>
  <c r="AB55" i="22"/>
  <c r="AB42" i="22"/>
  <c r="AB63" i="22"/>
  <c r="AB50" i="22"/>
  <c r="AB23" i="22"/>
  <c r="AB21" i="22"/>
  <c r="AB14" i="22"/>
  <c r="AB12" i="22"/>
  <c r="AB10" i="22"/>
  <c r="AB16" i="22"/>
  <c r="AB46" i="22"/>
  <c r="AB18" i="22"/>
  <c r="AB24" i="22"/>
  <c r="AB32" i="22"/>
  <c r="AB34" i="22"/>
  <c r="AB27" i="22"/>
  <c r="AB25" i="22"/>
  <c r="AB19" i="22"/>
  <c r="AB29" i="22"/>
  <c r="AB26" i="22"/>
  <c r="AB28" i="22"/>
  <c r="AB33" i="22"/>
  <c r="AB15" i="22"/>
  <c r="AB13" i="22"/>
  <c r="AB11" i="22"/>
  <c r="AB9" i="22"/>
  <c r="AB30" i="22"/>
  <c r="AB22" i="22"/>
  <c r="AB20" i="22"/>
  <c r="AB31" i="22"/>
  <c r="AB17" i="22"/>
  <c r="Z219" i="22"/>
  <c r="Z217" i="22"/>
  <c r="Z215" i="22"/>
  <c r="Z211" i="22"/>
  <c r="Z209" i="22"/>
  <c r="Z223" i="22"/>
  <c r="Z227" i="22"/>
  <c r="V80" i="21" s="1"/>
  <c r="Z224" i="22"/>
  <c r="Z220" i="22"/>
  <c r="Z204" i="22"/>
  <c r="Z194" i="22"/>
  <c r="Z192" i="22"/>
  <c r="Z190" i="22"/>
  <c r="Z188" i="22"/>
  <c r="Z186" i="22"/>
  <c r="Z205" i="22"/>
  <c r="Z216" i="22"/>
  <c r="Z196" i="22"/>
  <c r="Z206" i="22"/>
  <c r="Z207" i="22"/>
  <c r="Z218" i="22"/>
  <c r="Z210" i="22"/>
  <c r="Z208" i="22"/>
  <c r="Z212" i="22"/>
  <c r="Z193" i="22"/>
  <c r="Z195" i="22"/>
  <c r="Z200" i="22"/>
  <c r="Z199" i="22"/>
  <c r="Z203" i="22"/>
  <c r="Z191" i="22"/>
  <c r="Z189" i="22"/>
  <c r="Z187" i="22"/>
  <c r="Z183" i="22"/>
  <c r="Z198" i="22"/>
  <c r="Z197" i="22"/>
  <c r="Z180" i="22"/>
  <c r="Z176" i="22"/>
  <c r="Z171" i="22"/>
  <c r="Z179" i="22"/>
  <c r="Z177" i="22"/>
  <c r="Z174" i="22"/>
  <c r="Z185" i="22"/>
  <c r="Z184" i="22"/>
  <c r="Z181" i="22"/>
  <c r="Z175" i="22"/>
  <c r="Z170" i="22"/>
  <c r="Z178" i="22"/>
  <c r="Z172" i="22"/>
  <c r="Z164" i="22"/>
  <c r="Z173" i="22"/>
  <c r="Z169" i="22"/>
  <c r="Z167" i="22"/>
  <c r="Z161" i="22"/>
  <c r="Z158" i="22"/>
  <c r="Z168" i="22"/>
  <c r="Z165" i="22"/>
  <c r="Z182" i="22"/>
  <c r="Z157" i="22"/>
  <c r="Z136" i="22"/>
  <c r="Z133" i="22"/>
  <c r="Z129" i="22"/>
  <c r="Z127" i="22"/>
  <c r="Z125" i="22"/>
  <c r="Z152" i="22"/>
  <c r="Z135" i="22"/>
  <c r="Z162" i="22"/>
  <c r="Z143" i="22"/>
  <c r="Z137" i="22"/>
  <c r="Z163" i="22"/>
  <c r="Z147" i="22"/>
  <c r="V65" i="21" s="1"/>
  <c r="Z151" i="22"/>
  <c r="Z139" i="22"/>
  <c r="Z144" i="22"/>
  <c r="Z142" i="22"/>
  <c r="Z166" i="22"/>
  <c r="Z134" i="22"/>
  <c r="Z130" i="22"/>
  <c r="Z123" i="22"/>
  <c r="Z128" i="22"/>
  <c r="Z122" i="22"/>
  <c r="Z121" i="22"/>
  <c r="Z124" i="22"/>
  <c r="Z120" i="22"/>
  <c r="Z119" i="22"/>
  <c r="Z154" i="22"/>
  <c r="Z118" i="22"/>
  <c r="Z117" i="22"/>
  <c r="Z113" i="22"/>
  <c r="Z111" i="22"/>
  <c r="Z107" i="22"/>
  <c r="Z126" i="22"/>
  <c r="Z116" i="22"/>
  <c r="Z115" i="22"/>
  <c r="Z150" i="22"/>
  <c r="Z138" i="22"/>
  <c r="Z92" i="22"/>
  <c r="Z90" i="22"/>
  <c r="Z88" i="22"/>
  <c r="Z86" i="22"/>
  <c r="Z84" i="22"/>
  <c r="Z82" i="22"/>
  <c r="Z80" i="22"/>
  <c r="Z78" i="22"/>
  <c r="Z76" i="22"/>
  <c r="Z102" i="22"/>
  <c r="Z101" i="22"/>
  <c r="Z94" i="22"/>
  <c r="Z114" i="22"/>
  <c r="Z103" i="22"/>
  <c r="Z106" i="22"/>
  <c r="Z97" i="22"/>
  <c r="Z108" i="22"/>
  <c r="Z100" i="22"/>
  <c r="Z93" i="22"/>
  <c r="Z112" i="22"/>
  <c r="Z99" i="22"/>
  <c r="Z87" i="22"/>
  <c r="Z79" i="22"/>
  <c r="Z91" i="22"/>
  <c r="Z95" i="22"/>
  <c r="Z75" i="22"/>
  <c r="Z89" i="22"/>
  <c r="Z153" i="22"/>
  <c r="Z104" i="22"/>
  <c r="Z98" i="22"/>
  <c r="Z96" i="22"/>
  <c r="Z83" i="22"/>
  <c r="Z81" i="22"/>
  <c r="Z85" i="22"/>
  <c r="Z62" i="22"/>
  <c r="Z61" i="22"/>
  <c r="Z60" i="22"/>
  <c r="Z59" i="22"/>
  <c r="Z56" i="22"/>
  <c r="Z54" i="22"/>
  <c r="Z52" i="22"/>
  <c r="Z50" i="22"/>
  <c r="Z48" i="22"/>
  <c r="Z46" i="22"/>
  <c r="Z72" i="22"/>
  <c r="Z58" i="22"/>
  <c r="Z70" i="22"/>
  <c r="Z69" i="22"/>
  <c r="Z77" i="22"/>
  <c r="Z71" i="22"/>
  <c r="Z68" i="22"/>
  <c r="Z67" i="22"/>
  <c r="Z105" i="22"/>
  <c r="Z65" i="22"/>
  <c r="Z47" i="22"/>
  <c r="Z49" i="22"/>
  <c r="Z44" i="22"/>
  <c r="Z40" i="22"/>
  <c r="Z45" i="22"/>
  <c r="Z64" i="22"/>
  <c r="Z53" i="22"/>
  <c r="Z51" i="22"/>
  <c r="Z43" i="22"/>
  <c r="Z66" i="22"/>
  <c r="Z57" i="22"/>
  <c r="Z39" i="22"/>
  <c r="Z55" i="22"/>
  <c r="Z42" i="22"/>
  <c r="Z17" i="22"/>
  <c r="Z21" i="22"/>
  <c r="Z36" i="22"/>
  <c r="Z18" i="22"/>
  <c r="Z14" i="22"/>
  <c r="Z12" i="22"/>
  <c r="Z37" i="22"/>
  <c r="Z23" i="22"/>
  <c r="Z10" i="22"/>
  <c r="Z32" i="22"/>
  <c r="Z34" i="22"/>
  <c r="Z16" i="22"/>
  <c r="Z41" i="22"/>
  <c r="Z38" i="22"/>
  <c r="Z27" i="22"/>
  <c r="Z25" i="22"/>
  <c r="Z29" i="22"/>
  <c r="Z19" i="22"/>
  <c r="Z26" i="22"/>
  <c r="Z11" i="22"/>
  <c r="Z9" i="22"/>
  <c r="Z28" i="22"/>
  <c r="Z33" i="22"/>
  <c r="Z30" i="22"/>
  <c r="Z22" i="22"/>
  <c r="Z15" i="22"/>
  <c r="Z13" i="22"/>
  <c r="Z31" i="22"/>
  <c r="Z24" i="22"/>
  <c r="Z20" i="22"/>
  <c r="Z63" i="22"/>
  <c r="Z35" i="22"/>
  <c r="M5" i="15"/>
  <c r="M10" i="13" s="1"/>
  <c r="M3" i="9" s="1"/>
  <c r="Q6" i="10" s="1"/>
  <c r="AD5" i="15"/>
  <c r="H5" i="15"/>
  <c r="H29" i="15" s="1"/>
  <c r="H37" i="15" s="1"/>
  <c r="I5" i="15"/>
  <c r="O4" i="11" s="1"/>
  <c r="X5" i="15"/>
  <c r="X10" i="13" s="1"/>
  <c r="AG5" i="15"/>
  <c r="AG17" i="15" s="1"/>
  <c r="AM10" i="11" s="1"/>
  <c r="N5" i="15"/>
  <c r="T4" i="11" s="1"/>
  <c r="Z5" i="15"/>
  <c r="AF4" i="11" s="1"/>
  <c r="AH5" i="15"/>
  <c r="AH15" i="15" s="1"/>
  <c r="AN9" i="11" s="1"/>
  <c r="AC5" i="15"/>
  <c r="AC10" i="13" s="1"/>
  <c r="AC3" i="8" s="1"/>
  <c r="AF5" i="15"/>
  <c r="AL4" i="11" s="1"/>
  <c r="L5" i="15"/>
  <c r="L17" i="15" s="1"/>
  <c r="R10" i="11" s="1"/>
  <c r="Q5" i="15"/>
  <c r="Q10" i="13" s="1"/>
  <c r="Q3" i="9" s="1"/>
  <c r="P5" i="15"/>
  <c r="P11" i="15" s="1"/>
  <c r="V7" i="11" s="1"/>
  <c r="V5" i="15"/>
  <c r="V19" i="15" s="1"/>
  <c r="AB11" i="11" s="1"/>
  <c r="W5" i="15"/>
  <c r="W19" i="15" s="1"/>
  <c r="AC11" i="11" s="1"/>
  <c r="AE5" i="15"/>
  <c r="AE17" i="15" s="1"/>
  <c r="AK10" i="11" s="1"/>
  <c r="Y5" i="15"/>
  <c r="Y13" i="15" s="1"/>
  <c r="AE8" i="11" s="1"/>
  <c r="O5" i="15"/>
  <c r="U4" i="11" s="1"/>
  <c r="S5" i="15"/>
  <c r="S9" i="15" s="1"/>
  <c r="Y6" i="11" s="1"/>
  <c r="U5" i="15"/>
  <c r="U15" i="15" s="1"/>
  <c r="AA9" i="11" s="1"/>
  <c r="G5" i="15"/>
  <c r="G29" i="15" s="1"/>
  <c r="G37" i="15" s="1"/>
  <c r="AD323" i="7"/>
  <c r="AD388" i="7" s="1"/>
  <c r="AD142" i="14" s="1"/>
  <c r="AD143" i="14" s="1"/>
  <c r="AD147" i="14" s="1"/>
  <c r="AD148" i="14" s="1"/>
  <c r="AD149" i="14" s="1"/>
  <c r="AN269" i="7"/>
  <c r="AN284" i="7" s="1"/>
  <c r="E156" i="7"/>
  <c r="E133" i="7"/>
  <c r="E138" i="7"/>
  <c r="AD131" i="7"/>
  <c r="AD194" i="7" s="1"/>
  <c r="AD92" i="14" s="1"/>
  <c r="AD93" i="14" s="1"/>
  <c r="AD94" i="14" s="1"/>
  <c r="AI189" i="14"/>
  <c r="AA3" i="15"/>
  <c r="AA15" i="17"/>
  <c r="AA27" i="13" s="1"/>
  <c r="S11" i="17"/>
  <c r="S12" i="17" s="1"/>
  <c r="S17" i="17" s="1"/>
  <c r="AA323" i="7"/>
  <c r="AA388" i="7" s="1"/>
  <c r="AA142" i="14" s="1"/>
  <c r="AA143" i="14" s="1"/>
  <c r="AA144" i="14" s="1"/>
  <c r="V11" i="17"/>
  <c r="V12" i="17" s="1"/>
  <c r="V17" i="17" s="1"/>
  <c r="J189" i="14"/>
  <c r="N15" i="17"/>
  <c r="N27" i="13" s="1"/>
  <c r="AE15" i="17"/>
  <c r="AE27" i="13" s="1"/>
  <c r="P15" i="17"/>
  <c r="P27" i="13" s="1"/>
  <c r="U11" i="17"/>
  <c r="U12" i="17" s="1"/>
  <c r="O15" i="17"/>
  <c r="O27" i="13" s="1"/>
  <c r="M61" i="14"/>
  <c r="M64" i="14" s="1"/>
  <c r="M65" i="14" s="1"/>
  <c r="L189" i="14"/>
  <c r="O61" i="14"/>
  <c r="O64" i="14" s="1"/>
  <c r="AC62" i="14"/>
  <c r="AC63" i="14" s="1"/>
  <c r="AC61" i="14"/>
  <c r="AI185" i="14"/>
  <c r="AF190" i="14"/>
  <c r="AF191" i="14" s="1"/>
  <c r="AQ12" i="14"/>
  <c r="J3" i="21"/>
  <c r="J7" i="21" s="1"/>
  <c r="J8" i="21" s="1"/>
  <c r="J34" i="21" s="1"/>
  <c r="Q65" i="21"/>
  <c r="J3" i="15"/>
  <c r="R3" i="21"/>
  <c r="R7" i="21" s="1"/>
  <c r="AG58" i="14"/>
  <c r="AG59" i="14" s="1"/>
  <c r="AG60" i="14" s="1"/>
  <c r="AG62" i="14" s="1"/>
  <c r="AG63" i="14" s="1"/>
  <c r="I58" i="14"/>
  <c r="I59" i="14" s="1"/>
  <c r="I60" i="14" s="1"/>
  <c r="AD58" i="14"/>
  <c r="AD59" i="14" s="1"/>
  <c r="AD60" i="14" s="1"/>
  <c r="AD62" i="14" s="1"/>
  <c r="AD63" i="14" s="1"/>
  <c r="BG58" i="14"/>
  <c r="BG59" i="14" s="1"/>
  <c r="BG60" i="14" s="1"/>
  <c r="BG62" i="14" s="1"/>
  <c r="BG63" i="14" s="1"/>
  <c r="X58" i="14"/>
  <c r="X59" i="14" s="1"/>
  <c r="N58" i="14"/>
  <c r="N59" i="14" s="1"/>
  <c r="N60" i="14" s="1"/>
  <c r="N62" i="14" s="1"/>
  <c r="N63" i="14" s="1"/>
  <c r="H58" i="14"/>
  <c r="H59" i="14" s="1"/>
  <c r="H60" i="14" s="1"/>
  <c r="H62" i="14" s="1"/>
  <c r="H63" i="14" s="1"/>
  <c r="AN52" i="14"/>
  <c r="AN53" i="14" s="1"/>
  <c r="AF58" i="14"/>
  <c r="AF59" i="14" s="1"/>
  <c r="AF60" i="14" s="1"/>
  <c r="AF62" i="14" s="1"/>
  <c r="AF63" i="14" s="1"/>
  <c r="P58" i="14"/>
  <c r="P59" i="14" s="1"/>
  <c r="P60" i="14" s="1"/>
  <c r="P62" i="14" s="1"/>
  <c r="P63" i="14" s="1"/>
  <c r="R3" i="15"/>
  <c r="AA54" i="14"/>
  <c r="AA55" i="14" s="1"/>
  <c r="AA56" i="14" s="1"/>
  <c r="AA57" i="14" s="1"/>
  <c r="U8" i="21"/>
  <c r="U11" i="21" s="1"/>
  <c r="G58" i="14"/>
  <c r="G59" i="14" s="1"/>
  <c r="G60" i="14" s="1"/>
  <c r="G62" i="14" s="1"/>
  <c r="G63" i="14" s="1"/>
  <c r="V58" i="14"/>
  <c r="V59" i="14" s="1"/>
  <c r="V60" i="14" s="1"/>
  <c r="V62" i="14" s="1"/>
  <c r="V63" i="14" s="1"/>
  <c r="AB53" i="14"/>
  <c r="AB54" i="14"/>
  <c r="AB55" i="14" s="1"/>
  <c r="AB56" i="14" s="1"/>
  <c r="AB57" i="14" s="1"/>
  <c r="Q58" i="14"/>
  <c r="Q59" i="14" s="1"/>
  <c r="Q60" i="14" s="1"/>
  <c r="Q62" i="14" s="1"/>
  <c r="Q63" i="14" s="1"/>
  <c r="T54" i="14"/>
  <c r="T55" i="14" s="1"/>
  <c r="T56" i="14"/>
  <c r="T57" i="14" s="1"/>
  <c r="S58" i="14"/>
  <c r="S59" i="14" s="1"/>
  <c r="S60" i="14" s="1"/>
  <c r="S62" i="14" s="1"/>
  <c r="S63" i="14" s="1"/>
  <c r="J54" i="14"/>
  <c r="J55" i="14" s="1"/>
  <c r="J56" i="14" s="1"/>
  <c r="J57" i="14" s="1"/>
  <c r="AI54" i="14"/>
  <c r="AI55" i="14" s="1"/>
  <c r="AI56" i="14" s="1"/>
  <c r="AI57" i="14" s="1"/>
  <c r="U58" i="14"/>
  <c r="U59" i="14" s="1"/>
  <c r="U60" i="14" s="1"/>
  <c r="U62" i="14" s="1"/>
  <c r="U63" i="14" s="1"/>
  <c r="R54" i="14"/>
  <c r="R55" i="14" s="1"/>
  <c r="R56" i="14"/>
  <c r="R57" i="14" s="1"/>
  <c r="L58" i="14"/>
  <c r="L59" i="14" s="1"/>
  <c r="L60" i="14" s="1"/>
  <c r="L62" i="14" s="1"/>
  <c r="L63" i="14" s="1"/>
  <c r="AI53" i="14"/>
  <c r="U65" i="21"/>
  <c r="AE61" i="14"/>
  <c r="AE64" i="14" s="1"/>
  <c r="AE65" i="14" s="1"/>
  <c r="AO170" i="14"/>
  <c r="AO185" i="14" s="1"/>
  <c r="AO52" i="14"/>
  <c r="AO53" i="14" s="1"/>
  <c r="Q192" i="14"/>
  <c r="Q193" i="14" s="1"/>
  <c r="Y58" i="14"/>
  <c r="Y59" i="14" s="1"/>
  <c r="Y60" i="14" s="1"/>
  <c r="Y62" i="14" s="1"/>
  <c r="Y63" i="14" s="1"/>
  <c r="W58" i="14"/>
  <c r="W59" i="14" s="1"/>
  <c r="W60" i="14" s="1"/>
  <c r="W62" i="14" s="1"/>
  <c r="W63" i="14" s="1"/>
  <c r="S8" i="21"/>
  <c r="S34" i="21" s="1"/>
  <c r="Z58" i="14"/>
  <c r="Z59" i="14" s="1"/>
  <c r="Z60" i="14" s="1"/>
  <c r="Z62" i="14" s="1"/>
  <c r="Z63" i="14" s="1"/>
  <c r="AH61" i="14"/>
  <c r="AH64" i="14" s="1"/>
  <c r="AH65" i="14" s="1"/>
  <c r="F58" i="14"/>
  <c r="F59" i="14" s="1"/>
  <c r="K54" i="14"/>
  <c r="K55" i="14" s="1"/>
  <c r="K56" i="14" s="1"/>
  <c r="K57" i="14" s="1"/>
  <c r="AI214" i="14"/>
  <c r="E54" i="14"/>
  <c r="E55" i="14" s="1"/>
  <c r="E56" i="14" s="1"/>
  <c r="E57" i="14" s="1"/>
  <c r="BG192" i="14"/>
  <c r="BG194" i="14" s="1"/>
  <c r="BG195" i="14" s="1"/>
  <c r="E53" i="14"/>
  <c r="F72" i="21"/>
  <c r="AB3" i="21"/>
  <c r="AB7" i="21" s="1"/>
  <c r="F79" i="21"/>
  <c r="AO50" i="14"/>
  <c r="N196" i="14"/>
  <c r="N197" i="14" s="1"/>
  <c r="N201" i="14" s="1"/>
  <c r="N205" i="14" s="1"/>
  <c r="K3" i="21"/>
  <c r="K7" i="21" s="1"/>
  <c r="K8" i="21" s="1"/>
  <c r="K3" i="15"/>
  <c r="F14" i="21"/>
  <c r="F20" i="21" s="1"/>
  <c r="F28" i="21" s="1"/>
  <c r="AD189" i="14"/>
  <c r="F11" i="21"/>
  <c r="F199" i="14"/>
  <c r="F202" i="14" s="1"/>
  <c r="F206" i="14" s="1"/>
  <c r="F208" i="14" s="1"/>
  <c r="F17" i="21"/>
  <c r="K15" i="17"/>
  <c r="K27" i="13" s="1"/>
  <c r="Z192" i="14"/>
  <c r="Z191" i="14"/>
  <c r="H192" i="14"/>
  <c r="H191" i="14"/>
  <c r="K192" i="14"/>
  <c r="K191" i="14"/>
  <c r="I191" i="14"/>
  <c r="I192" i="14"/>
  <c r="V191" i="14"/>
  <c r="V192" i="14"/>
  <c r="AB189" i="14"/>
  <c r="AB190" i="14"/>
  <c r="AO194" i="14"/>
  <c r="AO195" i="14" s="1"/>
  <c r="AO193" i="14"/>
  <c r="M191" i="14"/>
  <c r="M192" i="14"/>
  <c r="R192" i="14"/>
  <c r="R191" i="14"/>
  <c r="AG190" i="14"/>
  <c r="AG192" i="14" s="1"/>
  <c r="G192" i="14"/>
  <c r="G191" i="14"/>
  <c r="Q8" i="21"/>
  <c r="Q11" i="21" s="1"/>
  <c r="W190" i="14"/>
  <c r="W189" i="14"/>
  <c r="AA192" i="14"/>
  <c r="AA191" i="14"/>
  <c r="AE194" i="14"/>
  <c r="AE195" i="14" s="1"/>
  <c r="AE193" i="14"/>
  <c r="AI192" i="14"/>
  <c r="AI191" i="14"/>
  <c r="AK196" i="14"/>
  <c r="AK197" i="14" s="1"/>
  <c r="T192" i="14"/>
  <c r="T191" i="14"/>
  <c r="Y194" i="14"/>
  <c r="Y195" i="14" s="1"/>
  <c r="Y193" i="14"/>
  <c r="O191" i="14"/>
  <c r="O192" i="14"/>
  <c r="AM194" i="14"/>
  <c r="AM195" i="14" s="1"/>
  <c r="AM193" i="14"/>
  <c r="AN192" i="14"/>
  <c r="AN191" i="14"/>
  <c r="AC194" i="14"/>
  <c r="AC195" i="14" s="1"/>
  <c r="AC193" i="14"/>
  <c r="X189" i="14"/>
  <c r="X190" i="14"/>
  <c r="AH194" i="14"/>
  <c r="AH195" i="14" s="1"/>
  <c r="AH193" i="14"/>
  <c r="S192" i="14"/>
  <c r="S191" i="14"/>
  <c r="P193" i="14"/>
  <c r="P194" i="14"/>
  <c r="P195" i="14" s="1"/>
  <c r="U194" i="14"/>
  <c r="U195" i="14" s="1"/>
  <c r="U193" i="14"/>
  <c r="L191" i="14"/>
  <c r="L192" i="14"/>
  <c r="AL194" i="14"/>
  <c r="AL195" i="14" s="1"/>
  <c r="AL193" i="14"/>
  <c r="AD191" i="14"/>
  <c r="AD192" i="14"/>
  <c r="J192" i="14"/>
  <c r="J191" i="14"/>
  <c r="E189" i="14"/>
  <c r="F78" i="21"/>
  <c r="R4" i="17"/>
  <c r="R7" i="17" s="1"/>
  <c r="R8" i="17" s="1"/>
  <c r="R9" i="17" s="1"/>
  <c r="F64" i="21"/>
  <c r="V8" i="21"/>
  <c r="V34" i="21" s="1"/>
  <c r="E192" i="14"/>
  <c r="E191" i="14"/>
  <c r="F77" i="21"/>
  <c r="F76" i="21"/>
  <c r="F71" i="21"/>
  <c r="F62" i="21"/>
  <c r="F63" i="21"/>
  <c r="F61" i="21"/>
  <c r="F60" i="21"/>
  <c r="AB3" i="15"/>
  <c r="AP10" i="14"/>
  <c r="AP176" i="14"/>
  <c r="AP179" i="14" s="1"/>
  <c r="AP181" i="14" s="1"/>
  <c r="AP178" i="14"/>
  <c r="AP177" i="14"/>
  <c r="AQ169" i="14"/>
  <c r="AQ11" i="14"/>
  <c r="Q15" i="17"/>
  <c r="Q27" i="13" s="1"/>
  <c r="T4" i="17"/>
  <c r="T7" i="17" s="1"/>
  <c r="T8" i="17" s="1"/>
  <c r="T9" i="17" s="1"/>
  <c r="T11" i="17" s="1"/>
  <c r="T12" i="17" s="1"/>
  <c r="T3" i="15"/>
  <c r="T5" i="15" s="1"/>
  <c r="Z4" i="11" s="1"/>
  <c r="T3" i="21"/>
  <c r="T7" i="21" s="1"/>
  <c r="AP174" i="14"/>
  <c r="AN170" i="14"/>
  <c r="AN185" i="14" s="1"/>
  <c r="AE80" i="21"/>
  <c r="AE65" i="21"/>
  <c r="AE8" i="21"/>
  <c r="AE34" i="21" s="1"/>
  <c r="AR3" i="14"/>
  <c r="AP17" i="14"/>
  <c r="AP16" i="14"/>
  <c r="AP18" i="14" s="1"/>
  <c r="AP19" i="14" s="1"/>
  <c r="AP21" i="14" s="1"/>
  <c r="AQ8" i="14"/>
  <c r="AQ5" i="14"/>
  <c r="AQ172" i="14" s="1"/>
  <c r="AQ7" i="14"/>
  <c r="AQ174" i="14" s="1"/>
  <c r="AQ9" i="14"/>
  <c r="AQ6" i="14"/>
  <c r="AQ173" i="14" s="1"/>
  <c r="AN257" i="7"/>
  <c r="AN272" i="7" s="1"/>
  <c r="AN353" i="7"/>
  <c r="AN368" i="7" s="1"/>
  <c r="AN358" i="7"/>
  <c r="AN373" i="7" s="1"/>
  <c r="AN351" i="7"/>
  <c r="AN366" i="7" s="1"/>
  <c r="AN359" i="7"/>
  <c r="AN374" i="7" s="1"/>
  <c r="AN360" i="7"/>
  <c r="AN375" i="7" s="1"/>
  <c r="AP13" i="7"/>
  <c r="AP14" i="7" s="1"/>
  <c r="AP15" i="7" s="1"/>
  <c r="AN363" i="7"/>
  <c r="AN378" i="7" s="1"/>
  <c r="AN361" i="7"/>
  <c r="AN376" i="7" s="1"/>
  <c r="AO28" i="14"/>
  <c r="AO29" i="14" s="1"/>
  <c r="AO30" i="14" s="1"/>
  <c r="AO31" i="14" s="1"/>
  <c r="AO18" i="13" s="1"/>
  <c r="AP47" i="14"/>
  <c r="AF323" i="7"/>
  <c r="AF388" i="7" s="1"/>
  <c r="AF142" i="14" s="1"/>
  <c r="AF143" i="14" s="1"/>
  <c r="AF147" i="14" s="1"/>
  <c r="AF148" i="14" s="1"/>
  <c r="AF149" i="14" s="1"/>
  <c r="E151" i="7"/>
  <c r="E140" i="7"/>
  <c r="E142" i="7"/>
  <c r="AB323" i="7"/>
  <c r="AB388" i="7" s="1"/>
  <c r="AB142" i="14" s="1"/>
  <c r="AB143" i="14" s="1"/>
  <c r="AB144" i="14" s="1"/>
  <c r="E134" i="7"/>
  <c r="E137" i="7"/>
  <c r="E146" i="7"/>
  <c r="E145" i="7"/>
  <c r="AN356" i="7"/>
  <c r="AN371" i="7" s="1"/>
  <c r="AN204" i="7"/>
  <c r="AG229" i="7"/>
  <c r="AG288" i="7" s="1"/>
  <c r="AG117" i="14" s="1"/>
  <c r="AG118" i="14" s="1"/>
  <c r="AG122" i="14" s="1"/>
  <c r="AG123" i="14" s="1"/>
  <c r="AG124" i="14" s="1"/>
  <c r="AB229" i="7"/>
  <c r="AB288" i="7" s="1"/>
  <c r="AB117" i="14" s="1"/>
  <c r="AB118" i="14" s="1"/>
  <c r="AB122" i="14" s="1"/>
  <c r="AB123" i="14" s="1"/>
  <c r="AB124" i="14" s="1"/>
  <c r="AN355" i="7"/>
  <c r="AN370" i="7" s="1"/>
  <c r="AN357" i="7"/>
  <c r="AN372" i="7" s="1"/>
  <c r="AN354" i="7"/>
  <c r="AN369" i="7" s="1"/>
  <c r="AN171" i="7"/>
  <c r="AN186" i="7" s="1"/>
  <c r="E143" i="7"/>
  <c r="AN258" i="7"/>
  <c r="AN273" i="7" s="1"/>
  <c r="AN262" i="7"/>
  <c r="AN277" i="7" s="1"/>
  <c r="AN268" i="7"/>
  <c r="AN283" i="7" s="1"/>
  <c r="AN260" i="7"/>
  <c r="AN275" i="7" s="1"/>
  <c r="AN264" i="7"/>
  <c r="AN279" i="7" s="1"/>
  <c r="AN265" i="7"/>
  <c r="AN280" i="7" s="1"/>
  <c r="AN261" i="7"/>
  <c r="AN276" i="7" s="1"/>
  <c r="AN267" i="7"/>
  <c r="AN282" i="7" s="1"/>
  <c r="AN259" i="7"/>
  <c r="AN274" i="7" s="1"/>
  <c r="AB131" i="7"/>
  <c r="AB194" i="7" s="1"/>
  <c r="AB92" i="14" s="1"/>
  <c r="AB93" i="14" s="1"/>
  <c r="AB94" i="14" s="1"/>
  <c r="AN35" i="7"/>
  <c r="AN36" i="7" s="1"/>
  <c r="AN266" i="7"/>
  <c r="AN281" i="7" s="1"/>
  <c r="AN25" i="7"/>
  <c r="AN68" i="7"/>
  <c r="AN83" i="7" s="1"/>
  <c r="AN98" i="7" s="1"/>
  <c r="AD69" i="14"/>
  <c r="AD86" i="14" s="1"/>
  <c r="AD87" i="14" s="1"/>
  <c r="AD88" i="14" s="1"/>
  <c r="AN21" i="7"/>
  <c r="AN159" i="7"/>
  <c r="AN174" i="7" s="1"/>
  <c r="AN30" i="7"/>
  <c r="AN42" i="7" s="1"/>
  <c r="AN166" i="7"/>
  <c r="AN181" i="7" s="1"/>
  <c r="E155" i="7"/>
  <c r="E144" i="7"/>
  <c r="AN164" i="7"/>
  <c r="AN179" i="7" s="1"/>
  <c r="AN170" i="7"/>
  <c r="AN185" i="7" s="1"/>
  <c r="AN108" i="7"/>
  <c r="AN111" i="7" s="1"/>
  <c r="E136" i="7"/>
  <c r="E148" i="7"/>
  <c r="E125" i="7"/>
  <c r="E192" i="7" s="1"/>
  <c r="E149" i="7"/>
  <c r="E150" i="7"/>
  <c r="AN162" i="7"/>
  <c r="AN177" i="7" s="1"/>
  <c r="AN163" i="7"/>
  <c r="AN178" i="7" s="1"/>
  <c r="AN167" i="7"/>
  <c r="AN182" i="7" s="1"/>
  <c r="E152" i="7"/>
  <c r="AN169" i="7"/>
  <c r="AN184" i="7" s="1"/>
  <c r="E154" i="7"/>
  <c r="AN165" i="7"/>
  <c r="AN180" i="7" s="1"/>
  <c r="AF131" i="7"/>
  <c r="AF194" i="7" s="1"/>
  <c r="AF92" i="14" s="1"/>
  <c r="AF93" i="14" s="1"/>
  <c r="AF97" i="14" s="1"/>
  <c r="AF98" i="14" s="1"/>
  <c r="AF99" i="14" s="1"/>
  <c r="AF229" i="7"/>
  <c r="AF288" i="7" s="1"/>
  <c r="AF117" i="14" s="1"/>
  <c r="AF118" i="14" s="1"/>
  <c r="AF119" i="14" s="1"/>
  <c r="AN161" i="7"/>
  <c r="AN176" i="7" s="1"/>
  <c r="AN168" i="7"/>
  <c r="AN183" i="7" s="1"/>
  <c r="AN39" i="7"/>
  <c r="AN40" i="7" s="1"/>
  <c r="AQ10" i="7"/>
  <c r="AQ12" i="7"/>
  <c r="AQ9" i="7"/>
  <c r="AR3" i="7"/>
  <c r="AR3" i="17"/>
  <c r="AR5" i="17" s="1"/>
  <c r="AP48" i="14"/>
  <c r="AP42" i="14"/>
  <c r="AP36" i="14"/>
  <c r="AE14" i="17"/>
  <c r="AE28" i="13" s="1"/>
  <c r="G8" i="21"/>
  <c r="G34" i="21" s="1"/>
  <c r="G65" i="21"/>
  <c r="P17" i="17"/>
  <c r="N14" i="17"/>
  <c r="N28" i="13" s="1"/>
  <c r="AF69" i="14"/>
  <c r="AF86" i="14" s="1"/>
  <c r="AF87" i="14" s="1"/>
  <c r="AF89" i="14" s="1"/>
  <c r="E41" i="7"/>
  <c r="E99" i="7" s="1"/>
  <c r="E67" i="14" s="1"/>
  <c r="E68" i="14" s="1"/>
  <c r="E69" i="14" s="1"/>
  <c r="X8" i="21"/>
  <c r="X34" i="21" s="1"/>
  <c r="AA229" i="7"/>
  <c r="AA288" i="7" s="1"/>
  <c r="AA117" i="14" s="1"/>
  <c r="AA118" i="14" s="1"/>
  <c r="AA122" i="14" s="1"/>
  <c r="AA123" i="14" s="1"/>
  <c r="AA124" i="14" s="1"/>
  <c r="I323" i="7"/>
  <c r="I388" i="7" s="1"/>
  <c r="I142" i="14" s="1"/>
  <c r="I143" i="14" s="1"/>
  <c r="I144" i="14" s="1"/>
  <c r="Z8" i="21"/>
  <c r="Z34" i="21" s="1"/>
  <c r="I69" i="14"/>
  <c r="I86" i="14" s="1"/>
  <c r="H8" i="21"/>
  <c r="H11" i="21" s="1"/>
  <c r="AA86" i="14"/>
  <c r="AA87" i="14" s="1"/>
  <c r="G68" i="14"/>
  <c r="G72" i="14" s="1"/>
  <c r="G73" i="14" s="1"/>
  <c r="G74" i="14" s="1"/>
  <c r="AC68" i="14"/>
  <c r="AC72" i="14" s="1"/>
  <c r="AC73" i="14" s="1"/>
  <c r="AC74" i="14" s="1"/>
  <c r="BG93" i="14"/>
  <c r="BG118" i="14"/>
  <c r="BG122" i="14" s="1"/>
  <c r="BG123" i="14" s="1"/>
  <c r="BG124" i="14" s="1"/>
  <c r="AA131" i="7"/>
  <c r="AA194" i="7" s="1"/>
  <c r="AA92" i="14" s="1"/>
  <c r="AB68" i="14"/>
  <c r="AB72" i="14" s="1"/>
  <c r="AB73" i="14" s="1"/>
  <c r="AB74" i="14" s="1"/>
  <c r="AA72" i="14"/>
  <c r="AA73" i="14" s="1"/>
  <c r="AA74" i="14" s="1"/>
  <c r="M131" i="7"/>
  <c r="M194" i="7" s="1"/>
  <c r="M92" i="14" s="1"/>
  <c r="W68" i="14"/>
  <c r="I75" i="14"/>
  <c r="I76" i="14" s="1"/>
  <c r="L68" i="14"/>
  <c r="L72" i="14" s="1"/>
  <c r="L73" i="14" s="1"/>
  <c r="L74" i="14" s="1"/>
  <c r="M68" i="14"/>
  <c r="M72" i="14" s="1"/>
  <c r="M73" i="14" s="1"/>
  <c r="M74" i="14" s="1"/>
  <c r="AE68" i="14"/>
  <c r="AE69" i="14" s="1"/>
  <c r="AD72" i="14"/>
  <c r="AD73" i="14" s="1"/>
  <c r="AD74" i="14" s="1"/>
  <c r="J68" i="14"/>
  <c r="J69" i="14" s="1"/>
  <c r="K69" i="14"/>
  <c r="K72" i="14"/>
  <c r="K73" i="14" s="1"/>
  <c r="K74" i="14" s="1"/>
  <c r="AH68" i="14"/>
  <c r="AH69" i="14" s="1"/>
  <c r="I93" i="14"/>
  <c r="I97" i="14" s="1"/>
  <c r="I98" i="14" s="1"/>
  <c r="I99" i="14" s="1"/>
  <c r="Z68" i="14"/>
  <c r="Z72" i="14" s="1"/>
  <c r="Z73" i="14" s="1"/>
  <c r="Z74" i="14" s="1"/>
  <c r="AF72" i="14"/>
  <c r="AF73" i="14" s="1"/>
  <c r="AF74" i="14" s="1"/>
  <c r="I119" i="14"/>
  <c r="I122" i="14"/>
  <c r="I123" i="14" s="1"/>
  <c r="I124" i="14" s="1"/>
  <c r="AG68" i="14"/>
  <c r="AG69" i="14" s="1"/>
  <c r="BG143" i="14"/>
  <c r="BG144" i="14" s="1"/>
  <c r="BG86" i="14"/>
  <c r="BG87" i="14" s="1"/>
  <c r="BG72" i="14"/>
  <c r="BG73" i="14" s="1"/>
  <c r="BG74" i="14" s="1"/>
  <c r="E243" i="7"/>
  <c r="H68" i="14"/>
  <c r="H69" i="14" s="1"/>
  <c r="X68" i="14"/>
  <c r="X72" i="14" s="1"/>
  <c r="X73" i="14" s="1"/>
  <c r="X74" i="14" s="1"/>
  <c r="O17" i="17"/>
  <c r="Y8" i="21"/>
  <c r="Y34" i="21" s="1"/>
  <c r="AO4" i="13"/>
  <c r="AN28" i="14"/>
  <c r="AN29" i="14" s="1"/>
  <c r="AN30" i="14" s="1"/>
  <c r="AN31" i="14" s="1"/>
  <c r="AN18" i="13" s="1"/>
  <c r="AN4" i="13"/>
  <c r="AN306" i="7"/>
  <c r="AN307" i="7" s="1"/>
  <c r="AN345" i="7" s="1"/>
  <c r="AN320" i="7"/>
  <c r="AN321" i="7" s="1"/>
  <c r="AN339" i="7" s="1"/>
  <c r="AN302" i="7"/>
  <c r="AN350" i="7"/>
  <c r="AN365" i="7" s="1"/>
  <c r="AN316" i="7"/>
  <c r="AN317" i="7" s="1"/>
  <c r="AN328" i="7" s="1"/>
  <c r="AN311" i="7"/>
  <c r="AN312" i="7" s="1"/>
  <c r="AN333" i="7" s="1"/>
  <c r="AI330" i="7"/>
  <c r="AI325" i="7"/>
  <c r="BG31" i="15"/>
  <c r="BG19" i="15"/>
  <c r="BM11" i="11" s="1"/>
  <c r="BG15" i="15"/>
  <c r="BM9" i="11" s="1"/>
  <c r="BG11" i="15"/>
  <c r="BM7" i="11" s="1"/>
  <c r="BG7" i="15"/>
  <c r="BM5" i="11" s="1"/>
  <c r="BG10" i="13"/>
  <c r="BG29" i="15"/>
  <c r="BG37" i="15" s="1"/>
  <c r="BG38" i="15" s="1"/>
  <c r="BG39" i="15" s="1"/>
  <c r="BG40" i="15" s="1"/>
  <c r="BG17" i="15"/>
  <c r="BM10" i="11" s="1"/>
  <c r="BG13" i="15"/>
  <c r="BM8" i="11" s="1"/>
  <c r="BG9" i="15"/>
  <c r="BM6" i="11" s="1"/>
  <c r="BG65" i="21"/>
  <c r="BG80" i="21"/>
  <c r="BG8" i="21"/>
  <c r="AC17" i="17"/>
  <c r="AC14" i="17"/>
  <c r="AC28" i="13" s="1"/>
  <c r="L17" i="17"/>
  <c r="L14" i="17"/>
  <c r="L28" i="13" s="1"/>
  <c r="BG15" i="17"/>
  <c r="BG27" i="13" s="1"/>
  <c r="X15" i="17"/>
  <c r="X27" i="13" s="1"/>
  <c r="AG17" i="17"/>
  <c r="AG14" i="17"/>
  <c r="AG28" i="13" s="1"/>
  <c r="W17" i="17"/>
  <c r="W14" i="17"/>
  <c r="W28" i="13" s="1"/>
  <c r="AD17" i="17"/>
  <c r="AD14" i="17"/>
  <c r="AD28" i="13" s="1"/>
  <c r="AF17" i="17"/>
  <c r="AF14" i="17"/>
  <c r="AF28" i="13" s="1"/>
  <c r="M15" i="17"/>
  <c r="M27" i="13" s="1"/>
  <c r="AH131" i="7"/>
  <c r="AH194" i="7" s="1"/>
  <c r="AH92" i="14" s="1"/>
  <c r="Y15" i="17"/>
  <c r="Y27" i="13" s="1"/>
  <c r="G15" i="17"/>
  <c r="G27" i="13" s="1"/>
  <c r="AH17" i="17"/>
  <c r="AH14" i="17"/>
  <c r="AH28" i="13" s="1"/>
  <c r="M8" i="21"/>
  <c r="M34" i="21" s="1"/>
  <c r="AG323" i="7"/>
  <c r="AG388" i="7" s="1"/>
  <c r="AG142" i="14" s="1"/>
  <c r="H15" i="17"/>
  <c r="H27" i="13" s="1"/>
  <c r="Z15" i="17"/>
  <c r="Z27" i="13" s="1"/>
  <c r="K14" i="17"/>
  <c r="K28" i="13" s="1"/>
  <c r="K17" i="17"/>
  <c r="I14" i="17"/>
  <c r="I28" i="13" s="1"/>
  <c r="I17" i="17"/>
  <c r="AI232" i="7"/>
  <c r="AI246" i="7"/>
  <c r="AI141" i="7"/>
  <c r="AI3" i="15"/>
  <c r="AI4" i="17"/>
  <c r="AI7" i="17" s="1"/>
  <c r="AI8" i="17" s="1"/>
  <c r="AI9" i="17" s="1"/>
  <c r="AI11" i="17" s="1"/>
  <c r="AI12" i="17" s="1"/>
  <c r="AI135" i="7"/>
  <c r="AI223" i="7"/>
  <c r="AI326" i="7"/>
  <c r="AI348" i="7"/>
  <c r="AI342" i="7"/>
  <c r="AI332" i="7"/>
  <c r="AI341" i="7"/>
  <c r="AI336" i="7"/>
  <c r="AI344" i="7"/>
  <c r="AI329" i="7"/>
  <c r="AI335" i="7"/>
  <c r="AI233" i="7"/>
  <c r="AI338" i="7"/>
  <c r="AI337" i="7"/>
  <c r="AI249" i="7"/>
  <c r="AI237" i="7"/>
  <c r="AI41" i="7"/>
  <c r="AI99" i="7" s="1"/>
  <c r="AI67" i="14" s="1"/>
  <c r="AI234" i="7"/>
  <c r="AI236" i="7"/>
  <c r="AI334" i="7"/>
  <c r="AI324" i="7"/>
  <c r="AI327" i="7"/>
  <c r="AI242" i="7"/>
  <c r="AI240" i="7"/>
  <c r="AI231" i="7"/>
  <c r="AI252" i="7"/>
  <c r="AI241" i="7"/>
  <c r="AI218" i="7"/>
  <c r="AI347" i="7"/>
  <c r="AI253" i="7"/>
  <c r="AI331" i="7"/>
  <c r="AI230" i="7"/>
  <c r="AI340" i="7"/>
  <c r="AI245" i="7"/>
  <c r="AI343" i="7"/>
  <c r="AI238" i="7"/>
  <c r="AI346" i="7"/>
  <c r="AI386" i="7"/>
  <c r="AI134" i="7"/>
  <c r="AI243" i="7"/>
  <c r="AI250" i="7"/>
  <c r="AI239" i="7"/>
  <c r="AI235" i="7"/>
  <c r="AI248" i="7"/>
  <c r="AI148" i="7"/>
  <c r="AI251" i="7"/>
  <c r="AI149" i="7"/>
  <c r="AI155" i="7"/>
  <c r="AH229" i="7"/>
  <c r="AH288" i="7" s="1"/>
  <c r="AH117" i="14" s="1"/>
  <c r="AI136" i="7"/>
  <c r="AI125" i="7"/>
  <c r="AI192" i="7" s="1"/>
  <c r="AI145" i="7"/>
  <c r="AI146" i="7"/>
  <c r="AI151" i="7"/>
  <c r="AI137" i="7"/>
  <c r="AI150" i="7"/>
  <c r="AI133" i="7"/>
  <c r="AI156" i="7"/>
  <c r="AI143" i="7"/>
  <c r="AI140" i="7"/>
  <c r="AI244" i="7"/>
  <c r="AI227" i="7"/>
  <c r="AI154" i="7"/>
  <c r="AI144" i="7"/>
  <c r="AI139" i="7"/>
  <c r="AI138" i="7"/>
  <c r="AG131" i="7"/>
  <c r="AG194" i="7" s="1"/>
  <c r="AG92" i="14" s="1"/>
  <c r="AI142" i="7"/>
  <c r="AI152" i="7"/>
  <c r="AH323" i="7"/>
  <c r="AH388" i="7" s="1"/>
  <c r="AH142" i="14" s="1"/>
  <c r="N65" i="21"/>
  <c r="N8" i="21"/>
  <c r="N80" i="21"/>
  <c r="I8" i="21"/>
  <c r="E8" i="21"/>
  <c r="W8" i="21"/>
  <c r="O8" i="21"/>
  <c r="AD8" i="21"/>
  <c r="AD65" i="21"/>
  <c r="AC80" i="21"/>
  <c r="AC8" i="21"/>
  <c r="P8" i="21"/>
  <c r="L80" i="21"/>
  <c r="L8" i="21"/>
  <c r="AI3" i="21"/>
  <c r="AI7" i="21" s="1"/>
  <c r="AI75" i="9"/>
  <c r="AG65" i="21"/>
  <c r="AG8" i="21"/>
  <c r="AG34" i="21" s="1"/>
  <c r="AH65" i="21"/>
  <c r="AH8" i="21"/>
  <c r="AH34" i="21" s="1"/>
  <c r="AF8" i="21"/>
  <c r="AF34" i="21" s="1"/>
  <c r="K131" i="7"/>
  <c r="K194" i="7" s="1"/>
  <c r="K92" i="14" s="1"/>
  <c r="E334" i="7"/>
  <c r="AE229" i="7"/>
  <c r="AE288" i="7" s="1"/>
  <c r="AE117" i="14" s="1"/>
  <c r="K229" i="7"/>
  <c r="K288" i="7" s="1"/>
  <c r="K117" i="14" s="1"/>
  <c r="E326" i="7"/>
  <c r="Y138" i="7"/>
  <c r="Y137" i="7"/>
  <c r="Y134" i="7"/>
  <c r="Y133" i="7"/>
  <c r="Y143" i="7"/>
  <c r="Y146" i="7"/>
  <c r="Y145" i="7"/>
  <c r="Y144" i="7"/>
  <c r="Y142" i="7"/>
  <c r="G131" i="7"/>
  <c r="G194" i="7" s="1"/>
  <c r="G92" i="14" s="1"/>
  <c r="E234" i="7"/>
  <c r="H229" i="7"/>
  <c r="H288" i="7" s="1"/>
  <c r="H117" i="14" s="1"/>
  <c r="E235" i="7"/>
  <c r="E337" i="7"/>
  <c r="Y245" i="7"/>
  <c r="Y232" i="7"/>
  <c r="Y240" i="7"/>
  <c r="Y248" i="7"/>
  <c r="Y254" i="7"/>
  <c r="Y238" i="7"/>
  <c r="Y249" i="7"/>
  <c r="Y253" i="7"/>
  <c r="Y237" i="7"/>
  <c r="Y252" i="7"/>
  <c r="Y251" i="7"/>
  <c r="Y250" i="7"/>
  <c r="Y246" i="7"/>
  <c r="Y230" i="7"/>
  <c r="W131" i="7"/>
  <c r="W194" i="7" s="1"/>
  <c r="W92" i="14" s="1"/>
  <c r="W93" i="14" s="1"/>
  <c r="AC229" i="7"/>
  <c r="AC288" i="7" s="1"/>
  <c r="AC117" i="14" s="1"/>
  <c r="E239" i="7"/>
  <c r="E338" i="7"/>
  <c r="E236" i="7"/>
  <c r="E325" i="7"/>
  <c r="E365" i="7"/>
  <c r="E380" i="7" s="1"/>
  <c r="G229" i="7"/>
  <c r="G288" i="7" s="1"/>
  <c r="G117" i="14" s="1"/>
  <c r="E242" i="7"/>
  <c r="E330" i="7"/>
  <c r="X131" i="7"/>
  <c r="X194" i="7" s="1"/>
  <c r="X92" i="14" s="1"/>
  <c r="Z229" i="7"/>
  <c r="Z288" i="7" s="1"/>
  <c r="Z117" i="14" s="1"/>
  <c r="E329" i="7"/>
  <c r="E241" i="7"/>
  <c r="E231" i="7"/>
  <c r="E386" i="7"/>
  <c r="X229" i="7"/>
  <c r="X288" i="7" s="1"/>
  <c r="X117" i="14" s="1"/>
  <c r="L229" i="7"/>
  <c r="L288" i="7" s="1"/>
  <c r="L117" i="14" s="1"/>
  <c r="E340" i="7"/>
  <c r="E333" i="7"/>
  <c r="E348" i="7"/>
  <c r="E332" i="7"/>
  <c r="E347" i="7"/>
  <c r="E331" i="7"/>
  <c r="E346" i="7"/>
  <c r="E344" i="7"/>
  <c r="E343" i="7"/>
  <c r="E327" i="7"/>
  <c r="E342" i="7"/>
  <c r="E341" i="7"/>
  <c r="E324" i="7"/>
  <c r="AE323" i="7"/>
  <c r="AE388" i="7" s="1"/>
  <c r="AE142" i="14" s="1"/>
  <c r="E335" i="7"/>
  <c r="E336" i="7"/>
  <c r="AE131" i="7"/>
  <c r="AE194" i="7" s="1"/>
  <c r="AE92" i="14" s="1"/>
  <c r="Y155" i="7"/>
  <c r="Y139" i="7"/>
  <c r="Y154" i="7"/>
  <c r="Y152" i="7"/>
  <c r="Y151" i="7"/>
  <c r="Y135" i="7"/>
  <c r="Y150" i="7"/>
  <c r="Y149" i="7"/>
  <c r="Y148" i="7"/>
  <c r="Y132" i="7"/>
  <c r="Y141" i="7"/>
  <c r="Y156" i="7"/>
  <c r="Y140" i="7"/>
  <c r="Y271" i="7"/>
  <c r="Y286" i="7" s="1"/>
  <c r="Y243" i="7"/>
  <c r="Y242" i="7"/>
  <c r="Y241" i="7"/>
  <c r="Y239" i="7"/>
  <c r="Y236" i="7"/>
  <c r="Y235" i="7"/>
  <c r="Y234" i="7"/>
  <c r="Y231" i="7"/>
  <c r="E218" i="7"/>
  <c r="E19" i="23" s="1"/>
  <c r="E191" i="23" s="1"/>
  <c r="E249" i="7"/>
  <c r="E248" i="7"/>
  <c r="E232" i="7"/>
  <c r="E246" i="7"/>
  <c r="E230" i="7"/>
  <c r="E253" i="7"/>
  <c r="E245" i="7"/>
  <c r="E252" i="7"/>
  <c r="E240" i="7"/>
  <c r="E238" i="7"/>
  <c r="E254" i="7"/>
  <c r="E237" i="7"/>
  <c r="E251" i="7"/>
  <c r="E250" i="7"/>
  <c r="Y173" i="7"/>
  <c r="Y188" i="7" s="1"/>
  <c r="M229" i="7"/>
  <c r="M288" i="7" s="1"/>
  <c r="M117" i="14" s="1"/>
  <c r="E271" i="7"/>
  <c r="E286" i="7" s="1"/>
  <c r="AC131" i="7"/>
  <c r="AC194" i="7" s="1"/>
  <c r="AC92" i="14" s="1"/>
  <c r="AC323" i="7"/>
  <c r="AC388" i="7" s="1"/>
  <c r="AC142" i="14" s="1"/>
  <c r="Z323" i="7"/>
  <c r="Z388" i="7" s="1"/>
  <c r="Z142" i="14" s="1"/>
  <c r="Z131" i="7"/>
  <c r="Z194" i="7" s="1"/>
  <c r="Z92" i="14" s="1"/>
  <c r="H131" i="7"/>
  <c r="H194" i="7" s="1"/>
  <c r="H92" i="14" s="1"/>
  <c r="G323" i="7"/>
  <c r="G388" i="7" s="1"/>
  <c r="G142" i="14" s="1"/>
  <c r="W229" i="7"/>
  <c r="W288" i="7" s="1"/>
  <c r="W117" i="14" s="1"/>
  <c r="W323" i="7"/>
  <c r="W388" i="7" s="1"/>
  <c r="W142" i="14" s="1"/>
  <c r="L323" i="7"/>
  <c r="L388" i="7" s="1"/>
  <c r="L142" i="14" s="1"/>
  <c r="K323" i="7"/>
  <c r="K388" i="7" s="1"/>
  <c r="K142" i="14" s="1"/>
  <c r="J131" i="7"/>
  <c r="J194" i="7" s="1"/>
  <c r="J92" i="14" s="1"/>
  <c r="J229" i="7"/>
  <c r="J288" i="7" s="1"/>
  <c r="J117" i="14" s="1"/>
  <c r="J323" i="7"/>
  <c r="J388" i="7" s="1"/>
  <c r="J142" i="14" s="1"/>
  <c r="J143" i="14" s="1"/>
  <c r="H323" i="7"/>
  <c r="H388" i="7" s="1"/>
  <c r="H142" i="14" s="1"/>
  <c r="L131" i="7"/>
  <c r="L194" i="7" s="1"/>
  <c r="L92" i="14" s="1"/>
  <c r="X323" i="7"/>
  <c r="X388" i="7" s="1"/>
  <c r="X142" i="14" s="1"/>
  <c r="M323" i="7"/>
  <c r="M388" i="7" s="1"/>
  <c r="M142" i="14" s="1"/>
  <c r="E223" i="7"/>
  <c r="E20" i="23" s="1"/>
  <c r="E156" i="23" s="1"/>
  <c r="E29" i="15"/>
  <c r="E37" i="15" s="1"/>
  <c r="E31" i="15"/>
  <c r="E19" i="15"/>
  <c r="K11" i="11" s="1"/>
  <c r="E17" i="15"/>
  <c r="K10" i="11" s="1"/>
  <c r="K4" i="11"/>
  <c r="AF19" i="15"/>
  <c r="AL11" i="11" s="1"/>
  <c r="L13" i="15"/>
  <c r="R8" i="11" s="1"/>
  <c r="L11" i="15"/>
  <c r="R7" i="11" s="1"/>
  <c r="I11" i="15"/>
  <c r="O7" i="11" s="1"/>
  <c r="E10" i="13"/>
  <c r="E3" i="9" s="1"/>
  <c r="E15" i="15"/>
  <c r="E13" i="15"/>
  <c r="K8" i="11" s="1"/>
  <c r="E11" i="15"/>
  <c r="K7" i="11" s="1"/>
  <c r="E9" i="15"/>
  <c r="K6" i="11" s="1"/>
  <c r="E7" i="15"/>
  <c r="K5" i="11" s="1"/>
  <c r="E227" i="7"/>
  <c r="E21" i="23" s="1"/>
  <c r="E192" i="23" s="1"/>
  <c r="E12" i="17"/>
  <c r="E15" i="17"/>
  <c r="E27" i="13" s="1"/>
  <c r="Y125" i="7"/>
  <c r="Y192" i="7" s="1"/>
  <c r="Y303" i="7"/>
  <c r="Y316" i="7"/>
  <c r="Y317" i="7" s="1"/>
  <c r="Y328" i="7" s="1"/>
  <c r="Y350" i="7"/>
  <c r="Y218" i="7"/>
  <c r="Y227" i="7"/>
  <c r="Y306" i="7"/>
  <c r="Y307" i="7" s="1"/>
  <c r="Y345" i="7" s="1"/>
  <c r="Y223" i="7"/>
  <c r="Y302" i="7"/>
  <c r="Y320" i="7"/>
  <c r="Y321" i="7" s="1"/>
  <c r="Y339" i="7" s="1"/>
  <c r="Y311" i="7"/>
  <c r="Y312" i="7" s="1"/>
  <c r="Y41" i="7"/>
  <c r="Y99" i="7" s="1"/>
  <c r="Y67" i="14" s="1"/>
  <c r="AB15" i="17" l="1"/>
  <c r="AB27" i="13" s="1"/>
  <c r="AG222" i="23"/>
  <c r="W222" i="23"/>
  <c r="J15" i="17"/>
  <c r="J27" i="13" s="1"/>
  <c r="U219" i="23"/>
  <c r="J222" i="23"/>
  <c r="AV207" i="23"/>
  <c r="AV27" i="23" s="1"/>
  <c r="G95" i="23"/>
  <c r="G98" i="23" s="1"/>
  <c r="G150" i="23" s="1"/>
  <c r="AB14" i="17"/>
  <c r="AB28" i="13" s="1"/>
  <c r="AT219" i="23"/>
  <c r="BF98" i="23"/>
  <c r="BF150" i="23" s="1"/>
  <c r="AE219" i="23"/>
  <c r="AE222" i="23" s="1"/>
  <c r="AE271" i="23" s="1"/>
  <c r="S219" i="23"/>
  <c r="S222" i="23" s="1"/>
  <c r="O219" i="23"/>
  <c r="O222" i="23" s="1"/>
  <c r="O271" i="23" s="1"/>
  <c r="AV95" i="23"/>
  <c r="AV98" i="23" s="1"/>
  <c r="AF218" i="23"/>
  <c r="AF220" i="23" s="1"/>
  <c r="AF221" i="23" s="1"/>
  <c r="K219" i="23"/>
  <c r="AL95" i="23"/>
  <c r="AI95" i="23"/>
  <c r="AI98" i="23" s="1"/>
  <c r="AI150" i="23" s="1"/>
  <c r="T222" i="23"/>
  <c r="T272" i="23" s="1"/>
  <c r="BE95" i="23"/>
  <c r="BE98" i="23" s="1"/>
  <c r="BE150" i="23" s="1"/>
  <c r="AC219" i="23"/>
  <c r="AC222" i="23" s="1"/>
  <c r="J147" i="23"/>
  <c r="L222" i="23"/>
  <c r="Y219" i="23"/>
  <c r="BC95" i="23"/>
  <c r="J153" i="23"/>
  <c r="Q219" i="23"/>
  <c r="Q222" i="23" s="1"/>
  <c r="AZ219" i="23"/>
  <c r="AZ222" i="23" s="1"/>
  <c r="AZ277" i="23" s="1"/>
  <c r="W271" i="23"/>
  <c r="AV218" i="23"/>
  <c r="AV220" i="23" s="1"/>
  <c r="AV221" i="23" s="1"/>
  <c r="AP222" i="23"/>
  <c r="AH95" i="23"/>
  <c r="X204" i="23"/>
  <c r="S95" i="23"/>
  <c r="BA219" i="23"/>
  <c r="AS150" i="23"/>
  <c r="AS25" i="23"/>
  <c r="AJ150" i="23"/>
  <c r="AJ25" i="23"/>
  <c r="AB150" i="23"/>
  <c r="AB25" i="23"/>
  <c r="BG151" i="23"/>
  <c r="BG149" i="23"/>
  <c r="BG147" i="23"/>
  <c r="BG152" i="23"/>
  <c r="BG153" i="23"/>
  <c r="BG148" i="23"/>
  <c r="AT96" i="23"/>
  <c r="AT97" i="23" s="1"/>
  <c r="AT95" i="23"/>
  <c r="F275" i="23"/>
  <c r="F272" i="23"/>
  <c r="F277" i="23"/>
  <c r="F274" i="23"/>
  <c r="F271" i="23"/>
  <c r="F276" i="23"/>
  <c r="F273" i="23"/>
  <c r="X220" i="23"/>
  <c r="X221" i="23" s="1"/>
  <c r="X219" i="23"/>
  <c r="I96" i="23"/>
  <c r="I97" i="23" s="1"/>
  <c r="I95" i="23"/>
  <c r="H220" i="23"/>
  <c r="H221" i="23" s="1"/>
  <c r="H219" i="23"/>
  <c r="AR274" i="23"/>
  <c r="AR271" i="23"/>
  <c r="AR276" i="23"/>
  <c r="AR273" i="23"/>
  <c r="AR275" i="23"/>
  <c r="AR272" i="23"/>
  <c r="AR277" i="23"/>
  <c r="V275" i="23"/>
  <c r="V272" i="23"/>
  <c r="V277" i="23"/>
  <c r="V274" i="23"/>
  <c r="V271" i="23"/>
  <c r="V276" i="23"/>
  <c r="V273" i="23"/>
  <c r="N271" i="23"/>
  <c r="N276" i="23"/>
  <c r="N273" i="23"/>
  <c r="N275" i="23"/>
  <c r="N272" i="23"/>
  <c r="N277" i="23"/>
  <c r="N274" i="23"/>
  <c r="N29" i="23"/>
  <c r="AK152" i="23"/>
  <c r="AK153" i="23"/>
  <c r="AK151" i="23"/>
  <c r="AK149" i="23"/>
  <c r="AK148" i="23"/>
  <c r="AK147" i="23"/>
  <c r="BD220" i="23"/>
  <c r="BD221" i="23" s="1"/>
  <c r="BD219" i="23"/>
  <c r="AE153" i="23"/>
  <c r="AE147" i="23"/>
  <c r="AE151" i="23"/>
  <c r="AE149" i="23"/>
  <c r="AE148" i="23"/>
  <c r="AE152" i="23"/>
  <c r="BA152" i="23"/>
  <c r="BA151" i="23"/>
  <c r="BA153" i="23"/>
  <c r="BA147" i="23"/>
  <c r="BA149" i="23"/>
  <c r="BA148" i="23"/>
  <c r="V98" i="23"/>
  <c r="V150" i="23" s="1"/>
  <c r="BC275" i="23"/>
  <c r="BC272" i="23"/>
  <c r="BC277" i="23"/>
  <c r="BC274" i="23"/>
  <c r="BC271" i="23"/>
  <c r="BC276" i="23"/>
  <c r="BC273" i="23"/>
  <c r="BB275" i="23"/>
  <c r="BB272" i="23"/>
  <c r="BB277" i="23"/>
  <c r="BB274" i="23"/>
  <c r="BB271" i="23"/>
  <c r="BB276" i="23"/>
  <c r="BB273" i="23"/>
  <c r="AN152" i="23"/>
  <c r="AN148" i="23"/>
  <c r="AN153" i="23"/>
  <c r="AN149" i="23"/>
  <c r="AN151" i="23"/>
  <c r="AN147" i="23"/>
  <c r="O153" i="23"/>
  <c r="O147" i="23"/>
  <c r="O152" i="23"/>
  <c r="O149" i="23"/>
  <c r="O151" i="23"/>
  <c r="O148" i="23"/>
  <c r="AG276" i="23"/>
  <c r="AG273" i="23"/>
  <c r="AG275" i="23"/>
  <c r="AG272" i="23"/>
  <c r="AG277" i="23"/>
  <c r="AG274" i="23"/>
  <c r="AG271" i="23"/>
  <c r="F95" i="23"/>
  <c r="F98" i="23" s="1"/>
  <c r="F150" i="23" s="1"/>
  <c r="U222" i="23"/>
  <c r="O276" i="23"/>
  <c r="O275" i="23"/>
  <c r="O272" i="23"/>
  <c r="O274" i="23"/>
  <c r="AY149" i="23"/>
  <c r="AY153" i="23"/>
  <c r="AY152" i="23"/>
  <c r="AY147" i="23"/>
  <c r="AY151" i="23"/>
  <c r="AY148" i="23"/>
  <c r="AR150" i="23"/>
  <c r="AR25" i="23"/>
  <c r="AC153" i="23"/>
  <c r="AC151" i="23"/>
  <c r="AC147" i="23"/>
  <c r="AC149" i="23"/>
  <c r="AC152" i="23"/>
  <c r="AC148" i="23"/>
  <c r="BD149" i="23"/>
  <c r="BD148" i="23"/>
  <c r="BD147" i="23"/>
  <c r="BD153" i="23"/>
  <c r="BD152" i="23"/>
  <c r="BD151" i="23"/>
  <c r="Q150" i="23"/>
  <c r="Q25" i="23"/>
  <c r="P98" i="23"/>
  <c r="P150" i="23" s="1"/>
  <c r="Z148" i="23"/>
  <c r="Z147" i="23"/>
  <c r="Z151" i="23"/>
  <c r="Z152" i="23"/>
  <c r="Z149" i="23"/>
  <c r="Z153" i="23"/>
  <c r="AW276" i="23"/>
  <c r="AW273" i="23"/>
  <c r="AW275" i="23"/>
  <c r="AW272" i="23"/>
  <c r="AW277" i="23"/>
  <c r="AW274" i="23"/>
  <c r="AW271" i="23"/>
  <c r="AW29" i="23"/>
  <c r="AP95" i="23"/>
  <c r="AP98" i="23" s="1"/>
  <c r="AP150" i="23" s="1"/>
  <c r="J277" i="23"/>
  <c r="J274" i="23"/>
  <c r="J271" i="23"/>
  <c r="J276" i="23"/>
  <c r="J273" i="23"/>
  <c r="J275" i="23"/>
  <c r="J272" i="23"/>
  <c r="V95" i="23"/>
  <c r="BA222" i="23"/>
  <c r="AO272" i="23"/>
  <c r="AO277" i="23"/>
  <c r="AO274" i="23"/>
  <c r="AO271" i="23"/>
  <c r="AO276" i="23"/>
  <c r="AO273" i="23"/>
  <c r="AO275" i="23"/>
  <c r="AZ275" i="23"/>
  <c r="AZ272" i="23"/>
  <c r="AZ274" i="23"/>
  <c r="AZ276" i="23"/>
  <c r="AZ273" i="23"/>
  <c r="AE276" i="23"/>
  <c r="AE273" i="23"/>
  <c r="AE275" i="23"/>
  <c r="AE272" i="23"/>
  <c r="AE277" i="23"/>
  <c r="AE274" i="23"/>
  <c r="R219" i="23"/>
  <c r="R222" i="23" s="1"/>
  <c r="AL222" i="23"/>
  <c r="BF148" i="23"/>
  <c r="BF147" i="23"/>
  <c r="BF152" i="23"/>
  <c r="BF151" i="23"/>
  <c r="BF149" i="23"/>
  <c r="BF153" i="23"/>
  <c r="G151" i="23"/>
  <c r="G147" i="23"/>
  <c r="G152" i="23"/>
  <c r="G149" i="23"/>
  <c r="G148" i="23"/>
  <c r="G153" i="23"/>
  <c r="S98" i="23"/>
  <c r="S150" i="23" s="1"/>
  <c r="AH98" i="23"/>
  <c r="AH150" i="23" s="1"/>
  <c r="AW153" i="23"/>
  <c r="AW152" i="23"/>
  <c r="AW151" i="23"/>
  <c r="AW148" i="23"/>
  <c r="AW147" i="23"/>
  <c r="AW149" i="23"/>
  <c r="AP277" i="23"/>
  <c r="AP274" i="23"/>
  <c r="AP271" i="23"/>
  <c r="AP276" i="23"/>
  <c r="AP273" i="23"/>
  <c r="AP275" i="23"/>
  <c r="AP272" i="23"/>
  <c r="L274" i="23"/>
  <c r="L271" i="23"/>
  <c r="L276" i="23"/>
  <c r="L273" i="23"/>
  <c r="L275" i="23"/>
  <c r="L272" i="23"/>
  <c r="L277" i="23"/>
  <c r="T275" i="23"/>
  <c r="T277" i="23"/>
  <c r="T274" i="23"/>
  <c r="T276" i="23"/>
  <c r="T273" i="23"/>
  <c r="AU219" i="23"/>
  <c r="AU222" i="23" s="1"/>
  <c r="H95" i="23"/>
  <c r="H98" i="23" s="1"/>
  <c r="H150" i="23" s="1"/>
  <c r="AD271" i="23"/>
  <c r="AD276" i="23"/>
  <c r="AD273" i="23"/>
  <c r="AD275" i="23"/>
  <c r="AD272" i="23"/>
  <c r="AD277" i="23"/>
  <c r="AD274" i="23"/>
  <c r="AT222" i="23"/>
  <c r="AU95" i="23"/>
  <c r="AU98" i="23" s="1"/>
  <c r="AU150" i="23" s="1"/>
  <c r="AY222" i="23"/>
  <c r="AI219" i="23"/>
  <c r="AI222" i="23" s="1"/>
  <c r="AG152" i="23"/>
  <c r="AG151" i="23"/>
  <c r="AG147" i="23"/>
  <c r="AG149" i="23"/>
  <c r="AG153" i="23"/>
  <c r="AG148" i="23"/>
  <c r="AS222" i="23"/>
  <c r="BA204" i="23"/>
  <c r="BA207" i="23" s="1"/>
  <c r="AZ95" i="23"/>
  <c r="AZ98" i="23" s="1"/>
  <c r="AZ150" i="23" s="1"/>
  <c r="AN222" i="23"/>
  <c r="K222" i="23"/>
  <c r="U152" i="23"/>
  <c r="U149" i="23"/>
  <c r="U148" i="23"/>
  <c r="U151" i="23"/>
  <c r="U153" i="23"/>
  <c r="U147" i="23"/>
  <c r="AX273" i="23"/>
  <c r="AX275" i="23"/>
  <c r="AX272" i="23"/>
  <c r="AX277" i="23"/>
  <c r="AX274" i="23"/>
  <c r="AX271" i="23"/>
  <c r="AX276" i="23"/>
  <c r="AF153" i="23"/>
  <c r="AF152" i="23"/>
  <c r="AF151" i="23"/>
  <c r="AF147" i="23"/>
  <c r="AF149" i="23"/>
  <c r="AF148" i="23"/>
  <c r="AX150" i="23"/>
  <c r="AX25" i="23"/>
  <c r="K151" i="23"/>
  <c r="K153" i="23"/>
  <c r="K147" i="23"/>
  <c r="K152" i="23"/>
  <c r="K149" i="23"/>
  <c r="K148" i="23"/>
  <c r="W152" i="23"/>
  <c r="W149" i="23"/>
  <c r="W148" i="23"/>
  <c r="W151" i="23"/>
  <c r="W147" i="23"/>
  <c r="W153" i="23"/>
  <c r="Y222" i="23"/>
  <c r="I80" i="23"/>
  <c r="I83" i="23" s="1"/>
  <c r="AJ219" i="23"/>
  <c r="AJ222" i="23" s="1"/>
  <c r="AL98" i="23"/>
  <c r="AL150" i="23" s="1"/>
  <c r="AB274" i="23"/>
  <c r="AB271" i="23"/>
  <c r="AB276" i="23"/>
  <c r="AB273" i="23"/>
  <c r="AB275" i="23"/>
  <c r="AB272" i="23"/>
  <c r="AB277" i="23"/>
  <c r="X147" i="23"/>
  <c r="X151" i="23"/>
  <c r="X152" i="23"/>
  <c r="X148" i="23"/>
  <c r="X149" i="23"/>
  <c r="X153" i="23"/>
  <c r="AQ277" i="23"/>
  <c r="AQ274" i="23"/>
  <c r="AQ271" i="23"/>
  <c r="AQ276" i="23"/>
  <c r="AQ273" i="23"/>
  <c r="AQ272" i="23"/>
  <c r="AQ275" i="23"/>
  <c r="AK219" i="23"/>
  <c r="AK222" i="23" s="1"/>
  <c r="AI149" i="23"/>
  <c r="AI151" i="23"/>
  <c r="AI147" i="23"/>
  <c r="AI153" i="23"/>
  <c r="AI152" i="23"/>
  <c r="AI148" i="23"/>
  <c r="AM275" i="23"/>
  <c r="AM272" i="23"/>
  <c r="AM277" i="23"/>
  <c r="AM274" i="23"/>
  <c r="AM271" i="23"/>
  <c r="AM276" i="23"/>
  <c r="AM273" i="23"/>
  <c r="AM29" i="23"/>
  <c r="AM150" i="23"/>
  <c r="AM25" i="23"/>
  <c r="Y151" i="23"/>
  <c r="Y148" i="23"/>
  <c r="Y152" i="23"/>
  <c r="Y147" i="23"/>
  <c r="Y149" i="23"/>
  <c r="Y153" i="23"/>
  <c r="X207" i="23"/>
  <c r="AA219" i="23"/>
  <c r="AA222" i="23" s="1"/>
  <c r="AO95" i="23"/>
  <c r="AO98" i="23" s="1"/>
  <c r="AO150" i="23" s="1"/>
  <c r="N95" i="23"/>
  <c r="N98" i="23" s="1"/>
  <c r="Z277" i="23"/>
  <c r="Z274" i="23"/>
  <c r="Z271" i="23"/>
  <c r="Z276" i="23"/>
  <c r="Z273" i="23"/>
  <c r="Z275" i="23"/>
  <c r="Z272" i="23"/>
  <c r="P276" i="23"/>
  <c r="P273" i="23"/>
  <c r="P275" i="23"/>
  <c r="P272" i="23"/>
  <c r="P277" i="23"/>
  <c r="P274" i="23"/>
  <c r="P271" i="23"/>
  <c r="M153" i="23"/>
  <c r="M152" i="23"/>
  <c r="M147" i="23"/>
  <c r="M149" i="23"/>
  <c r="M151" i="23"/>
  <c r="M148" i="23"/>
  <c r="BF277" i="23"/>
  <c r="BF274" i="23"/>
  <c r="BF271" i="23"/>
  <c r="BF276" i="23"/>
  <c r="BF273" i="23"/>
  <c r="BF275" i="23"/>
  <c r="BF272" i="23"/>
  <c r="BG219" i="23"/>
  <c r="BG222" i="23" s="1"/>
  <c r="M274" i="23"/>
  <c r="M271" i="23"/>
  <c r="M276" i="23"/>
  <c r="M273" i="23"/>
  <c r="M275" i="23"/>
  <c r="M277" i="23"/>
  <c r="M272" i="23"/>
  <c r="AH273" i="23"/>
  <c r="AH275" i="23"/>
  <c r="AH272" i="23"/>
  <c r="AH277" i="23"/>
  <c r="AH274" i="23"/>
  <c r="AH271" i="23"/>
  <c r="AH276" i="23"/>
  <c r="AA151" i="23"/>
  <c r="AA148" i="23"/>
  <c r="AA147" i="23"/>
  <c r="AA153" i="23"/>
  <c r="AA152" i="23"/>
  <c r="AA149" i="23"/>
  <c r="AD98" i="23"/>
  <c r="AD150" i="23" s="1"/>
  <c r="AQ151" i="23"/>
  <c r="AQ148" i="23"/>
  <c r="AQ153" i="23"/>
  <c r="AQ147" i="23"/>
  <c r="AQ152" i="23"/>
  <c r="AQ149" i="23"/>
  <c r="G275" i="23"/>
  <c r="G272" i="23"/>
  <c r="G277" i="23"/>
  <c r="G274" i="23"/>
  <c r="G271" i="23"/>
  <c r="G276" i="23"/>
  <c r="G273" i="23"/>
  <c r="G29" i="23"/>
  <c r="BC98" i="23"/>
  <c r="BC150" i="23" s="1"/>
  <c r="R95" i="23"/>
  <c r="R98" i="23" s="1"/>
  <c r="R150" i="23" s="1"/>
  <c r="T95" i="23"/>
  <c r="T98" i="23" s="1"/>
  <c r="BE222" i="23"/>
  <c r="E186" i="23"/>
  <c r="E233" i="23"/>
  <c r="E236" i="23"/>
  <c r="E224" i="23"/>
  <c r="E182" i="23"/>
  <c r="E178" i="23"/>
  <c r="E181" i="23"/>
  <c r="E248" i="23"/>
  <c r="E229" i="23"/>
  <c r="E234" i="23"/>
  <c r="E237" i="23"/>
  <c r="E162" i="23"/>
  <c r="E169" i="23"/>
  <c r="E174" i="23"/>
  <c r="E188" i="23" s="1"/>
  <c r="E161" i="23"/>
  <c r="E167" i="23" s="1"/>
  <c r="E225" i="23"/>
  <c r="E187" i="23"/>
  <c r="E179" i="23"/>
  <c r="E246" i="23"/>
  <c r="E265" i="23"/>
  <c r="E247" i="23"/>
  <c r="E177" i="23"/>
  <c r="E226" i="23"/>
  <c r="E235" i="23"/>
  <c r="E227" i="23"/>
  <c r="E228" i="23"/>
  <c r="E184" i="23"/>
  <c r="AE47" i="22"/>
  <c r="AE46" i="22"/>
  <c r="AE43" i="22"/>
  <c r="AE79" i="22"/>
  <c r="AE84" i="22"/>
  <c r="AE111" i="22"/>
  <c r="AE114" i="22"/>
  <c r="AE135" i="22"/>
  <c r="AE144" i="22"/>
  <c r="AE168" i="22"/>
  <c r="AE187" i="22"/>
  <c r="AE211" i="22"/>
  <c r="O222" i="7"/>
  <c r="O223" i="7" s="1"/>
  <c r="F25" i="15"/>
  <c r="F26" i="15"/>
  <c r="F38" i="9"/>
  <c r="F39" i="9" s="1"/>
  <c r="AE22" i="22"/>
  <c r="AE42" i="22"/>
  <c r="AE45" i="22"/>
  <c r="AE68" i="22"/>
  <c r="AE83" i="22"/>
  <c r="AE142" i="22"/>
  <c r="AE137" i="22"/>
  <c r="AE115" i="22"/>
  <c r="AE150" i="22"/>
  <c r="AA71" i="21" s="1"/>
  <c r="AE190" i="22"/>
  <c r="AE188" i="22"/>
  <c r="AE219" i="22"/>
  <c r="F33" i="9"/>
  <c r="F34" i="9" s="1"/>
  <c r="J5" i="10" s="1"/>
  <c r="AE11" i="22"/>
  <c r="AE48" i="22"/>
  <c r="AE44" i="22"/>
  <c r="AE70" i="22"/>
  <c r="AE95" i="22"/>
  <c r="AE143" i="22"/>
  <c r="AE122" i="22"/>
  <c r="AE117" i="22"/>
  <c r="AE152" i="22"/>
  <c r="AE197" i="22"/>
  <c r="AE189" i="22"/>
  <c r="AE206" i="22"/>
  <c r="AA77" i="21" s="1"/>
  <c r="F17" i="9"/>
  <c r="F18" i="9" s="1"/>
  <c r="J2" i="10" s="1"/>
  <c r="AE13" i="22"/>
  <c r="AA60" i="21" s="1"/>
  <c r="AE54" i="22"/>
  <c r="AE58" i="22"/>
  <c r="AE76" i="22"/>
  <c r="AE75" i="22"/>
  <c r="AE96" i="22"/>
  <c r="AE116" i="22"/>
  <c r="AE119" i="22"/>
  <c r="AE154" i="22"/>
  <c r="AE204" i="22"/>
  <c r="AE194" i="22"/>
  <c r="AE205" i="22"/>
  <c r="F3" i="8"/>
  <c r="F36" i="9"/>
  <c r="J7" i="10" s="1"/>
  <c r="AE15" i="22"/>
  <c r="AE39" i="22"/>
  <c r="AE56" i="22"/>
  <c r="AE108" i="22"/>
  <c r="AE94" i="22"/>
  <c r="AE112" i="22"/>
  <c r="AE118" i="22"/>
  <c r="AE121" i="22"/>
  <c r="AE167" i="22"/>
  <c r="AE196" i="22"/>
  <c r="AE192" i="22"/>
  <c r="AE224" i="22"/>
  <c r="AA8" i="21"/>
  <c r="AA11" i="21" s="1"/>
  <c r="P9" i="15"/>
  <c r="V6" i="11" s="1"/>
  <c r="V227" i="7"/>
  <c r="F41" i="9"/>
  <c r="F42" i="9" s="1"/>
  <c r="F50" i="9" s="1"/>
  <c r="AE9" i="22"/>
  <c r="AE52" i="22"/>
  <c r="AE78" i="22"/>
  <c r="AE105" i="22"/>
  <c r="AE99" i="22"/>
  <c r="AE104" i="22"/>
  <c r="AE136" i="22"/>
  <c r="AE123" i="22"/>
  <c r="AE169" i="22"/>
  <c r="AA76" i="21" s="1"/>
  <c r="AE185" i="22"/>
  <c r="AE223" i="22"/>
  <c r="AE210" i="22"/>
  <c r="F22" i="9"/>
  <c r="F23" i="9" s="1"/>
  <c r="J3" i="10" s="1"/>
  <c r="J54" i="10" s="1"/>
  <c r="AE28" i="22"/>
  <c r="AE19" i="22"/>
  <c r="AE60" i="22"/>
  <c r="AE86" i="22"/>
  <c r="AE59" i="22"/>
  <c r="AE113" i="22"/>
  <c r="AE124" i="22"/>
  <c r="AE125" i="22"/>
  <c r="AA62" i="21" s="1"/>
  <c r="AE176" i="22"/>
  <c r="AE217" i="22"/>
  <c r="AE208" i="22"/>
  <c r="AE212" i="22"/>
  <c r="F27" i="9"/>
  <c r="F28" i="9" s="1"/>
  <c r="J4" i="10" s="1"/>
  <c r="AE26" i="22"/>
  <c r="AE21" i="22"/>
  <c r="AE62" i="22"/>
  <c r="AE90" i="22"/>
  <c r="AE61" i="22"/>
  <c r="AE85" i="22"/>
  <c r="AE126" i="22"/>
  <c r="AE127" i="22"/>
  <c r="AE180" i="22"/>
  <c r="AE186" i="22"/>
  <c r="AE209" i="22"/>
  <c r="AE216" i="22"/>
  <c r="AA78" i="21" s="1"/>
  <c r="F11" i="9"/>
  <c r="F12" i="9" s="1"/>
  <c r="AE18" i="22"/>
  <c r="AE16" i="22"/>
  <c r="AE23" i="22"/>
  <c r="AE64" i="22"/>
  <c r="AE80" i="22"/>
  <c r="AE63" i="22"/>
  <c r="AE87" i="22"/>
  <c r="AE128" i="22"/>
  <c r="AE129" i="22"/>
  <c r="AE178" i="22"/>
  <c r="AE203" i="22"/>
  <c r="AE215" i="22"/>
  <c r="AE218" i="22"/>
  <c r="V45" i="7"/>
  <c r="AA17" i="17"/>
  <c r="AE40" i="22"/>
  <c r="AE30" i="22"/>
  <c r="AE25" i="22"/>
  <c r="AE88" i="22"/>
  <c r="AE72" i="22"/>
  <c r="AE65" i="22"/>
  <c r="AE89" i="22"/>
  <c r="AE130" i="22"/>
  <c r="AE133" i="22"/>
  <c r="AA63" i="21" s="1"/>
  <c r="AE182" i="22"/>
  <c r="AE171" i="22"/>
  <c r="AE200" i="22"/>
  <c r="AE220" i="22"/>
  <c r="V217" i="7"/>
  <c r="AE10" i="22"/>
  <c r="AE32" i="22"/>
  <c r="AE27" i="22"/>
  <c r="AE49" i="22"/>
  <c r="AE103" i="22"/>
  <c r="AE67" i="22"/>
  <c r="AE91" i="22"/>
  <c r="AE134" i="22"/>
  <c r="AE172" i="22"/>
  <c r="AE170" i="22"/>
  <c r="AE173" i="22"/>
  <c r="AE198" i="22"/>
  <c r="E114" i="23"/>
  <c r="V222" i="7"/>
  <c r="V223" i="7" s="1"/>
  <c r="E125" i="23"/>
  <c r="E139" i="23" s="1"/>
  <c r="O110" i="7"/>
  <c r="U333" i="7"/>
  <c r="U343" i="7"/>
  <c r="U346" i="7"/>
  <c r="U324" i="7"/>
  <c r="U327" i="7"/>
  <c r="U348" i="7"/>
  <c r="V254" i="7"/>
  <c r="U316" i="7"/>
  <c r="U317" i="7" s="1"/>
  <c r="U328" i="7" s="1"/>
  <c r="M13" i="15"/>
  <c r="S8" i="11" s="1"/>
  <c r="V286" i="7"/>
  <c r="V240" i="7"/>
  <c r="N286" i="7"/>
  <c r="V10" i="13"/>
  <c r="V3" i="8" s="1"/>
  <c r="O286" i="7"/>
  <c r="V114" i="7"/>
  <c r="V115" i="7" s="1"/>
  <c r="V153" i="7" s="1"/>
  <c r="O217" i="7"/>
  <c r="O230" i="7" s="1"/>
  <c r="V237" i="7"/>
  <c r="V303" i="7"/>
  <c r="V302" i="7"/>
  <c r="V350" i="7"/>
  <c r="V365" i="7" s="1"/>
  <c r="V380" i="7" s="1"/>
  <c r="V320" i="7"/>
  <c r="V321" i="7" s="1"/>
  <c r="V339" i="7" s="1"/>
  <c r="V306" i="7"/>
  <c r="V307" i="7" s="1"/>
  <c r="V345" i="7" s="1"/>
  <c r="V316" i="7"/>
  <c r="V317" i="7" s="1"/>
  <c r="V328" i="7" s="1"/>
  <c r="V311" i="7"/>
  <c r="V312" i="7" s="1"/>
  <c r="Q58" i="7"/>
  <c r="Q64" i="7"/>
  <c r="Q57" i="7"/>
  <c r="Q63" i="7"/>
  <c r="Q65" i="7"/>
  <c r="Q31" i="7"/>
  <c r="Q60" i="7"/>
  <c r="Q42" i="7"/>
  <c r="Q66" i="7"/>
  <c r="Q44" i="7"/>
  <c r="Q52" i="7"/>
  <c r="Q49" i="7"/>
  <c r="Q61" i="7"/>
  <c r="Q62" i="7"/>
  <c r="Q50" i="7"/>
  <c r="Q316" i="7"/>
  <c r="Q317" i="7" s="1"/>
  <c r="Q328" i="7" s="1"/>
  <c r="Q302" i="7"/>
  <c r="Q306" i="7"/>
  <c r="Q307" i="7" s="1"/>
  <c r="Q345" i="7" s="1"/>
  <c r="Q350" i="7"/>
  <c r="Q365" i="7" s="1"/>
  <c r="Q380" i="7" s="1"/>
  <c r="Q303" i="7"/>
  <c r="Q320" i="7"/>
  <c r="Q321" i="7" s="1"/>
  <c r="Q339" i="7" s="1"/>
  <c r="Q311" i="7"/>
  <c r="Q312" i="7" s="1"/>
  <c r="N208" i="7"/>
  <c r="O40" i="7"/>
  <c r="O56" i="7"/>
  <c r="F45" i="7"/>
  <c r="F36" i="7"/>
  <c r="O238" i="7"/>
  <c r="P40" i="7"/>
  <c r="P56" i="7"/>
  <c r="Q43" i="7"/>
  <c r="Q48" i="7"/>
  <c r="Q47" i="7"/>
  <c r="Q54" i="7"/>
  <c r="Q53" i="7"/>
  <c r="Q46" i="7"/>
  <c r="Q55" i="7"/>
  <c r="Q51" i="7"/>
  <c r="R286" i="7"/>
  <c r="F303" i="7"/>
  <c r="F311" i="7"/>
  <c r="F312" i="7" s="1"/>
  <c r="F316" i="7"/>
  <c r="F317" i="7" s="1"/>
  <c r="F328" i="7" s="1"/>
  <c r="F302" i="7"/>
  <c r="F320" i="7"/>
  <c r="F321" i="7" s="1"/>
  <c r="F339" i="7" s="1"/>
  <c r="F350" i="7"/>
  <c r="F365" i="7" s="1"/>
  <c r="F380" i="7" s="1"/>
  <c r="F306" i="7"/>
  <c r="F307" i="7" s="1"/>
  <c r="F345" i="7" s="1"/>
  <c r="R302" i="7"/>
  <c r="R303" i="7"/>
  <c r="R320" i="7"/>
  <c r="R321" i="7" s="1"/>
  <c r="R339" i="7" s="1"/>
  <c r="R350" i="7"/>
  <c r="R365" i="7" s="1"/>
  <c r="R380" i="7" s="1"/>
  <c r="R316" i="7"/>
  <c r="R317" i="7" s="1"/>
  <c r="R328" i="7" s="1"/>
  <c r="R306" i="7"/>
  <c r="R307" i="7" s="1"/>
  <c r="R345" i="7" s="1"/>
  <c r="R311" i="7"/>
  <c r="R312" i="7" s="1"/>
  <c r="T325" i="7"/>
  <c r="T330" i="7"/>
  <c r="O43" i="7"/>
  <c r="O59" i="7"/>
  <c r="O26" i="7"/>
  <c r="F59" i="7"/>
  <c r="F26" i="7"/>
  <c r="N46" i="7"/>
  <c r="N54" i="7"/>
  <c r="N55" i="7"/>
  <c r="N48" i="7"/>
  <c r="N53" i="7"/>
  <c r="N43" i="7"/>
  <c r="N51" i="7"/>
  <c r="N47" i="7"/>
  <c r="R128" i="7"/>
  <c r="R129" i="7" s="1"/>
  <c r="R147" i="7" s="1"/>
  <c r="R111" i="7"/>
  <c r="R158" i="7"/>
  <c r="R173" i="7" s="1"/>
  <c r="R188" i="7" s="1"/>
  <c r="P47" i="7"/>
  <c r="P46" i="7"/>
  <c r="P48" i="7"/>
  <c r="P53" i="7"/>
  <c r="P51" i="7"/>
  <c r="P55" i="7"/>
  <c r="P43" i="7"/>
  <c r="P54" i="7"/>
  <c r="E115" i="23"/>
  <c r="E106" i="23"/>
  <c r="E107" i="23" s="1"/>
  <c r="E56" i="23"/>
  <c r="V238" i="7"/>
  <c r="F111" i="7"/>
  <c r="F158" i="7"/>
  <c r="F173" i="7" s="1"/>
  <c r="F188" i="7" s="1"/>
  <c r="F128" i="7"/>
  <c r="F129" i="7" s="1"/>
  <c r="F147" i="7" s="1"/>
  <c r="F124" i="7"/>
  <c r="F119" i="7"/>
  <c r="F120" i="7" s="1"/>
  <c r="F110" i="7"/>
  <c r="F114" i="7"/>
  <c r="F115" i="7" s="1"/>
  <c r="F153" i="7" s="1"/>
  <c r="S209" i="7"/>
  <c r="S217" i="7"/>
  <c r="S256" i="7"/>
  <c r="S271" i="7" s="1"/>
  <c r="S286" i="7" s="1"/>
  <c r="S208" i="7"/>
  <c r="S212" i="7"/>
  <c r="S213" i="7" s="1"/>
  <c r="S222" i="7"/>
  <c r="S226" i="7"/>
  <c r="N226" i="7"/>
  <c r="U55" i="7"/>
  <c r="U51" i="7"/>
  <c r="U47" i="7"/>
  <c r="U43" i="7"/>
  <c r="U53" i="7"/>
  <c r="U46" i="7"/>
  <c r="U54" i="7"/>
  <c r="P36" i="7"/>
  <c r="P45" i="7"/>
  <c r="Q59" i="7"/>
  <c r="Q26" i="7"/>
  <c r="BG279" i="23"/>
  <c r="U247" i="7"/>
  <c r="T320" i="7"/>
  <c r="T321" i="7" s="1"/>
  <c r="T339" i="7" s="1"/>
  <c r="T43" i="7"/>
  <c r="T26" i="7"/>
  <c r="T59" i="7"/>
  <c r="F57" i="7"/>
  <c r="F64" i="7"/>
  <c r="F50" i="7"/>
  <c r="F44" i="7"/>
  <c r="F63" i="7"/>
  <c r="F31" i="7"/>
  <c r="F60" i="7"/>
  <c r="F49" i="7"/>
  <c r="F52" i="7"/>
  <c r="F61" i="7"/>
  <c r="F42" i="7"/>
  <c r="F58" i="7"/>
  <c r="F65" i="7"/>
  <c r="F62" i="7"/>
  <c r="F66" i="7"/>
  <c r="O212" i="7"/>
  <c r="O213" i="7" s="1"/>
  <c r="R114" i="7"/>
  <c r="R115" i="7" s="1"/>
  <c r="R153" i="7" s="1"/>
  <c r="U111" i="7"/>
  <c r="U158" i="7"/>
  <c r="U173" i="7" s="1"/>
  <c r="U188" i="7" s="1"/>
  <c r="U128" i="7"/>
  <c r="U129" i="7" s="1"/>
  <c r="U147" i="7" s="1"/>
  <c r="U124" i="7"/>
  <c r="U110" i="7"/>
  <c r="U114" i="7"/>
  <c r="U115" i="7" s="1"/>
  <c r="U153" i="7" s="1"/>
  <c r="U119" i="7"/>
  <c r="U120" i="7" s="1"/>
  <c r="P303" i="7"/>
  <c r="P306" i="7"/>
  <c r="P307" i="7" s="1"/>
  <c r="P345" i="7" s="1"/>
  <c r="P311" i="7"/>
  <c r="P312" i="7" s="1"/>
  <c r="P350" i="7"/>
  <c r="P365" i="7" s="1"/>
  <c r="P380" i="7" s="1"/>
  <c r="P316" i="7"/>
  <c r="P317" i="7" s="1"/>
  <c r="P328" i="7" s="1"/>
  <c r="P320" i="7"/>
  <c r="P321" i="7" s="1"/>
  <c r="P339" i="7" s="1"/>
  <c r="P302" i="7"/>
  <c r="F209" i="7"/>
  <c r="F212" i="7"/>
  <c r="F213" i="7" s="1"/>
  <c r="F217" i="7"/>
  <c r="F226" i="7"/>
  <c r="F222" i="7"/>
  <c r="F256" i="7"/>
  <c r="F271" i="7" s="1"/>
  <c r="F286" i="7" s="1"/>
  <c r="F208" i="7"/>
  <c r="O302" i="7"/>
  <c r="E64" i="23"/>
  <c r="T311" i="7"/>
  <c r="T312" i="7" s="1"/>
  <c r="T338" i="7" s="1"/>
  <c r="T44" i="7"/>
  <c r="T64" i="7"/>
  <c r="T66" i="7"/>
  <c r="T62" i="7"/>
  <c r="T49" i="7"/>
  <c r="T58" i="7"/>
  <c r="T52" i="7"/>
  <c r="T42" i="7"/>
  <c r="T57" i="7"/>
  <c r="T31" i="7"/>
  <c r="T63" i="7"/>
  <c r="T60" i="7"/>
  <c r="T50" i="7"/>
  <c r="T65" i="7"/>
  <c r="T61" i="7"/>
  <c r="R124" i="7"/>
  <c r="T128" i="7"/>
  <c r="T129" i="7" s="1"/>
  <c r="T147" i="7" s="1"/>
  <c r="T114" i="7"/>
  <c r="T115" i="7" s="1"/>
  <c r="T153" i="7" s="1"/>
  <c r="U303" i="7"/>
  <c r="U320" i="7"/>
  <c r="U321" i="7" s="1"/>
  <c r="U339" i="7" s="1"/>
  <c r="V209" i="7"/>
  <c r="Q56" i="7"/>
  <c r="Q40" i="7"/>
  <c r="T286" i="7"/>
  <c r="S44" i="7"/>
  <c r="S57" i="7"/>
  <c r="S31" i="7"/>
  <c r="S61" i="7"/>
  <c r="S66" i="7"/>
  <c r="S64" i="7"/>
  <c r="S60" i="7"/>
  <c r="S63" i="7"/>
  <c r="S52" i="7"/>
  <c r="S65" i="7"/>
  <c r="S50" i="7"/>
  <c r="S49" i="7"/>
  <c r="S62" i="7"/>
  <c r="S42" i="7"/>
  <c r="S58" i="7"/>
  <c r="T350" i="7"/>
  <c r="T365" i="7" s="1"/>
  <c r="T380" i="7" s="1"/>
  <c r="O55" i="7"/>
  <c r="O51" i="7"/>
  <c r="O48" i="7"/>
  <c r="O47" i="7"/>
  <c r="O46" i="7"/>
  <c r="O53" i="7"/>
  <c r="O54" i="7"/>
  <c r="T56" i="7"/>
  <c r="T40" i="7"/>
  <c r="F51" i="7"/>
  <c r="F47" i="7"/>
  <c r="F48" i="7"/>
  <c r="F55" i="7"/>
  <c r="F46" i="7"/>
  <c r="F43" i="7"/>
  <c r="F53" i="7"/>
  <c r="F54" i="7"/>
  <c r="R119" i="7"/>
  <c r="R120" i="7" s="1"/>
  <c r="AT3" i="11"/>
  <c r="AR3" i="22"/>
  <c r="Q45" i="7"/>
  <c r="Q36" i="7"/>
  <c r="R59" i="7"/>
  <c r="R26" i="7"/>
  <c r="O324" i="7"/>
  <c r="O333" i="7"/>
  <c r="O327" i="7"/>
  <c r="U244" i="7"/>
  <c r="U227" i="7"/>
  <c r="S56" i="7"/>
  <c r="S40" i="7"/>
  <c r="T45" i="7"/>
  <c r="T36" i="7"/>
  <c r="E61" i="23"/>
  <c r="T158" i="7"/>
  <c r="T173" i="7" s="1"/>
  <c r="T188" i="7" s="1"/>
  <c r="N209" i="7"/>
  <c r="O36" i="7"/>
  <c r="O45" i="7"/>
  <c r="Q119" i="7"/>
  <c r="Q120" i="7" s="1"/>
  <c r="Q111" i="7"/>
  <c r="Q110" i="7"/>
  <c r="Q158" i="7"/>
  <c r="Q173" i="7" s="1"/>
  <c r="Q188" i="7" s="1"/>
  <c r="Q128" i="7"/>
  <c r="Q129" i="7" s="1"/>
  <c r="Q147" i="7" s="1"/>
  <c r="Q114" i="7"/>
  <c r="Q115" i="7" s="1"/>
  <c r="Q124" i="7"/>
  <c r="T316" i="7"/>
  <c r="T317" i="7" s="1"/>
  <c r="T328" i="7" s="1"/>
  <c r="Q209" i="7"/>
  <c r="Q212" i="7"/>
  <c r="Q213" i="7" s="1"/>
  <c r="Q222" i="7"/>
  <c r="Q226" i="7"/>
  <c r="Q208" i="7"/>
  <c r="Q217" i="7"/>
  <c r="Q256" i="7"/>
  <c r="Q271" i="7" s="1"/>
  <c r="Q286" i="7" s="1"/>
  <c r="E59" i="23"/>
  <c r="AS3" i="22"/>
  <c r="AU3" i="11"/>
  <c r="R52" i="7"/>
  <c r="R65" i="7"/>
  <c r="R31" i="7"/>
  <c r="R64" i="7"/>
  <c r="R62" i="7"/>
  <c r="R44" i="7"/>
  <c r="R61" i="7"/>
  <c r="R63" i="7"/>
  <c r="R57" i="7"/>
  <c r="R60" i="7"/>
  <c r="R42" i="7"/>
  <c r="R58" i="7"/>
  <c r="R49" i="7"/>
  <c r="R50" i="7"/>
  <c r="R66" i="7"/>
  <c r="O350" i="7"/>
  <c r="O365" i="7" s="1"/>
  <c r="O380" i="7" s="1"/>
  <c r="U209" i="7"/>
  <c r="S43" i="7"/>
  <c r="S26" i="7"/>
  <c r="S59" i="7"/>
  <c r="T119" i="7"/>
  <c r="T120" i="7" s="1"/>
  <c r="T145" i="7" s="1"/>
  <c r="AO20" i="13"/>
  <c r="AO6" i="24"/>
  <c r="AO11" i="7"/>
  <c r="AO13" i="7" s="1"/>
  <c r="AO14" i="7" s="1"/>
  <c r="AO15" i="7" s="1"/>
  <c r="N26" i="7"/>
  <c r="N59" i="7"/>
  <c r="R55" i="7"/>
  <c r="R53" i="7"/>
  <c r="R47" i="7"/>
  <c r="R54" i="7"/>
  <c r="R51" i="7"/>
  <c r="R46" i="7"/>
  <c r="R48" i="7"/>
  <c r="R43" i="7"/>
  <c r="O320" i="7"/>
  <c r="O321" i="7" s="1"/>
  <c r="O339" i="7" s="1"/>
  <c r="N217" i="7"/>
  <c r="U286" i="7"/>
  <c r="T55" i="7"/>
  <c r="T53" i="7"/>
  <c r="T48" i="7"/>
  <c r="T47" i="7"/>
  <c r="T46" i="7"/>
  <c r="T54" i="7"/>
  <c r="T51" i="7"/>
  <c r="U380" i="7"/>
  <c r="V60" i="7"/>
  <c r="V64" i="7"/>
  <c r="V31" i="7"/>
  <c r="V42" i="7"/>
  <c r="V66" i="7"/>
  <c r="V44" i="7"/>
  <c r="V63" i="7"/>
  <c r="V57" i="7"/>
  <c r="V65" i="7"/>
  <c r="V58" i="7"/>
  <c r="V49" i="7"/>
  <c r="V62" i="7"/>
  <c r="V50" i="7"/>
  <c r="V61" i="7"/>
  <c r="V52" i="7"/>
  <c r="S111" i="7"/>
  <c r="S114" i="7"/>
  <c r="S115" i="7" s="1"/>
  <c r="S153" i="7" s="1"/>
  <c r="S158" i="7"/>
  <c r="S173" i="7" s="1"/>
  <c r="S188" i="7" s="1"/>
  <c r="S110" i="7"/>
  <c r="S124" i="7"/>
  <c r="S119" i="7"/>
  <c r="S120" i="7" s="1"/>
  <c r="S128" i="7"/>
  <c r="S129" i="7" s="1"/>
  <c r="S147" i="7" s="1"/>
  <c r="R45" i="7"/>
  <c r="R36" i="7"/>
  <c r="N212" i="7"/>
  <c r="N213" i="7" s="1"/>
  <c r="U222" i="7"/>
  <c r="U217" i="7"/>
  <c r="S45" i="7"/>
  <c r="S36" i="7"/>
  <c r="T209" i="7"/>
  <c r="T212" i="7"/>
  <c r="T213" i="7" s="1"/>
  <c r="N66" i="7"/>
  <c r="N52" i="7"/>
  <c r="N61" i="7"/>
  <c r="N49" i="7"/>
  <c r="N50" i="7"/>
  <c r="N65" i="7"/>
  <c r="N62" i="7"/>
  <c r="N58" i="7"/>
  <c r="N31" i="7"/>
  <c r="N57" i="7"/>
  <c r="N42" i="7"/>
  <c r="N44" i="7"/>
  <c r="N60" i="7"/>
  <c r="N63" i="7"/>
  <c r="N64" i="7"/>
  <c r="O188" i="7"/>
  <c r="V246" i="7"/>
  <c r="O209" i="7"/>
  <c r="O208" i="7"/>
  <c r="O226" i="7"/>
  <c r="N222" i="7"/>
  <c r="P59" i="7"/>
  <c r="P26" i="7"/>
  <c r="O138" i="7"/>
  <c r="O133" i="7"/>
  <c r="T223" i="7"/>
  <c r="T233" i="7"/>
  <c r="V233" i="7"/>
  <c r="AN209" i="7"/>
  <c r="V43" i="7"/>
  <c r="V48" i="7"/>
  <c r="V47" i="7"/>
  <c r="V53" i="7"/>
  <c r="V46" i="7"/>
  <c r="V55" i="7"/>
  <c r="V51" i="7"/>
  <c r="V54" i="7"/>
  <c r="N303" i="7"/>
  <c r="N302" i="7"/>
  <c r="N316" i="7"/>
  <c r="N317" i="7" s="1"/>
  <c r="N328" i="7" s="1"/>
  <c r="N320" i="7"/>
  <c r="N321" i="7" s="1"/>
  <c r="N339" i="7" s="1"/>
  <c r="N350" i="7"/>
  <c r="N365" i="7" s="1"/>
  <c r="N380" i="7" s="1"/>
  <c r="N311" i="7"/>
  <c r="N312" i="7" s="1"/>
  <c r="N306" i="7"/>
  <c r="N307" i="7" s="1"/>
  <c r="N345" i="7" s="1"/>
  <c r="O31" i="7"/>
  <c r="O44" i="7"/>
  <c r="O42" i="7"/>
  <c r="O66" i="7"/>
  <c r="O52" i="7"/>
  <c r="O57" i="7"/>
  <c r="O65" i="7"/>
  <c r="O49" i="7"/>
  <c r="O60" i="7"/>
  <c r="O63" i="7"/>
  <c r="O64" i="7"/>
  <c r="O58" i="7"/>
  <c r="O62" i="7"/>
  <c r="O50" i="7"/>
  <c r="O61" i="7"/>
  <c r="S303" i="7"/>
  <c r="S311" i="7"/>
  <c r="S312" i="7" s="1"/>
  <c r="S306" i="7"/>
  <c r="S307" i="7" s="1"/>
  <c r="S345" i="7" s="1"/>
  <c r="S350" i="7"/>
  <c r="S365" i="7" s="1"/>
  <c r="S380" i="7" s="1"/>
  <c r="S320" i="7"/>
  <c r="S321" i="7" s="1"/>
  <c r="S339" i="7" s="1"/>
  <c r="S302" i="7"/>
  <c r="S316" i="7"/>
  <c r="S317" i="7" s="1"/>
  <c r="S328" i="7" s="1"/>
  <c r="P209" i="7"/>
  <c r="P217" i="7"/>
  <c r="P256" i="7"/>
  <c r="P271" i="7" s="1"/>
  <c r="P286" i="7" s="1"/>
  <c r="P226" i="7"/>
  <c r="P212" i="7"/>
  <c r="P213" i="7" s="1"/>
  <c r="P208" i="7"/>
  <c r="P222" i="7"/>
  <c r="U208" i="7"/>
  <c r="S51" i="7"/>
  <c r="S55" i="7"/>
  <c r="S47" i="7"/>
  <c r="S46" i="7"/>
  <c r="S54" i="7"/>
  <c r="S53" i="7"/>
  <c r="S48" i="7"/>
  <c r="V111" i="7"/>
  <c r="V119" i="7"/>
  <c r="V120" i="7" s="1"/>
  <c r="V158" i="7"/>
  <c r="V173" i="7" s="1"/>
  <c r="V188" i="7" s="1"/>
  <c r="V124" i="7"/>
  <c r="V128" i="7"/>
  <c r="V129" i="7" s="1"/>
  <c r="V147" i="7" s="1"/>
  <c r="T217" i="7"/>
  <c r="U40" i="7"/>
  <c r="U56" i="7"/>
  <c r="N56" i="7"/>
  <c r="N40" i="7"/>
  <c r="T124" i="7"/>
  <c r="U302" i="7"/>
  <c r="O128" i="7"/>
  <c r="O129" i="7" s="1"/>
  <c r="O147" i="7" s="1"/>
  <c r="U66" i="7"/>
  <c r="U42" i="7"/>
  <c r="U31" i="7"/>
  <c r="U58" i="7"/>
  <c r="U44" i="7"/>
  <c r="U52" i="7"/>
  <c r="U49" i="7"/>
  <c r="U64" i="7"/>
  <c r="U50" i="7"/>
  <c r="U57" i="7"/>
  <c r="U65" i="7"/>
  <c r="U63" i="7"/>
  <c r="U61" i="7"/>
  <c r="U60" i="7"/>
  <c r="U62" i="7"/>
  <c r="AP80" i="7"/>
  <c r="AP95" i="7" s="1"/>
  <c r="R247" i="7"/>
  <c r="N111" i="7"/>
  <c r="N114" i="7"/>
  <c r="N115" i="7" s="1"/>
  <c r="N153" i="7" s="1"/>
  <c r="N119" i="7"/>
  <c r="N120" i="7" s="1"/>
  <c r="N124" i="7"/>
  <c r="N158" i="7"/>
  <c r="N173" i="7" s="1"/>
  <c r="N188" i="7" s="1"/>
  <c r="N128" i="7"/>
  <c r="N129" i="7" s="1"/>
  <c r="N147" i="7" s="1"/>
  <c r="N110" i="7"/>
  <c r="R56" i="7"/>
  <c r="R40" i="7"/>
  <c r="O316" i="7"/>
  <c r="O317" i="7" s="1"/>
  <c r="O328" i="7" s="1"/>
  <c r="U36" i="7"/>
  <c r="U45" i="7"/>
  <c r="N36" i="7"/>
  <c r="N45" i="7"/>
  <c r="V208" i="7"/>
  <c r="O124" i="7"/>
  <c r="V249" i="7"/>
  <c r="P111" i="7"/>
  <c r="P158" i="7"/>
  <c r="P173" i="7" s="1"/>
  <c r="P188" i="7" s="1"/>
  <c r="P119" i="7"/>
  <c r="P120" i="7" s="1"/>
  <c r="P114" i="7"/>
  <c r="P115" i="7" s="1"/>
  <c r="P153" i="7" s="1"/>
  <c r="P110" i="7"/>
  <c r="P128" i="7"/>
  <c r="P129" i="7" s="1"/>
  <c r="P147" i="7" s="1"/>
  <c r="P124" i="7"/>
  <c r="T227" i="7"/>
  <c r="T244" i="7"/>
  <c r="O306" i="7"/>
  <c r="O307" i="7" s="1"/>
  <c r="O345" i="7" s="1"/>
  <c r="R226" i="7"/>
  <c r="R209" i="7"/>
  <c r="R217" i="7"/>
  <c r="U48" i="7"/>
  <c r="U59" i="7"/>
  <c r="U26" i="7"/>
  <c r="F56" i="7"/>
  <c r="F40" i="7"/>
  <c r="R222" i="7"/>
  <c r="P44" i="7"/>
  <c r="P49" i="7"/>
  <c r="P64" i="7"/>
  <c r="P66" i="7"/>
  <c r="P58" i="7"/>
  <c r="P42" i="7"/>
  <c r="P57" i="7"/>
  <c r="P62" i="7"/>
  <c r="P60" i="7"/>
  <c r="P63" i="7"/>
  <c r="P65" i="7"/>
  <c r="P31" i="7"/>
  <c r="P52" i="7"/>
  <c r="P61" i="7"/>
  <c r="P50" i="7"/>
  <c r="V212" i="7"/>
  <c r="V213" i="7" s="1"/>
  <c r="O119" i="7"/>
  <c r="O120" i="7" s="1"/>
  <c r="V9" i="15"/>
  <c r="AB6" i="11" s="1"/>
  <c r="L7" i="15"/>
  <c r="R5" i="11" s="1"/>
  <c r="L10" i="13"/>
  <c r="L3" i="9" s="1"/>
  <c r="P6" i="10" s="1"/>
  <c r="AH17" i="15"/>
  <c r="AN10" i="11" s="1"/>
  <c r="AH13" i="15"/>
  <c r="AN8" i="11" s="1"/>
  <c r="AH19" i="15"/>
  <c r="AN11" i="11" s="1"/>
  <c r="AH9" i="15"/>
  <c r="AN6" i="11" s="1"/>
  <c r="AH10" i="13"/>
  <c r="AH3" i="8" s="1"/>
  <c r="L29" i="15"/>
  <c r="L37" i="15" s="1"/>
  <c r="I7" i="15"/>
  <c r="O5" i="11" s="1"/>
  <c r="I9" i="15"/>
  <c r="O6" i="11" s="1"/>
  <c r="I13" i="15"/>
  <c r="O8" i="11" s="1"/>
  <c r="I15" i="15"/>
  <c r="O9" i="11" s="1"/>
  <c r="AF29" i="15"/>
  <c r="AF37" i="15" s="1"/>
  <c r="AF38" i="15" s="1"/>
  <c r="AF39" i="15" s="1"/>
  <c r="AF7" i="15"/>
  <c r="AL5" i="11" s="1"/>
  <c r="AF9" i="15"/>
  <c r="AL6" i="11" s="1"/>
  <c r="AF11" i="15"/>
  <c r="AL7" i="11" s="1"/>
  <c r="S17" i="21"/>
  <c r="AF13" i="15"/>
  <c r="AL8" i="11" s="1"/>
  <c r="AF15" i="15"/>
  <c r="AL9" i="11" s="1"/>
  <c r="AF17" i="15"/>
  <c r="AL10" i="11" s="1"/>
  <c r="AF10" i="13"/>
  <c r="AF3" i="8" s="1"/>
  <c r="L15" i="15"/>
  <c r="R9" i="11" s="1"/>
  <c r="L19" i="15"/>
  <c r="R11" i="11" s="1"/>
  <c r="L9" i="15"/>
  <c r="R6" i="11" s="1"/>
  <c r="S11" i="15"/>
  <c r="Y7" i="11" s="1"/>
  <c r="I17" i="15"/>
  <c r="O10" i="11" s="1"/>
  <c r="I19" i="15"/>
  <c r="O11" i="11" s="1"/>
  <c r="I10" i="13"/>
  <c r="I3" i="9" s="1"/>
  <c r="M6" i="10" s="1"/>
  <c r="S15" i="15"/>
  <c r="Y9" i="11" s="1"/>
  <c r="I29" i="15"/>
  <c r="I37" i="15" s="1"/>
  <c r="I38" i="15" s="1"/>
  <c r="I39" i="15" s="1"/>
  <c r="I40" i="15" s="1"/>
  <c r="AE13" i="15"/>
  <c r="AK8" i="11" s="1"/>
  <c r="M7" i="15"/>
  <c r="S5" i="11" s="1"/>
  <c r="AE11" i="15"/>
  <c r="AK7" i="11" s="1"/>
  <c r="M9" i="15"/>
  <c r="S6" i="11" s="1"/>
  <c r="M11" i="15"/>
  <c r="S7" i="11" s="1"/>
  <c r="AE9" i="15"/>
  <c r="AK6" i="11" s="1"/>
  <c r="M15" i="15"/>
  <c r="S9" i="11" s="1"/>
  <c r="M29" i="15"/>
  <c r="M37" i="15" s="1"/>
  <c r="M38" i="15" s="1"/>
  <c r="M39" i="15" s="1"/>
  <c r="AE7" i="15"/>
  <c r="AK5" i="11" s="1"/>
  <c r="M17" i="15"/>
  <c r="S10" i="11" s="1"/>
  <c r="AE29" i="15"/>
  <c r="AE37" i="15" s="1"/>
  <c r="AE38" i="15" s="1"/>
  <c r="AE39" i="15" s="1"/>
  <c r="AE15" i="15"/>
  <c r="AK9" i="11" s="1"/>
  <c r="M19" i="15"/>
  <c r="S11" i="11" s="1"/>
  <c r="AE19" i="15"/>
  <c r="AK11" i="11" s="1"/>
  <c r="N7" i="15"/>
  <c r="T5" i="11" s="1"/>
  <c r="N9" i="15"/>
  <c r="T6" i="11" s="1"/>
  <c r="G13" i="15"/>
  <c r="M8" i="11" s="1"/>
  <c r="N11" i="15"/>
  <c r="T7" i="11" s="1"/>
  <c r="N13" i="15"/>
  <c r="T8" i="11" s="1"/>
  <c r="G11" i="15"/>
  <c r="M7" i="11" s="1"/>
  <c r="N15" i="15"/>
  <c r="T9" i="11" s="1"/>
  <c r="G17" i="15"/>
  <c r="M10" i="11" s="1"/>
  <c r="N17" i="15"/>
  <c r="T10" i="11" s="1"/>
  <c r="G7" i="15"/>
  <c r="M5" i="11" s="1"/>
  <c r="AH29" i="15"/>
  <c r="AH37" i="15" s="1"/>
  <c r="AH38" i="15" s="1"/>
  <c r="AH39" i="15" s="1"/>
  <c r="AH7" i="15"/>
  <c r="AN5" i="11" s="1"/>
  <c r="G19" i="15"/>
  <c r="M11" i="11" s="1"/>
  <c r="N29" i="15"/>
  <c r="N37" i="15" s="1"/>
  <c r="N38" i="15" s="1"/>
  <c r="N39" i="15" s="1"/>
  <c r="N40" i="15" s="1"/>
  <c r="N10" i="13"/>
  <c r="N3" i="9" s="1"/>
  <c r="R6" i="10" s="1"/>
  <c r="AH11" i="15"/>
  <c r="AN7" i="11" s="1"/>
  <c r="N19" i="15"/>
  <c r="T11" i="11" s="1"/>
  <c r="G9" i="15"/>
  <c r="M6" i="11" s="1"/>
  <c r="G15" i="15"/>
  <c r="M9" i="11" s="1"/>
  <c r="AG7" i="15"/>
  <c r="AM5" i="11" s="1"/>
  <c r="G10" i="13"/>
  <c r="G3" i="9" s="1"/>
  <c r="K6" i="10" s="1"/>
  <c r="P19" i="15"/>
  <c r="V11" i="11" s="1"/>
  <c r="P7" i="15"/>
  <c r="V5" i="11" s="1"/>
  <c r="P13" i="15"/>
  <c r="V8" i="11" s="1"/>
  <c r="P29" i="15"/>
  <c r="P37" i="15" s="1"/>
  <c r="P38" i="15" s="1"/>
  <c r="P10" i="13"/>
  <c r="P3" i="8" s="1"/>
  <c r="S29" i="15"/>
  <c r="S37" i="15" s="1"/>
  <c r="S38" i="15" s="1"/>
  <c r="S39" i="15" s="1"/>
  <c r="S40" i="15" s="1"/>
  <c r="P15" i="15"/>
  <c r="V9" i="11" s="1"/>
  <c r="P17" i="15"/>
  <c r="V10" i="11" s="1"/>
  <c r="S10" i="13"/>
  <c r="S3" i="9" s="1"/>
  <c r="W6" i="10" s="1"/>
  <c r="S13" i="15"/>
  <c r="Y8" i="11" s="1"/>
  <c r="AN45" i="7"/>
  <c r="Y11" i="15"/>
  <c r="AE7" i="11" s="1"/>
  <c r="S14" i="17"/>
  <c r="S28" i="13" s="1"/>
  <c r="U9" i="15"/>
  <c r="AA6" i="11" s="1"/>
  <c r="Y7" i="15"/>
  <c r="AE5" i="11" s="1"/>
  <c r="Y9" i="15"/>
  <c r="AE6" i="11" s="1"/>
  <c r="V11" i="15"/>
  <c r="AB7" i="11" s="1"/>
  <c r="Y15" i="15"/>
  <c r="AE9" i="11" s="1"/>
  <c r="Y19" i="15"/>
  <c r="AE11" i="11" s="1"/>
  <c r="Y29" i="15"/>
  <c r="Y37" i="15" s="1"/>
  <c r="Y38" i="15" s="1"/>
  <c r="Y39" i="15" s="1"/>
  <c r="Y10" i="13"/>
  <c r="Y3" i="9" s="1"/>
  <c r="AC6" i="10" s="1"/>
  <c r="V15" i="15"/>
  <c r="AB9" i="11" s="1"/>
  <c r="Y17" i="15"/>
  <c r="AE10" i="11" s="1"/>
  <c r="V29" i="15"/>
  <c r="V37" i="15" s="1"/>
  <c r="V38" i="15" s="1"/>
  <c r="V13" i="15"/>
  <c r="AB8" i="11" s="1"/>
  <c r="V15" i="17"/>
  <c r="V27" i="13" s="1"/>
  <c r="V14" i="17"/>
  <c r="V28" i="13" s="1"/>
  <c r="F44" i="9"/>
  <c r="F45" i="9" s="1"/>
  <c r="F55" i="9" s="1"/>
  <c r="H9" i="15"/>
  <c r="N6" i="11" s="1"/>
  <c r="H7" i="15"/>
  <c r="N5" i="11" s="1"/>
  <c r="H11" i="15"/>
  <c r="N7" i="11" s="1"/>
  <c r="H13" i="15"/>
  <c r="N8" i="11" s="1"/>
  <c r="H15" i="15"/>
  <c r="N9" i="11" s="1"/>
  <c r="H17" i="15"/>
  <c r="N10" i="11" s="1"/>
  <c r="H19" i="15"/>
  <c r="N11" i="11" s="1"/>
  <c r="H10" i="13"/>
  <c r="H3" i="9" s="1"/>
  <c r="L6" i="10" s="1"/>
  <c r="S19" i="15"/>
  <c r="Y11" i="11" s="1"/>
  <c r="S17" i="15"/>
  <c r="Y10" i="11" s="1"/>
  <c r="I31" i="15"/>
  <c r="I32" i="15" s="1"/>
  <c r="I33" i="15" s="1"/>
  <c r="I34" i="15" s="1"/>
  <c r="S7" i="15"/>
  <c r="Y5" i="11" s="1"/>
  <c r="BM125" i="11"/>
  <c r="AG19" i="15"/>
  <c r="AM11" i="11" s="1"/>
  <c r="N31" i="15"/>
  <c r="N32" i="15" s="1"/>
  <c r="N33" i="15" s="1"/>
  <c r="O7" i="15"/>
  <c r="U5" i="11" s="1"/>
  <c r="X7" i="15"/>
  <c r="AD5" i="11" s="1"/>
  <c r="X29" i="15"/>
  <c r="X37" i="15" s="1"/>
  <c r="X38" i="15" s="1"/>
  <c r="X39" i="15" s="1"/>
  <c r="X40" i="15" s="1"/>
  <c r="O9" i="15"/>
  <c r="U6" i="11" s="1"/>
  <c r="X9" i="15"/>
  <c r="AD6" i="11" s="1"/>
  <c r="O11" i="15"/>
  <c r="U7" i="11" s="1"/>
  <c r="X13" i="15"/>
  <c r="AD8" i="11" s="1"/>
  <c r="AG29" i="15"/>
  <c r="AG37" i="15" s="1"/>
  <c r="AG38" i="15" s="1"/>
  <c r="AF192" i="14"/>
  <c r="AF194" i="14" s="1"/>
  <c r="AF195" i="14" s="1"/>
  <c r="V78" i="21"/>
  <c r="O29" i="15"/>
  <c r="O37" i="15" s="1"/>
  <c r="O38" i="15" s="1"/>
  <c r="O39" i="15" s="1"/>
  <c r="O13" i="15"/>
  <c r="U8" i="11" s="1"/>
  <c r="O15" i="15"/>
  <c r="U9" i="11" s="1"/>
  <c r="X17" i="15"/>
  <c r="AD10" i="11" s="1"/>
  <c r="BM63" i="11"/>
  <c r="O17" i="15"/>
  <c r="U10" i="11" s="1"/>
  <c r="X19" i="15"/>
  <c r="AD11" i="11" s="1"/>
  <c r="BM51" i="11"/>
  <c r="X15" i="15"/>
  <c r="AD9" i="11" s="1"/>
  <c r="O19" i="15"/>
  <c r="U11" i="11" s="1"/>
  <c r="X11" i="15"/>
  <c r="AD7" i="11" s="1"/>
  <c r="BM105" i="11"/>
  <c r="BM47" i="11"/>
  <c r="AG9" i="15"/>
  <c r="AM6" i="11" s="1"/>
  <c r="AF31" i="15"/>
  <c r="AF32" i="15" s="1"/>
  <c r="BM72" i="11"/>
  <c r="O31" i="15"/>
  <c r="O32" i="15" s="1"/>
  <c r="O33" i="15" s="1"/>
  <c r="O10" i="13"/>
  <c r="O3" i="8" s="1"/>
  <c r="BM74" i="11"/>
  <c r="AG11" i="15"/>
  <c r="AM7" i="11" s="1"/>
  <c r="AG13" i="15"/>
  <c r="AM8" i="11" s="1"/>
  <c r="AG10" i="13"/>
  <c r="AG3" i="8" s="1"/>
  <c r="AG15" i="15"/>
  <c r="AM9" i="11" s="1"/>
  <c r="BM35" i="11"/>
  <c r="AH31" i="15"/>
  <c r="AH32" i="15" s="1"/>
  <c r="AH33" i="15" s="1"/>
  <c r="AN4" i="11"/>
  <c r="BM91" i="11"/>
  <c r="BM43" i="11"/>
  <c r="BM34" i="11"/>
  <c r="BM119" i="11"/>
  <c r="BM100" i="11"/>
  <c r="BM107" i="11"/>
  <c r="BM122" i="11"/>
  <c r="BM44" i="11"/>
  <c r="G31" i="15"/>
  <c r="G32" i="15" s="1"/>
  <c r="G33" i="15" s="1"/>
  <c r="G34" i="15" s="1"/>
  <c r="M4" i="11"/>
  <c r="BM98" i="11"/>
  <c r="BM90" i="11"/>
  <c r="BM94" i="11"/>
  <c r="BM130" i="11"/>
  <c r="BM83" i="11"/>
  <c r="BM115" i="11"/>
  <c r="BM81" i="11"/>
  <c r="U17" i="15"/>
  <c r="AA10" i="11" s="1"/>
  <c r="AA4" i="11"/>
  <c r="BM50" i="11"/>
  <c r="BM136" i="11"/>
  <c r="BM57" i="11"/>
  <c r="BM58" i="11"/>
  <c r="BM84" i="11"/>
  <c r="BM135" i="11"/>
  <c r="BM108" i="11"/>
  <c r="S31" i="15"/>
  <c r="S32" i="15" s="1"/>
  <c r="S33" i="15" s="1"/>
  <c r="Y4" i="11"/>
  <c r="BM93" i="11"/>
  <c r="BM31" i="11"/>
  <c r="BM46" i="11"/>
  <c r="BM56" i="11"/>
  <c r="BM129" i="11"/>
  <c r="BM55" i="11"/>
  <c r="BM109" i="11"/>
  <c r="AC29" i="15"/>
  <c r="AC37" i="15" s="1"/>
  <c r="AC38" i="15" s="1"/>
  <c r="AC39" i="15" s="1"/>
  <c r="AG31" i="15"/>
  <c r="AG32" i="15" s="1"/>
  <c r="AG33" i="15" s="1"/>
  <c r="AM4" i="11"/>
  <c r="BM118" i="11"/>
  <c r="BM49" i="11"/>
  <c r="BM66" i="11"/>
  <c r="BM99" i="11"/>
  <c r="BM28" i="11"/>
  <c r="BM71" i="11"/>
  <c r="BM121" i="11"/>
  <c r="AC7" i="15"/>
  <c r="AI5" i="11" s="1"/>
  <c r="X31" i="15"/>
  <c r="X32" i="15" s="1"/>
  <c r="X33" i="15" s="1"/>
  <c r="X34" i="15" s="1"/>
  <c r="AD4" i="11"/>
  <c r="BM38" i="11"/>
  <c r="BM85" i="11"/>
  <c r="BM96" i="11"/>
  <c r="BM138" i="11"/>
  <c r="BM41" i="11"/>
  <c r="BM60" i="11"/>
  <c r="BM37" i="11"/>
  <c r="Y31" i="15"/>
  <c r="Y32" i="15" s="1"/>
  <c r="Y33" i="15" s="1"/>
  <c r="AE4" i="11"/>
  <c r="BM54" i="11"/>
  <c r="BM132" i="11"/>
  <c r="BM123" i="11"/>
  <c r="BM52" i="11"/>
  <c r="BM75" i="11"/>
  <c r="BM61" i="11"/>
  <c r="BM33" i="11"/>
  <c r="AC19" i="15"/>
  <c r="AI11" i="11" s="1"/>
  <c r="AC13" i="15"/>
  <c r="AI8" i="11" s="1"/>
  <c r="AE31" i="15"/>
  <c r="AE32" i="15" s="1"/>
  <c r="AE33" i="15" s="1"/>
  <c r="AK4" i="11"/>
  <c r="BM103" i="11"/>
  <c r="BM39" i="11"/>
  <c r="BM24" i="11"/>
  <c r="BM89" i="11"/>
  <c r="BM70" i="11"/>
  <c r="BM112" i="11"/>
  <c r="BM25" i="11"/>
  <c r="AC15" i="15"/>
  <c r="AI9" i="11" s="1"/>
  <c r="W17" i="15"/>
  <c r="AC10" i="11" s="1"/>
  <c r="AC4" i="11"/>
  <c r="H31" i="15"/>
  <c r="H32" i="15" s="1"/>
  <c r="H33" i="15" s="1"/>
  <c r="H34" i="15" s="1"/>
  <c r="N4" i="11"/>
  <c r="L58" i="11"/>
  <c r="L48" i="11"/>
  <c r="L35" i="11"/>
  <c r="L31" i="11"/>
  <c r="L28" i="11"/>
  <c r="L39" i="11"/>
  <c r="L24" i="11"/>
  <c r="L20" i="11"/>
  <c r="L135" i="11"/>
  <c r="L92" i="11"/>
  <c r="L84" i="11"/>
  <c r="L62" i="11"/>
  <c r="L68" i="11"/>
  <c r="L22" i="11"/>
  <c r="L121" i="11"/>
  <c r="L98" i="11"/>
  <c r="L97" i="11"/>
  <c r="L65" i="11"/>
  <c r="L99" i="11"/>
  <c r="L40" i="11"/>
  <c r="L26" i="11"/>
  <c r="L129" i="11"/>
  <c r="L120" i="11"/>
  <c r="L104" i="11"/>
  <c r="L94" i="11"/>
  <c r="L44" i="11"/>
  <c r="L54" i="11"/>
  <c r="L137" i="11"/>
  <c r="L80" i="11"/>
  <c r="L89" i="11"/>
  <c r="L105" i="11"/>
  <c r="L81" i="11"/>
  <c r="L56" i="11"/>
  <c r="L27" i="11"/>
  <c r="L127" i="11"/>
  <c r="L74" i="11"/>
  <c r="L85" i="11"/>
  <c r="L67" i="11"/>
  <c r="L53" i="11"/>
  <c r="L132" i="11"/>
  <c r="L66" i="11"/>
  <c r="L60" i="11"/>
  <c r="L87" i="11"/>
  <c r="L37" i="11"/>
  <c r="L131" i="11"/>
  <c r="L123" i="11"/>
  <c r="L52" i="11"/>
  <c r="L50" i="11"/>
  <c r="L29" i="11"/>
  <c r="L133" i="11"/>
  <c r="L117" i="11"/>
  <c r="L93" i="11"/>
  <c r="L91" i="11"/>
  <c r="L51" i="11"/>
  <c r="L113" i="11"/>
  <c r="L114" i="11"/>
  <c r="L75" i="11"/>
  <c r="L64" i="11"/>
  <c r="L57" i="11"/>
  <c r="L19" i="11"/>
  <c r="L134" i="11"/>
  <c r="L110" i="11"/>
  <c r="L71" i="11"/>
  <c r="L72" i="11"/>
  <c r="L36" i="11"/>
  <c r="L126" i="11"/>
  <c r="L108" i="11"/>
  <c r="L102" i="11"/>
  <c r="L59" i="11"/>
  <c r="L23" i="11"/>
  <c r="L124" i="11"/>
  <c r="L103" i="11"/>
  <c r="L100" i="11"/>
  <c r="L49" i="11"/>
  <c r="L115" i="11"/>
  <c r="L76" i="11"/>
  <c r="L106" i="11"/>
  <c r="L46" i="11"/>
  <c r="L116" i="11"/>
  <c r="L118" i="11"/>
  <c r="L82" i="11"/>
  <c r="L45" i="11"/>
  <c r="L112" i="11"/>
  <c r="L95" i="11"/>
  <c r="L73" i="11"/>
  <c r="L38" i="11"/>
  <c r="L136" i="11"/>
  <c r="L101" i="11"/>
  <c r="L90" i="11"/>
  <c r="L63" i="11"/>
  <c r="L30" i="11"/>
  <c r="L128" i="11"/>
  <c r="L125" i="11"/>
  <c r="L83" i="11"/>
  <c r="L61" i="11"/>
  <c r="L47" i="11"/>
  <c r="L138" i="11"/>
  <c r="L111" i="11"/>
  <c r="L119" i="11"/>
  <c r="L77" i="11"/>
  <c r="L55" i="11"/>
  <c r="L130" i="11"/>
  <c r="L122" i="11"/>
  <c r="L42" i="11"/>
  <c r="L107" i="11"/>
  <c r="L33" i="11"/>
  <c r="L86" i="11"/>
  <c r="L109" i="11"/>
  <c r="L34" i="11"/>
  <c r="L96" i="11"/>
  <c r="L43" i="11"/>
  <c r="L70" i="11"/>
  <c r="L69" i="11"/>
  <c r="L32" i="11"/>
  <c r="L88" i="11"/>
  <c r="L25" i="11"/>
  <c r="L41" i="11"/>
  <c r="BM111" i="11"/>
  <c r="BM48" i="11"/>
  <c r="BM110" i="11"/>
  <c r="BM106" i="11"/>
  <c r="BM102" i="11"/>
  <c r="BM101" i="11"/>
  <c r="BM22" i="11"/>
  <c r="V17" i="15"/>
  <c r="AB10" i="11" s="1"/>
  <c r="AB4" i="11"/>
  <c r="AD31" i="15"/>
  <c r="AD32" i="15" s="1"/>
  <c r="AD33" i="15" s="1"/>
  <c r="AJ4" i="11"/>
  <c r="BM32" i="11"/>
  <c r="BM86" i="11"/>
  <c r="BM113" i="11"/>
  <c r="BM127" i="11"/>
  <c r="BM92" i="11"/>
  <c r="BM114" i="11"/>
  <c r="BM20" i="11"/>
  <c r="P31" i="15"/>
  <c r="P32" i="15" s="1"/>
  <c r="P33" i="15" s="1"/>
  <c r="V4" i="11"/>
  <c r="M31" i="15"/>
  <c r="M32" i="15" s="1"/>
  <c r="M33" i="15" s="1"/>
  <c r="M34" i="15" s="1"/>
  <c r="S4" i="11"/>
  <c r="L21" i="11"/>
  <c r="BM59" i="11"/>
  <c r="BM131" i="11"/>
  <c r="BM77" i="11"/>
  <c r="BM21" i="11"/>
  <c r="BM137" i="11"/>
  <c r="BM64" i="11"/>
  <c r="BM19" i="11"/>
  <c r="AC17" i="15"/>
  <c r="AI10" i="11" s="1"/>
  <c r="AC11" i="15"/>
  <c r="AI7" i="11" s="1"/>
  <c r="Q31" i="15"/>
  <c r="Q32" i="15" s="1"/>
  <c r="Q33" i="15" s="1"/>
  <c r="Q34" i="15" s="1"/>
  <c r="W4" i="11"/>
  <c r="BM82" i="11"/>
  <c r="BM68" i="11"/>
  <c r="BM97" i="11"/>
  <c r="BM69" i="11"/>
  <c r="BM95" i="11"/>
  <c r="BM30" i="11"/>
  <c r="BM73" i="11"/>
  <c r="BM23" i="11"/>
  <c r="L31" i="15"/>
  <c r="L32" i="15" s="1"/>
  <c r="L33" i="15" s="1"/>
  <c r="R4" i="11"/>
  <c r="BM40" i="11"/>
  <c r="BM80" i="11"/>
  <c r="BM26" i="11"/>
  <c r="BM120" i="11"/>
  <c r="BM117" i="11"/>
  <c r="BM36" i="11"/>
  <c r="BM62" i="11"/>
  <c r="BM27" i="11"/>
  <c r="AC31" i="15"/>
  <c r="AC32" i="15" s="1"/>
  <c r="AC33" i="15" s="1"/>
  <c r="AI4" i="11"/>
  <c r="AC9" i="15"/>
  <c r="AI6" i="11" s="1"/>
  <c r="BM104" i="11"/>
  <c r="BM133" i="11"/>
  <c r="BM53" i="11"/>
  <c r="BM134" i="11"/>
  <c r="BM128" i="11"/>
  <c r="BM42" i="11"/>
  <c r="BM65" i="11"/>
  <c r="BM29" i="11"/>
  <c r="BM124" i="11"/>
  <c r="BM88" i="11"/>
  <c r="BM87" i="11"/>
  <c r="BM67" i="11"/>
  <c r="BM126" i="11"/>
  <c r="BM76" i="11"/>
  <c r="BM116" i="11"/>
  <c r="BM45" i="11"/>
  <c r="AD10" i="13"/>
  <c r="AD3" i="8" s="1"/>
  <c r="J127" i="10"/>
  <c r="Q11" i="15"/>
  <c r="W7" i="11" s="1"/>
  <c r="Q13" i="15"/>
  <c r="W8" i="11" s="1"/>
  <c r="Q19" i="15"/>
  <c r="W11" i="11" s="1"/>
  <c r="Q17" i="15"/>
  <c r="W10" i="11" s="1"/>
  <c r="Q15" i="15"/>
  <c r="W9" i="11" s="1"/>
  <c r="Q7" i="15"/>
  <c r="W5" i="11" s="1"/>
  <c r="AD11" i="15"/>
  <c r="AJ7" i="11" s="1"/>
  <c r="Q29" i="15"/>
  <c r="Q37" i="15" s="1"/>
  <c r="Q38" i="15" s="1"/>
  <c r="Q39" i="15" s="1"/>
  <c r="Q40" i="15" s="1"/>
  <c r="AD17" i="15"/>
  <c r="AJ10" i="11" s="1"/>
  <c r="AD7" i="15"/>
  <c r="AJ5" i="11" s="1"/>
  <c r="AD9" i="15"/>
  <c r="AJ6" i="11" s="1"/>
  <c r="AD15" i="15"/>
  <c r="AJ9" i="11" s="1"/>
  <c r="Q27" i="9"/>
  <c r="Q28" i="9" s="1"/>
  <c r="U4" i="10" s="1"/>
  <c r="U6" i="10"/>
  <c r="AD13" i="15"/>
  <c r="AJ8" i="11" s="1"/>
  <c r="Q9" i="15"/>
  <c r="W6" i="11" s="1"/>
  <c r="AD19" i="15"/>
  <c r="AJ11" i="11" s="1"/>
  <c r="AD29" i="15"/>
  <c r="AD37" i="15" s="1"/>
  <c r="AD38" i="15" s="1"/>
  <c r="AD39" i="15" s="1"/>
  <c r="V31" i="15"/>
  <c r="Q79" i="21"/>
  <c r="U79" i="21"/>
  <c r="S11" i="21"/>
  <c r="S14" i="21"/>
  <c r="S20" i="21" s="1"/>
  <c r="S28" i="21" s="1"/>
  <c r="U34" i="21"/>
  <c r="V79" i="21"/>
  <c r="AM219" i="22"/>
  <c r="AM217" i="22"/>
  <c r="AM215" i="22"/>
  <c r="AM211" i="22"/>
  <c r="AM209" i="22"/>
  <c r="AM223" i="22"/>
  <c r="AM227" i="22"/>
  <c r="AI80" i="21" s="1"/>
  <c r="AM216" i="22"/>
  <c r="AM200" i="22"/>
  <c r="AM203" i="22"/>
  <c r="AM197" i="22"/>
  <c r="AM208" i="22"/>
  <c r="AM194" i="22"/>
  <c r="AM192" i="22"/>
  <c r="AM190" i="22"/>
  <c r="AM218" i="22"/>
  <c r="AM204" i="22"/>
  <c r="AM205" i="22"/>
  <c r="AM210" i="22"/>
  <c r="AM220" i="22"/>
  <c r="AM207" i="22"/>
  <c r="AM184" i="22"/>
  <c r="AM182" i="22"/>
  <c r="AM180" i="22"/>
  <c r="AM178" i="22"/>
  <c r="AM176" i="22"/>
  <c r="AM174" i="22"/>
  <c r="AM172" i="22"/>
  <c r="AM170" i="22"/>
  <c r="AM224" i="22"/>
  <c r="AM199" i="22"/>
  <c r="AM206" i="22"/>
  <c r="AM198" i="22"/>
  <c r="AM188" i="22"/>
  <c r="AM195" i="22"/>
  <c r="AM196" i="22"/>
  <c r="AM169" i="22"/>
  <c r="AM167" i="22"/>
  <c r="AM165" i="22"/>
  <c r="AM163" i="22"/>
  <c r="AM161" i="22"/>
  <c r="AM181" i="22"/>
  <c r="AM175" i="22"/>
  <c r="AM187" i="22"/>
  <c r="AM185" i="22"/>
  <c r="AM173" i="22"/>
  <c r="AM171" i="22"/>
  <c r="AM193" i="22"/>
  <c r="AM186" i="22"/>
  <c r="AM183" i="22"/>
  <c r="AM177" i="22"/>
  <c r="AM168" i="22"/>
  <c r="AM212" i="22"/>
  <c r="AM157" i="22"/>
  <c r="AM153" i="22"/>
  <c r="AM151" i="22"/>
  <c r="AM147" i="22"/>
  <c r="AI65" i="21" s="1"/>
  <c r="AM143" i="22"/>
  <c r="AM189" i="22"/>
  <c r="AM166" i="22"/>
  <c r="AM154" i="22"/>
  <c r="AM152" i="22"/>
  <c r="AM134" i="22"/>
  <c r="AM130" i="22"/>
  <c r="AM128" i="22"/>
  <c r="AM126" i="22"/>
  <c r="AM124" i="22"/>
  <c r="AM122" i="22"/>
  <c r="AM120" i="22"/>
  <c r="AM118" i="22"/>
  <c r="AM116" i="22"/>
  <c r="AM142" i="22"/>
  <c r="AM164" i="22"/>
  <c r="AM162" i="22"/>
  <c r="AM144" i="22"/>
  <c r="AM133" i="22"/>
  <c r="AM129" i="22"/>
  <c r="AM127" i="22"/>
  <c r="AM125" i="22"/>
  <c r="AM191" i="22"/>
  <c r="AM136" i="22"/>
  <c r="AM179" i="22"/>
  <c r="AM138" i="22"/>
  <c r="AM135" i="22"/>
  <c r="AM123" i="22"/>
  <c r="AM158" i="22"/>
  <c r="AM121" i="22"/>
  <c r="AM119" i="22"/>
  <c r="AM139" i="22"/>
  <c r="AM137" i="22"/>
  <c r="AM115" i="22"/>
  <c r="AM99" i="22"/>
  <c r="AM150" i="22"/>
  <c r="AM112" i="22"/>
  <c r="AM107" i="22"/>
  <c r="AM92" i="22"/>
  <c r="AM90" i="22"/>
  <c r="AM88" i="22"/>
  <c r="AM86" i="22"/>
  <c r="AM84" i="22"/>
  <c r="AM105" i="22"/>
  <c r="AM98" i="22"/>
  <c r="AM111" i="22"/>
  <c r="AM94" i="22"/>
  <c r="AM102" i="22"/>
  <c r="AM103" i="22"/>
  <c r="AM114" i="22"/>
  <c r="AM95" i="22"/>
  <c r="AM72" i="22"/>
  <c r="AM70" i="22"/>
  <c r="AM68" i="22"/>
  <c r="AM66" i="22"/>
  <c r="AM64" i="22"/>
  <c r="AM62" i="22"/>
  <c r="AM60" i="22"/>
  <c r="AM58" i="22"/>
  <c r="AM96" i="22"/>
  <c r="AM85" i="22"/>
  <c r="AM80" i="22"/>
  <c r="AM117" i="22"/>
  <c r="AM104" i="22"/>
  <c r="AM97" i="22"/>
  <c r="AM87" i="22"/>
  <c r="AM79" i="22"/>
  <c r="AM101" i="22"/>
  <c r="AM71" i="22"/>
  <c r="AM93" i="22"/>
  <c r="AM91" i="22"/>
  <c r="AM100" i="22"/>
  <c r="AM83" i="22"/>
  <c r="AM89" i="22"/>
  <c r="AM76" i="22"/>
  <c r="AM65" i="22"/>
  <c r="AM63" i="22"/>
  <c r="AM113" i="22"/>
  <c r="AM61" i="22"/>
  <c r="AM77" i="22"/>
  <c r="AM59" i="22"/>
  <c r="AM56" i="22"/>
  <c r="AM54" i="22"/>
  <c r="AM52" i="22"/>
  <c r="AM50" i="22"/>
  <c r="AM48" i="22"/>
  <c r="AM108" i="22"/>
  <c r="AM78" i="22"/>
  <c r="AM75" i="22"/>
  <c r="AM69" i="22"/>
  <c r="AM81" i="22"/>
  <c r="AM67" i="22"/>
  <c r="AM57" i="22"/>
  <c r="AM106" i="22"/>
  <c r="AM51" i="22"/>
  <c r="AM42" i="22"/>
  <c r="AM53" i="22"/>
  <c r="AM46" i="22"/>
  <c r="AM38" i="22"/>
  <c r="AM36" i="22"/>
  <c r="AM34" i="22"/>
  <c r="AM32" i="22"/>
  <c r="AM30" i="22"/>
  <c r="AM28" i="22"/>
  <c r="AM26" i="22"/>
  <c r="AM24" i="22"/>
  <c r="AM22" i="22"/>
  <c r="AM20" i="22"/>
  <c r="AM18" i="22"/>
  <c r="AM41" i="22"/>
  <c r="AM55" i="22"/>
  <c r="AM44" i="22"/>
  <c r="AM47" i="22"/>
  <c r="AM40" i="22"/>
  <c r="AM82" i="22"/>
  <c r="AM43" i="22"/>
  <c r="AM37" i="22"/>
  <c r="AM35" i="22"/>
  <c r="AM33" i="22"/>
  <c r="AM31" i="22"/>
  <c r="AM39" i="22"/>
  <c r="AM29" i="22"/>
  <c r="AM49" i="22"/>
  <c r="AM17" i="22"/>
  <c r="AM14" i="22"/>
  <c r="AM12" i="22"/>
  <c r="AM10" i="22"/>
  <c r="AM45" i="22"/>
  <c r="AM16" i="22"/>
  <c r="AM21" i="22"/>
  <c r="AM23" i="22"/>
  <c r="AM19" i="22"/>
  <c r="AM15" i="22"/>
  <c r="AM13" i="22"/>
  <c r="AM11" i="22"/>
  <c r="AM9" i="22"/>
  <c r="AM27" i="22"/>
  <c r="AM25" i="22"/>
  <c r="N227" i="22"/>
  <c r="J80" i="21" s="1"/>
  <c r="N220" i="22"/>
  <c r="N218" i="22"/>
  <c r="N216" i="22"/>
  <c r="N212" i="22"/>
  <c r="N210" i="22"/>
  <c r="N224" i="22"/>
  <c r="N209" i="22"/>
  <c r="N207" i="22"/>
  <c r="N199" i="22"/>
  <c r="N223" i="22"/>
  <c r="N217" i="22"/>
  <c r="N200" i="22"/>
  <c r="N208" i="22"/>
  <c r="N198" i="22"/>
  <c r="N195" i="22"/>
  <c r="N193" i="22"/>
  <c r="N204" i="22"/>
  <c r="N215" i="22"/>
  <c r="N206" i="22"/>
  <c r="N205" i="22"/>
  <c r="N197" i="22"/>
  <c r="N186" i="22"/>
  <c r="N183" i="22"/>
  <c r="N181" i="22"/>
  <c r="N179" i="22"/>
  <c r="N177" i="22"/>
  <c r="N175" i="22"/>
  <c r="N173" i="22"/>
  <c r="N185" i="22"/>
  <c r="N211" i="22"/>
  <c r="N190" i="22"/>
  <c r="N203" i="22"/>
  <c r="N192" i="22"/>
  <c r="N196" i="22"/>
  <c r="N191" i="22"/>
  <c r="N219" i="22"/>
  <c r="N168" i="22"/>
  <c r="N166" i="22"/>
  <c r="N164" i="22"/>
  <c r="N194" i="22"/>
  <c r="N170" i="22"/>
  <c r="N178" i="22"/>
  <c r="N189" i="22"/>
  <c r="N180" i="22"/>
  <c r="N188" i="22"/>
  <c r="N176" i="22"/>
  <c r="N187" i="22"/>
  <c r="N161" i="22"/>
  <c r="N182" i="22"/>
  <c r="N165" i="22"/>
  <c r="N154" i="22"/>
  <c r="N152" i="22"/>
  <c r="N150" i="22"/>
  <c r="N144" i="22"/>
  <c r="N142" i="22"/>
  <c r="N138" i="22"/>
  <c r="N136" i="22"/>
  <c r="N174" i="22"/>
  <c r="N162" i="22"/>
  <c r="N158" i="22"/>
  <c r="N163" i="22"/>
  <c r="N172" i="22"/>
  <c r="N184" i="22"/>
  <c r="N139" i="22"/>
  <c r="N171" i="22"/>
  <c r="N167" i="22"/>
  <c r="N157" i="22"/>
  <c r="N169" i="22"/>
  <c r="N153" i="22"/>
  <c r="N143" i="22"/>
  <c r="N118" i="22"/>
  <c r="N117" i="22"/>
  <c r="N147" i="22"/>
  <c r="J65" i="21" s="1"/>
  <c r="N115" i="22"/>
  <c r="N113" i="22"/>
  <c r="N111" i="22"/>
  <c r="N107" i="22"/>
  <c r="N105" i="22"/>
  <c r="N103" i="22"/>
  <c r="N137" i="22"/>
  <c r="N151" i="22"/>
  <c r="N125" i="22"/>
  <c r="N134" i="22"/>
  <c r="N130" i="22"/>
  <c r="N133" i="22"/>
  <c r="N129" i="22"/>
  <c r="N128" i="22"/>
  <c r="N135" i="22"/>
  <c r="N124" i="22"/>
  <c r="N123" i="22"/>
  <c r="N127" i="22"/>
  <c r="N121" i="22"/>
  <c r="N122" i="22"/>
  <c r="N112" i="22"/>
  <c r="N97" i="22"/>
  <c r="N100" i="22"/>
  <c r="N119" i="22"/>
  <c r="N116" i="22"/>
  <c r="N93" i="22"/>
  <c r="N91" i="22"/>
  <c r="N89" i="22"/>
  <c r="N87" i="22"/>
  <c r="N85" i="22"/>
  <c r="N83" i="22"/>
  <c r="N81" i="22"/>
  <c r="N96" i="22"/>
  <c r="N120" i="22"/>
  <c r="N126" i="22"/>
  <c r="N114" i="22"/>
  <c r="N102" i="22"/>
  <c r="N98" i="22"/>
  <c r="N101" i="22"/>
  <c r="N108" i="22"/>
  <c r="N71" i="22"/>
  <c r="N69" i="22"/>
  <c r="N67" i="22"/>
  <c r="N65" i="22"/>
  <c r="N63" i="22"/>
  <c r="N61" i="22"/>
  <c r="N59" i="22"/>
  <c r="N92" i="22"/>
  <c r="N84" i="22"/>
  <c r="N106" i="22"/>
  <c r="N82" i="22"/>
  <c r="N77" i="22"/>
  <c r="N99" i="22"/>
  <c r="N90" i="22"/>
  <c r="N86" i="22"/>
  <c r="N80" i="22"/>
  <c r="N94" i="22"/>
  <c r="N95" i="22"/>
  <c r="N88" i="22"/>
  <c r="N70" i="22"/>
  <c r="N68" i="22"/>
  <c r="N66" i="22"/>
  <c r="N78" i="22"/>
  <c r="N64" i="22"/>
  <c r="N57" i="22"/>
  <c r="N72" i="22"/>
  <c r="N62" i="22"/>
  <c r="N79" i="22"/>
  <c r="N75" i="22"/>
  <c r="N104" i="22"/>
  <c r="N76" i="22"/>
  <c r="N52" i="22"/>
  <c r="N44" i="22"/>
  <c r="N60" i="22"/>
  <c r="N54" i="22"/>
  <c r="N55" i="22"/>
  <c r="N58" i="22"/>
  <c r="N48" i="22"/>
  <c r="N43" i="22"/>
  <c r="N39" i="22"/>
  <c r="N37" i="22"/>
  <c r="N35" i="22"/>
  <c r="N33" i="22"/>
  <c r="N31" i="22"/>
  <c r="N29" i="22"/>
  <c r="N27" i="22"/>
  <c r="N50" i="22"/>
  <c r="N46" i="22"/>
  <c r="N56" i="22"/>
  <c r="N42" i="22"/>
  <c r="N49" i="22"/>
  <c r="N47" i="22"/>
  <c r="N41" i="22"/>
  <c r="N45" i="22"/>
  <c r="N16" i="22"/>
  <c r="N40" i="22"/>
  <c r="N22" i="22"/>
  <c r="N53" i="22"/>
  <c r="N36" i="22"/>
  <c r="N24" i="22"/>
  <c r="N20" i="22"/>
  <c r="N15" i="22"/>
  <c r="N13" i="22"/>
  <c r="N11" i="22"/>
  <c r="N9" i="22"/>
  <c r="N38" i="22"/>
  <c r="N34" i="22"/>
  <c r="N32" i="22"/>
  <c r="N51" i="22"/>
  <c r="N23" i="22"/>
  <c r="N21" i="22"/>
  <c r="N18" i="22"/>
  <c r="N17" i="22"/>
  <c r="N26" i="22"/>
  <c r="N25" i="22"/>
  <c r="N28" i="22"/>
  <c r="N19" i="22"/>
  <c r="N14" i="22"/>
  <c r="N12" i="22"/>
  <c r="N10" i="22"/>
  <c r="N30" i="22"/>
  <c r="V224" i="22"/>
  <c r="V219" i="22"/>
  <c r="V217" i="22"/>
  <c r="V215" i="22"/>
  <c r="V211" i="22"/>
  <c r="V223" i="22"/>
  <c r="V227" i="22"/>
  <c r="R80" i="21" s="1"/>
  <c r="V200" i="22"/>
  <c r="V210" i="22"/>
  <c r="V208" i="22"/>
  <c r="V203" i="22"/>
  <c r="V212" i="22"/>
  <c r="V220" i="22"/>
  <c r="V197" i="22"/>
  <c r="V204" i="22"/>
  <c r="V205" i="22"/>
  <c r="V194" i="22"/>
  <c r="V192" i="22"/>
  <c r="V216" i="22"/>
  <c r="V206" i="22"/>
  <c r="V218" i="22"/>
  <c r="V184" i="22"/>
  <c r="V182" i="22"/>
  <c r="V180" i="22"/>
  <c r="V178" i="22"/>
  <c r="V176" i="22"/>
  <c r="V174" i="22"/>
  <c r="V199" i="22"/>
  <c r="V196" i="22"/>
  <c r="V193" i="22"/>
  <c r="V195" i="22"/>
  <c r="V191" i="22"/>
  <c r="V189" i="22"/>
  <c r="V187" i="22"/>
  <c r="V186" i="22"/>
  <c r="V207" i="22"/>
  <c r="V172" i="22"/>
  <c r="V169" i="22"/>
  <c r="V167" i="22"/>
  <c r="V165" i="22"/>
  <c r="V163" i="22"/>
  <c r="V173" i="22"/>
  <c r="V190" i="22"/>
  <c r="V188" i="22"/>
  <c r="V198" i="22"/>
  <c r="V171" i="22"/>
  <c r="V183" i="22"/>
  <c r="V179" i="22"/>
  <c r="V177" i="22"/>
  <c r="V181" i="22"/>
  <c r="V166" i="22"/>
  <c r="V209" i="22"/>
  <c r="V157" i="22"/>
  <c r="V153" i="22"/>
  <c r="V151" i="22"/>
  <c r="V147" i="22"/>
  <c r="R65" i="21" s="1"/>
  <c r="V143" i="22"/>
  <c r="V139" i="22"/>
  <c r="V137" i="22"/>
  <c r="V135" i="22"/>
  <c r="V170" i="22"/>
  <c r="V164" i="22"/>
  <c r="V150" i="22"/>
  <c r="V185" i="22"/>
  <c r="V175" i="22"/>
  <c r="V168" i="22"/>
  <c r="V154" i="22"/>
  <c r="V138" i="22"/>
  <c r="V158" i="22"/>
  <c r="V144" i="22"/>
  <c r="V133" i="22"/>
  <c r="V129" i="22"/>
  <c r="V161" i="22"/>
  <c r="V136" i="22"/>
  <c r="V134" i="22"/>
  <c r="V130" i="22"/>
  <c r="V114" i="22"/>
  <c r="V112" i="22"/>
  <c r="V108" i="22"/>
  <c r="V106" i="22"/>
  <c r="V104" i="22"/>
  <c r="V102" i="22"/>
  <c r="V123" i="22"/>
  <c r="V152" i="22"/>
  <c r="V128" i="22"/>
  <c r="V122" i="22"/>
  <c r="V127" i="22"/>
  <c r="V124" i="22"/>
  <c r="V121" i="22"/>
  <c r="V120" i="22"/>
  <c r="V119" i="22"/>
  <c r="V118" i="22"/>
  <c r="V117" i="22"/>
  <c r="V126" i="22"/>
  <c r="V162" i="22"/>
  <c r="V116" i="22"/>
  <c r="V99" i="22"/>
  <c r="V98" i="22"/>
  <c r="V92" i="22"/>
  <c r="V90" i="22"/>
  <c r="V88" i="22"/>
  <c r="V86" i="22"/>
  <c r="V84" i="22"/>
  <c r="V82" i="22"/>
  <c r="V115" i="22"/>
  <c r="V94" i="22"/>
  <c r="V113" i="22"/>
  <c r="V103" i="22"/>
  <c r="V125" i="22"/>
  <c r="V107" i="22"/>
  <c r="V100" i="22"/>
  <c r="V80" i="22"/>
  <c r="V72" i="22"/>
  <c r="V70" i="22"/>
  <c r="V68" i="22"/>
  <c r="V66" i="22"/>
  <c r="V64" i="22"/>
  <c r="V62" i="22"/>
  <c r="V60" i="22"/>
  <c r="V111" i="22"/>
  <c r="V87" i="22"/>
  <c r="V93" i="22"/>
  <c r="V79" i="22"/>
  <c r="V91" i="22"/>
  <c r="V95" i="22"/>
  <c r="V96" i="22"/>
  <c r="V89" i="22"/>
  <c r="V142" i="22"/>
  <c r="V105" i="22"/>
  <c r="V101" i="22"/>
  <c r="V97" i="22"/>
  <c r="V65" i="22"/>
  <c r="V78" i="22"/>
  <c r="V63" i="22"/>
  <c r="V81" i="22"/>
  <c r="V61" i="22"/>
  <c r="V83" i="22"/>
  <c r="V59" i="22"/>
  <c r="V75" i="22"/>
  <c r="V58" i="22"/>
  <c r="V76" i="22"/>
  <c r="V85" i="22"/>
  <c r="V55" i="22"/>
  <c r="V42" i="22"/>
  <c r="V56" i="22"/>
  <c r="V67" i="22"/>
  <c r="V41" i="22"/>
  <c r="V38" i="22"/>
  <c r="V36" i="22"/>
  <c r="V34" i="22"/>
  <c r="V32" i="22"/>
  <c r="V30" i="22"/>
  <c r="V28" i="22"/>
  <c r="V26" i="22"/>
  <c r="V47" i="22"/>
  <c r="V49" i="22"/>
  <c r="V44" i="22"/>
  <c r="V69" i="22"/>
  <c r="V52" i="22"/>
  <c r="V54" i="22"/>
  <c r="V40" i="22"/>
  <c r="V45" i="22"/>
  <c r="V71" i="22"/>
  <c r="V57" i="22"/>
  <c r="V43" i="22"/>
  <c r="V50" i="22"/>
  <c r="V46" i="22"/>
  <c r="V39" i="22"/>
  <c r="V53" i="22"/>
  <c r="V35" i="22"/>
  <c r="V77" i="22"/>
  <c r="V37" i="22"/>
  <c r="V18" i="22"/>
  <c r="V17" i="22"/>
  <c r="V31" i="22"/>
  <c r="V23" i="22"/>
  <c r="V21" i="22"/>
  <c r="V14" i="22"/>
  <c r="V12" i="22"/>
  <c r="V10" i="22"/>
  <c r="V48" i="22"/>
  <c r="V16" i="22"/>
  <c r="V51" i="22"/>
  <c r="V27" i="22"/>
  <c r="V25" i="22"/>
  <c r="V29" i="22"/>
  <c r="V19" i="22"/>
  <c r="V33" i="22"/>
  <c r="V22" i="22"/>
  <c r="V9" i="22"/>
  <c r="V24" i="22"/>
  <c r="V20" i="22"/>
  <c r="V15" i="22"/>
  <c r="V13" i="22"/>
  <c r="V11" i="22"/>
  <c r="O227" i="22"/>
  <c r="K80" i="21" s="1"/>
  <c r="O220" i="22"/>
  <c r="O218" i="22"/>
  <c r="O216" i="22"/>
  <c r="O212" i="22"/>
  <c r="O210" i="22"/>
  <c r="O224" i="22"/>
  <c r="O209" i="22"/>
  <c r="O207" i="22"/>
  <c r="O199" i="22"/>
  <c r="O223" i="22"/>
  <c r="O217" i="22"/>
  <c r="O200" i="22"/>
  <c r="O208" i="22"/>
  <c r="O198" i="22"/>
  <c r="O195" i="22"/>
  <c r="O193" i="22"/>
  <c r="O191" i="22"/>
  <c r="O203" i="22"/>
  <c r="O204" i="22"/>
  <c r="O219" i="22"/>
  <c r="O205" i="22"/>
  <c r="O197" i="22"/>
  <c r="O186" i="22"/>
  <c r="O183" i="22"/>
  <c r="O181" i="22"/>
  <c r="O179" i="22"/>
  <c r="O177" i="22"/>
  <c r="O175" i="22"/>
  <c r="O173" i="22"/>
  <c r="O171" i="22"/>
  <c r="O185" i="22"/>
  <c r="O211" i="22"/>
  <c r="O190" i="22"/>
  <c r="O206" i="22"/>
  <c r="O192" i="22"/>
  <c r="O194" i="22"/>
  <c r="O215" i="22"/>
  <c r="O168" i="22"/>
  <c r="O166" i="22"/>
  <c r="O164" i="22"/>
  <c r="O162" i="22"/>
  <c r="O170" i="22"/>
  <c r="O196" i="22"/>
  <c r="O178" i="22"/>
  <c r="O189" i="22"/>
  <c r="O188" i="22"/>
  <c r="O176" i="22"/>
  <c r="O182" i="22"/>
  <c r="O187" i="22"/>
  <c r="O161" i="22"/>
  <c r="O165" i="22"/>
  <c r="O180" i="22"/>
  <c r="O154" i="22"/>
  <c r="O152" i="22"/>
  <c r="O150" i="22"/>
  <c r="O144" i="22"/>
  <c r="O174" i="22"/>
  <c r="O158" i="22"/>
  <c r="O163" i="22"/>
  <c r="O172" i="22"/>
  <c r="O157" i="22"/>
  <c r="O153" i="22"/>
  <c r="O167" i="22"/>
  <c r="O147" i="22"/>
  <c r="K65" i="21" s="1"/>
  <c r="O137" i="22"/>
  <c r="O135" i="22"/>
  <c r="O133" i="22"/>
  <c r="O129" i="22"/>
  <c r="O127" i="22"/>
  <c r="O125" i="22"/>
  <c r="O123" i="22"/>
  <c r="O121" i="22"/>
  <c r="O119" i="22"/>
  <c r="O117" i="22"/>
  <c r="O115" i="22"/>
  <c r="O138" i="22"/>
  <c r="O139" i="22"/>
  <c r="O184" i="22"/>
  <c r="O142" i="22"/>
  <c r="O134" i="22"/>
  <c r="O130" i="22"/>
  <c r="O128" i="22"/>
  <c r="O126" i="22"/>
  <c r="O143" i="22"/>
  <c r="O136" i="22"/>
  <c r="O116" i="22"/>
  <c r="O151" i="22"/>
  <c r="O169" i="22"/>
  <c r="O124" i="22"/>
  <c r="O120" i="22"/>
  <c r="O122" i="22"/>
  <c r="O112" i="22"/>
  <c r="O104" i="22"/>
  <c r="O100" i="22"/>
  <c r="O118" i="22"/>
  <c r="O93" i="22"/>
  <c r="O91" i="22"/>
  <c r="O89" i="22"/>
  <c r="O87" i="22"/>
  <c r="O85" i="22"/>
  <c r="O107" i="22"/>
  <c r="O96" i="22"/>
  <c r="O99" i="22"/>
  <c r="O111" i="22"/>
  <c r="O105" i="22"/>
  <c r="O95" i="22"/>
  <c r="O108" i="22"/>
  <c r="O106" i="22"/>
  <c r="O113" i="22"/>
  <c r="O103" i="22"/>
  <c r="O101" i="22"/>
  <c r="O71" i="22"/>
  <c r="O69" i="22"/>
  <c r="O67" i="22"/>
  <c r="O65" i="22"/>
  <c r="O63" i="22"/>
  <c r="O61" i="22"/>
  <c r="O59" i="22"/>
  <c r="O78" i="22"/>
  <c r="O75" i="22"/>
  <c r="O92" i="22"/>
  <c r="O84" i="22"/>
  <c r="O83" i="22"/>
  <c r="O97" i="22"/>
  <c r="O81" i="22"/>
  <c r="O77" i="22"/>
  <c r="O90" i="22"/>
  <c r="O86" i="22"/>
  <c r="O80" i="22"/>
  <c r="O72" i="22"/>
  <c r="O114" i="22"/>
  <c r="O94" i="22"/>
  <c r="O98" i="22"/>
  <c r="O102" i="22"/>
  <c r="O70" i="22"/>
  <c r="O68" i="22"/>
  <c r="O82" i="22"/>
  <c r="O66" i="22"/>
  <c r="O64" i="22"/>
  <c r="O57" i="22"/>
  <c r="O55" i="22"/>
  <c r="O53" i="22"/>
  <c r="O51" i="22"/>
  <c r="O49" i="22"/>
  <c r="O88" i="22"/>
  <c r="O62" i="22"/>
  <c r="O76" i="22"/>
  <c r="O60" i="22"/>
  <c r="O58" i="22"/>
  <c r="O54" i="22"/>
  <c r="O40" i="22"/>
  <c r="O48" i="22"/>
  <c r="O43" i="22"/>
  <c r="O79" i="22"/>
  <c r="O39" i="22"/>
  <c r="O37" i="22"/>
  <c r="O35" i="22"/>
  <c r="O33" i="22"/>
  <c r="O31" i="22"/>
  <c r="O29" i="22"/>
  <c r="O27" i="22"/>
  <c r="O25" i="22"/>
  <c r="O23" i="22"/>
  <c r="O21" i="22"/>
  <c r="O19" i="22"/>
  <c r="O50" i="22"/>
  <c r="O46" i="22"/>
  <c r="O56" i="22"/>
  <c r="O42" i="22"/>
  <c r="O47" i="22"/>
  <c r="O38" i="22"/>
  <c r="O36" i="22"/>
  <c r="O34" i="22"/>
  <c r="O32" i="22"/>
  <c r="O30" i="22"/>
  <c r="O52" i="22"/>
  <c r="O44" i="22"/>
  <c r="O22" i="22"/>
  <c r="O24" i="22"/>
  <c r="O20" i="22"/>
  <c r="O15" i="22"/>
  <c r="O13" i="22"/>
  <c r="O11" i="22"/>
  <c r="O9" i="22"/>
  <c r="O41" i="22"/>
  <c r="O45" i="22"/>
  <c r="O26" i="22"/>
  <c r="O17" i="22"/>
  <c r="O18" i="22"/>
  <c r="O28" i="22"/>
  <c r="O14" i="22"/>
  <c r="O12" i="22"/>
  <c r="O10" i="22"/>
  <c r="O16" i="22"/>
  <c r="X219" i="22"/>
  <c r="X217" i="22"/>
  <c r="X215" i="22"/>
  <c r="X211" i="22"/>
  <c r="X223" i="22"/>
  <c r="X227" i="22"/>
  <c r="T80" i="21" s="1"/>
  <c r="X212" i="22"/>
  <c r="X224" i="22"/>
  <c r="X220" i="22"/>
  <c r="X197" i="22"/>
  <c r="X204" i="22"/>
  <c r="X205" i="22"/>
  <c r="X194" i="22"/>
  <c r="X192" i="22"/>
  <c r="X216" i="22"/>
  <c r="X196" i="22"/>
  <c r="X206" i="22"/>
  <c r="X207" i="22"/>
  <c r="X199" i="22"/>
  <c r="X210" i="22"/>
  <c r="X208" i="22"/>
  <c r="X193" i="22"/>
  <c r="X195" i="22"/>
  <c r="X203" i="22"/>
  <c r="X200" i="22"/>
  <c r="X188" i="22"/>
  <c r="X191" i="22"/>
  <c r="X198" i="22"/>
  <c r="X190" i="22"/>
  <c r="X173" i="22"/>
  <c r="X172" i="22"/>
  <c r="X178" i="22"/>
  <c r="X218" i="22"/>
  <c r="X189" i="22"/>
  <c r="X183" i="22"/>
  <c r="X187" i="22"/>
  <c r="X185" i="22"/>
  <c r="X184" i="22"/>
  <c r="X182" i="22"/>
  <c r="X209" i="22"/>
  <c r="X186" i="22"/>
  <c r="X180" i="22"/>
  <c r="X179" i="22"/>
  <c r="X174" i="22"/>
  <c r="X166" i="22"/>
  <c r="X163" i="22"/>
  <c r="X157" i="22"/>
  <c r="X153" i="22"/>
  <c r="X151" i="22"/>
  <c r="X147" i="22"/>
  <c r="T65" i="21" s="1"/>
  <c r="X143" i="22"/>
  <c r="X139" i="22"/>
  <c r="X137" i="22"/>
  <c r="X171" i="22"/>
  <c r="X177" i="22"/>
  <c r="X170" i="22"/>
  <c r="X164" i="22"/>
  <c r="X176" i="22"/>
  <c r="X169" i="22"/>
  <c r="X167" i="22"/>
  <c r="X175" i="22"/>
  <c r="X161" i="22"/>
  <c r="X158" i="22"/>
  <c r="X181" i="22"/>
  <c r="X168" i="22"/>
  <c r="X136" i="22"/>
  <c r="X133" i="22"/>
  <c r="X129" i="22"/>
  <c r="X127" i="22"/>
  <c r="X152" i="22"/>
  <c r="X135" i="22"/>
  <c r="X165" i="22"/>
  <c r="X150" i="22"/>
  <c r="X138" i="22"/>
  <c r="X114" i="22"/>
  <c r="X112" i="22"/>
  <c r="X108" i="22"/>
  <c r="X106" i="22"/>
  <c r="X104" i="22"/>
  <c r="X102" i="22"/>
  <c r="X100" i="22"/>
  <c r="X98" i="22"/>
  <c r="X96" i="22"/>
  <c r="X94" i="22"/>
  <c r="X134" i="22"/>
  <c r="X130" i="22"/>
  <c r="X123" i="22"/>
  <c r="X128" i="22"/>
  <c r="X122" i="22"/>
  <c r="X121" i="22"/>
  <c r="X124" i="22"/>
  <c r="X154" i="22"/>
  <c r="X120" i="22"/>
  <c r="X119" i="22"/>
  <c r="X118" i="22"/>
  <c r="X117" i="22"/>
  <c r="X126" i="22"/>
  <c r="X142" i="22"/>
  <c r="X125" i="22"/>
  <c r="X144" i="22"/>
  <c r="X111" i="22"/>
  <c r="X105" i="22"/>
  <c r="X95" i="22"/>
  <c r="X115" i="22"/>
  <c r="X101" i="22"/>
  <c r="X113" i="22"/>
  <c r="X103" i="22"/>
  <c r="X162" i="22"/>
  <c r="X107" i="22"/>
  <c r="X116" i="22"/>
  <c r="X99" i="22"/>
  <c r="X90" i="22"/>
  <c r="X86" i="22"/>
  <c r="X76" i="22"/>
  <c r="X87" i="22"/>
  <c r="X93" i="22"/>
  <c r="X79" i="22"/>
  <c r="X91" i="22"/>
  <c r="X88" i="22"/>
  <c r="X71" i="22"/>
  <c r="X78" i="22"/>
  <c r="X75" i="22"/>
  <c r="X89" i="22"/>
  <c r="X83" i="22"/>
  <c r="X84" i="22"/>
  <c r="X97" i="22"/>
  <c r="X85" i="22"/>
  <c r="X64" i="22"/>
  <c r="X63" i="22"/>
  <c r="X82" i="22"/>
  <c r="X81" i="22"/>
  <c r="X62" i="22"/>
  <c r="X61" i="22"/>
  <c r="X92" i="22"/>
  <c r="X60" i="22"/>
  <c r="X59" i="22"/>
  <c r="X56" i="22"/>
  <c r="X54" i="22"/>
  <c r="X52" i="22"/>
  <c r="X80" i="22"/>
  <c r="X72" i="22"/>
  <c r="X58" i="22"/>
  <c r="X70" i="22"/>
  <c r="X69" i="22"/>
  <c r="X65" i="22"/>
  <c r="X41" i="22"/>
  <c r="X38" i="22"/>
  <c r="X36" i="22"/>
  <c r="X34" i="22"/>
  <c r="X32" i="22"/>
  <c r="X30" i="22"/>
  <c r="X28" i="22"/>
  <c r="X26" i="22"/>
  <c r="X24" i="22"/>
  <c r="X22" i="22"/>
  <c r="X20" i="22"/>
  <c r="X67" i="22"/>
  <c r="X47" i="22"/>
  <c r="X49" i="22"/>
  <c r="X44" i="22"/>
  <c r="X40" i="22"/>
  <c r="X45" i="22"/>
  <c r="X53" i="22"/>
  <c r="X51" i="22"/>
  <c r="X77" i="22"/>
  <c r="X48" i="22"/>
  <c r="X43" i="22"/>
  <c r="X46" i="22"/>
  <c r="X39" i="22"/>
  <c r="X68" i="22"/>
  <c r="X42" i="22"/>
  <c r="X35" i="22"/>
  <c r="X17" i="22"/>
  <c r="X13" i="22"/>
  <c r="X18" i="22"/>
  <c r="X9" i="22"/>
  <c r="X57" i="22"/>
  <c r="X37" i="22"/>
  <c r="X23" i="22"/>
  <c r="X21" i="22"/>
  <c r="X14" i="22"/>
  <c r="X12" i="22"/>
  <c r="X10" i="22"/>
  <c r="X16" i="22"/>
  <c r="X27" i="22"/>
  <c r="X25" i="22"/>
  <c r="X15" i="22"/>
  <c r="X11" i="22"/>
  <c r="X29" i="22"/>
  <c r="X19" i="22"/>
  <c r="X55" i="22"/>
  <c r="X66" i="22"/>
  <c r="X33" i="22"/>
  <c r="X50" i="22"/>
  <c r="X31" i="22"/>
  <c r="AF220" i="22"/>
  <c r="AF218" i="22"/>
  <c r="AF216" i="22"/>
  <c r="AF212" i="22"/>
  <c r="AF210" i="22"/>
  <c r="AF224" i="22"/>
  <c r="AF206" i="22"/>
  <c r="AF219" i="22"/>
  <c r="AF211" i="22"/>
  <c r="AF207" i="22"/>
  <c r="AF195" i="22"/>
  <c r="AF193" i="22"/>
  <c r="AF227" i="22"/>
  <c r="AB80" i="21" s="1"/>
  <c r="AF199" i="22"/>
  <c r="AF198" i="22"/>
  <c r="AF200" i="22"/>
  <c r="AF215" i="22"/>
  <c r="AF209" i="22"/>
  <c r="AF208" i="22"/>
  <c r="AF203" i="22"/>
  <c r="AF197" i="22"/>
  <c r="AF217" i="22"/>
  <c r="AF205" i="22"/>
  <c r="AF194" i="22"/>
  <c r="AF191" i="22"/>
  <c r="AF186" i="22"/>
  <c r="AF185" i="22"/>
  <c r="AF196" i="22"/>
  <c r="AF223" i="22"/>
  <c r="AF204" i="22"/>
  <c r="AF190" i="22"/>
  <c r="AF174" i="22"/>
  <c r="AF192" i="22"/>
  <c r="AF184" i="22"/>
  <c r="AF170" i="22"/>
  <c r="AF189" i="22"/>
  <c r="AF182" i="22"/>
  <c r="AF188" i="22"/>
  <c r="AF183" i="22"/>
  <c r="AF179" i="22"/>
  <c r="AF187" i="22"/>
  <c r="AF178" i="22"/>
  <c r="AF167" i="22"/>
  <c r="AF164" i="22"/>
  <c r="AF177" i="22"/>
  <c r="AF154" i="22"/>
  <c r="AF152" i="22"/>
  <c r="AF150" i="22"/>
  <c r="AF144" i="22"/>
  <c r="AF142" i="22"/>
  <c r="AF138" i="22"/>
  <c r="AF173" i="22"/>
  <c r="AF161" i="22"/>
  <c r="AF176" i="22"/>
  <c r="AF158" i="22"/>
  <c r="AF165" i="22"/>
  <c r="AF162" i="22"/>
  <c r="AF175" i="22"/>
  <c r="AF168" i="22"/>
  <c r="AF163" i="22"/>
  <c r="AF181" i="22"/>
  <c r="AF180" i="22"/>
  <c r="AF166" i="22"/>
  <c r="AF136" i="22"/>
  <c r="AF143" i="22"/>
  <c r="AF137" i="22"/>
  <c r="AF153" i="22"/>
  <c r="AF171" i="22"/>
  <c r="AF151" i="22"/>
  <c r="AF139" i="22"/>
  <c r="AF134" i="22"/>
  <c r="AF130" i="22"/>
  <c r="AF128" i="22"/>
  <c r="AF126" i="22"/>
  <c r="AF172" i="22"/>
  <c r="AF169" i="22"/>
  <c r="AF157" i="22"/>
  <c r="AF119" i="22"/>
  <c r="AF118" i="22"/>
  <c r="AF113" i="22"/>
  <c r="AF111" i="22"/>
  <c r="AF107" i="22"/>
  <c r="AF105" i="22"/>
  <c r="AF103" i="22"/>
  <c r="AF101" i="22"/>
  <c r="AF99" i="22"/>
  <c r="AF97" i="22"/>
  <c r="AF95" i="22"/>
  <c r="AF127" i="22"/>
  <c r="AF117" i="22"/>
  <c r="AF135" i="22"/>
  <c r="AF115" i="22"/>
  <c r="AF125" i="22"/>
  <c r="AF133" i="22"/>
  <c r="AF129" i="22"/>
  <c r="AF106" i="22"/>
  <c r="AF124" i="22"/>
  <c r="AF108" i="22"/>
  <c r="AF120" i="22"/>
  <c r="AF100" i="22"/>
  <c r="AF104" i="22"/>
  <c r="AF112" i="22"/>
  <c r="AF96" i="22"/>
  <c r="AF147" i="22"/>
  <c r="AB65" i="21" s="1"/>
  <c r="AF123" i="22"/>
  <c r="AF121" i="22"/>
  <c r="AF114" i="22"/>
  <c r="AF94" i="22"/>
  <c r="AF93" i="22"/>
  <c r="AF91" i="22"/>
  <c r="AF75" i="22"/>
  <c r="AF78" i="22"/>
  <c r="AF83" i="22"/>
  <c r="AF89" i="22"/>
  <c r="AF84" i="22"/>
  <c r="AF82" i="22"/>
  <c r="AF98" i="22"/>
  <c r="AF92" i="22"/>
  <c r="AF81" i="22"/>
  <c r="AF77" i="22"/>
  <c r="AF122" i="22"/>
  <c r="AF85" i="22"/>
  <c r="AF72" i="22"/>
  <c r="AF102" i="22"/>
  <c r="AF80" i="22"/>
  <c r="AF90" i="22"/>
  <c r="AF86" i="22"/>
  <c r="AF116" i="22"/>
  <c r="AF88" i="22"/>
  <c r="AF76" i="22"/>
  <c r="AF70" i="22"/>
  <c r="AF69" i="22"/>
  <c r="AF68" i="22"/>
  <c r="AF79" i="22"/>
  <c r="AF71" i="22"/>
  <c r="AF67" i="22"/>
  <c r="AF66" i="22"/>
  <c r="AF57" i="22"/>
  <c r="AF55" i="22"/>
  <c r="AF53" i="22"/>
  <c r="AF51" i="22"/>
  <c r="AF65" i="22"/>
  <c r="AF64" i="22"/>
  <c r="AF63" i="22"/>
  <c r="AF62" i="22"/>
  <c r="AF87" i="22"/>
  <c r="AF58" i="22"/>
  <c r="AF45" i="22"/>
  <c r="AF40" i="22"/>
  <c r="AF43" i="22"/>
  <c r="AF37" i="22"/>
  <c r="AF35" i="22"/>
  <c r="AF33" i="22"/>
  <c r="AF31" i="22"/>
  <c r="AF29" i="22"/>
  <c r="AF27" i="22"/>
  <c r="AF25" i="22"/>
  <c r="AF23" i="22"/>
  <c r="AF21" i="22"/>
  <c r="AF19" i="22"/>
  <c r="AF52" i="22"/>
  <c r="AF39" i="22"/>
  <c r="AF59" i="22"/>
  <c r="AF54" i="22"/>
  <c r="AF48" i="22"/>
  <c r="AF42" i="22"/>
  <c r="AF61" i="22"/>
  <c r="AF46" i="22"/>
  <c r="AF50" i="22"/>
  <c r="AF47" i="22"/>
  <c r="AF60" i="22"/>
  <c r="AF56" i="22"/>
  <c r="AF49" i="22"/>
  <c r="AF44" i="22"/>
  <c r="AF32" i="22"/>
  <c r="AF34" i="22"/>
  <c r="AF26" i="22"/>
  <c r="AF41" i="22"/>
  <c r="AF38" i="22"/>
  <c r="AF28" i="22"/>
  <c r="AF15" i="22"/>
  <c r="AF13" i="22"/>
  <c r="AF11" i="22"/>
  <c r="AF9" i="22"/>
  <c r="AF22" i="22"/>
  <c r="AF30" i="22"/>
  <c r="AF10" i="22"/>
  <c r="AF36" i="22"/>
  <c r="AF24" i="22"/>
  <c r="AF20" i="22"/>
  <c r="AF14" i="22"/>
  <c r="AF17" i="22"/>
  <c r="AF12" i="22"/>
  <c r="AF18" i="22"/>
  <c r="AF16" i="22"/>
  <c r="W7" i="15"/>
  <c r="AC5" i="11" s="1"/>
  <c r="Z7" i="15"/>
  <c r="AF5" i="11" s="1"/>
  <c r="W31" i="15"/>
  <c r="W32" i="15" s="1"/>
  <c r="W33" i="15" s="1"/>
  <c r="W34" i="15" s="1"/>
  <c r="Z31" i="15"/>
  <c r="Z32" i="15" s="1"/>
  <c r="Z33" i="15" s="1"/>
  <c r="Z34" i="15" s="1"/>
  <c r="W9" i="15"/>
  <c r="AC6" i="11" s="1"/>
  <c r="Z9" i="15"/>
  <c r="AF6" i="11" s="1"/>
  <c r="W11" i="15"/>
  <c r="AC7" i="11" s="1"/>
  <c r="Z11" i="15"/>
  <c r="AF7" i="11" s="1"/>
  <c r="AB5" i="15"/>
  <c r="AB10" i="13" s="1"/>
  <c r="AB3" i="8" s="1"/>
  <c r="U11" i="15"/>
  <c r="AA7" i="11" s="1"/>
  <c r="AA5" i="15"/>
  <c r="AA13" i="15" s="1"/>
  <c r="AG8" i="11" s="1"/>
  <c r="W13" i="15"/>
  <c r="AC8" i="11" s="1"/>
  <c r="Z15" i="15"/>
  <c r="AF9" i="11" s="1"/>
  <c r="W15" i="15"/>
  <c r="AC9" i="11" s="1"/>
  <c r="Z17" i="15"/>
  <c r="AF10" i="11" s="1"/>
  <c r="W10" i="13"/>
  <c r="W3" i="9" s="1"/>
  <c r="AA6" i="10" s="1"/>
  <c r="Z19" i="15"/>
  <c r="AF11" i="11" s="1"/>
  <c r="U10" i="13"/>
  <c r="U19" i="15"/>
  <c r="AA11" i="11" s="1"/>
  <c r="Z13" i="15"/>
  <c r="AF8" i="11" s="1"/>
  <c r="V7" i="15"/>
  <c r="AB5" i="11" s="1"/>
  <c r="U31" i="15"/>
  <c r="U32" i="15" s="1"/>
  <c r="U33" i="15" s="1"/>
  <c r="U34" i="15" s="1"/>
  <c r="Z10" i="13"/>
  <c r="Z3" i="9" s="1"/>
  <c r="K5" i="15"/>
  <c r="Q4" i="11" s="1"/>
  <c r="U7" i="15"/>
  <c r="AA5" i="11" s="1"/>
  <c r="U29" i="15"/>
  <c r="U37" i="15" s="1"/>
  <c r="U38" i="15" s="1"/>
  <c r="U39" i="15" s="1"/>
  <c r="U40" i="15" s="1"/>
  <c r="AE10" i="13"/>
  <c r="Z29" i="15"/>
  <c r="Z37" i="15" s="1"/>
  <c r="Z38" i="15" s="1"/>
  <c r="Z39" i="15" s="1"/>
  <c r="Z40" i="15" s="1"/>
  <c r="J5" i="15"/>
  <c r="J15" i="15" s="1"/>
  <c r="P9" i="11" s="1"/>
  <c r="W29" i="15"/>
  <c r="W37" i="15" s="1"/>
  <c r="W38" i="15" s="1"/>
  <c r="W39" i="15" s="1"/>
  <c r="W40" i="15" s="1"/>
  <c r="AI5" i="15"/>
  <c r="AI13" i="15" s="1"/>
  <c r="AO8" i="11" s="1"/>
  <c r="R5" i="15"/>
  <c r="R7" i="15" s="1"/>
  <c r="X5" i="11" s="1"/>
  <c r="U13" i="15"/>
  <c r="AA8" i="11" s="1"/>
  <c r="AP201" i="7"/>
  <c r="AP202" i="7" s="1"/>
  <c r="AP265" i="7" s="1"/>
  <c r="AP280" i="7" s="1"/>
  <c r="AP77" i="7"/>
  <c r="AP92" i="7" s="1"/>
  <c r="AC64" i="14"/>
  <c r="AC65" i="14" s="1"/>
  <c r="N61" i="14"/>
  <c r="N64" i="14" s="1"/>
  <c r="R8" i="21"/>
  <c r="R14" i="21" s="1"/>
  <c r="R20" i="21" s="1"/>
  <c r="AN226" i="7"/>
  <c r="AN227" i="7" s="1"/>
  <c r="AP69" i="7"/>
  <c r="AP84" i="7" s="1"/>
  <c r="AP79" i="7"/>
  <c r="AP94" i="7" s="1"/>
  <c r="AP71" i="7"/>
  <c r="AP86" i="7" s="1"/>
  <c r="F31" i="21"/>
  <c r="AP81" i="7"/>
  <c r="AP96" i="7" s="1"/>
  <c r="S64" i="21"/>
  <c r="Q71" i="21"/>
  <c r="AP73" i="7"/>
  <c r="AP88" i="7" s="1"/>
  <c r="BG193" i="14"/>
  <c r="BG196" i="14" s="1"/>
  <c r="BG197" i="14" s="1"/>
  <c r="U15" i="17"/>
  <c r="U27" i="13" s="1"/>
  <c r="S15" i="17"/>
  <c r="S27" i="13" s="1"/>
  <c r="AP75" i="7"/>
  <c r="AP90" i="7" s="1"/>
  <c r="AP70" i="7"/>
  <c r="AP85" i="7" s="1"/>
  <c r="V3" i="9"/>
  <c r="Z6" i="10" s="1"/>
  <c r="U72" i="21"/>
  <c r="U78" i="21"/>
  <c r="AP72" i="7"/>
  <c r="AP87" i="7" s="1"/>
  <c r="AP78" i="7"/>
  <c r="AP93" i="7" s="1"/>
  <c r="AN53" i="7"/>
  <c r="R11" i="17"/>
  <c r="R12" i="17" s="1"/>
  <c r="R14" i="17" s="1"/>
  <c r="R28" i="13" s="1"/>
  <c r="Q78" i="21"/>
  <c r="Q61" i="14"/>
  <c r="Q64" i="14" s="1"/>
  <c r="AP103" i="7"/>
  <c r="AP106" i="7" s="1"/>
  <c r="AP169" i="7" s="1"/>
  <c r="AP184" i="7" s="1"/>
  <c r="AP17" i="7"/>
  <c r="Q14" i="21"/>
  <c r="Q20" i="21" s="1"/>
  <c r="Q25" i="21" s="1"/>
  <c r="Q17" i="21"/>
  <c r="AN43" i="7"/>
  <c r="AN26" i="7"/>
  <c r="Q34" i="21"/>
  <c r="V17" i="21"/>
  <c r="V14" i="21"/>
  <c r="V20" i="21" s="1"/>
  <c r="V11" i="21"/>
  <c r="AN54" i="7"/>
  <c r="AD61" i="14"/>
  <c r="AD64" i="14" s="1"/>
  <c r="AD65" i="14" s="1"/>
  <c r="AN48" i="7"/>
  <c r="AN59" i="7"/>
  <c r="F60" i="14"/>
  <c r="F62" i="14" s="1"/>
  <c r="F63" i="14" s="1"/>
  <c r="U71" i="21"/>
  <c r="AR12" i="14"/>
  <c r="Q194" i="14"/>
  <c r="Q195" i="14" s="1"/>
  <c r="Q196" i="14" s="1"/>
  <c r="Q197" i="14" s="1"/>
  <c r="Q201" i="14" s="1"/>
  <c r="Q205" i="14" s="1"/>
  <c r="U77" i="21"/>
  <c r="N199" i="14"/>
  <c r="N202" i="14" s="1"/>
  <c r="N206" i="14" s="1"/>
  <c r="N208" i="14" s="1"/>
  <c r="N210" i="14" s="1"/>
  <c r="N211" i="14" s="1"/>
  <c r="N213" i="14" s="1"/>
  <c r="Z61" i="14"/>
  <c r="Z64" i="14" s="1"/>
  <c r="Z65" i="14" s="1"/>
  <c r="S61" i="14"/>
  <c r="S64" i="14" s="1"/>
  <c r="AG191" i="14"/>
  <c r="Y61" i="14"/>
  <c r="Y64" i="14" s="1"/>
  <c r="Y65" i="14" s="1"/>
  <c r="U14" i="21"/>
  <c r="U20" i="21" s="1"/>
  <c r="U25" i="21" s="1"/>
  <c r="F73" i="21"/>
  <c r="AB8" i="21"/>
  <c r="AB34" i="21" s="1"/>
  <c r="U76" i="21"/>
  <c r="U63" i="21"/>
  <c r="U62" i="21"/>
  <c r="S63" i="21"/>
  <c r="Q64" i="21"/>
  <c r="S71" i="21"/>
  <c r="U60" i="21"/>
  <c r="U61" i="21"/>
  <c r="U17" i="21"/>
  <c r="S78" i="21"/>
  <c r="AB58" i="14"/>
  <c r="AB59" i="14" s="1"/>
  <c r="AB60" i="14" s="1"/>
  <c r="AB62" i="14" s="1"/>
  <c r="AB63" i="14" s="1"/>
  <c r="J58" i="14"/>
  <c r="J59" i="14" s="1"/>
  <c r="J60" i="14" s="1"/>
  <c r="J62" i="14" s="1"/>
  <c r="J63" i="14" s="1"/>
  <c r="I62" i="14"/>
  <c r="I63" i="14" s="1"/>
  <c r="I61" i="14"/>
  <c r="K58" i="14"/>
  <c r="K59" i="14" s="1"/>
  <c r="K60" i="14" s="1"/>
  <c r="AO56" i="14"/>
  <c r="AO57" i="14" s="1"/>
  <c r="AO54" i="14"/>
  <c r="AO55" i="14" s="1"/>
  <c r="P61" i="14"/>
  <c r="P64" i="14" s="1"/>
  <c r="X60" i="14"/>
  <c r="X62" i="14" s="1"/>
  <c r="X63" i="14" s="1"/>
  <c r="S79" i="21"/>
  <c r="T58" i="14"/>
  <c r="T59" i="14" s="1"/>
  <c r="AF61" i="14"/>
  <c r="AF64" i="14" s="1"/>
  <c r="AF65" i="14" s="1"/>
  <c r="L61" i="14"/>
  <c r="L64" i="14" s="1"/>
  <c r="L65" i="14" s="1"/>
  <c r="BG61" i="14"/>
  <c r="BG64" i="14" s="1"/>
  <c r="BG65" i="14" s="1"/>
  <c r="AA58" i="14"/>
  <c r="AA59" i="14" s="1"/>
  <c r="AA60" i="14" s="1"/>
  <c r="AA62" i="14" s="1"/>
  <c r="AA63" i="14" s="1"/>
  <c r="R58" i="14"/>
  <c r="R59" i="14" s="1"/>
  <c r="R60" i="14" s="1"/>
  <c r="R62" i="14" s="1"/>
  <c r="R63" i="14" s="1"/>
  <c r="Y196" i="14"/>
  <c r="Y197" i="14" s="1"/>
  <c r="W61" i="14"/>
  <c r="W64" i="14" s="1"/>
  <c r="W65" i="14" s="1"/>
  <c r="U61" i="14"/>
  <c r="U64" i="14" s="1"/>
  <c r="F9" i="8"/>
  <c r="AN54" i="14"/>
  <c r="AN55" i="14" s="1"/>
  <c r="AN56" i="14" s="1"/>
  <c r="AN57" i="14" s="1"/>
  <c r="AI58" i="14"/>
  <c r="AI59" i="14" s="1"/>
  <c r="AI60" i="14" s="1"/>
  <c r="AI62" i="14" s="1"/>
  <c r="AI63" i="14" s="1"/>
  <c r="V61" i="14"/>
  <c r="V64" i="14" s="1"/>
  <c r="G61" i="14"/>
  <c r="G64" i="14" s="1"/>
  <c r="G65" i="14" s="1"/>
  <c r="H61" i="14"/>
  <c r="H64" i="14" s="1"/>
  <c r="H65" i="14" s="1"/>
  <c r="AG61" i="14"/>
  <c r="AG64" i="14" s="1"/>
  <c r="AG65" i="14" s="1"/>
  <c r="E58" i="14"/>
  <c r="E59" i="14" s="1"/>
  <c r="F54" i="9"/>
  <c r="F58" i="9"/>
  <c r="AE196" i="14"/>
  <c r="AE197" i="14" s="1"/>
  <c r="AO196" i="14"/>
  <c r="AO197" i="14" s="1"/>
  <c r="AO201" i="14" s="1"/>
  <c r="AO205" i="14" s="1"/>
  <c r="Q77" i="21"/>
  <c r="Q72" i="21"/>
  <c r="Q76" i="21"/>
  <c r="F25" i="21"/>
  <c r="F35" i="21" s="1"/>
  <c r="F36" i="21" s="1"/>
  <c r="S77" i="21"/>
  <c r="Q62" i="21"/>
  <c r="S76" i="21"/>
  <c r="S72" i="21"/>
  <c r="Q61" i="21"/>
  <c r="V71" i="21"/>
  <c r="U17" i="17"/>
  <c r="U14" i="17"/>
  <c r="U28" i="13" s="1"/>
  <c r="S60" i="21"/>
  <c r="U196" i="14"/>
  <c r="U197" i="14" s="1"/>
  <c r="U201" i="14" s="1"/>
  <c r="U205" i="14" s="1"/>
  <c r="Q63" i="21"/>
  <c r="Q60" i="21"/>
  <c r="S62" i="21"/>
  <c r="S61" i="21"/>
  <c r="H193" i="14"/>
  <c r="H194" i="14"/>
  <c r="H195" i="14" s="1"/>
  <c r="Z194" i="14"/>
  <c r="Z195" i="14" s="1"/>
  <c r="Z193" i="14"/>
  <c r="W191" i="14"/>
  <c r="W192" i="14"/>
  <c r="K193" i="14"/>
  <c r="K194" i="14"/>
  <c r="K195" i="14" s="1"/>
  <c r="F7" i="8"/>
  <c r="G194" i="14"/>
  <c r="G195" i="14" s="1"/>
  <c r="G193" i="14"/>
  <c r="R193" i="14"/>
  <c r="R194" i="14"/>
  <c r="R195" i="14" s="1"/>
  <c r="AM196" i="14"/>
  <c r="AM197" i="14" s="1"/>
  <c r="I194" i="14"/>
  <c r="I195" i="14" s="1"/>
  <c r="I193" i="14"/>
  <c r="V194" i="14"/>
  <c r="V195" i="14" s="1"/>
  <c r="V193" i="14"/>
  <c r="Q3" i="8"/>
  <c r="AB191" i="14"/>
  <c r="AB192" i="14"/>
  <c r="AA194" i="14"/>
  <c r="AA195" i="14" s="1"/>
  <c r="AA193" i="14"/>
  <c r="M193" i="14"/>
  <c r="M194" i="14"/>
  <c r="M195" i="14" s="1"/>
  <c r="AH196" i="14"/>
  <c r="AH197" i="14" s="1"/>
  <c r="O193" i="14"/>
  <c r="O194" i="14"/>
  <c r="O195" i="14" s="1"/>
  <c r="L194" i="14"/>
  <c r="L195" i="14" s="1"/>
  <c r="L193" i="14"/>
  <c r="X192" i="14"/>
  <c r="X191" i="14"/>
  <c r="AG193" i="14"/>
  <c r="AG194" i="14"/>
  <c r="AG195" i="14" s="1"/>
  <c r="J193" i="14"/>
  <c r="J194" i="14"/>
  <c r="J195" i="14" s="1"/>
  <c r="P196" i="14"/>
  <c r="P197" i="14" s="1"/>
  <c r="AD194" i="14"/>
  <c r="AD195" i="14" s="1"/>
  <c r="AD193" i="14"/>
  <c r="AC196" i="14"/>
  <c r="AC197" i="14" s="1"/>
  <c r="T193" i="14"/>
  <c r="T194" i="14"/>
  <c r="T195" i="14" s="1"/>
  <c r="AI193" i="14"/>
  <c r="AI194" i="14"/>
  <c r="AI195" i="14" s="1"/>
  <c r="AN194" i="14"/>
  <c r="AN195" i="14" s="1"/>
  <c r="AN193" i="14"/>
  <c r="AK201" i="14"/>
  <c r="AK205" i="14" s="1"/>
  <c r="AK199" i="14"/>
  <c r="AK202" i="14" s="1"/>
  <c r="AK206" i="14" s="1"/>
  <c r="AL196" i="14"/>
  <c r="AL197" i="14" s="1"/>
  <c r="S193" i="14"/>
  <c r="S194" i="14"/>
  <c r="S195" i="14" s="1"/>
  <c r="F210" i="14"/>
  <c r="F211" i="14" s="1"/>
  <c r="F213" i="14" s="1"/>
  <c r="F215" i="14" s="1"/>
  <c r="V63" i="21"/>
  <c r="V62" i="21"/>
  <c r="V64" i="21"/>
  <c r="V60" i="21"/>
  <c r="V77" i="21"/>
  <c r="V72" i="21"/>
  <c r="V61" i="21"/>
  <c r="V76" i="21"/>
  <c r="E194" i="14"/>
  <c r="E195" i="14" s="1"/>
  <c r="E193" i="14"/>
  <c r="F49" i="9"/>
  <c r="F81" i="21"/>
  <c r="F12" i="8" s="1"/>
  <c r="F13" i="8" s="1"/>
  <c r="F48" i="9"/>
  <c r="F66" i="21"/>
  <c r="F68" i="21" s="1"/>
  <c r="Z11" i="21"/>
  <c r="AE11" i="21"/>
  <c r="Z79" i="21"/>
  <c r="AQ176" i="14"/>
  <c r="AQ179" i="14" s="1"/>
  <c r="AQ181" i="14" s="1"/>
  <c r="AQ178" i="14"/>
  <c r="AQ177" i="14"/>
  <c r="AQ10" i="14"/>
  <c r="Y79" i="21"/>
  <c r="T31" i="15"/>
  <c r="T32" i="15" s="1"/>
  <c r="T33" i="15" s="1"/>
  <c r="T34" i="15" s="1"/>
  <c r="T13" i="15"/>
  <c r="Z8" i="11" s="1"/>
  <c r="T17" i="15"/>
  <c r="Z10" i="11" s="1"/>
  <c r="T11" i="15"/>
  <c r="Z7" i="11" s="1"/>
  <c r="T15" i="15"/>
  <c r="Z9" i="11" s="1"/>
  <c r="T9" i="15"/>
  <c r="Z6" i="11" s="1"/>
  <c r="T7" i="15"/>
  <c r="Z5" i="11" s="1"/>
  <c r="T10" i="13"/>
  <c r="T29" i="15"/>
  <c r="T37" i="15" s="1"/>
  <c r="T38" i="15" s="1"/>
  <c r="T39" i="15" s="1"/>
  <c r="T19" i="15"/>
  <c r="Z11" i="11" s="1"/>
  <c r="T15" i="17"/>
  <c r="T27" i="13" s="1"/>
  <c r="T8" i="21"/>
  <c r="Q17" i="17"/>
  <c r="Q14" i="17"/>
  <c r="Q28" i="13" s="1"/>
  <c r="Y72" i="21"/>
  <c r="AR11" i="14"/>
  <c r="AR169" i="14"/>
  <c r="AE79" i="21"/>
  <c r="AE14" i="21"/>
  <c r="AE20" i="21" s="1"/>
  <c r="AE17" i="21"/>
  <c r="X17" i="21"/>
  <c r="X11" i="21"/>
  <c r="X14" i="21"/>
  <c r="X20" i="21" s="1"/>
  <c r="X28" i="21" s="1"/>
  <c r="G79" i="21"/>
  <c r="G72" i="21"/>
  <c r="AE64" i="21"/>
  <c r="AE71" i="21"/>
  <c r="AE72" i="21"/>
  <c r="AE62" i="21"/>
  <c r="AE78" i="21"/>
  <c r="AE77" i="21"/>
  <c r="AE60" i="21"/>
  <c r="AE76" i="21"/>
  <c r="AE63" i="21"/>
  <c r="AE61" i="21"/>
  <c r="H71" i="21"/>
  <c r="AP74" i="7"/>
  <c r="AP89" i="7" s="1"/>
  <c r="AP295" i="7"/>
  <c r="AP296" i="7" s="1"/>
  <c r="AP356" i="7" s="1"/>
  <c r="AP371" i="7" s="1"/>
  <c r="AP76" i="7"/>
  <c r="AP91" i="7" s="1"/>
  <c r="AQ17" i="14"/>
  <c r="AQ16" i="14"/>
  <c r="AQ18" i="14" s="1"/>
  <c r="AQ19" i="14" s="1"/>
  <c r="AQ21" i="14" s="1"/>
  <c r="AR8" i="14"/>
  <c r="AR5" i="14"/>
  <c r="AR172" i="14" s="1"/>
  <c r="AR7" i="14"/>
  <c r="AR9" i="14"/>
  <c r="AR6" i="14"/>
  <c r="AR173" i="14" s="1"/>
  <c r="Z64" i="21"/>
  <c r="X72" i="21"/>
  <c r="G78" i="21"/>
  <c r="AQ13" i="7"/>
  <c r="AQ14" i="7" s="1"/>
  <c r="AQ15" i="7" s="1"/>
  <c r="AN60" i="7"/>
  <c r="AN51" i="7"/>
  <c r="AN58" i="7"/>
  <c r="AN50" i="7"/>
  <c r="AN47" i="7"/>
  <c r="AN46" i="7"/>
  <c r="AN55" i="7"/>
  <c r="AN61" i="7"/>
  <c r="AN31" i="7"/>
  <c r="AN65" i="7"/>
  <c r="AN64" i="7"/>
  <c r="AN66" i="7"/>
  <c r="AN44" i="7"/>
  <c r="AN52" i="7"/>
  <c r="AN49" i="7"/>
  <c r="AN63" i="7"/>
  <c r="AN62" i="7"/>
  <c r="AN57" i="7"/>
  <c r="AP49" i="14"/>
  <c r="AP50" i="14" s="1"/>
  <c r="AN114" i="7"/>
  <c r="AN115" i="7" s="1"/>
  <c r="AN153" i="7" s="1"/>
  <c r="AN110" i="7"/>
  <c r="AN128" i="7"/>
  <c r="AN129" i="7" s="1"/>
  <c r="AN147" i="7" s="1"/>
  <c r="AN124" i="7"/>
  <c r="AN136" i="7" s="1"/>
  <c r="AN56" i="7"/>
  <c r="AN158" i="7"/>
  <c r="AN173" i="7" s="1"/>
  <c r="AN188" i="7" s="1"/>
  <c r="AN119" i="7"/>
  <c r="AN120" i="7" s="1"/>
  <c r="AN135" i="7" s="1"/>
  <c r="AN380" i="7"/>
  <c r="AN208" i="7"/>
  <c r="AN222" i="7"/>
  <c r="AN223" i="7" s="1"/>
  <c r="AN212" i="7"/>
  <c r="AN213" i="7" s="1"/>
  <c r="AN256" i="7"/>
  <c r="AN271" i="7" s="1"/>
  <c r="AN286" i="7" s="1"/>
  <c r="AN217" i="7"/>
  <c r="AF94" i="14"/>
  <c r="AF111" i="14" s="1"/>
  <c r="AF112" i="14" s="1"/>
  <c r="E131" i="7"/>
  <c r="E194" i="7" s="1"/>
  <c r="E92" i="14" s="1"/>
  <c r="E93" i="14" s="1"/>
  <c r="E94" i="14" s="1"/>
  <c r="AR10" i="7"/>
  <c r="AR9" i="7"/>
  <c r="AR12" i="7"/>
  <c r="AS3" i="17"/>
  <c r="AS5" i="17" s="1"/>
  <c r="AS3" i="7"/>
  <c r="AS3" i="14"/>
  <c r="AP44" i="14"/>
  <c r="AP19" i="13" s="1"/>
  <c r="AQ36" i="14"/>
  <c r="AQ42" i="14"/>
  <c r="AQ47" i="14"/>
  <c r="AQ48" i="14"/>
  <c r="G64" i="21"/>
  <c r="Y17" i="21"/>
  <c r="Z14" i="21"/>
  <c r="Z20" i="21" s="1"/>
  <c r="Z17" i="21"/>
  <c r="G77" i="21"/>
  <c r="G71" i="21"/>
  <c r="G63" i="21"/>
  <c r="H34" i="21"/>
  <c r="G62" i="21"/>
  <c r="G11" i="21"/>
  <c r="G14" i="21"/>
  <c r="G20" i="21" s="1"/>
  <c r="G28" i="21" s="1"/>
  <c r="G60" i="21"/>
  <c r="G61" i="21"/>
  <c r="G76" i="21"/>
  <c r="G17" i="21"/>
  <c r="H14" i="21"/>
  <c r="H20" i="21" s="1"/>
  <c r="H25" i="21" s="1"/>
  <c r="H26" i="21" s="1"/>
  <c r="H17" i="21"/>
  <c r="H77" i="21"/>
  <c r="Z72" i="21"/>
  <c r="X62" i="21"/>
  <c r="X79" i="21"/>
  <c r="X69" i="14"/>
  <c r="X86" i="14" s="1"/>
  <c r="X87" i="14" s="1"/>
  <c r="X63" i="21"/>
  <c r="AB119" i="14"/>
  <c r="AB136" i="14" s="1"/>
  <c r="AB137" i="14" s="1"/>
  <c r="H78" i="21"/>
  <c r="H72" i="21"/>
  <c r="Z71" i="21"/>
  <c r="H63" i="21"/>
  <c r="Z61" i="21"/>
  <c r="Z69" i="14"/>
  <c r="Z86" i="14" s="1"/>
  <c r="Z87" i="14" s="1"/>
  <c r="Z88" i="14" s="1"/>
  <c r="G69" i="14"/>
  <c r="G86" i="14" s="1"/>
  <c r="BG119" i="14"/>
  <c r="BG136" i="14" s="1"/>
  <c r="AA119" i="14"/>
  <c r="AA136" i="14" s="1"/>
  <c r="Z78" i="21"/>
  <c r="H62" i="21"/>
  <c r="X77" i="21"/>
  <c r="X61" i="21"/>
  <c r="X71" i="21"/>
  <c r="X78" i="21"/>
  <c r="X76" i="21"/>
  <c r="X60" i="21"/>
  <c r="X64" i="21"/>
  <c r="H61" i="21"/>
  <c r="Z63" i="21"/>
  <c r="H60" i="21"/>
  <c r="H79" i="21"/>
  <c r="Z77" i="21"/>
  <c r="Z62" i="21"/>
  <c r="Z60" i="21"/>
  <c r="H76" i="21"/>
  <c r="M71" i="21"/>
  <c r="I87" i="14"/>
  <c r="I88" i="14" s="1"/>
  <c r="Y78" i="21"/>
  <c r="BG88" i="14"/>
  <c r="AC69" i="14"/>
  <c r="AC86" i="14" s="1"/>
  <c r="AC87" i="14" s="1"/>
  <c r="H64" i="21"/>
  <c r="Z76" i="21"/>
  <c r="AD144" i="14"/>
  <c r="AD161" i="14" s="1"/>
  <c r="I94" i="14"/>
  <c r="I111" i="14" s="1"/>
  <c r="AB69" i="14"/>
  <c r="AB86" i="14" s="1"/>
  <c r="AB87" i="14" s="1"/>
  <c r="Y64" i="21"/>
  <c r="Y63" i="21"/>
  <c r="BG89" i="14"/>
  <c r="Y14" i="21"/>
  <c r="Y20" i="21" s="1"/>
  <c r="Y11" i="21"/>
  <c r="M63" i="21"/>
  <c r="L69" i="14"/>
  <c r="L86" i="14" s="1"/>
  <c r="AF136" i="14"/>
  <c r="AF137" i="14" s="1"/>
  <c r="AD111" i="14"/>
  <c r="AD112" i="14" s="1"/>
  <c r="AD113" i="14" s="1"/>
  <c r="H86" i="14"/>
  <c r="H87" i="14" s="1"/>
  <c r="H88" i="14" s="1"/>
  <c r="AA88" i="14"/>
  <c r="AA89" i="14"/>
  <c r="I161" i="14"/>
  <c r="I162" i="14" s="1"/>
  <c r="I163" i="14" s="1"/>
  <c r="AD136" i="14"/>
  <c r="L93" i="14"/>
  <c r="L94" i="14" s="1"/>
  <c r="Z93" i="14"/>
  <c r="Z94" i="14" s="1"/>
  <c r="AG143" i="14"/>
  <c r="AG144" i="14" s="1"/>
  <c r="AF150" i="14"/>
  <c r="AF151" i="14" s="1"/>
  <c r="AF152" i="14" s="1"/>
  <c r="W72" i="14"/>
  <c r="W73" i="14" s="1"/>
  <c r="W74" i="14" s="1"/>
  <c r="AG119" i="14"/>
  <c r="Z143" i="14"/>
  <c r="Z144" i="14" s="1"/>
  <c r="AG93" i="14"/>
  <c r="AG94" i="14" s="1"/>
  <c r="AD122" i="14"/>
  <c r="AD123" i="14" s="1"/>
  <c r="AD124" i="14" s="1"/>
  <c r="AF100" i="14"/>
  <c r="AF101" i="14" s="1"/>
  <c r="AF102" i="14" s="1"/>
  <c r="AF107" i="14" s="1"/>
  <c r="AF110" i="14" s="1"/>
  <c r="AE86" i="14"/>
  <c r="AE87" i="14" s="1"/>
  <c r="AE89" i="14" s="1"/>
  <c r="M93" i="14"/>
  <c r="M97" i="14" s="1"/>
  <c r="M98" i="14" s="1"/>
  <c r="M99" i="14" s="1"/>
  <c r="AG125" i="14"/>
  <c r="AG126" i="14" s="1"/>
  <c r="AG127" i="14" s="1"/>
  <c r="AG132" i="14" s="1"/>
  <c r="AG135" i="14" s="1"/>
  <c r="AD97" i="14"/>
  <c r="AD98" i="14" s="1"/>
  <c r="AD99" i="14" s="1"/>
  <c r="AC143" i="14"/>
  <c r="AC147" i="14" s="1"/>
  <c r="AC148" i="14" s="1"/>
  <c r="AC149" i="14" s="1"/>
  <c r="L118" i="14"/>
  <c r="L119" i="14" s="1"/>
  <c r="AC118" i="14"/>
  <c r="AC119" i="14" s="1"/>
  <c r="AB111" i="14"/>
  <c r="AB112" i="14" s="1"/>
  <c r="AB113" i="14" s="1"/>
  <c r="AE72" i="14"/>
  <c r="AE73" i="14" s="1"/>
  <c r="AE74" i="14" s="1"/>
  <c r="AA125" i="14"/>
  <c r="AA126" i="14" s="1"/>
  <c r="AA127" i="14" s="1"/>
  <c r="AA132" i="14" s="1"/>
  <c r="AA135" i="14" s="1"/>
  <c r="BG125" i="14"/>
  <c r="BG126" i="14" s="1"/>
  <c r="AC93" i="14"/>
  <c r="AC94" i="14" s="1"/>
  <c r="AE143" i="14"/>
  <c r="AE147" i="14" s="1"/>
  <c r="AE148" i="14" s="1"/>
  <c r="AE149" i="14" s="1"/>
  <c r="X118" i="14"/>
  <c r="X119" i="14" s="1"/>
  <c r="W94" i="14"/>
  <c r="W97" i="14"/>
  <c r="W98" i="14" s="1"/>
  <c r="W99" i="14" s="1"/>
  <c r="AH118" i="14"/>
  <c r="AB97" i="14"/>
  <c r="AB98" i="14" s="1"/>
  <c r="AB99" i="14" s="1"/>
  <c r="AA147" i="14"/>
  <c r="AA148" i="14" s="1"/>
  <c r="AA149" i="14" s="1"/>
  <c r="G75" i="14"/>
  <c r="G76" i="14" s="1"/>
  <c r="G77" i="14" s="1"/>
  <c r="G82" i="14" s="1"/>
  <c r="G85" i="14" s="1"/>
  <c r="H143" i="14"/>
  <c r="H144" i="14" s="1"/>
  <c r="K118" i="14"/>
  <c r="K119" i="14" s="1"/>
  <c r="AF122" i="14"/>
  <c r="AF123" i="14" s="1"/>
  <c r="AF124" i="14" s="1"/>
  <c r="AA161" i="14"/>
  <c r="AA162" i="14" s="1"/>
  <c r="AA163" i="14" s="1"/>
  <c r="AD89" i="14"/>
  <c r="AB75" i="14"/>
  <c r="AB76" i="14" s="1"/>
  <c r="AB77" i="14" s="1"/>
  <c r="AB82" i="14" s="1"/>
  <c r="AB85" i="14" s="1"/>
  <c r="H118" i="14"/>
  <c r="H119" i="14" s="1"/>
  <c r="AE118" i="14"/>
  <c r="AE119" i="14" s="1"/>
  <c r="H72" i="14"/>
  <c r="H73" i="14" s="1"/>
  <c r="H74" i="14" s="1"/>
  <c r="AB161" i="14"/>
  <c r="AB162" i="14" s="1"/>
  <c r="AB163" i="14" s="1"/>
  <c r="I125" i="14"/>
  <c r="I126" i="14" s="1"/>
  <c r="I127" i="14" s="1"/>
  <c r="I132" i="14" s="1"/>
  <c r="I135" i="14" s="1"/>
  <c r="AH86" i="14"/>
  <c r="AH87" i="14" s="1"/>
  <c r="AH89" i="14" s="1"/>
  <c r="J144" i="14"/>
  <c r="J147" i="14"/>
  <c r="J148" i="14" s="1"/>
  <c r="J149" i="14" s="1"/>
  <c r="M118" i="14"/>
  <c r="M122" i="14" s="1"/>
  <c r="M123" i="14" s="1"/>
  <c r="M124" i="14" s="1"/>
  <c r="AB147" i="14"/>
  <c r="AB148" i="14" s="1"/>
  <c r="AB149" i="14" s="1"/>
  <c r="I136" i="14"/>
  <c r="I137" i="14" s="1"/>
  <c r="AH72" i="14"/>
  <c r="AH73" i="14" s="1"/>
  <c r="AH74" i="14" s="1"/>
  <c r="M69" i="14"/>
  <c r="J118" i="14"/>
  <c r="J119" i="14" s="1"/>
  <c r="G93" i="14"/>
  <c r="G97" i="14" s="1"/>
  <c r="G98" i="14" s="1"/>
  <c r="G99" i="14" s="1"/>
  <c r="AH93" i="14"/>
  <c r="AH94" i="14" s="1"/>
  <c r="BG75" i="14"/>
  <c r="BG76" i="14" s="1"/>
  <c r="BG77" i="14" s="1"/>
  <c r="BG82" i="14" s="1"/>
  <c r="BG85" i="14" s="1"/>
  <c r="AF75" i="14"/>
  <c r="AF76" i="14" s="1"/>
  <c r="AF77" i="14" s="1"/>
  <c r="AF82" i="14" s="1"/>
  <c r="AF85" i="14" s="1"/>
  <c r="K75" i="14"/>
  <c r="K76" i="14" s="1"/>
  <c r="K77" i="14" s="1"/>
  <c r="K82" i="14" s="1"/>
  <c r="K85" i="14" s="1"/>
  <c r="M75" i="14"/>
  <c r="M76" i="14" s="1"/>
  <c r="M77" i="14" s="1"/>
  <c r="M82" i="14" s="1"/>
  <c r="M85" i="14" s="1"/>
  <c r="J93" i="14"/>
  <c r="J94" i="14" s="1"/>
  <c r="Z118" i="14"/>
  <c r="Z119" i="14" s="1"/>
  <c r="K86" i="14"/>
  <c r="K87" i="14" s="1"/>
  <c r="BG97" i="14"/>
  <c r="BG98" i="14" s="1"/>
  <c r="BG99" i="14" s="1"/>
  <c r="K143" i="14"/>
  <c r="K147" i="14" s="1"/>
  <c r="K148" i="14" s="1"/>
  <c r="K149" i="14" s="1"/>
  <c r="X93" i="14"/>
  <c r="X94" i="14" s="1"/>
  <c r="K93" i="14"/>
  <c r="K94" i="14" s="1"/>
  <c r="Z75" i="14"/>
  <c r="Z76" i="14" s="1"/>
  <c r="Z77" i="14" s="1"/>
  <c r="Z82" i="14" s="1"/>
  <c r="Z85" i="14" s="1"/>
  <c r="J86" i="14"/>
  <c r="J87" i="14" s="1"/>
  <c r="J88" i="14" s="1"/>
  <c r="L75" i="14"/>
  <c r="L76" i="14" s="1"/>
  <c r="L77" i="14" s="1"/>
  <c r="L82" i="14" s="1"/>
  <c r="L85" i="14" s="1"/>
  <c r="BG94" i="14"/>
  <c r="M143" i="14"/>
  <c r="M144" i="14" s="1"/>
  <c r="L143" i="14"/>
  <c r="L147" i="14" s="1"/>
  <c r="L148" i="14" s="1"/>
  <c r="L149" i="14" s="1"/>
  <c r="AD150" i="14"/>
  <c r="AD151" i="14" s="1"/>
  <c r="J72" i="14"/>
  <c r="J73" i="14" s="1"/>
  <c r="J74" i="14" s="1"/>
  <c r="Y68" i="14"/>
  <c r="Y69" i="14" s="1"/>
  <c r="W143" i="14"/>
  <c r="W144" i="14" s="1"/>
  <c r="AB125" i="14"/>
  <c r="AB126" i="14" s="1"/>
  <c r="AB127" i="14" s="1"/>
  <c r="AB132" i="14" s="1"/>
  <c r="AB135" i="14" s="1"/>
  <c r="AC75" i="14"/>
  <c r="AC76" i="14" s="1"/>
  <c r="AC77" i="14" s="1"/>
  <c r="AC82" i="14" s="1"/>
  <c r="AC85" i="14" s="1"/>
  <c r="G118" i="14"/>
  <c r="G122" i="14" s="1"/>
  <c r="G123" i="14" s="1"/>
  <c r="G124" i="14" s="1"/>
  <c r="BG161" i="14"/>
  <c r="BG162" i="14" s="1"/>
  <c r="BG164" i="14" s="1"/>
  <c r="I147" i="14"/>
  <c r="I148" i="14" s="1"/>
  <c r="I149" i="14" s="1"/>
  <c r="X143" i="14"/>
  <c r="X147" i="14" s="1"/>
  <c r="X148" i="14" s="1"/>
  <c r="X149" i="14" s="1"/>
  <c r="W118" i="14"/>
  <c r="W122" i="14" s="1"/>
  <c r="W123" i="14" s="1"/>
  <c r="W124" i="14" s="1"/>
  <c r="BG147" i="14"/>
  <c r="BG148" i="14" s="1"/>
  <c r="BG149" i="14" s="1"/>
  <c r="I100" i="14"/>
  <c r="I101" i="14" s="1"/>
  <c r="I102" i="14" s="1"/>
  <c r="I107" i="14" s="1"/>
  <c r="I110" i="14" s="1"/>
  <c r="AD75" i="14"/>
  <c r="AD76" i="14" s="1"/>
  <c r="AD77" i="14" s="1"/>
  <c r="AD82" i="14" s="1"/>
  <c r="AD85" i="14" s="1"/>
  <c r="G143" i="14"/>
  <c r="G144" i="14" s="1"/>
  <c r="AE93" i="14"/>
  <c r="AH143" i="14"/>
  <c r="AH144" i="14" s="1"/>
  <c r="AG86" i="14"/>
  <c r="AG87" i="14" s="1"/>
  <c r="AG88" i="14" s="1"/>
  <c r="I77" i="14"/>
  <c r="I82" i="14" s="1"/>
  <c r="I85" i="14" s="1"/>
  <c r="AA75" i="14"/>
  <c r="AA76" i="14" s="1"/>
  <c r="AA77" i="14" s="1"/>
  <c r="AA82" i="14" s="1"/>
  <c r="AA85" i="14" s="1"/>
  <c r="H93" i="14"/>
  <c r="H97" i="14" s="1"/>
  <c r="H98" i="14" s="1"/>
  <c r="H99" i="14" s="1"/>
  <c r="X75" i="14"/>
  <c r="X76" i="14" s="1"/>
  <c r="X77" i="14" s="1"/>
  <c r="X82" i="14" s="1"/>
  <c r="X85" i="14" s="1"/>
  <c r="AG72" i="14"/>
  <c r="AG73" i="14" s="1"/>
  <c r="AG74" i="14" s="1"/>
  <c r="AF88" i="14"/>
  <c r="AF144" i="14"/>
  <c r="W69" i="14"/>
  <c r="AA93" i="14"/>
  <c r="AA97" i="14" s="1"/>
  <c r="AA98" i="14" s="1"/>
  <c r="AA99" i="14" s="1"/>
  <c r="AI68" i="14"/>
  <c r="AA79" i="21"/>
  <c r="AD79" i="21"/>
  <c r="Y77" i="21"/>
  <c r="L72" i="21"/>
  <c r="M11" i="21"/>
  <c r="M14" i="21"/>
  <c r="M20" i="21" s="1"/>
  <c r="Y61" i="21"/>
  <c r="M17" i="21"/>
  <c r="O72" i="21"/>
  <c r="Y60" i="21"/>
  <c r="M72" i="21"/>
  <c r="Y76" i="21"/>
  <c r="Y62" i="21"/>
  <c r="BG71" i="21"/>
  <c r="M79" i="21"/>
  <c r="Y71" i="21"/>
  <c r="I72" i="21"/>
  <c r="AO3" i="15"/>
  <c r="AO3" i="21"/>
  <c r="AO7" i="21" s="1"/>
  <c r="AO4" i="17"/>
  <c r="AO7" i="17" s="1"/>
  <c r="AO8" i="17" s="1"/>
  <c r="AO9" i="17" s="1"/>
  <c r="AO11" i="17" s="1"/>
  <c r="AO12" i="17" s="1"/>
  <c r="AN3" i="15"/>
  <c r="AN5" i="15" s="1"/>
  <c r="AT4" i="11" s="1"/>
  <c r="AN4" i="17"/>
  <c r="AN7" i="17" s="1"/>
  <c r="AN8" i="17" s="1"/>
  <c r="AN9" i="17" s="1"/>
  <c r="AN11" i="17" s="1"/>
  <c r="AN12" i="17" s="1"/>
  <c r="AN3" i="21"/>
  <c r="AN7" i="21" s="1"/>
  <c r="AN327" i="7"/>
  <c r="AN324" i="7"/>
  <c r="AN337" i="7"/>
  <c r="AN325" i="7"/>
  <c r="AN348" i="7"/>
  <c r="AN329" i="7"/>
  <c r="AN334" i="7"/>
  <c r="AN330" i="7"/>
  <c r="AN326" i="7"/>
  <c r="AN335" i="7"/>
  <c r="AN343" i="7"/>
  <c r="AN342" i="7"/>
  <c r="AN341" i="7"/>
  <c r="AN331" i="7"/>
  <c r="AN338" i="7"/>
  <c r="AN346" i="7"/>
  <c r="AN336" i="7"/>
  <c r="AN332" i="7"/>
  <c r="AN386" i="7"/>
  <c r="AN340" i="7"/>
  <c r="AN344" i="7"/>
  <c r="AN347" i="7"/>
  <c r="E79" i="21"/>
  <c r="M60" i="21"/>
  <c r="M77" i="21"/>
  <c r="M76" i="21"/>
  <c r="M62" i="21"/>
  <c r="M61" i="21"/>
  <c r="W79" i="21"/>
  <c r="M64" i="21"/>
  <c r="J17" i="21"/>
  <c r="J11" i="21"/>
  <c r="O79" i="21"/>
  <c r="J14" i="21"/>
  <c r="J20" i="21" s="1"/>
  <c r="P78" i="21"/>
  <c r="X14" i="17"/>
  <c r="X28" i="13" s="1"/>
  <c r="X17" i="17"/>
  <c r="M78" i="21"/>
  <c r="AD72" i="21"/>
  <c r="N64" i="21"/>
  <c r="Z14" i="17"/>
  <c r="Z28" i="13" s="1"/>
  <c r="Z17" i="17"/>
  <c r="BG79" i="21"/>
  <c r="Y14" i="17"/>
  <c r="Y28" i="13" s="1"/>
  <c r="Y17" i="17"/>
  <c r="BG17" i="17"/>
  <c r="BG14" i="17"/>
  <c r="BG28" i="13" s="1"/>
  <c r="BG78" i="21"/>
  <c r="BG63" i="21"/>
  <c r="BG60" i="21"/>
  <c r="BG61" i="21"/>
  <c r="E63" i="21"/>
  <c r="G17" i="17"/>
  <c r="G14" i="17"/>
  <c r="G28" i="13" s="1"/>
  <c r="M17" i="17"/>
  <c r="M14" i="17"/>
  <c r="M28" i="13" s="1"/>
  <c r="BG76" i="21"/>
  <c r="E71" i="21"/>
  <c r="BG3" i="8"/>
  <c r="BG3" i="9"/>
  <c r="BK6" i="10" s="1"/>
  <c r="BG62" i="21"/>
  <c r="H14" i="17"/>
  <c r="H28" i="13" s="1"/>
  <c r="H17" i="17"/>
  <c r="L77" i="21"/>
  <c r="AA64" i="21"/>
  <c r="J14" i="17"/>
  <c r="J28" i="13" s="1"/>
  <c r="J17" i="17"/>
  <c r="BG14" i="21"/>
  <c r="BG20" i="21" s="1"/>
  <c r="BG34" i="21"/>
  <c r="BG11" i="21"/>
  <c r="BG17" i="21"/>
  <c r="BG25" i="15"/>
  <c r="BG26" i="15"/>
  <c r="I61" i="21"/>
  <c r="N77" i="21"/>
  <c r="BG64" i="21"/>
  <c r="AD63" i="21"/>
  <c r="BG77" i="21"/>
  <c r="BG32" i="15"/>
  <c r="BG33" i="15" s="1"/>
  <c r="BG72" i="21"/>
  <c r="AI15" i="17"/>
  <c r="AI27" i="13" s="1"/>
  <c r="AI323" i="7"/>
  <c r="AI388" i="7" s="1"/>
  <c r="AI142" i="14" s="1"/>
  <c r="AI229" i="7"/>
  <c r="AI288" i="7" s="1"/>
  <c r="AI117" i="14" s="1"/>
  <c r="AI131" i="7"/>
  <c r="AI194" i="7" s="1"/>
  <c r="AI92" i="14" s="1"/>
  <c r="I34" i="21"/>
  <c r="I11" i="21"/>
  <c r="I14" i="21"/>
  <c r="I20" i="21" s="1"/>
  <c r="I17" i="21"/>
  <c r="I71" i="21"/>
  <c r="I77" i="21"/>
  <c r="N34" i="21"/>
  <c r="N14" i="21"/>
  <c r="N11" i="21"/>
  <c r="N17" i="21"/>
  <c r="P61" i="21"/>
  <c r="AD78" i="21"/>
  <c r="O71" i="21"/>
  <c r="E72" i="21"/>
  <c r="I64" i="21"/>
  <c r="L63" i="21"/>
  <c r="AD71" i="21"/>
  <c r="O63" i="21"/>
  <c r="W72" i="21"/>
  <c r="P60" i="21"/>
  <c r="P71" i="21"/>
  <c r="AC62" i="21"/>
  <c r="AD34" i="21"/>
  <c r="AD17" i="21"/>
  <c r="AD14" i="21"/>
  <c r="AD11" i="21"/>
  <c r="E62" i="21"/>
  <c r="AC3" i="9"/>
  <c r="AG6" i="10" s="1"/>
  <c r="AH3" i="9"/>
  <c r="AL6" i="10" s="1"/>
  <c r="L76" i="21"/>
  <c r="P77" i="21"/>
  <c r="AC78" i="21"/>
  <c r="AC77" i="21"/>
  <c r="W63" i="21"/>
  <c r="E61" i="21"/>
  <c r="I60" i="21"/>
  <c r="N76" i="21"/>
  <c r="N60" i="21"/>
  <c r="P34" i="21"/>
  <c r="P17" i="21"/>
  <c r="P14" i="21"/>
  <c r="P11" i="21"/>
  <c r="P72" i="21"/>
  <c r="P76" i="21"/>
  <c r="E76" i="21"/>
  <c r="I63" i="21"/>
  <c r="N62" i="21"/>
  <c r="L78" i="21"/>
  <c r="L60" i="21"/>
  <c r="L61" i="21"/>
  <c r="L79" i="21"/>
  <c r="O61" i="21"/>
  <c r="O76" i="21"/>
  <c r="N71" i="21"/>
  <c r="AC76" i="21"/>
  <c r="AD77" i="21"/>
  <c r="AD62" i="21"/>
  <c r="W64" i="21"/>
  <c r="N63" i="21"/>
  <c r="P64" i="21"/>
  <c r="AC72" i="21"/>
  <c r="O60" i="21"/>
  <c r="W34" i="21"/>
  <c r="W14" i="21"/>
  <c r="W20" i="21" s="1"/>
  <c r="W11" i="21"/>
  <c r="W17" i="21"/>
  <c r="W76" i="21"/>
  <c r="E78" i="21"/>
  <c r="E60" i="21"/>
  <c r="E14" i="21"/>
  <c r="E20" i="21" s="1"/>
  <c r="E28" i="21" s="1"/>
  <c r="E34" i="21"/>
  <c r="E17" i="21"/>
  <c r="E11" i="21"/>
  <c r="N78" i="21"/>
  <c r="L62" i="21"/>
  <c r="AA72" i="21"/>
  <c r="AC71" i="21"/>
  <c r="W77" i="21"/>
  <c r="E64" i="21"/>
  <c r="E77" i="21"/>
  <c r="I79" i="21"/>
  <c r="P63" i="21"/>
  <c r="O34" i="21"/>
  <c r="O14" i="21"/>
  <c r="O20" i="21" s="1"/>
  <c r="O11" i="21"/>
  <c r="O17" i="21"/>
  <c r="W60" i="21"/>
  <c r="L64" i="21"/>
  <c r="L34" i="21"/>
  <c r="L17" i="21"/>
  <c r="L11" i="21"/>
  <c r="L14" i="21"/>
  <c r="L20" i="21" s="1"/>
  <c r="AD76" i="21"/>
  <c r="O64" i="21"/>
  <c r="O62" i="21"/>
  <c r="W62" i="21"/>
  <c r="AA34" i="21"/>
  <c r="AA14" i="21"/>
  <c r="AA20" i="21" s="1"/>
  <c r="AA28" i="21" s="1"/>
  <c r="AC64" i="21"/>
  <c r="W78" i="21"/>
  <c r="W71" i="21"/>
  <c r="W61" i="21"/>
  <c r="N72" i="21"/>
  <c r="P79" i="21"/>
  <c r="AC34" i="21"/>
  <c r="AC17" i="21"/>
  <c r="AC14" i="21"/>
  <c r="AC20" i="21" s="1"/>
  <c r="AC11" i="21"/>
  <c r="AC61" i="21"/>
  <c r="AC60" i="21"/>
  <c r="K34" i="21"/>
  <c r="K14" i="21"/>
  <c r="K20" i="21" s="1"/>
  <c r="K11" i="21"/>
  <c r="K17" i="21"/>
  <c r="I78" i="21"/>
  <c r="I76" i="21"/>
  <c r="I62" i="21"/>
  <c r="N61" i="21"/>
  <c r="N79" i="21"/>
  <c r="AD60" i="21"/>
  <c r="L71" i="21"/>
  <c r="P62" i="21"/>
  <c r="AA61" i="21"/>
  <c r="AC79" i="21"/>
  <c r="AC63" i="21"/>
  <c r="AD61" i="21"/>
  <c r="AD64" i="21"/>
  <c r="O78" i="21"/>
  <c r="O77" i="21"/>
  <c r="AI8" i="21"/>
  <c r="AI34" i="21" s="1"/>
  <c r="AH17" i="21"/>
  <c r="AF17" i="21"/>
  <c r="AG17" i="21"/>
  <c r="AH14" i="21"/>
  <c r="AH11" i="21"/>
  <c r="AF14" i="21"/>
  <c r="AF11" i="21"/>
  <c r="AG14" i="21"/>
  <c r="AG11" i="21"/>
  <c r="AH64" i="21"/>
  <c r="AJ75" i="9"/>
  <c r="L26" i="15"/>
  <c r="L25" i="15"/>
  <c r="E26" i="15"/>
  <c r="E25" i="15"/>
  <c r="AG72" i="21"/>
  <c r="AG61" i="21"/>
  <c r="AG60" i="21"/>
  <c r="AH78" i="21"/>
  <c r="AH79" i="21"/>
  <c r="AH77" i="21"/>
  <c r="AG78" i="21"/>
  <c r="AH71" i="21"/>
  <c r="AF72" i="21"/>
  <c r="AH62" i="21"/>
  <c r="AF79" i="21"/>
  <c r="AG76" i="21"/>
  <c r="AG71" i="21"/>
  <c r="AH61" i="21"/>
  <c r="AH60" i="21"/>
  <c r="AG77" i="21"/>
  <c r="AH72" i="21"/>
  <c r="AG62" i="21"/>
  <c r="AG79" i="21"/>
  <c r="AH76" i="21"/>
  <c r="AG64" i="21"/>
  <c r="AH63" i="21"/>
  <c r="AG63" i="21"/>
  <c r="AF60" i="21"/>
  <c r="AF64" i="21"/>
  <c r="AF78" i="21"/>
  <c r="AF61" i="21"/>
  <c r="AF77" i="21"/>
  <c r="AF62" i="21"/>
  <c r="AF63" i="21"/>
  <c r="AF76" i="21"/>
  <c r="AF71" i="21"/>
  <c r="Y348" i="7"/>
  <c r="Y332" i="7"/>
  <c r="Y347" i="7"/>
  <c r="Y331" i="7"/>
  <c r="Y346" i="7"/>
  <c r="Y344" i="7"/>
  <c r="Y343" i="7"/>
  <c r="Y327" i="7"/>
  <c r="Y342" i="7"/>
  <c r="Y341" i="7"/>
  <c r="Y340" i="7"/>
  <c r="Y324" i="7"/>
  <c r="Y333" i="7"/>
  <c r="Y365" i="7"/>
  <c r="Y380" i="7" s="1"/>
  <c r="Y386" i="7"/>
  <c r="Y330" i="7"/>
  <c r="Y329" i="7"/>
  <c r="Y326" i="7"/>
  <c r="Y325" i="7"/>
  <c r="Y335" i="7"/>
  <c r="Y338" i="7"/>
  <c r="Y336" i="7"/>
  <c r="Y337" i="7"/>
  <c r="Y334" i="7"/>
  <c r="E229" i="7"/>
  <c r="E288" i="7" s="1"/>
  <c r="E117" i="14" s="1"/>
  <c r="X3" i="9"/>
  <c r="E86" i="14"/>
  <c r="E72" i="14"/>
  <c r="P3" i="9"/>
  <c r="T6" i="10" s="1"/>
  <c r="E32" i="15"/>
  <c r="E33" i="15" s="1"/>
  <c r="E34" i="15" s="1"/>
  <c r="G38" i="15"/>
  <c r="G39" i="15" s="1"/>
  <c r="G40" i="15" s="1"/>
  <c r="E38" i="15"/>
  <c r="H38" i="15"/>
  <c r="H39" i="15" s="1"/>
  <c r="H40" i="15" s="1"/>
  <c r="L38" i="15"/>
  <c r="Q41" i="9"/>
  <c r="Q42" i="9" s="1"/>
  <c r="Q50" i="9" s="1"/>
  <c r="Q22" i="9"/>
  <c r="Q23" i="9" s="1"/>
  <c r="U3" i="10" s="1"/>
  <c r="Q33" i="9"/>
  <c r="Q34" i="9" s="1"/>
  <c r="U5" i="10" s="1"/>
  <c r="Q11" i="9"/>
  <c r="Q12" i="9" s="1"/>
  <c r="Q38" i="9"/>
  <c r="Q39" i="9" s="1"/>
  <c r="Q17" i="9"/>
  <c r="Q18" i="9" s="1"/>
  <c r="U2" i="10" s="1"/>
  <c r="Q44" i="9"/>
  <c r="Q45" i="9" s="1"/>
  <c r="Q55" i="9" s="1"/>
  <c r="Q36" i="9"/>
  <c r="U7" i="10" s="1"/>
  <c r="M3" i="8"/>
  <c r="K9" i="11"/>
  <c r="K50" i="11" s="1"/>
  <c r="X3" i="8"/>
  <c r="E3" i="8"/>
  <c r="I6" i="10"/>
  <c r="E44" i="9"/>
  <c r="E45" i="9" s="1"/>
  <c r="E55" i="9" s="1"/>
  <c r="E38" i="9"/>
  <c r="E39" i="9" s="1"/>
  <c r="E11" i="9"/>
  <c r="E12" i="9" s="1"/>
  <c r="E36" i="9"/>
  <c r="I7" i="10" s="1"/>
  <c r="E27" i="9"/>
  <c r="E28" i="9" s="1"/>
  <c r="E41" i="9"/>
  <c r="E42" i="9" s="1"/>
  <c r="E50" i="9" s="1"/>
  <c r="E33" i="9"/>
  <c r="E34" i="9" s="1"/>
  <c r="I5" i="10" s="1"/>
  <c r="E17" i="9"/>
  <c r="E18" i="9" s="1"/>
  <c r="E22" i="9"/>
  <c r="E23" i="9" s="1"/>
  <c r="E14" i="17"/>
  <c r="E28" i="13" s="1"/>
  <c r="E17" i="17"/>
  <c r="M22" i="9"/>
  <c r="M23" i="9" s="1"/>
  <c r="Q3" i="10" s="1"/>
  <c r="M33" i="9"/>
  <c r="M34" i="9" s="1"/>
  <c r="Q5" i="10" s="1"/>
  <c r="M27" i="9"/>
  <c r="M28" i="9" s="1"/>
  <c r="Q4" i="10" s="1"/>
  <c r="M36" i="9"/>
  <c r="Q7" i="10" s="1"/>
  <c r="M38" i="9"/>
  <c r="M39" i="9" s="1"/>
  <c r="M11" i="9"/>
  <c r="M12" i="9" s="1"/>
  <c r="M41" i="9"/>
  <c r="M42" i="9" s="1"/>
  <c r="M50" i="9" s="1"/>
  <c r="M17" i="9"/>
  <c r="M18" i="9" s="1"/>
  <c r="Q2" i="10" s="1"/>
  <c r="M44" i="9"/>
  <c r="M45" i="9" s="1"/>
  <c r="M55" i="9" s="1"/>
  <c r="Y131" i="7"/>
  <c r="Y194" i="7" s="1"/>
  <c r="Y92" i="14" s="1"/>
  <c r="Y229" i="7"/>
  <c r="Y288" i="7" s="1"/>
  <c r="Y117" i="14" s="1"/>
  <c r="E323" i="7"/>
  <c r="E388" i="7" s="1"/>
  <c r="E142" i="14" s="1"/>
  <c r="J57" i="10" l="1"/>
  <c r="AV219" i="23"/>
  <c r="AV222" i="23" s="1"/>
  <c r="L11" i="9"/>
  <c r="L12" i="9" s="1"/>
  <c r="L22" i="9"/>
  <c r="L23" i="9" s="1"/>
  <c r="P3" i="10" s="1"/>
  <c r="J187" i="10"/>
  <c r="L41" i="9"/>
  <c r="L42" i="9" s="1"/>
  <c r="L50" i="9" s="1"/>
  <c r="J71" i="10"/>
  <c r="L27" i="9"/>
  <c r="L28" i="9" s="1"/>
  <c r="P4" i="10" s="1"/>
  <c r="J166" i="10"/>
  <c r="L38" i="9"/>
  <c r="L39" i="9" s="1"/>
  <c r="F8" i="8"/>
  <c r="AF193" i="14"/>
  <c r="AF196" i="14" s="1"/>
  <c r="AF197" i="14" s="1"/>
  <c r="L17" i="9"/>
  <c r="L18" i="9" s="1"/>
  <c r="P2" i="10" s="1"/>
  <c r="J17" i="10"/>
  <c r="J158" i="10"/>
  <c r="L36" i="9"/>
  <c r="P7" i="10" s="1"/>
  <c r="L3" i="8"/>
  <c r="J194" i="10"/>
  <c r="T271" i="23"/>
  <c r="O277" i="23"/>
  <c r="L44" i="9"/>
  <c r="L45" i="9" s="1"/>
  <c r="L55" i="9" s="1"/>
  <c r="AF25" i="15"/>
  <c r="J109" i="10"/>
  <c r="AF26" i="15"/>
  <c r="J89" i="10"/>
  <c r="L33" i="9"/>
  <c r="L34" i="9" s="1"/>
  <c r="P5" i="10" s="1"/>
  <c r="H22" i="9"/>
  <c r="H23" i="9" s="1"/>
  <c r="L3" i="10" s="1"/>
  <c r="J178" i="10"/>
  <c r="AZ271" i="23"/>
  <c r="O273" i="23"/>
  <c r="W272" i="23"/>
  <c r="W273" i="23"/>
  <c r="W275" i="23"/>
  <c r="W274" i="23"/>
  <c r="W276" i="23"/>
  <c r="F59" i="9"/>
  <c r="J130" i="10"/>
  <c r="W277" i="23"/>
  <c r="AC274" i="23"/>
  <c r="AC271" i="23"/>
  <c r="AC276" i="23"/>
  <c r="AC273" i="23"/>
  <c r="AC275" i="23"/>
  <c r="AC277" i="23"/>
  <c r="AC272" i="23"/>
  <c r="BE152" i="23"/>
  <c r="BE148" i="23"/>
  <c r="BE149" i="23"/>
  <c r="BE153" i="23"/>
  <c r="BE151" i="23"/>
  <c r="BE147" i="23"/>
  <c r="J165" i="10"/>
  <c r="AF219" i="23"/>
  <c r="AF222" i="23" s="1"/>
  <c r="AF276" i="23" s="1"/>
  <c r="H151" i="23"/>
  <c r="H148" i="23"/>
  <c r="H147" i="23"/>
  <c r="H153" i="23"/>
  <c r="H152" i="23"/>
  <c r="H149" i="23"/>
  <c r="T150" i="23"/>
  <c r="T25" i="23"/>
  <c r="R273" i="23"/>
  <c r="R275" i="23"/>
  <c r="R272" i="23"/>
  <c r="R277" i="23"/>
  <c r="R274" i="23"/>
  <c r="R271" i="23"/>
  <c r="R276" i="23"/>
  <c r="R151" i="23"/>
  <c r="R153" i="23"/>
  <c r="R152" i="23"/>
  <c r="R149" i="23"/>
  <c r="R148" i="23"/>
  <c r="R147" i="23"/>
  <c r="BG277" i="23"/>
  <c r="BG274" i="23"/>
  <c r="BG271" i="23"/>
  <c r="BG276" i="23"/>
  <c r="BG273" i="23"/>
  <c r="BG272" i="23"/>
  <c r="BG275" i="23"/>
  <c r="AI273" i="23"/>
  <c r="AI275" i="23"/>
  <c r="AI272" i="23"/>
  <c r="AI277" i="23"/>
  <c r="AI274" i="23"/>
  <c r="AI276" i="23"/>
  <c r="AI271" i="23"/>
  <c r="N150" i="23"/>
  <c r="N25" i="23"/>
  <c r="AA277" i="23"/>
  <c r="AA274" i="23"/>
  <c r="AA271" i="23"/>
  <c r="AA276" i="23"/>
  <c r="AA273" i="23"/>
  <c r="AA275" i="23"/>
  <c r="AA272" i="23"/>
  <c r="AA29" i="23"/>
  <c r="AU153" i="23"/>
  <c r="AU147" i="23"/>
  <c r="AU152" i="23"/>
  <c r="AU151" i="23"/>
  <c r="AU148" i="23"/>
  <c r="AU149" i="23"/>
  <c r="F152" i="23"/>
  <c r="F149" i="23"/>
  <c r="F148" i="23"/>
  <c r="F151" i="23"/>
  <c r="F153" i="23"/>
  <c r="F147" i="23"/>
  <c r="AL275" i="23"/>
  <c r="AL272" i="23"/>
  <c r="AL277" i="23"/>
  <c r="AL274" i="23"/>
  <c r="AL271" i="23"/>
  <c r="AL276" i="23"/>
  <c r="AL273" i="23"/>
  <c r="AT98" i="23"/>
  <c r="S273" i="23"/>
  <c r="S275" i="23"/>
  <c r="S272" i="23"/>
  <c r="S277" i="23"/>
  <c r="S274" i="23"/>
  <c r="S276" i="23"/>
  <c r="S271" i="23"/>
  <c r="AH153" i="23"/>
  <c r="AH152" i="23"/>
  <c r="AH147" i="23"/>
  <c r="AH149" i="23"/>
  <c r="AH151" i="23"/>
  <c r="AH148" i="23"/>
  <c r="P152" i="23"/>
  <c r="P153" i="23"/>
  <c r="P149" i="23"/>
  <c r="P151" i="23"/>
  <c r="P148" i="23"/>
  <c r="P147" i="23"/>
  <c r="U275" i="23"/>
  <c r="U272" i="23"/>
  <c r="U277" i="23"/>
  <c r="U274" i="23"/>
  <c r="U271" i="23"/>
  <c r="U276" i="23"/>
  <c r="U273" i="23"/>
  <c r="H222" i="23"/>
  <c r="Q276" i="23"/>
  <c r="Q273" i="23"/>
  <c r="Q275" i="23"/>
  <c r="Q272" i="23"/>
  <c r="Q277" i="23"/>
  <c r="Q274" i="23"/>
  <c r="Q271" i="23"/>
  <c r="AL149" i="23"/>
  <c r="AL148" i="23"/>
  <c r="AL153" i="23"/>
  <c r="AL152" i="23"/>
  <c r="AL147" i="23"/>
  <c r="AL151" i="23"/>
  <c r="AY273" i="23"/>
  <c r="AY275" i="23"/>
  <c r="AY272" i="23"/>
  <c r="AY277" i="23"/>
  <c r="AY274" i="23"/>
  <c r="AY276" i="23"/>
  <c r="AY271" i="23"/>
  <c r="S149" i="23"/>
  <c r="S152" i="23"/>
  <c r="S153" i="23"/>
  <c r="S151" i="23"/>
  <c r="S148" i="23"/>
  <c r="S147" i="23"/>
  <c r="AK275" i="23"/>
  <c r="AK272" i="23"/>
  <c r="AK277" i="23"/>
  <c r="AK274" i="23"/>
  <c r="AK271" i="23"/>
  <c r="AK276" i="23"/>
  <c r="AK273" i="23"/>
  <c r="AO148" i="23"/>
  <c r="AO149" i="23"/>
  <c r="AO153" i="23"/>
  <c r="AO147" i="23"/>
  <c r="AO152" i="23"/>
  <c r="AO151" i="23"/>
  <c r="AJ275" i="23"/>
  <c r="AJ272" i="23"/>
  <c r="AJ277" i="23"/>
  <c r="AJ274" i="23"/>
  <c r="AJ271" i="23"/>
  <c r="AJ276" i="23"/>
  <c r="AJ273" i="23"/>
  <c r="AZ151" i="23"/>
  <c r="AZ149" i="23"/>
  <c r="AZ153" i="23"/>
  <c r="AZ147" i="23"/>
  <c r="AZ152" i="23"/>
  <c r="AZ148" i="23"/>
  <c r="K277" i="23"/>
  <c r="K274" i="23"/>
  <c r="K271" i="23"/>
  <c r="K276" i="23"/>
  <c r="K273" i="23"/>
  <c r="K275" i="23"/>
  <c r="K272" i="23"/>
  <c r="Q153" i="23"/>
  <c r="Q152" i="23"/>
  <c r="Q151" i="23"/>
  <c r="Q148" i="23"/>
  <c r="Q147" i="23"/>
  <c r="Q149" i="23"/>
  <c r="AR152" i="23"/>
  <c r="AR153" i="23"/>
  <c r="AR148" i="23"/>
  <c r="AR149" i="23"/>
  <c r="AR151" i="23"/>
  <c r="AR147" i="23"/>
  <c r="BD222" i="23"/>
  <c r="I98" i="23"/>
  <c r="I150" i="23" s="1"/>
  <c r="Y272" i="23"/>
  <c r="Y277" i="23"/>
  <c r="Y274" i="23"/>
  <c r="Y271" i="23"/>
  <c r="Y276" i="23"/>
  <c r="Y273" i="23"/>
  <c r="Y275" i="23"/>
  <c r="AN272" i="23"/>
  <c r="AN277" i="23"/>
  <c r="AN274" i="23"/>
  <c r="AN271" i="23"/>
  <c r="AN276" i="23"/>
  <c r="AN273" i="23"/>
  <c r="AN275" i="23"/>
  <c r="AT271" i="23"/>
  <c r="AT276" i="23"/>
  <c r="AT273" i="23"/>
  <c r="AT275" i="23"/>
  <c r="AT272" i="23"/>
  <c r="AT277" i="23"/>
  <c r="AT274" i="23"/>
  <c r="V153" i="23"/>
  <c r="V152" i="23"/>
  <c r="V148" i="23"/>
  <c r="V151" i="23"/>
  <c r="V147" i="23"/>
  <c r="V149" i="23"/>
  <c r="AD149" i="23"/>
  <c r="AD153" i="23"/>
  <c r="AD151" i="23"/>
  <c r="AD147" i="23"/>
  <c r="AD148" i="23"/>
  <c r="AD152" i="23"/>
  <c r="X222" i="23"/>
  <c r="AB153" i="23"/>
  <c r="AB147" i="23"/>
  <c r="AB151" i="23"/>
  <c r="AB148" i="23"/>
  <c r="AB149" i="23"/>
  <c r="AB152" i="23"/>
  <c r="AS274" i="23"/>
  <c r="AS271" i="23"/>
  <c r="AS276" i="23"/>
  <c r="AS273" i="23"/>
  <c r="AS275" i="23"/>
  <c r="AS277" i="23"/>
  <c r="AS272" i="23"/>
  <c r="AP151" i="23"/>
  <c r="AP153" i="23"/>
  <c r="AP147" i="23"/>
  <c r="AP152" i="23"/>
  <c r="AP149" i="23"/>
  <c r="AP148" i="23"/>
  <c r="AV150" i="23"/>
  <c r="AV25" i="23"/>
  <c r="BA275" i="23"/>
  <c r="BA272" i="23"/>
  <c r="BA277" i="23"/>
  <c r="BA274" i="23"/>
  <c r="BA271" i="23"/>
  <c r="BA276" i="23"/>
  <c r="BA273" i="23"/>
  <c r="AJ152" i="23"/>
  <c r="AJ151" i="23"/>
  <c r="AJ149" i="23"/>
  <c r="AJ153" i="23"/>
  <c r="AJ148" i="23"/>
  <c r="AJ147" i="23"/>
  <c r="BC151" i="23"/>
  <c r="BC149" i="23"/>
  <c r="BC148" i="23"/>
  <c r="BC147" i="23"/>
  <c r="BC153" i="23"/>
  <c r="BC152" i="23"/>
  <c r="BE272" i="23"/>
  <c r="BE277" i="23"/>
  <c r="BE274" i="23"/>
  <c r="BE271" i="23"/>
  <c r="BE276" i="23"/>
  <c r="BE273" i="23"/>
  <c r="BE275" i="23"/>
  <c r="AU271" i="23"/>
  <c r="AU276" i="23"/>
  <c r="AU273" i="23"/>
  <c r="AU275" i="23"/>
  <c r="AU272" i="23"/>
  <c r="AU277" i="23"/>
  <c r="AU274" i="23"/>
  <c r="AU29" i="23"/>
  <c r="AM149" i="23"/>
  <c r="AM148" i="23"/>
  <c r="AM153" i="23"/>
  <c r="AM152" i="23"/>
  <c r="AM151" i="23"/>
  <c r="AM147" i="23"/>
  <c r="AX152" i="23"/>
  <c r="AX153" i="23"/>
  <c r="AX151" i="23"/>
  <c r="AX147" i="23"/>
  <c r="AX148" i="23"/>
  <c r="AX149" i="23"/>
  <c r="AS153" i="23"/>
  <c r="AS147" i="23"/>
  <c r="AS152" i="23"/>
  <c r="AS151" i="23"/>
  <c r="AS148" i="23"/>
  <c r="AS149" i="23"/>
  <c r="E185" i="23"/>
  <c r="E249" i="23"/>
  <c r="E254" i="23" s="1"/>
  <c r="BG281" i="23"/>
  <c r="E238" i="23"/>
  <c r="E183" i="23"/>
  <c r="E180" i="23"/>
  <c r="E230" i="23"/>
  <c r="E231" i="23" s="1"/>
  <c r="E239" i="23"/>
  <c r="E190" i="23"/>
  <c r="E69" i="23"/>
  <c r="E84" i="23" s="1"/>
  <c r="E130" i="23"/>
  <c r="E140" i="23"/>
  <c r="E145" i="23" s="1"/>
  <c r="E132" i="23"/>
  <c r="E142" i="23"/>
  <c r="AA17" i="21"/>
  <c r="J18" i="10"/>
  <c r="J44" i="10"/>
  <c r="J159" i="10"/>
  <c r="J135" i="10"/>
  <c r="J31" i="10"/>
  <c r="J179" i="10"/>
  <c r="J155" i="10"/>
  <c r="J93" i="10"/>
  <c r="J150" i="10"/>
  <c r="J53" i="10"/>
  <c r="J199" i="10"/>
  <c r="U340" i="7"/>
  <c r="J20" i="10"/>
  <c r="J153" i="10"/>
  <c r="J97" i="10"/>
  <c r="J195" i="10"/>
  <c r="J96" i="10"/>
  <c r="J23" i="10"/>
  <c r="U344" i="7"/>
  <c r="J111" i="10"/>
  <c r="J136" i="10"/>
  <c r="AP257" i="7"/>
  <c r="AP272" i="7" s="1"/>
  <c r="J22" i="10"/>
  <c r="J202" i="10"/>
  <c r="J98" i="10"/>
  <c r="J42" i="10"/>
  <c r="J160" i="10"/>
  <c r="J173" i="10"/>
  <c r="J56" i="10"/>
  <c r="J163" i="10"/>
  <c r="J198" i="10"/>
  <c r="J126" i="10"/>
  <c r="J183" i="10"/>
  <c r="O218" i="7"/>
  <c r="J92" i="10"/>
  <c r="J49" i="10"/>
  <c r="AP260" i="7"/>
  <c r="AP275" i="7" s="1"/>
  <c r="J65" i="10"/>
  <c r="J19" i="10"/>
  <c r="J113" i="10"/>
  <c r="J121" i="10"/>
  <c r="J75" i="10"/>
  <c r="J29" i="10"/>
  <c r="J103" i="10"/>
  <c r="J64" i="10"/>
  <c r="J50" i="10"/>
  <c r="J128" i="10"/>
  <c r="J58" i="10"/>
  <c r="O237" i="7"/>
  <c r="J74" i="10"/>
  <c r="J62" i="10"/>
  <c r="J81" i="10"/>
  <c r="J167" i="10"/>
  <c r="J87" i="10"/>
  <c r="J84" i="10"/>
  <c r="J99" i="10"/>
  <c r="J123" i="10"/>
  <c r="J59" i="10"/>
  <c r="J185" i="10"/>
  <c r="J104" i="10"/>
  <c r="O246" i="7"/>
  <c r="J162" i="10"/>
  <c r="J137" i="10"/>
  <c r="J52" i="10"/>
  <c r="J133" i="10"/>
  <c r="J192" i="10"/>
  <c r="J80" i="10"/>
  <c r="J70" i="10"/>
  <c r="J120" i="10"/>
  <c r="J122" i="10"/>
  <c r="J95" i="10"/>
  <c r="J26" i="10"/>
  <c r="J170" i="10"/>
  <c r="O233" i="7"/>
  <c r="O249" i="7"/>
  <c r="J28" i="10"/>
  <c r="J190" i="10"/>
  <c r="J88" i="10"/>
  <c r="J108" i="10"/>
  <c r="J156" i="10"/>
  <c r="J55" i="10"/>
  <c r="J146" i="10"/>
  <c r="J124" i="10"/>
  <c r="J177" i="10"/>
  <c r="J147" i="10"/>
  <c r="J105" i="10"/>
  <c r="J119" i="10"/>
  <c r="J152" i="10"/>
  <c r="O252" i="7"/>
  <c r="U332" i="7"/>
  <c r="J24" i="10"/>
  <c r="J118" i="10"/>
  <c r="J72" i="10"/>
  <c r="J32" i="10"/>
  <c r="J68" i="10"/>
  <c r="J100" i="10"/>
  <c r="J182" i="10"/>
  <c r="J154" i="10"/>
  <c r="J106" i="10"/>
  <c r="J157" i="10"/>
  <c r="J41" i="10"/>
  <c r="J172" i="10"/>
  <c r="J175" i="10"/>
  <c r="J174" i="10"/>
  <c r="J129" i="10"/>
  <c r="J180" i="10"/>
  <c r="O254" i="7"/>
  <c r="U347" i="7"/>
  <c r="J131" i="10"/>
  <c r="J116" i="10"/>
  <c r="J151" i="10"/>
  <c r="J197" i="10"/>
  <c r="J144" i="10"/>
  <c r="J201" i="10"/>
  <c r="J82" i="10"/>
  <c r="J186" i="10"/>
  <c r="J39" i="10"/>
  <c r="J139" i="10"/>
  <c r="J47" i="10"/>
  <c r="J191" i="10"/>
  <c r="O245" i="7"/>
  <c r="U331" i="7"/>
  <c r="J86" i="10"/>
  <c r="J125" i="10"/>
  <c r="J171" i="10"/>
  <c r="J138" i="10"/>
  <c r="AP263" i="7"/>
  <c r="AP278" i="7" s="1"/>
  <c r="J143" i="10"/>
  <c r="J181" i="10"/>
  <c r="J40" i="10"/>
  <c r="J67" i="10"/>
  <c r="J168" i="10"/>
  <c r="J91" i="10"/>
  <c r="J43" i="10"/>
  <c r="J188" i="10"/>
  <c r="J193" i="10"/>
  <c r="J90" i="10"/>
  <c r="J38" i="10"/>
  <c r="O232" i="7"/>
  <c r="U341" i="7"/>
  <c r="J145" i="10"/>
  <c r="J34" i="10"/>
  <c r="J85" i="10"/>
  <c r="F57" i="9"/>
  <c r="J16" i="10"/>
  <c r="J164" i="10"/>
  <c r="J33" i="10"/>
  <c r="J51" i="10"/>
  <c r="J69" i="10"/>
  <c r="J83" i="10"/>
  <c r="J149" i="10"/>
  <c r="J36" i="10"/>
  <c r="J35" i="10"/>
  <c r="J200" i="10"/>
  <c r="J101" i="10"/>
  <c r="J94" i="10"/>
  <c r="O240" i="7"/>
  <c r="V230" i="7"/>
  <c r="V232" i="7"/>
  <c r="V218" i="7"/>
  <c r="J189" i="10"/>
  <c r="J37" i="10"/>
  <c r="J132" i="10"/>
  <c r="J114" i="10"/>
  <c r="F56" i="9"/>
  <c r="J30" i="10"/>
  <c r="J169" i="10"/>
  <c r="J27" i="10"/>
  <c r="J102" i="10"/>
  <c r="J117" i="10"/>
  <c r="J46" i="10"/>
  <c r="J112" i="10"/>
  <c r="J45" i="10"/>
  <c r="J184" i="10"/>
  <c r="J60" i="10"/>
  <c r="J134" i="10"/>
  <c r="J66" i="10"/>
  <c r="J107" i="10"/>
  <c r="J161" i="10"/>
  <c r="J25" i="10"/>
  <c r="J21" i="10"/>
  <c r="J196" i="10"/>
  <c r="J63" i="10"/>
  <c r="J115" i="10"/>
  <c r="J110" i="10"/>
  <c r="J148" i="10"/>
  <c r="J61" i="10"/>
  <c r="J48" i="10"/>
  <c r="J73" i="10"/>
  <c r="J176" i="10"/>
  <c r="O251" i="7"/>
  <c r="U342" i="7"/>
  <c r="E119" i="23"/>
  <c r="E35" i="23" s="1"/>
  <c r="O89" i="11"/>
  <c r="T138" i="7"/>
  <c r="S31" i="21"/>
  <c r="T133" i="7"/>
  <c r="T144" i="7"/>
  <c r="T336" i="7"/>
  <c r="O253" i="7"/>
  <c r="O347" i="7"/>
  <c r="U134" i="7"/>
  <c r="U133" i="7"/>
  <c r="U143" i="7"/>
  <c r="U146" i="7"/>
  <c r="U142" i="7"/>
  <c r="U137" i="7"/>
  <c r="U144" i="7"/>
  <c r="U145" i="7"/>
  <c r="U138" i="7"/>
  <c r="N150" i="7"/>
  <c r="N136" i="7"/>
  <c r="N125" i="7"/>
  <c r="N192" i="7" s="1"/>
  <c r="P254" i="7"/>
  <c r="P252" i="7"/>
  <c r="P245" i="7"/>
  <c r="P232" i="7"/>
  <c r="P230" i="7"/>
  <c r="P253" i="7"/>
  <c r="P246" i="7"/>
  <c r="P248" i="7"/>
  <c r="P240" i="7"/>
  <c r="P237" i="7"/>
  <c r="P238" i="7"/>
  <c r="P251" i="7"/>
  <c r="P218" i="7"/>
  <c r="P250" i="7"/>
  <c r="P249" i="7"/>
  <c r="S335" i="7"/>
  <c r="S326" i="7"/>
  <c r="S386" i="7"/>
  <c r="S336" i="7"/>
  <c r="S337" i="7"/>
  <c r="S329" i="7"/>
  <c r="S334" i="7"/>
  <c r="S325" i="7"/>
  <c r="S330" i="7"/>
  <c r="S338" i="7"/>
  <c r="T151" i="7"/>
  <c r="T139" i="7"/>
  <c r="T154" i="7"/>
  <c r="T135" i="7"/>
  <c r="T155" i="7"/>
  <c r="T148" i="7"/>
  <c r="T141" i="7"/>
  <c r="T140" i="7"/>
  <c r="T156" i="7"/>
  <c r="T132" i="7"/>
  <c r="T149" i="7"/>
  <c r="T150" i="7"/>
  <c r="T152" i="7"/>
  <c r="Q241" i="7"/>
  <c r="Q242" i="7"/>
  <c r="Q235" i="7"/>
  <c r="Q236" i="7"/>
  <c r="Q234" i="7"/>
  <c r="Q239" i="7"/>
  <c r="Q231" i="7"/>
  <c r="Q243" i="7"/>
  <c r="F137" i="7"/>
  <c r="F146" i="7"/>
  <c r="F142" i="7"/>
  <c r="F144" i="7"/>
  <c r="F145" i="7"/>
  <c r="F133" i="7"/>
  <c r="F134" i="7"/>
  <c r="F143" i="7"/>
  <c r="F138" i="7"/>
  <c r="T146" i="7"/>
  <c r="V324" i="7"/>
  <c r="V347" i="7"/>
  <c r="V331" i="7"/>
  <c r="V346" i="7"/>
  <c r="V343" i="7"/>
  <c r="V342" i="7"/>
  <c r="V333" i="7"/>
  <c r="V344" i="7"/>
  <c r="V348" i="7"/>
  <c r="V327" i="7"/>
  <c r="V341" i="7"/>
  <c r="V332" i="7"/>
  <c r="V340" i="7"/>
  <c r="AH26" i="15"/>
  <c r="N135" i="7"/>
  <c r="N156" i="7"/>
  <c r="N151" i="7"/>
  <c r="N149" i="7"/>
  <c r="N141" i="7"/>
  <c r="N132" i="7"/>
  <c r="N152" i="7"/>
  <c r="N154" i="7"/>
  <c r="N148" i="7"/>
  <c r="N140" i="7"/>
  <c r="N139" i="7"/>
  <c r="N155" i="7"/>
  <c r="P242" i="7"/>
  <c r="P241" i="7"/>
  <c r="P243" i="7"/>
  <c r="P236" i="7"/>
  <c r="P234" i="7"/>
  <c r="P231" i="7"/>
  <c r="P239" i="7"/>
  <c r="P235" i="7"/>
  <c r="N327" i="7"/>
  <c r="N331" i="7"/>
  <c r="N341" i="7"/>
  <c r="N342" i="7"/>
  <c r="N332" i="7"/>
  <c r="N344" i="7"/>
  <c r="N333" i="7"/>
  <c r="N347" i="7"/>
  <c r="N343" i="7"/>
  <c r="N348" i="7"/>
  <c r="N346" i="7"/>
  <c r="N324" i="7"/>
  <c r="N340" i="7"/>
  <c r="O346" i="7"/>
  <c r="T327" i="7"/>
  <c r="T344" i="7"/>
  <c r="T333" i="7"/>
  <c r="T340" i="7"/>
  <c r="T324" i="7"/>
  <c r="T346" i="7"/>
  <c r="T342" i="7"/>
  <c r="T332" i="7"/>
  <c r="T331" i="7"/>
  <c r="T347" i="7"/>
  <c r="T348" i="7"/>
  <c r="T341" i="7"/>
  <c r="T343" i="7"/>
  <c r="N244" i="7"/>
  <c r="N227" i="7"/>
  <c r="R134" i="7"/>
  <c r="R143" i="7"/>
  <c r="R146" i="7"/>
  <c r="R133" i="7"/>
  <c r="R145" i="7"/>
  <c r="R137" i="7"/>
  <c r="R144" i="7"/>
  <c r="R142" i="7"/>
  <c r="R138" i="7"/>
  <c r="T386" i="7"/>
  <c r="AH25" i="15"/>
  <c r="AP20" i="13"/>
  <c r="AP6" i="24"/>
  <c r="AP11" i="7"/>
  <c r="O334" i="7"/>
  <c r="F41" i="7"/>
  <c r="F99" i="7" s="1"/>
  <c r="F67" i="14" s="1"/>
  <c r="F68" i="14" s="1"/>
  <c r="T134" i="7"/>
  <c r="AQ69" i="7"/>
  <c r="AQ84" i="7" s="1"/>
  <c r="N146" i="7"/>
  <c r="N133" i="7"/>
  <c r="N137" i="7"/>
  <c r="N138" i="7"/>
  <c r="N142" i="7"/>
  <c r="N145" i="7"/>
  <c r="N134" i="7"/>
  <c r="N144" i="7"/>
  <c r="N143" i="7"/>
  <c r="T247" i="7"/>
  <c r="S141" i="7"/>
  <c r="S156" i="7"/>
  <c r="S135" i="7"/>
  <c r="S132" i="7"/>
  <c r="S150" i="7"/>
  <c r="S139" i="7"/>
  <c r="S140" i="7"/>
  <c r="S149" i="7"/>
  <c r="S152" i="7"/>
  <c r="S154" i="7"/>
  <c r="S155" i="7"/>
  <c r="S148" i="7"/>
  <c r="S151" i="7"/>
  <c r="O338" i="7"/>
  <c r="O332" i="7"/>
  <c r="T329" i="7"/>
  <c r="O248" i="7"/>
  <c r="Q247" i="7"/>
  <c r="S136" i="7"/>
  <c r="S125" i="7"/>
  <c r="S192" i="7" s="1"/>
  <c r="V41" i="7"/>
  <c r="V99" i="7" s="1"/>
  <c r="V67" i="14" s="1"/>
  <c r="V68" i="14" s="1"/>
  <c r="O325" i="7"/>
  <c r="O341" i="7"/>
  <c r="P344" i="7"/>
  <c r="P333" i="7"/>
  <c r="P348" i="7"/>
  <c r="P343" i="7"/>
  <c r="P327" i="7"/>
  <c r="P332" i="7"/>
  <c r="P340" i="7"/>
  <c r="P347" i="7"/>
  <c r="P342" i="7"/>
  <c r="P324" i="7"/>
  <c r="P341" i="7"/>
  <c r="P346" i="7"/>
  <c r="P331" i="7"/>
  <c r="S244" i="7"/>
  <c r="S227" i="7"/>
  <c r="T142" i="7"/>
  <c r="R331" i="7"/>
  <c r="R340" i="7"/>
  <c r="R346" i="7"/>
  <c r="R344" i="7"/>
  <c r="R333" i="7"/>
  <c r="R324" i="7"/>
  <c r="R343" i="7"/>
  <c r="R327" i="7"/>
  <c r="R348" i="7"/>
  <c r="R332" i="7"/>
  <c r="R342" i="7"/>
  <c r="R347" i="7"/>
  <c r="R341" i="7"/>
  <c r="AN247" i="7"/>
  <c r="T242" i="7"/>
  <c r="T231" i="7"/>
  <c r="T235" i="7"/>
  <c r="T236" i="7"/>
  <c r="T241" i="7"/>
  <c r="T234" i="7"/>
  <c r="T243" i="7"/>
  <c r="T239" i="7"/>
  <c r="N245" i="7"/>
  <c r="N252" i="7"/>
  <c r="N248" i="7"/>
  <c r="N218" i="7"/>
  <c r="N230" i="7"/>
  <c r="N240" i="7"/>
  <c r="N250" i="7"/>
  <c r="N238" i="7"/>
  <c r="N249" i="7"/>
  <c r="N237" i="7"/>
  <c r="N253" i="7"/>
  <c r="N251" i="7"/>
  <c r="N232" i="7"/>
  <c r="N246" i="7"/>
  <c r="N254" i="7"/>
  <c r="O386" i="7"/>
  <c r="O340" i="7"/>
  <c r="S233" i="7"/>
  <c r="S223" i="7"/>
  <c r="T137" i="7"/>
  <c r="AF3" i="9"/>
  <c r="AJ6" i="10" s="1"/>
  <c r="N334" i="7"/>
  <c r="N337" i="7"/>
  <c r="N326" i="7"/>
  <c r="N336" i="7"/>
  <c r="N325" i="7"/>
  <c r="N335" i="7"/>
  <c r="N330" i="7"/>
  <c r="N329" i="7"/>
  <c r="N338" i="7"/>
  <c r="N386" i="7"/>
  <c r="O337" i="7"/>
  <c r="O348" i="7"/>
  <c r="P325" i="7"/>
  <c r="P334" i="7"/>
  <c r="P330" i="7"/>
  <c r="P338" i="7"/>
  <c r="P336" i="7"/>
  <c r="P326" i="7"/>
  <c r="P337" i="7"/>
  <c r="P329" i="7"/>
  <c r="P335" i="7"/>
  <c r="P386" i="7"/>
  <c r="S247" i="7"/>
  <c r="V336" i="7"/>
  <c r="V335" i="7"/>
  <c r="V386" i="7"/>
  <c r="V337" i="7"/>
  <c r="V330" i="7"/>
  <c r="V326" i="7"/>
  <c r="V325" i="7"/>
  <c r="V329" i="7"/>
  <c r="V334" i="7"/>
  <c r="V338" i="7"/>
  <c r="P136" i="7"/>
  <c r="P125" i="7"/>
  <c r="P192" i="7" s="1"/>
  <c r="O143" i="7"/>
  <c r="O125" i="7"/>
  <c r="O192" i="7" s="1"/>
  <c r="O136" i="7"/>
  <c r="O144" i="7"/>
  <c r="O336" i="7"/>
  <c r="F223" i="7"/>
  <c r="F233" i="7"/>
  <c r="O102" i="11"/>
  <c r="P41" i="7"/>
  <c r="P99" i="7" s="1"/>
  <c r="P67" i="14" s="1"/>
  <c r="P68" i="14" s="1"/>
  <c r="P69" i="14" s="1"/>
  <c r="R232" i="7"/>
  <c r="R238" i="7"/>
  <c r="R240" i="7"/>
  <c r="R251" i="7"/>
  <c r="R254" i="7"/>
  <c r="R252" i="7"/>
  <c r="R245" i="7"/>
  <c r="R249" i="7"/>
  <c r="R246" i="7"/>
  <c r="R218" i="7"/>
  <c r="R230" i="7"/>
  <c r="R250" i="7"/>
  <c r="R253" i="7"/>
  <c r="R248" i="7"/>
  <c r="R237" i="7"/>
  <c r="U41" i="7"/>
  <c r="U99" i="7" s="1"/>
  <c r="U67" i="14" s="1"/>
  <c r="U68" i="14" s="1"/>
  <c r="T232" i="7"/>
  <c r="T254" i="7"/>
  <c r="T237" i="7"/>
  <c r="T230" i="7"/>
  <c r="T218" i="7"/>
  <c r="T248" i="7"/>
  <c r="T240" i="7"/>
  <c r="T246" i="7"/>
  <c r="T249" i="7"/>
  <c r="T238" i="7"/>
  <c r="T253" i="7"/>
  <c r="T245" i="7"/>
  <c r="T251" i="7"/>
  <c r="T250" i="7"/>
  <c r="T252" i="7"/>
  <c r="N41" i="7"/>
  <c r="N99" i="7" s="1"/>
  <c r="N67" i="14" s="1"/>
  <c r="N68" i="14" s="1"/>
  <c r="S143" i="7"/>
  <c r="S137" i="7"/>
  <c r="S144" i="7"/>
  <c r="S134" i="7"/>
  <c r="S142" i="7"/>
  <c r="S145" i="7"/>
  <c r="S146" i="7"/>
  <c r="S138" i="7"/>
  <c r="S133" i="7"/>
  <c r="U235" i="7"/>
  <c r="U231" i="7"/>
  <c r="U236" i="7"/>
  <c r="U243" i="7"/>
  <c r="U241" i="7"/>
  <c r="U239" i="7"/>
  <c r="U234" i="7"/>
  <c r="U242" i="7"/>
  <c r="Q125" i="7"/>
  <c r="Q192" i="7" s="1"/>
  <c r="Q136" i="7"/>
  <c r="O330" i="7"/>
  <c r="O344" i="7"/>
  <c r="T41" i="7"/>
  <c r="T99" i="7" s="1"/>
  <c r="T67" i="14" s="1"/>
  <c r="F244" i="7"/>
  <c r="F227" i="7"/>
  <c r="Q41" i="7"/>
  <c r="Q99" i="7" s="1"/>
  <c r="Q67" i="14" s="1"/>
  <c r="Q68" i="14" s="1"/>
  <c r="Q69" i="14" s="1"/>
  <c r="AP264" i="7"/>
  <c r="AP279" i="7" s="1"/>
  <c r="O94" i="11"/>
  <c r="R231" i="7"/>
  <c r="R234" i="7"/>
  <c r="R243" i="7"/>
  <c r="R242" i="7"/>
  <c r="R235" i="7"/>
  <c r="R236" i="7"/>
  <c r="R239" i="7"/>
  <c r="R241" i="7"/>
  <c r="U254" i="7"/>
  <c r="U251" i="7"/>
  <c r="U253" i="7"/>
  <c r="U232" i="7"/>
  <c r="U245" i="7"/>
  <c r="U250" i="7"/>
  <c r="U218" i="7"/>
  <c r="U240" i="7"/>
  <c r="U237" i="7"/>
  <c r="U249" i="7"/>
  <c r="U248" i="7"/>
  <c r="U230" i="7"/>
  <c r="U238" i="7"/>
  <c r="U246" i="7"/>
  <c r="U252" i="7"/>
  <c r="Q151" i="7"/>
  <c r="Q153" i="7"/>
  <c r="O326" i="7"/>
  <c r="S41" i="7"/>
  <c r="S99" i="7" s="1"/>
  <c r="S67" i="14" s="1"/>
  <c r="V234" i="7"/>
  <c r="V243" i="7"/>
  <c r="V241" i="7"/>
  <c r="V239" i="7"/>
  <c r="V242" i="7"/>
  <c r="V236" i="7"/>
  <c r="V231" i="7"/>
  <c r="V235" i="7"/>
  <c r="F232" i="7"/>
  <c r="F238" i="7"/>
  <c r="F248" i="7"/>
  <c r="F250" i="7"/>
  <c r="F251" i="7"/>
  <c r="F218" i="7"/>
  <c r="F245" i="7"/>
  <c r="F230" i="7"/>
  <c r="F254" i="7"/>
  <c r="F253" i="7"/>
  <c r="F249" i="7"/>
  <c r="F237" i="7"/>
  <c r="F252" i="7"/>
  <c r="F240" i="7"/>
  <c r="F246" i="7"/>
  <c r="U141" i="7"/>
  <c r="U154" i="7"/>
  <c r="U151" i="7"/>
  <c r="U139" i="7"/>
  <c r="U155" i="7"/>
  <c r="U135" i="7"/>
  <c r="U152" i="7"/>
  <c r="U150" i="7"/>
  <c r="U140" i="7"/>
  <c r="U132" i="7"/>
  <c r="U156" i="7"/>
  <c r="U148" i="7"/>
  <c r="U149" i="7"/>
  <c r="S245" i="7"/>
  <c r="S253" i="7"/>
  <c r="S238" i="7"/>
  <c r="S240" i="7"/>
  <c r="S246" i="7"/>
  <c r="S232" i="7"/>
  <c r="S250" i="7"/>
  <c r="S218" i="7"/>
  <c r="S248" i="7"/>
  <c r="S251" i="7"/>
  <c r="S254" i="7"/>
  <c r="S230" i="7"/>
  <c r="S252" i="7"/>
  <c r="S237" i="7"/>
  <c r="S249" i="7"/>
  <c r="R329" i="7"/>
  <c r="R336" i="7"/>
  <c r="R334" i="7"/>
  <c r="R335" i="7"/>
  <c r="R325" i="7"/>
  <c r="R330" i="7"/>
  <c r="R338" i="7"/>
  <c r="R337" i="7"/>
  <c r="R386" i="7"/>
  <c r="R326" i="7"/>
  <c r="R227" i="7"/>
  <c r="R244" i="7"/>
  <c r="O227" i="7"/>
  <c r="O244" i="7"/>
  <c r="U233" i="7"/>
  <c r="U223" i="7"/>
  <c r="N231" i="7"/>
  <c r="N243" i="7"/>
  <c r="N235" i="7"/>
  <c r="N234" i="7"/>
  <c r="N236" i="7"/>
  <c r="N242" i="7"/>
  <c r="N241" i="7"/>
  <c r="N239" i="7"/>
  <c r="O335" i="7"/>
  <c r="F247" i="7"/>
  <c r="T337" i="7"/>
  <c r="Q346" i="7"/>
  <c r="Q344" i="7"/>
  <c r="Q333" i="7"/>
  <c r="Q343" i="7"/>
  <c r="Q327" i="7"/>
  <c r="Q348" i="7"/>
  <c r="Q332" i="7"/>
  <c r="Q342" i="7"/>
  <c r="Q347" i="7"/>
  <c r="Q340" i="7"/>
  <c r="Q331" i="7"/>
  <c r="Q324" i="7"/>
  <c r="Q341" i="7"/>
  <c r="AP68" i="7"/>
  <c r="AP83" i="7" s="1"/>
  <c r="O135" i="7"/>
  <c r="O140" i="7"/>
  <c r="O134" i="7"/>
  <c r="O152" i="7"/>
  <c r="O141" i="7"/>
  <c r="O149" i="7"/>
  <c r="O137" i="7"/>
  <c r="O151" i="7"/>
  <c r="O154" i="7"/>
  <c r="O142" i="7"/>
  <c r="O146" i="7"/>
  <c r="O145" i="7"/>
  <c r="O139" i="7"/>
  <c r="O150" i="7"/>
  <c r="O156" i="7"/>
  <c r="O132" i="7"/>
  <c r="O148" i="7"/>
  <c r="O155" i="7"/>
  <c r="P132" i="7"/>
  <c r="P155" i="7"/>
  <c r="P141" i="7"/>
  <c r="P156" i="7"/>
  <c r="P140" i="7"/>
  <c r="P152" i="7"/>
  <c r="P154" i="7"/>
  <c r="P148" i="7"/>
  <c r="P135" i="7"/>
  <c r="P139" i="7"/>
  <c r="P149" i="7"/>
  <c r="P151" i="7"/>
  <c r="P150" i="7"/>
  <c r="V144" i="7"/>
  <c r="V136" i="7"/>
  <c r="V125" i="7"/>
  <c r="V192" i="7" s="1"/>
  <c r="P233" i="7"/>
  <c r="P223" i="7"/>
  <c r="N247" i="7"/>
  <c r="Q218" i="7"/>
  <c r="Q248" i="7"/>
  <c r="Q238" i="7"/>
  <c r="Q230" i="7"/>
  <c r="Q249" i="7"/>
  <c r="Q253" i="7"/>
  <c r="Q252" i="7"/>
  <c r="Q237" i="7"/>
  <c r="Q250" i="7"/>
  <c r="Q254" i="7"/>
  <c r="Q240" i="7"/>
  <c r="Q246" i="7"/>
  <c r="Q251" i="7"/>
  <c r="Q232" i="7"/>
  <c r="Q245" i="7"/>
  <c r="O329" i="7"/>
  <c r="R132" i="7"/>
  <c r="R150" i="7"/>
  <c r="R135" i="7"/>
  <c r="R154" i="7"/>
  <c r="R152" i="7"/>
  <c r="R140" i="7"/>
  <c r="R141" i="7"/>
  <c r="R151" i="7"/>
  <c r="R155" i="7"/>
  <c r="R148" i="7"/>
  <c r="R139" i="7"/>
  <c r="R149" i="7"/>
  <c r="R156" i="7"/>
  <c r="U330" i="7"/>
  <c r="U335" i="7"/>
  <c r="U325" i="7"/>
  <c r="U336" i="7"/>
  <c r="U326" i="7"/>
  <c r="U386" i="7"/>
  <c r="U329" i="7"/>
  <c r="U334" i="7"/>
  <c r="U338" i="7"/>
  <c r="U337" i="7"/>
  <c r="S235" i="7"/>
  <c r="S231" i="7"/>
  <c r="S241" i="7"/>
  <c r="S242" i="7"/>
  <c r="S243" i="7"/>
  <c r="S236" i="7"/>
  <c r="S234" i="7"/>
  <c r="S239" i="7"/>
  <c r="T326" i="7"/>
  <c r="F333" i="7"/>
  <c r="F327" i="7"/>
  <c r="F324" i="7"/>
  <c r="F344" i="7"/>
  <c r="F348" i="7"/>
  <c r="F346" i="7"/>
  <c r="F341" i="7"/>
  <c r="F331" i="7"/>
  <c r="F343" i="7"/>
  <c r="F347" i="7"/>
  <c r="F340" i="7"/>
  <c r="F342" i="7"/>
  <c r="F332" i="7"/>
  <c r="V247" i="7"/>
  <c r="V253" i="7"/>
  <c r="V250" i="7"/>
  <c r="V251" i="7"/>
  <c r="V248" i="7"/>
  <c r="V245" i="7"/>
  <c r="V252" i="7"/>
  <c r="N223" i="7"/>
  <c r="N233" i="7"/>
  <c r="O343" i="7"/>
  <c r="F235" i="7"/>
  <c r="F234" i="7"/>
  <c r="F239" i="7"/>
  <c r="F241" i="7"/>
  <c r="F242" i="7"/>
  <c r="F243" i="7"/>
  <c r="F236" i="7"/>
  <c r="F231" i="7"/>
  <c r="U125" i="7"/>
  <c r="U192" i="7" s="1"/>
  <c r="U136" i="7"/>
  <c r="O247" i="7"/>
  <c r="F132" i="7"/>
  <c r="F135" i="7"/>
  <c r="F141" i="7"/>
  <c r="F154" i="7"/>
  <c r="F152" i="7"/>
  <c r="F155" i="7"/>
  <c r="F151" i="7"/>
  <c r="F149" i="7"/>
  <c r="F140" i="7"/>
  <c r="F156" i="7"/>
  <c r="F150" i="7"/>
  <c r="F148" i="7"/>
  <c r="F139" i="7"/>
  <c r="T334" i="7"/>
  <c r="F335" i="7"/>
  <c r="F337" i="7"/>
  <c r="F386" i="7"/>
  <c r="F334" i="7"/>
  <c r="F325" i="7"/>
  <c r="F326" i="7"/>
  <c r="F330" i="7"/>
  <c r="F336" i="7"/>
  <c r="F329" i="7"/>
  <c r="F338" i="7"/>
  <c r="O250" i="7"/>
  <c r="Q329" i="7"/>
  <c r="Q335" i="7"/>
  <c r="Q325" i="7"/>
  <c r="Q334" i="7"/>
  <c r="Q336" i="7"/>
  <c r="Q338" i="7"/>
  <c r="Q337" i="7"/>
  <c r="Q386" i="7"/>
  <c r="Q330" i="7"/>
  <c r="Q326" i="7"/>
  <c r="S324" i="7"/>
  <c r="S342" i="7"/>
  <c r="S332" i="7"/>
  <c r="S347" i="7"/>
  <c r="S344" i="7"/>
  <c r="S333" i="7"/>
  <c r="S340" i="7"/>
  <c r="S348" i="7"/>
  <c r="S341" i="7"/>
  <c r="S327" i="7"/>
  <c r="S346" i="7"/>
  <c r="S343" i="7"/>
  <c r="S331" i="7"/>
  <c r="R136" i="7"/>
  <c r="R125" i="7"/>
  <c r="R192" i="7" s="1"/>
  <c r="P138" i="7"/>
  <c r="P142" i="7"/>
  <c r="P145" i="7"/>
  <c r="P134" i="7"/>
  <c r="P146" i="7"/>
  <c r="P143" i="7"/>
  <c r="P133" i="7"/>
  <c r="P137" i="7"/>
  <c r="P144" i="7"/>
  <c r="V141" i="7"/>
  <c r="V155" i="7"/>
  <c r="V140" i="7"/>
  <c r="V152" i="7"/>
  <c r="V154" i="7"/>
  <c r="V148" i="7"/>
  <c r="V139" i="7"/>
  <c r="V151" i="7"/>
  <c r="V135" i="7"/>
  <c r="V149" i="7"/>
  <c r="V150" i="7"/>
  <c r="V156" i="7"/>
  <c r="V132" i="7"/>
  <c r="P247" i="7"/>
  <c r="O41" i="7"/>
  <c r="O99" i="7" s="1"/>
  <c r="O67" i="14" s="1"/>
  <c r="O231" i="7"/>
  <c r="O239" i="7"/>
  <c r="O235" i="7"/>
  <c r="O241" i="7"/>
  <c r="O236" i="7"/>
  <c r="O243" i="7"/>
  <c r="O242" i="7"/>
  <c r="O234" i="7"/>
  <c r="AO295" i="7"/>
  <c r="AO296" i="7" s="1"/>
  <c r="AO76" i="7"/>
  <c r="AO91" i="7" s="1"/>
  <c r="AO75" i="7"/>
  <c r="AO90" i="7" s="1"/>
  <c r="AO71" i="7"/>
  <c r="AO86" i="7" s="1"/>
  <c r="AO78" i="7"/>
  <c r="AO93" i="7" s="1"/>
  <c r="AO69" i="7"/>
  <c r="AO84" i="7" s="1"/>
  <c r="AO103" i="7"/>
  <c r="AO106" i="7" s="1"/>
  <c r="AO77" i="7"/>
  <c r="AO92" i="7" s="1"/>
  <c r="AO72" i="7"/>
  <c r="AO87" i="7" s="1"/>
  <c r="AO73" i="7"/>
  <c r="AO88" i="7" s="1"/>
  <c r="AO201" i="7"/>
  <c r="AO202" i="7" s="1"/>
  <c r="AO79" i="7"/>
  <c r="AO94" i="7" s="1"/>
  <c r="AO17" i="7"/>
  <c r="AO25" i="7" s="1"/>
  <c r="AO81" i="7"/>
  <c r="AO96" i="7" s="1"/>
  <c r="AO74" i="7"/>
  <c r="AO89" i="7" s="1"/>
  <c r="AO80" i="7"/>
  <c r="AO95" i="7" s="1"/>
  <c r="AO70" i="7"/>
  <c r="AO85" i="7" s="1"/>
  <c r="Q227" i="7"/>
  <c r="Q244" i="7"/>
  <c r="Q145" i="7"/>
  <c r="Q146" i="7"/>
  <c r="Q138" i="7"/>
  <c r="Q134" i="7"/>
  <c r="Q144" i="7"/>
  <c r="Q142" i="7"/>
  <c r="Q143" i="7"/>
  <c r="Q133" i="7"/>
  <c r="Q137" i="7"/>
  <c r="O342" i="7"/>
  <c r="F125" i="7"/>
  <c r="F192" i="7" s="1"/>
  <c r="F136" i="7"/>
  <c r="T335" i="7"/>
  <c r="R233" i="7"/>
  <c r="R223" i="7"/>
  <c r="T125" i="7"/>
  <c r="T192" i="7" s="1"/>
  <c r="T136" i="7"/>
  <c r="V138" i="7"/>
  <c r="V133" i="7"/>
  <c r="V145" i="7"/>
  <c r="V142" i="7"/>
  <c r="V134" i="7"/>
  <c r="V143" i="7"/>
  <c r="V137" i="7"/>
  <c r="V146" i="7"/>
  <c r="P244" i="7"/>
  <c r="P227" i="7"/>
  <c r="R41" i="7"/>
  <c r="R99" i="7" s="1"/>
  <c r="R67" i="14" s="1"/>
  <c r="R68" i="14" s="1"/>
  <c r="Q223" i="7"/>
  <c r="Q233" i="7"/>
  <c r="Q141" i="7"/>
  <c r="Q135" i="7"/>
  <c r="Q132" i="7"/>
  <c r="Q152" i="7"/>
  <c r="Q148" i="7"/>
  <c r="Q156" i="7"/>
  <c r="Q150" i="7"/>
  <c r="Q140" i="7"/>
  <c r="Q149" i="7"/>
  <c r="Q154" i="7"/>
  <c r="Q139" i="7"/>
  <c r="Q155" i="7"/>
  <c r="O331" i="7"/>
  <c r="T143" i="7"/>
  <c r="O109" i="11"/>
  <c r="O99" i="11"/>
  <c r="O134" i="11"/>
  <c r="AL102" i="11"/>
  <c r="O132" i="11"/>
  <c r="O76" i="11"/>
  <c r="O96" i="11"/>
  <c r="O43" i="11"/>
  <c r="O111" i="11"/>
  <c r="O124" i="11"/>
  <c r="O119" i="11"/>
  <c r="O38" i="11"/>
  <c r="O39" i="11"/>
  <c r="O82" i="11"/>
  <c r="O131" i="11"/>
  <c r="O36" i="11"/>
  <c r="O22" i="11"/>
  <c r="O71" i="11"/>
  <c r="O115" i="11"/>
  <c r="O28" i="11"/>
  <c r="O136" i="11"/>
  <c r="O47" i="11"/>
  <c r="O50" i="11"/>
  <c r="O80" i="11"/>
  <c r="O44" i="11"/>
  <c r="O34" i="11"/>
  <c r="O72" i="11"/>
  <c r="O121" i="11"/>
  <c r="O27" i="11"/>
  <c r="O21" i="11"/>
  <c r="O45" i="11"/>
  <c r="O98" i="11"/>
  <c r="O83" i="11"/>
  <c r="O66" i="11"/>
  <c r="O59" i="11"/>
  <c r="O46" i="11"/>
  <c r="O114" i="11"/>
  <c r="O118" i="11"/>
  <c r="O70" i="11"/>
  <c r="O103" i="11"/>
  <c r="O137" i="11"/>
  <c r="O29" i="11"/>
  <c r="O58" i="11"/>
  <c r="O81" i="11"/>
  <c r="O67" i="11"/>
  <c r="O33" i="11"/>
  <c r="O128" i="11"/>
  <c r="O110" i="11"/>
  <c r="O61" i="11"/>
  <c r="O133" i="11"/>
  <c r="O37" i="11"/>
  <c r="O49" i="11"/>
  <c r="O87" i="11"/>
  <c r="O48" i="11"/>
  <c r="AL77" i="11"/>
  <c r="O130" i="11"/>
  <c r="H38" i="9"/>
  <c r="H39" i="9" s="1"/>
  <c r="AL99" i="11"/>
  <c r="O42" i="11"/>
  <c r="O57" i="11"/>
  <c r="O116" i="11"/>
  <c r="O88" i="11"/>
  <c r="O73" i="11"/>
  <c r="O129" i="11"/>
  <c r="AL29" i="11"/>
  <c r="H33" i="9"/>
  <c r="H34" i="9" s="1"/>
  <c r="L5" i="10" s="1"/>
  <c r="AL30" i="11"/>
  <c r="O60" i="11"/>
  <c r="O84" i="11"/>
  <c r="O56" i="11"/>
  <c r="O26" i="11"/>
  <c r="O112" i="11"/>
  <c r="O64" i="11"/>
  <c r="O23" i="11"/>
  <c r="H36" i="9"/>
  <c r="L7" i="10" s="1"/>
  <c r="O55" i="11"/>
  <c r="O123" i="11"/>
  <c r="O90" i="11"/>
  <c r="O24" i="11"/>
  <c r="AL49" i="11"/>
  <c r="AL65" i="11"/>
  <c r="O35" i="11"/>
  <c r="O51" i="11"/>
  <c r="O138" i="11"/>
  <c r="O125" i="11"/>
  <c r="O107" i="11"/>
  <c r="O101" i="11"/>
  <c r="O108" i="11"/>
  <c r="O20" i="11"/>
  <c r="AL24" i="11"/>
  <c r="O91" i="11"/>
  <c r="O97" i="11"/>
  <c r="O31" i="11"/>
  <c r="O86" i="11"/>
  <c r="O122" i="11"/>
  <c r="O105" i="11"/>
  <c r="O68" i="11"/>
  <c r="O25" i="11"/>
  <c r="AL76" i="11"/>
  <c r="AL33" i="11"/>
  <c r="O54" i="11"/>
  <c r="O77" i="11"/>
  <c r="O117" i="11"/>
  <c r="O85" i="11"/>
  <c r="O75" i="11"/>
  <c r="O126" i="11"/>
  <c r="O104" i="11"/>
  <c r="O30" i="11"/>
  <c r="AL110" i="11"/>
  <c r="H17" i="9"/>
  <c r="H18" i="9" s="1"/>
  <c r="L2" i="10" s="1"/>
  <c r="AL105" i="11"/>
  <c r="H3" i="8"/>
  <c r="AL60" i="11"/>
  <c r="H44" i="9"/>
  <c r="H45" i="9" s="1"/>
  <c r="H55" i="9" s="1"/>
  <c r="H27" i="9"/>
  <c r="H28" i="9" s="1"/>
  <c r="L4" i="10" s="1"/>
  <c r="L62" i="10" s="1"/>
  <c r="AL57" i="11"/>
  <c r="O32" i="11"/>
  <c r="O63" i="11"/>
  <c r="O120" i="11"/>
  <c r="O62" i="11"/>
  <c r="O135" i="11"/>
  <c r="O92" i="11"/>
  <c r="O19" i="11"/>
  <c r="H41" i="9"/>
  <c r="H42" i="9" s="1"/>
  <c r="H50" i="9" s="1"/>
  <c r="AL85" i="11"/>
  <c r="R41" i="11"/>
  <c r="O53" i="11"/>
  <c r="O95" i="11"/>
  <c r="O40" i="11"/>
  <c r="O106" i="11"/>
  <c r="O52" i="11"/>
  <c r="O113" i="11"/>
  <c r="O69" i="11"/>
  <c r="H11" i="9"/>
  <c r="H12" i="9" s="1"/>
  <c r="O74" i="11"/>
  <c r="O93" i="11"/>
  <c r="O41" i="11"/>
  <c r="O100" i="11"/>
  <c r="O65" i="11"/>
  <c r="O127" i="11"/>
  <c r="AL132" i="11"/>
  <c r="AL128" i="11"/>
  <c r="AL114" i="11"/>
  <c r="AL82" i="11"/>
  <c r="AL122" i="11"/>
  <c r="AL59" i="11"/>
  <c r="AL100" i="11"/>
  <c r="AL36" i="11"/>
  <c r="AL51" i="11"/>
  <c r="AL41" i="11"/>
  <c r="AL63" i="11"/>
  <c r="AL120" i="11"/>
  <c r="AL48" i="11"/>
  <c r="AL61" i="11"/>
  <c r="AL119" i="11"/>
  <c r="AL20" i="11"/>
  <c r="AL75" i="11"/>
  <c r="AL62" i="11"/>
  <c r="AL104" i="11"/>
  <c r="AL88" i="11"/>
  <c r="AL125" i="11"/>
  <c r="AL69" i="11"/>
  <c r="AL74" i="11"/>
  <c r="AL136" i="11"/>
  <c r="AL90" i="11"/>
  <c r="AL127" i="11"/>
  <c r="AL92" i="11"/>
  <c r="AL121" i="11"/>
  <c r="AL91" i="11"/>
  <c r="AL44" i="11"/>
  <c r="AL52" i="11"/>
  <c r="AL109" i="11"/>
  <c r="AL37" i="11"/>
  <c r="AL116" i="11"/>
  <c r="AL46" i="11"/>
  <c r="AL86" i="11"/>
  <c r="AL35" i="11"/>
  <c r="AL97" i="11"/>
  <c r="AL68" i="11"/>
  <c r="AL31" i="11"/>
  <c r="AL70" i="11"/>
  <c r="AL123" i="11"/>
  <c r="AL101" i="11"/>
  <c r="AL93" i="11"/>
  <c r="AL103" i="11"/>
  <c r="AL117" i="11"/>
  <c r="AL95" i="11"/>
  <c r="AL115" i="11"/>
  <c r="AL73" i="11"/>
  <c r="AL84" i="11"/>
  <c r="AL118" i="11"/>
  <c r="AL56" i="11"/>
  <c r="AL137" i="11"/>
  <c r="AL135" i="11"/>
  <c r="AL106" i="11"/>
  <c r="AL54" i="11"/>
  <c r="AL64" i="11"/>
  <c r="AL26" i="11"/>
  <c r="AL66" i="11"/>
  <c r="AL34" i="11"/>
  <c r="AL39" i="11"/>
  <c r="AL42" i="11"/>
  <c r="AL45" i="11"/>
  <c r="AL67" i="11"/>
  <c r="AL21" i="11"/>
  <c r="AL81" i="11"/>
  <c r="AL83" i="11"/>
  <c r="AL71" i="11"/>
  <c r="AL89" i="11"/>
  <c r="AL53" i="11"/>
  <c r="AL126" i="11"/>
  <c r="AL27" i="11"/>
  <c r="AL19" i="11"/>
  <c r="AL130" i="11"/>
  <c r="AL72" i="11"/>
  <c r="AL107" i="11"/>
  <c r="AL80" i="11"/>
  <c r="AL98" i="11"/>
  <c r="AL129" i="11"/>
  <c r="AL28" i="11"/>
  <c r="AL47" i="11"/>
  <c r="AL38" i="11"/>
  <c r="AL113" i="11"/>
  <c r="AL58" i="11"/>
  <c r="AL124" i="11"/>
  <c r="AL134" i="11"/>
  <c r="AL50" i="11"/>
  <c r="AL43" i="11"/>
  <c r="AL32" i="11"/>
  <c r="AL112" i="11"/>
  <c r="AL25" i="11"/>
  <c r="AL94" i="11"/>
  <c r="AL111" i="11"/>
  <c r="AL131" i="11"/>
  <c r="AL23" i="11"/>
  <c r="AL22" i="11"/>
  <c r="AL138" i="11"/>
  <c r="AL87" i="11"/>
  <c r="AL55" i="11"/>
  <c r="AL108" i="11"/>
  <c r="AL133" i="11"/>
  <c r="AL40" i="11"/>
  <c r="AL96" i="11"/>
  <c r="I17" i="9"/>
  <c r="I18" i="9" s="1"/>
  <c r="M2" i="10" s="1"/>
  <c r="I3" i="8"/>
  <c r="I44" i="9"/>
  <c r="I45" i="9" s="1"/>
  <c r="I55" i="9" s="1"/>
  <c r="AE40" i="15"/>
  <c r="I25" i="15"/>
  <c r="I26" i="15"/>
  <c r="AD34" i="15"/>
  <c r="AG34" i="15"/>
  <c r="AI10" i="13"/>
  <c r="AI3" i="8" s="1"/>
  <c r="AI19" i="15"/>
  <c r="AO11" i="11" s="1"/>
  <c r="G36" i="9"/>
  <c r="K7" i="10" s="1"/>
  <c r="G17" i="9"/>
  <c r="G18" i="9" s="1"/>
  <c r="K2" i="10" s="1"/>
  <c r="AI17" i="15"/>
  <c r="AO10" i="11" s="1"/>
  <c r="AI15" i="15"/>
  <c r="AO9" i="11" s="1"/>
  <c r="G3" i="8"/>
  <c r="AI11" i="15"/>
  <c r="AO7" i="11" s="1"/>
  <c r="AI9" i="15"/>
  <c r="AO6" i="11" s="1"/>
  <c r="AI7" i="15"/>
  <c r="AO5" i="11" s="1"/>
  <c r="G27" i="9"/>
  <c r="G28" i="9" s="1"/>
  <c r="K4" i="10" s="1"/>
  <c r="AI29" i="15"/>
  <c r="AI37" i="15" s="1"/>
  <c r="AI38" i="15" s="1"/>
  <c r="AI39" i="15" s="1"/>
  <c r="G41" i="9"/>
  <c r="G42" i="9" s="1"/>
  <c r="G50" i="9" s="1"/>
  <c r="G22" i="9"/>
  <c r="G23" i="9" s="1"/>
  <c r="K3" i="10" s="1"/>
  <c r="G33" i="9"/>
  <c r="G34" i="9" s="1"/>
  <c r="K5" i="10" s="1"/>
  <c r="G11" i="9"/>
  <c r="G12" i="9" s="1"/>
  <c r="G38" i="9"/>
  <c r="G39" i="9" s="1"/>
  <c r="G48" i="9" s="1"/>
  <c r="G44" i="9"/>
  <c r="G45" i="9" s="1"/>
  <c r="G55" i="9" s="1"/>
  <c r="AK22" i="11"/>
  <c r="N25" i="15"/>
  <c r="AH34" i="15"/>
  <c r="AE26" i="15"/>
  <c r="I22" i="9"/>
  <c r="I23" i="9" s="1"/>
  <c r="M3" i="10" s="1"/>
  <c r="I36" i="9"/>
  <c r="M7" i="10" s="1"/>
  <c r="AE25" i="15"/>
  <c r="I33" i="9"/>
  <c r="I34" i="9" s="1"/>
  <c r="M5" i="10" s="1"/>
  <c r="I11" i="9"/>
  <c r="I12" i="9" s="1"/>
  <c r="I27" i="9"/>
  <c r="I28" i="9" s="1"/>
  <c r="M4" i="10" s="1"/>
  <c r="I41" i="9"/>
  <c r="I42" i="9" s="1"/>
  <c r="I50" i="9" s="1"/>
  <c r="I38" i="9"/>
  <c r="I39" i="9" s="1"/>
  <c r="Y3" i="8"/>
  <c r="S26" i="15"/>
  <c r="S25" i="15"/>
  <c r="AG3" i="9"/>
  <c r="AK6" i="10" s="1"/>
  <c r="N34" i="15"/>
  <c r="N26" i="15"/>
  <c r="W3" i="8"/>
  <c r="T43" i="11"/>
  <c r="M25" i="15"/>
  <c r="M26" i="15"/>
  <c r="P34" i="15"/>
  <c r="T95" i="11"/>
  <c r="T119" i="11"/>
  <c r="T54" i="11"/>
  <c r="Y26" i="15"/>
  <c r="T117" i="11"/>
  <c r="T26" i="11"/>
  <c r="T133" i="11"/>
  <c r="T52" i="11"/>
  <c r="T115" i="11"/>
  <c r="T130" i="11"/>
  <c r="T21" i="11"/>
  <c r="T66" i="11"/>
  <c r="T88" i="11"/>
  <c r="T138" i="11"/>
  <c r="T73" i="11"/>
  <c r="T41" i="11"/>
  <c r="T131" i="11"/>
  <c r="T48" i="11"/>
  <c r="T82" i="11"/>
  <c r="T128" i="11"/>
  <c r="T101" i="11"/>
  <c r="T20" i="11"/>
  <c r="T107" i="11"/>
  <c r="T61" i="11"/>
  <c r="T36" i="11"/>
  <c r="T25" i="11"/>
  <c r="T97" i="11"/>
  <c r="T106" i="11"/>
  <c r="T46" i="11"/>
  <c r="T122" i="11"/>
  <c r="T92" i="11"/>
  <c r="T65" i="11"/>
  <c r="T30" i="11"/>
  <c r="T137" i="11"/>
  <c r="T105" i="11"/>
  <c r="T77" i="11"/>
  <c r="T120" i="11"/>
  <c r="T87" i="11"/>
  <c r="T110" i="11"/>
  <c r="T19" i="11"/>
  <c r="T72" i="11"/>
  <c r="T67" i="11"/>
  <c r="T132" i="11"/>
  <c r="T85" i="11"/>
  <c r="T49" i="11"/>
  <c r="T123" i="11"/>
  <c r="T118" i="11"/>
  <c r="T29" i="11"/>
  <c r="T94" i="11"/>
  <c r="T127" i="11"/>
  <c r="T81" i="11"/>
  <c r="T37" i="11"/>
  <c r="T124" i="11"/>
  <c r="T34" i="11"/>
  <c r="T56" i="11"/>
  <c r="T57" i="11"/>
  <c r="T42" i="11"/>
  <c r="T50" i="11"/>
  <c r="T39" i="11"/>
  <c r="T64" i="11"/>
  <c r="T89" i="11"/>
  <c r="T112" i="11"/>
  <c r="T113" i="11"/>
  <c r="T74" i="11"/>
  <c r="T71" i="11"/>
  <c r="T32" i="11"/>
  <c r="T63" i="11"/>
  <c r="T47" i="11"/>
  <c r="T102" i="11"/>
  <c r="T135" i="11"/>
  <c r="T86" i="11"/>
  <c r="T104" i="11"/>
  <c r="T100" i="11"/>
  <c r="T23" i="11"/>
  <c r="T80" i="11"/>
  <c r="T114" i="11"/>
  <c r="T62" i="11"/>
  <c r="T121" i="11"/>
  <c r="T93" i="11"/>
  <c r="T83" i="11"/>
  <c r="T31" i="11"/>
  <c r="T51" i="11"/>
  <c r="T108" i="11"/>
  <c r="T53" i="11"/>
  <c r="T109" i="11"/>
  <c r="T129" i="11"/>
  <c r="T111" i="11"/>
  <c r="T45" i="11"/>
  <c r="T90" i="11"/>
  <c r="T27" i="11"/>
  <c r="T99" i="11"/>
  <c r="T33" i="11"/>
  <c r="T136" i="11"/>
  <c r="T126" i="11"/>
  <c r="T38" i="11"/>
  <c r="T103" i="11"/>
  <c r="T134" i="11"/>
  <c r="T96" i="11"/>
  <c r="T58" i="11"/>
  <c r="T40" i="11"/>
  <c r="T75" i="11"/>
  <c r="T60" i="11"/>
  <c r="T28" i="11"/>
  <c r="T24" i="11"/>
  <c r="T91" i="11"/>
  <c r="T69" i="11"/>
  <c r="T98" i="11"/>
  <c r="T84" i="11"/>
  <c r="T116" i="11"/>
  <c r="T68" i="11"/>
  <c r="T59" i="11"/>
  <c r="T22" i="11"/>
  <c r="Y34" i="15"/>
  <c r="G26" i="15"/>
  <c r="G25" i="15"/>
  <c r="V19" i="11"/>
  <c r="T44" i="11"/>
  <c r="T55" i="11"/>
  <c r="W11" i="9"/>
  <c r="W12" i="9" s="1"/>
  <c r="W54" i="9" s="1"/>
  <c r="T76" i="11"/>
  <c r="T35" i="11"/>
  <c r="T125" i="11"/>
  <c r="T70" i="11"/>
  <c r="P26" i="15"/>
  <c r="P25" i="15"/>
  <c r="S3" i="8"/>
  <c r="S27" i="9"/>
  <c r="S28" i="9" s="1"/>
  <c r="S9" i="8" s="1"/>
  <c r="S38" i="9"/>
  <c r="S39" i="9" s="1"/>
  <c r="S48" i="9" s="1"/>
  <c r="N44" i="9"/>
  <c r="N45" i="9" s="1"/>
  <c r="N55" i="9" s="1"/>
  <c r="S36" i="9"/>
  <c r="W7" i="10" s="1"/>
  <c r="N3" i="8"/>
  <c r="S44" i="9"/>
  <c r="S45" i="9" s="1"/>
  <c r="S55" i="9" s="1"/>
  <c r="N33" i="9"/>
  <c r="N34" i="9" s="1"/>
  <c r="R5" i="10" s="1"/>
  <c r="S33" i="9"/>
  <c r="S34" i="9" s="1"/>
  <c r="W5" i="10" s="1"/>
  <c r="S17" i="9"/>
  <c r="S18" i="9" s="1"/>
  <c r="W2" i="10" s="1"/>
  <c r="N22" i="9"/>
  <c r="N23" i="9" s="1"/>
  <c r="R3" i="10" s="1"/>
  <c r="N17" i="9"/>
  <c r="N18" i="9" s="1"/>
  <c r="R2" i="10" s="1"/>
  <c r="Q9" i="8"/>
  <c r="S11" i="9"/>
  <c r="S12" i="9" s="1"/>
  <c r="S54" i="9" s="1"/>
  <c r="AD42" i="11"/>
  <c r="N11" i="9"/>
  <c r="N12" i="9" s="1"/>
  <c r="N54" i="9" s="1"/>
  <c r="N36" i="9"/>
  <c r="R7" i="10" s="1"/>
  <c r="H25" i="15"/>
  <c r="S22" i="9"/>
  <c r="S23" i="9" s="1"/>
  <c r="W3" i="10" s="1"/>
  <c r="H26" i="15"/>
  <c r="AD3" i="9"/>
  <c r="AH6" i="10" s="1"/>
  <c r="N41" i="9"/>
  <c r="N42" i="9" s="1"/>
  <c r="N50" i="9" s="1"/>
  <c r="S41" i="9"/>
  <c r="S42" i="9" s="1"/>
  <c r="S50" i="9" s="1"/>
  <c r="N38" i="9"/>
  <c r="N39" i="9" s="1"/>
  <c r="N48" i="9" s="1"/>
  <c r="N27" i="9"/>
  <c r="N28" i="9" s="1"/>
  <c r="R4" i="10" s="1"/>
  <c r="Y25" i="15"/>
  <c r="Z3" i="8"/>
  <c r="AP269" i="7"/>
  <c r="AP284" i="7" s="1"/>
  <c r="AP267" i="7"/>
  <c r="AP282" i="7" s="1"/>
  <c r="AP204" i="7"/>
  <c r="AP259" i="7"/>
  <c r="AP274" i="7" s="1"/>
  <c r="AP268" i="7"/>
  <c r="AP283" i="7" s="1"/>
  <c r="AP262" i="7"/>
  <c r="AP277" i="7" s="1"/>
  <c r="AP261" i="7"/>
  <c r="AP276" i="7" s="1"/>
  <c r="AP258" i="7"/>
  <c r="AP273" i="7" s="1"/>
  <c r="U93" i="11"/>
  <c r="W27" i="9"/>
  <c r="W28" i="9" s="1"/>
  <c r="AA4" i="10" s="1"/>
  <c r="W17" i="9"/>
  <c r="W18" i="9" s="1"/>
  <c r="AA2" i="10" s="1"/>
  <c r="W41" i="9"/>
  <c r="W42" i="9" s="1"/>
  <c r="W50" i="9" s="1"/>
  <c r="W33" i="9"/>
  <c r="W34" i="9" s="1"/>
  <c r="AA5" i="10" s="1"/>
  <c r="W44" i="9"/>
  <c r="W45" i="9" s="1"/>
  <c r="W55" i="9" s="1"/>
  <c r="W38" i="9"/>
  <c r="W39" i="9" s="1"/>
  <c r="W48" i="9" s="1"/>
  <c r="W22" i="9"/>
  <c r="W23" i="9" s="1"/>
  <c r="AA3" i="10" s="1"/>
  <c r="W36" i="9"/>
  <c r="AA7" i="10" s="1"/>
  <c r="V25" i="15"/>
  <c r="V26" i="15"/>
  <c r="X26" i="15"/>
  <c r="X25" i="15"/>
  <c r="U64" i="11"/>
  <c r="K72" i="21"/>
  <c r="AN132" i="7"/>
  <c r="Q25" i="15"/>
  <c r="V39" i="15"/>
  <c r="V40" i="15" s="1"/>
  <c r="R34" i="21"/>
  <c r="Q26" i="15"/>
  <c r="U87" i="11"/>
  <c r="U136" i="11"/>
  <c r="O3" i="9"/>
  <c r="O11" i="9" s="1"/>
  <c r="O12" i="9" s="1"/>
  <c r="O25" i="15"/>
  <c r="U110" i="11"/>
  <c r="O26" i="15"/>
  <c r="U41" i="11"/>
  <c r="F36" i="8"/>
  <c r="F39" i="8" s="1"/>
  <c r="F40" i="8" s="1"/>
  <c r="U19" i="11"/>
  <c r="U40" i="11"/>
  <c r="U60" i="11"/>
  <c r="U36" i="11"/>
  <c r="U51" i="11"/>
  <c r="U63" i="11"/>
  <c r="U106" i="11"/>
  <c r="AA15" i="15"/>
  <c r="AG9" i="11" s="1"/>
  <c r="U138" i="11"/>
  <c r="N22" i="11"/>
  <c r="U52" i="11"/>
  <c r="U58" i="11"/>
  <c r="U135" i="11"/>
  <c r="U61" i="11"/>
  <c r="U53" i="11"/>
  <c r="U94" i="11"/>
  <c r="U77" i="11"/>
  <c r="U83" i="11"/>
  <c r="U27" i="11"/>
  <c r="U47" i="11"/>
  <c r="U117" i="11"/>
  <c r="U118" i="11"/>
  <c r="AG26" i="15"/>
  <c r="U24" i="11"/>
  <c r="U20" i="11"/>
  <c r="U111" i="11"/>
  <c r="U120" i="11"/>
  <c r="AG25" i="15"/>
  <c r="AB11" i="21"/>
  <c r="U37" i="11"/>
  <c r="U75" i="11"/>
  <c r="U132" i="11"/>
  <c r="U74" i="11"/>
  <c r="AB14" i="21"/>
  <c r="AB20" i="21" s="1"/>
  <c r="U39" i="11"/>
  <c r="U112" i="11"/>
  <c r="U48" i="11"/>
  <c r="U91" i="11"/>
  <c r="AB17" i="21"/>
  <c r="U86" i="11"/>
  <c r="U92" i="11"/>
  <c r="U43" i="11"/>
  <c r="U72" i="11"/>
  <c r="W51" i="11"/>
  <c r="U107" i="11"/>
  <c r="U137" i="11"/>
  <c r="U100" i="11"/>
  <c r="U126" i="11"/>
  <c r="AA17" i="15"/>
  <c r="AG10" i="11" s="1"/>
  <c r="U128" i="11"/>
  <c r="U46" i="11"/>
  <c r="U115" i="11"/>
  <c r="U123" i="11"/>
  <c r="AC25" i="15"/>
  <c r="U42" i="11"/>
  <c r="U49" i="11"/>
  <c r="U44" i="11"/>
  <c r="U108" i="11"/>
  <c r="AC26" i="15"/>
  <c r="AN236" i="7"/>
  <c r="U57" i="11"/>
  <c r="U104" i="11"/>
  <c r="U26" i="11"/>
  <c r="U85" i="11"/>
  <c r="AN231" i="7"/>
  <c r="U29" i="11"/>
  <c r="U89" i="11"/>
  <c r="U95" i="11"/>
  <c r="U102" i="11"/>
  <c r="AM29" i="11"/>
  <c r="U68" i="11"/>
  <c r="U130" i="11"/>
  <c r="U32" i="11"/>
  <c r="U80" i="11"/>
  <c r="U71" i="11"/>
  <c r="U121" i="11"/>
  <c r="U54" i="11"/>
  <c r="U45" i="11"/>
  <c r="U105" i="11"/>
  <c r="U116" i="11"/>
  <c r="U38" i="11"/>
  <c r="U101" i="11"/>
  <c r="U84" i="11"/>
  <c r="U127" i="11"/>
  <c r="Z23" i="11"/>
  <c r="K29" i="11"/>
  <c r="U35" i="11"/>
  <c r="U22" i="11"/>
  <c r="U131" i="11"/>
  <c r="U50" i="11"/>
  <c r="U98" i="11"/>
  <c r="U69" i="11"/>
  <c r="U122" i="11"/>
  <c r="L34" i="15"/>
  <c r="U25" i="11"/>
  <c r="U99" i="11"/>
  <c r="U66" i="11"/>
  <c r="U59" i="11"/>
  <c r="U103" i="11"/>
  <c r="U34" i="11"/>
  <c r="U134" i="11"/>
  <c r="R19" i="15"/>
  <c r="X11" i="11" s="1"/>
  <c r="U81" i="11"/>
  <c r="U73" i="11"/>
  <c r="U28" i="11"/>
  <c r="U55" i="11"/>
  <c r="U133" i="11"/>
  <c r="U82" i="11"/>
  <c r="U31" i="11"/>
  <c r="U76" i="11"/>
  <c r="U70" i="11"/>
  <c r="U62" i="11"/>
  <c r="U90" i="11"/>
  <c r="U109" i="11"/>
  <c r="U97" i="11"/>
  <c r="U33" i="11"/>
  <c r="U23" i="11"/>
  <c r="U21" i="11"/>
  <c r="U88" i="11"/>
  <c r="U125" i="11"/>
  <c r="U124" i="11"/>
  <c r="U56" i="11"/>
  <c r="U119" i="11"/>
  <c r="U67" i="11"/>
  <c r="U96" i="11"/>
  <c r="U113" i="11"/>
  <c r="U129" i="11"/>
  <c r="U30" i="11"/>
  <c r="U114" i="11"/>
  <c r="U65" i="11"/>
  <c r="W26" i="15"/>
  <c r="R17" i="21"/>
  <c r="R31" i="15"/>
  <c r="K70" i="11"/>
  <c r="Z55" i="11"/>
  <c r="Z72" i="11"/>
  <c r="W25" i="15"/>
  <c r="R11" i="21"/>
  <c r="R25" i="21" s="1"/>
  <c r="K123" i="11"/>
  <c r="Z85" i="11"/>
  <c r="J11" i="15"/>
  <c r="P7" i="11" s="1"/>
  <c r="J7" i="15"/>
  <c r="P5" i="11" s="1"/>
  <c r="K125" i="11"/>
  <c r="Z69" i="11"/>
  <c r="K35" i="11"/>
  <c r="Z66" i="11"/>
  <c r="O34" i="15"/>
  <c r="K64" i="11"/>
  <c r="AF33" i="15"/>
  <c r="AF34" i="15" s="1"/>
  <c r="AD26" i="15"/>
  <c r="Z109" i="11"/>
  <c r="AD25" i="15"/>
  <c r="K31" i="15"/>
  <c r="K32" i="15" s="1"/>
  <c r="U35" i="21"/>
  <c r="U36" i="21" s="1"/>
  <c r="L12" i="11"/>
  <c r="L14" i="11" s="1"/>
  <c r="F21" i="15" s="1"/>
  <c r="F5" i="9" s="1"/>
  <c r="J29" i="15"/>
  <c r="J37" i="15" s="1"/>
  <c r="J38" i="15" s="1"/>
  <c r="R13" i="15"/>
  <c r="X8" i="11" s="1"/>
  <c r="Z25" i="15"/>
  <c r="J13" i="15"/>
  <c r="P8" i="11" s="1"/>
  <c r="R11" i="15"/>
  <c r="X7" i="11" s="1"/>
  <c r="K128" i="11"/>
  <c r="Z26" i="15"/>
  <c r="AA26" i="11"/>
  <c r="Z104" i="11"/>
  <c r="AF28" i="11"/>
  <c r="K52" i="11"/>
  <c r="K138" i="11"/>
  <c r="K108" i="11"/>
  <c r="K60" i="11"/>
  <c r="K127" i="11"/>
  <c r="K47" i="11"/>
  <c r="K134" i="11"/>
  <c r="K66" i="11"/>
  <c r="Z29" i="11"/>
  <c r="Z131" i="11"/>
  <c r="Z136" i="11"/>
  <c r="Z107" i="11"/>
  <c r="Z97" i="11"/>
  <c r="Z95" i="11"/>
  <c r="Z82" i="11"/>
  <c r="Z38" i="11"/>
  <c r="AF75" i="11"/>
  <c r="AF35" i="11"/>
  <c r="AF66" i="11"/>
  <c r="AF108" i="11"/>
  <c r="AF61" i="11"/>
  <c r="AF83" i="11"/>
  <c r="AF118" i="11"/>
  <c r="AF47" i="11"/>
  <c r="BM13" i="11"/>
  <c r="BM15" i="11" s="1"/>
  <c r="BM12" i="11"/>
  <c r="BM14" i="11" s="1"/>
  <c r="K21" i="11"/>
  <c r="K20" i="11"/>
  <c r="K124" i="11"/>
  <c r="K76" i="11"/>
  <c r="K19" i="11"/>
  <c r="K63" i="11"/>
  <c r="K104" i="11"/>
  <c r="K84" i="11"/>
  <c r="Z37" i="11"/>
  <c r="Z28" i="11"/>
  <c r="Z44" i="11"/>
  <c r="Z63" i="11"/>
  <c r="Z65" i="11"/>
  <c r="Z138" i="11"/>
  <c r="Z77" i="11"/>
  <c r="Z24" i="11"/>
  <c r="AF56" i="11"/>
  <c r="AF48" i="11"/>
  <c r="AF74" i="11"/>
  <c r="AF82" i="11"/>
  <c r="AF90" i="11"/>
  <c r="AF105" i="11"/>
  <c r="AF127" i="11"/>
  <c r="M23" i="11"/>
  <c r="M21" i="11"/>
  <c r="M41" i="11"/>
  <c r="M20" i="11"/>
  <c r="M27" i="11"/>
  <c r="M39" i="11"/>
  <c r="M35" i="11"/>
  <c r="M28" i="11"/>
  <c r="M26" i="11"/>
  <c r="M47" i="11"/>
  <c r="M135" i="11"/>
  <c r="M116" i="11"/>
  <c r="M118" i="11"/>
  <c r="M71" i="11"/>
  <c r="M66" i="11"/>
  <c r="M55" i="11"/>
  <c r="M58" i="11"/>
  <c r="M127" i="11"/>
  <c r="M115" i="11"/>
  <c r="M95" i="11"/>
  <c r="M65" i="11"/>
  <c r="M87" i="11"/>
  <c r="M40" i="11"/>
  <c r="M124" i="11"/>
  <c r="M100" i="11"/>
  <c r="M104" i="11"/>
  <c r="M110" i="11"/>
  <c r="M64" i="11"/>
  <c r="M24" i="11"/>
  <c r="M43" i="11"/>
  <c r="M121" i="11"/>
  <c r="M82" i="11"/>
  <c r="M83" i="11"/>
  <c r="M92" i="11"/>
  <c r="M57" i="11"/>
  <c r="M56" i="11"/>
  <c r="M111" i="11"/>
  <c r="M125" i="11"/>
  <c r="M91" i="11"/>
  <c r="M70" i="11"/>
  <c r="M74" i="11"/>
  <c r="M53" i="11"/>
  <c r="M103" i="11"/>
  <c r="M98" i="11"/>
  <c r="M119" i="11"/>
  <c r="M105" i="11"/>
  <c r="M72" i="11"/>
  <c r="M52" i="11"/>
  <c r="M131" i="11"/>
  <c r="M107" i="11"/>
  <c r="M109" i="11"/>
  <c r="M80" i="11"/>
  <c r="M81" i="11"/>
  <c r="M37" i="11"/>
  <c r="M129" i="11"/>
  <c r="M113" i="11"/>
  <c r="M93" i="11"/>
  <c r="M99" i="11"/>
  <c r="M45" i="11"/>
  <c r="M60" i="11"/>
  <c r="M128" i="11"/>
  <c r="M126" i="11"/>
  <c r="M108" i="11"/>
  <c r="M112" i="11"/>
  <c r="M86" i="11"/>
  <c r="M30" i="11"/>
  <c r="M50" i="11"/>
  <c r="M84" i="11"/>
  <c r="M88" i="11"/>
  <c r="M136" i="11"/>
  <c r="M76" i="11"/>
  <c r="M63" i="11"/>
  <c r="M120" i="11"/>
  <c r="M73" i="11"/>
  <c r="M46" i="11"/>
  <c r="M133" i="11"/>
  <c r="M89" i="11"/>
  <c r="M44" i="11"/>
  <c r="M33" i="11"/>
  <c r="M132" i="11"/>
  <c r="M106" i="11"/>
  <c r="M38" i="11"/>
  <c r="M138" i="11"/>
  <c r="M114" i="11"/>
  <c r="M22" i="11"/>
  <c r="M130" i="11"/>
  <c r="M67" i="11"/>
  <c r="M61" i="11"/>
  <c r="M137" i="11"/>
  <c r="M77" i="11"/>
  <c r="M32" i="11"/>
  <c r="M134" i="11"/>
  <c r="M75" i="11"/>
  <c r="M54" i="11"/>
  <c r="M123" i="11"/>
  <c r="M59" i="11"/>
  <c r="M29" i="11"/>
  <c r="M122" i="11"/>
  <c r="M96" i="11"/>
  <c r="M48" i="11"/>
  <c r="M102" i="11"/>
  <c r="M117" i="11"/>
  <c r="M34" i="11"/>
  <c r="M90" i="11"/>
  <c r="M85" i="11"/>
  <c r="M62" i="11"/>
  <c r="M94" i="11"/>
  <c r="M68" i="11"/>
  <c r="M97" i="11"/>
  <c r="M101" i="11"/>
  <c r="M51" i="11"/>
  <c r="M69" i="11"/>
  <c r="M36" i="11"/>
  <c r="M49" i="11"/>
  <c r="M42" i="11"/>
  <c r="M19" i="11"/>
  <c r="M25" i="11"/>
  <c r="AA19" i="15"/>
  <c r="AG11" i="11" s="1"/>
  <c r="AG4" i="11"/>
  <c r="K37" i="11"/>
  <c r="K88" i="11"/>
  <c r="K86" i="11"/>
  <c r="K94" i="11"/>
  <c r="K38" i="11"/>
  <c r="K81" i="11"/>
  <c r="K25" i="11"/>
  <c r="K100" i="11"/>
  <c r="Z21" i="11"/>
  <c r="Z49" i="11"/>
  <c r="Z75" i="11"/>
  <c r="Z127" i="11"/>
  <c r="Z88" i="11"/>
  <c r="Z27" i="11"/>
  <c r="Z122" i="11"/>
  <c r="Z51" i="11"/>
  <c r="AA31" i="11"/>
  <c r="AA42" i="11"/>
  <c r="AA34" i="11"/>
  <c r="AA38" i="11"/>
  <c r="AA24" i="11"/>
  <c r="AA20" i="11"/>
  <c r="AA36" i="11"/>
  <c r="AA51" i="11"/>
  <c r="AA53" i="11"/>
  <c r="AA23" i="11"/>
  <c r="AA135" i="11"/>
  <c r="AA85" i="11"/>
  <c r="AA116" i="11"/>
  <c r="AA88" i="11"/>
  <c r="AA56" i="11"/>
  <c r="AA46" i="11"/>
  <c r="AA120" i="11"/>
  <c r="AA104" i="11"/>
  <c r="AA68" i="11"/>
  <c r="AA65" i="11"/>
  <c r="AA71" i="11"/>
  <c r="AA27" i="11"/>
  <c r="AA125" i="11"/>
  <c r="AA99" i="11"/>
  <c r="AA102" i="11"/>
  <c r="AA95" i="11"/>
  <c r="AA75" i="11"/>
  <c r="AA40" i="11"/>
  <c r="AA124" i="11"/>
  <c r="AA92" i="11"/>
  <c r="AA96" i="11"/>
  <c r="AA90" i="11"/>
  <c r="AA70" i="11"/>
  <c r="AA32" i="11"/>
  <c r="AA121" i="11"/>
  <c r="AA133" i="11"/>
  <c r="AA110" i="11"/>
  <c r="AA81" i="11"/>
  <c r="AA73" i="11"/>
  <c r="AA72" i="11"/>
  <c r="AA122" i="11"/>
  <c r="AA98" i="11"/>
  <c r="AA103" i="11"/>
  <c r="AA108" i="11"/>
  <c r="AA41" i="11"/>
  <c r="AA37" i="11"/>
  <c r="AA136" i="11"/>
  <c r="AA118" i="11"/>
  <c r="AA111" i="11"/>
  <c r="AA113" i="11"/>
  <c r="AA69" i="11"/>
  <c r="AA63" i="11"/>
  <c r="AA39" i="11"/>
  <c r="AA105" i="11"/>
  <c r="AA74" i="11"/>
  <c r="AA57" i="11"/>
  <c r="AA131" i="11"/>
  <c r="AA112" i="11"/>
  <c r="AA87" i="11"/>
  <c r="AA60" i="11"/>
  <c r="AA123" i="11"/>
  <c r="AA128" i="11"/>
  <c r="AA86" i="11"/>
  <c r="AA49" i="11"/>
  <c r="AA115" i="11"/>
  <c r="AA77" i="11"/>
  <c r="AA107" i="11"/>
  <c r="AA45" i="11"/>
  <c r="AA30" i="11"/>
  <c r="AA138" i="11"/>
  <c r="AA109" i="11"/>
  <c r="AA91" i="11"/>
  <c r="AA35" i="11"/>
  <c r="AA130" i="11"/>
  <c r="AA94" i="11"/>
  <c r="AA64" i="11"/>
  <c r="AA19" i="11"/>
  <c r="AA127" i="11"/>
  <c r="AA100" i="11"/>
  <c r="AA52" i="11"/>
  <c r="AA29" i="11"/>
  <c r="AA134" i="11"/>
  <c r="AA84" i="11"/>
  <c r="AA48" i="11"/>
  <c r="AA61" i="11"/>
  <c r="AA106" i="11"/>
  <c r="AA114" i="11"/>
  <c r="AA59" i="11"/>
  <c r="AA55" i="11"/>
  <c r="AA132" i="11"/>
  <c r="AA97" i="11"/>
  <c r="AA47" i="11"/>
  <c r="AA54" i="11"/>
  <c r="AA129" i="11"/>
  <c r="AA101" i="11"/>
  <c r="AA44" i="11"/>
  <c r="AA76" i="11"/>
  <c r="AA119" i="11"/>
  <c r="AA83" i="11"/>
  <c r="AA50" i="11"/>
  <c r="AA67" i="11"/>
  <c r="AA22" i="11"/>
  <c r="AA126" i="11"/>
  <c r="AA82" i="11"/>
  <c r="AA58" i="11"/>
  <c r="AA117" i="11"/>
  <c r="AA66" i="11"/>
  <c r="AA33" i="11"/>
  <c r="AA93" i="11"/>
  <c r="AA137" i="11"/>
  <c r="AA62" i="11"/>
  <c r="AA89" i="11"/>
  <c r="AA25" i="11"/>
  <c r="AA28" i="11"/>
  <c r="AA80" i="11"/>
  <c r="AA21" i="11"/>
  <c r="AA43" i="11"/>
  <c r="AF101" i="11"/>
  <c r="AF46" i="11"/>
  <c r="AF96" i="11"/>
  <c r="AF114" i="11"/>
  <c r="AF103" i="11"/>
  <c r="AF124" i="11"/>
  <c r="AF130" i="11"/>
  <c r="R33" i="11"/>
  <c r="R125" i="11"/>
  <c r="R84" i="11"/>
  <c r="R94" i="11"/>
  <c r="R89" i="11"/>
  <c r="R54" i="11"/>
  <c r="R62" i="11"/>
  <c r="R120" i="11"/>
  <c r="R73" i="11"/>
  <c r="R90" i="11"/>
  <c r="R81" i="11"/>
  <c r="R53" i="11"/>
  <c r="R49" i="11"/>
  <c r="R136" i="11"/>
  <c r="R65" i="11"/>
  <c r="R59" i="11"/>
  <c r="R74" i="11"/>
  <c r="R37" i="11"/>
  <c r="R45" i="11"/>
  <c r="R135" i="11"/>
  <c r="R106" i="11"/>
  <c r="R117" i="11"/>
  <c r="R51" i="11"/>
  <c r="R98" i="11"/>
  <c r="R29" i="11"/>
  <c r="R44" i="11"/>
  <c r="R127" i="11"/>
  <c r="R100" i="11"/>
  <c r="R131" i="11"/>
  <c r="R115" i="11"/>
  <c r="R58" i="11"/>
  <c r="R21" i="11"/>
  <c r="R47" i="11"/>
  <c r="R137" i="11"/>
  <c r="R109" i="11"/>
  <c r="R104" i="11"/>
  <c r="R80" i="11"/>
  <c r="R114" i="11"/>
  <c r="R56" i="11"/>
  <c r="R46" i="11"/>
  <c r="R129" i="11"/>
  <c r="R132" i="11"/>
  <c r="R97" i="11"/>
  <c r="R72" i="11"/>
  <c r="R71" i="11"/>
  <c r="R52" i="11"/>
  <c r="R35" i="11"/>
  <c r="R121" i="11"/>
  <c r="R138" i="11"/>
  <c r="R75" i="11"/>
  <c r="R61" i="11"/>
  <c r="R70" i="11"/>
  <c r="R48" i="11"/>
  <c r="R134" i="11"/>
  <c r="R119" i="11"/>
  <c r="R92" i="11"/>
  <c r="R102" i="11"/>
  <c r="R83" i="11"/>
  <c r="R39" i="11"/>
  <c r="R126" i="11"/>
  <c r="R111" i="11"/>
  <c r="R88" i="11"/>
  <c r="R69" i="11"/>
  <c r="R43" i="11"/>
  <c r="R31" i="11"/>
  <c r="R25" i="11"/>
  <c r="R128" i="11"/>
  <c r="R113" i="11"/>
  <c r="R82" i="11"/>
  <c r="R103" i="11"/>
  <c r="R63" i="11"/>
  <c r="R64" i="11"/>
  <c r="R42" i="11"/>
  <c r="R133" i="11"/>
  <c r="R91" i="11"/>
  <c r="R96" i="11"/>
  <c r="R76" i="11"/>
  <c r="R66" i="11"/>
  <c r="R60" i="11"/>
  <c r="R122" i="11"/>
  <c r="R108" i="11"/>
  <c r="R93" i="11"/>
  <c r="R99" i="11"/>
  <c r="R85" i="11"/>
  <c r="R50" i="11"/>
  <c r="R32" i="11"/>
  <c r="R22" i="11"/>
  <c r="R116" i="11"/>
  <c r="R110" i="11"/>
  <c r="R87" i="11"/>
  <c r="R123" i="11"/>
  <c r="R77" i="11"/>
  <c r="R57" i="11"/>
  <c r="R112" i="11"/>
  <c r="R118" i="11"/>
  <c r="R130" i="11"/>
  <c r="R105" i="11"/>
  <c r="R30" i="11"/>
  <c r="R124" i="11"/>
  <c r="R101" i="11"/>
  <c r="R107" i="11"/>
  <c r="R95" i="11"/>
  <c r="R68" i="11"/>
  <c r="R55" i="11"/>
  <c r="R36" i="11"/>
  <c r="R28" i="11"/>
  <c r="R27" i="11"/>
  <c r="R26" i="11"/>
  <c r="R24" i="11"/>
  <c r="R20" i="11"/>
  <c r="R34" i="11"/>
  <c r="R86" i="11"/>
  <c r="R23" i="11"/>
  <c r="R40" i="11"/>
  <c r="R67" i="11"/>
  <c r="R19" i="11"/>
  <c r="R38" i="11"/>
  <c r="AK37" i="11"/>
  <c r="AK124" i="11"/>
  <c r="AK120" i="11"/>
  <c r="AK100" i="11"/>
  <c r="AK99" i="11"/>
  <c r="AK67" i="11"/>
  <c r="AK65" i="11"/>
  <c r="AK43" i="11"/>
  <c r="AK25" i="11"/>
  <c r="AK116" i="11"/>
  <c r="AK126" i="11"/>
  <c r="AK83" i="11"/>
  <c r="AK69" i="11"/>
  <c r="AK66" i="11"/>
  <c r="AK36" i="11"/>
  <c r="AK50" i="11"/>
  <c r="AK137" i="11"/>
  <c r="AK125" i="11"/>
  <c r="AK119" i="11"/>
  <c r="AK95" i="11"/>
  <c r="AK88" i="11"/>
  <c r="AK28" i="11"/>
  <c r="AK46" i="11"/>
  <c r="AK131" i="11"/>
  <c r="AK134" i="11"/>
  <c r="AK102" i="11"/>
  <c r="AK90" i="11"/>
  <c r="AK51" i="11"/>
  <c r="AK20" i="11"/>
  <c r="AK40" i="11"/>
  <c r="AK136" i="11"/>
  <c r="AK121" i="11"/>
  <c r="AK98" i="11"/>
  <c r="AK63" i="11"/>
  <c r="AK77" i="11"/>
  <c r="AK59" i="11"/>
  <c r="AK73" i="11"/>
  <c r="AK128" i="11"/>
  <c r="AK105" i="11"/>
  <c r="AK92" i="11"/>
  <c r="AK55" i="11"/>
  <c r="AK71" i="11"/>
  <c r="AK54" i="11"/>
  <c r="AK135" i="11"/>
  <c r="AK108" i="11"/>
  <c r="AK87" i="11"/>
  <c r="AK80" i="11"/>
  <c r="AK45" i="11"/>
  <c r="AK53" i="11"/>
  <c r="AK29" i="11"/>
  <c r="AK107" i="11"/>
  <c r="AK109" i="11"/>
  <c r="AK81" i="11"/>
  <c r="AK72" i="11"/>
  <c r="AK62" i="11"/>
  <c r="AK48" i="11"/>
  <c r="AK35" i="11"/>
  <c r="AK130" i="11"/>
  <c r="AK94" i="11"/>
  <c r="AK103" i="11"/>
  <c r="AK68" i="11"/>
  <c r="AK57" i="11"/>
  <c r="AK33" i="11"/>
  <c r="AK122" i="11"/>
  <c r="AK86" i="11"/>
  <c r="AK110" i="11"/>
  <c r="AK111" i="11"/>
  <c r="AK70" i="11"/>
  <c r="AK52" i="11"/>
  <c r="AK133" i="11"/>
  <c r="AK76" i="11"/>
  <c r="AK97" i="11"/>
  <c r="AK91" i="11"/>
  <c r="AK61" i="11"/>
  <c r="AK42" i="11"/>
  <c r="AK117" i="11"/>
  <c r="AK93" i="11"/>
  <c r="AK129" i="11"/>
  <c r="AK114" i="11"/>
  <c r="AK60" i="11"/>
  <c r="AK41" i="11"/>
  <c r="AK115" i="11"/>
  <c r="AK113" i="11"/>
  <c r="AK101" i="11"/>
  <c r="AK74" i="11"/>
  <c r="AK89" i="11"/>
  <c r="AK38" i="11"/>
  <c r="AK138" i="11"/>
  <c r="AK112" i="11"/>
  <c r="AK84" i="11"/>
  <c r="AK75" i="11"/>
  <c r="AK34" i="11"/>
  <c r="AK30" i="11"/>
  <c r="AK26" i="11"/>
  <c r="AK21" i="11"/>
  <c r="AK58" i="11"/>
  <c r="AK56" i="11"/>
  <c r="AK44" i="11"/>
  <c r="AK132" i="11"/>
  <c r="AK118" i="11"/>
  <c r="AK127" i="11"/>
  <c r="AK123" i="11"/>
  <c r="AK106" i="11"/>
  <c r="AK82" i="11"/>
  <c r="AK96" i="11"/>
  <c r="AK104" i="11"/>
  <c r="AK49" i="11"/>
  <c r="AK27" i="11"/>
  <c r="AK24" i="11"/>
  <c r="AK64" i="11"/>
  <c r="AK32" i="11"/>
  <c r="AK85" i="11"/>
  <c r="AK39" i="11"/>
  <c r="AK23" i="11"/>
  <c r="AK47" i="11"/>
  <c r="AK19" i="11"/>
  <c r="AK31" i="11"/>
  <c r="K53" i="11"/>
  <c r="K23" i="11"/>
  <c r="K22" i="11"/>
  <c r="K110" i="11"/>
  <c r="K56" i="11"/>
  <c r="K97" i="11"/>
  <c r="K33" i="11"/>
  <c r="K116" i="11"/>
  <c r="Z52" i="11"/>
  <c r="Z53" i="11"/>
  <c r="Z101" i="11"/>
  <c r="Z108" i="11"/>
  <c r="Z91" i="11"/>
  <c r="Z54" i="11"/>
  <c r="Z133" i="11"/>
  <c r="Z34" i="11"/>
  <c r="AF99" i="11"/>
  <c r="AF113" i="11"/>
  <c r="AF111" i="11"/>
  <c r="AF137" i="11"/>
  <c r="AF138" i="11"/>
  <c r="AF29" i="11"/>
  <c r="AF37" i="11"/>
  <c r="AB19" i="15"/>
  <c r="AH11" i="11" s="1"/>
  <c r="AH4" i="11"/>
  <c r="AJ20" i="11"/>
  <c r="AJ25" i="11"/>
  <c r="AJ22" i="11"/>
  <c r="AJ35" i="11"/>
  <c r="AJ30" i="11"/>
  <c r="AJ27" i="11"/>
  <c r="AJ71" i="11"/>
  <c r="AJ21" i="11"/>
  <c r="AJ41" i="11"/>
  <c r="AJ42" i="11"/>
  <c r="AJ73" i="11"/>
  <c r="AJ24" i="11"/>
  <c r="AJ136" i="11"/>
  <c r="AJ96" i="11"/>
  <c r="AJ122" i="11"/>
  <c r="AJ99" i="11"/>
  <c r="AJ67" i="11"/>
  <c r="AJ54" i="11"/>
  <c r="AJ135" i="11"/>
  <c r="AJ117" i="11"/>
  <c r="AJ103" i="11"/>
  <c r="AJ93" i="11"/>
  <c r="AJ55" i="11"/>
  <c r="AJ53" i="11"/>
  <c r="AJ38" i="11"/>
  <c r="AJ130" i="11"/>
  <c r="AJ113" i="11"/>
  <c r="AJ129" i="11"/>
  <c r="AJ89" i="11"/>
  <c r="AJ51" i="11"/>
  <c r="AJ48" i="11"/>
  <c r="AJ123" i="11"/>
  <c r="AJ128" i="11"/>
  <c r="AJ120" i="11"/>
  <c r="AJ58" i="11"/>
  <c r="AJ52" i="11"/>
  <c r="AJ33" i="11"/>
  <c r="AJ116" i="11"/>
  <c r="AJ105" i="11"/>
  <c r="AJ109" i="11"/>
  <c r="AJ112" i="11"/>
  <c r="AJ83" i="11"/>
  <c r="AJ95" i="11"/>
  <c r="AJ57" i="11"/>
  <c r="AJ44" i="11"/>
  <c r="AJ133" i="11"/>
  <c r="AJ70" i="11"/>
  <c r="AJ77" i="11"/>
  <c r="AJ90" i="11"/>
  <c r="AJ61" i="11"/>
  <c r="AJ43" i="11"/>
  <c r="AJ138" i="11"/>
  <c r="AJ111" i="11"/>
  <c r="AJ65" i="11"/>
  <c r="AJ63" i="11"/>
  <c r="AJ60" i="11"/>
  <c r="AJ86" i="11"/>
  <c r="AJ32" i="11"/>
  <c r="AJ127" i="11"/>
  <c r="AJ91" i="11"/>
  <c r="AJ56" i="11"/>
  <c r="AJ80" i="11"/>
  <c r="AJ75" i="11"/>
  <c r="AJ49" i="11"/>
  <c r="AJ132" i="11"/>
  <c r="AJ119" i="11"/>
  <c r="AJ88" i="11"/>
  <c r="AJ110" i="11"/>
  <c r="AJ68" i="11"/>
  <c r="AJ64" i="11"/>
  <c r="AJ46" i="11"/>
  <c r="AJ124" i="11"/>
  <c r="AJ125" i="11"/>
  <c r="AJ82" i="11"/>
  <c r="AJ101" i="11"/>
  <c r="AJ76" i="11"/>
  <c r="AJ34" i="11"/>
  <c r="AJ40" i="11"/>
  <c r="AJ137" i="11"/>
  <c r="AJ106" i="11"/>
  <c r="AJ134" i="11"/>
  <c r="AJ97" i="11"/>
  <c r="AJ126" i="11"/>
  <c r="AJ121" i="11"/>
  <c r="AJ102" i="11"/>
  <c r="AJ81" i="11"/>
  <c r="AJ50" i="11"/>
  <c r="AJ36" i="11"/>
  <c r="AJ85" i="11"/>
  <c r="AJ31" i="11"/>
  <c r="AJ100" i="11"/>
  <c r="AJ84" i="11"/>
  <c r="AJ115" i="11"/>
  <c r="AJ104" i="11"/>
  <c r="AJ69" i="11"/>
  <c r="AJ114" i="11"/>
  <c r="AJ94" i="11"/>
  <c r="AJ118" i="11"/>
  <c r="AJ47" i="11"/>
  <c r="AJ131" i="11"/>
  <c r="AJ74" i="11"/>
  <c r="AJ108" i="11"/>
  <c r="AJ62" i="11"/>
  <c r="AJ98" i="11"/>
  <c r="AJ26" i="11"/>
  <c r="AJ72" i="11"/>
  <c r="AJ66" i="11"/>
  <c r="AJ87" i="11"/>
  <c r="AJ45" i="11"/>
  <c r="AJ19" i="11"/>
  <c r="AJ107" i="11"/>
  <c r="AJ59" i="11"/>
  <c r="AJ23" i="11"/>
  <c r="AJ39" i="11"/>
  <c r="AJ92" i="11"/>
  <c r="AJ29" i="11"/>
  <c r="AJ28" i="11"/>
  <c r="AJ37" i="11"/>
  <c r="AE25" i="11"/>
  <c r="AE40" i="11"/>
  <c r="AE68" i="11"/>
  <c r="AE28" i="11"/>
  <c r="AE42" i="11"/>
  <c r="AE38" i="11"/>
  <c r="AE73" i="11"/>
  <c r="AE41" i="11"/>
  <c r="AE36" i="11"/>
  <c r="AE24" i="11"/>
  <c r="AE20" i="11"/>
  <c r="AE33" i="11"/>
  <c r="AE23" i="11"/>
  <c r="AE32" i="11"/>
  <c r="AE134" i="11"/>
  <c r="AE30" i="11"/>
  <c r="AE117" i="11"/>
  <c r="AE101" i="11"/>
  <c r="AE123" i="11"/>
  <c r="AE86" i="11"/>
  <c r="AE63" i="11"/>
  <c r="AE60" i="11"/>
  <c r="AE54" i="11"/>
  <c r="AE138" i="11"/>
  <c r="AE116" i="11"/>
  <c r="AE118" i="11"/>
  <c r="AE85" i="11"/>
  <c r="AE61" i="11"/>
  <c r="AE49" i="11"/>
  <c r="AE53" i="11"/>
  <c r="AE132" i="11"/>
  <c r="AE124" i="11"/>
  <c r="AE106" i="11"/>
  <c r="AE84" i="11"/>
  <c r="AE74" i="11"/>
  <c r="AE64" i="11"/>
  <c r="AE48" i="11"/>
  <c r="AE137" i="11"/>
  <c r="AE102" i="11"/>
  <c r="AE100" i="11"/>
  <c r="AE65" i="11"/>
  <c r="AE112" i="11"/>
  <c r="AE69" i="11"/>
  <c r="AE129" i="11"/>
  <c r="AE95" i="11"/>
  <c r="AE99" i="11"/>
  <c r="AE113" i="11"/>
  <c r="AE108" i="11"/>
  <c r="AE87" i="11"/>
  <c r="AE83" i="11"/>
  <c r="AE105" i="11"/>
  <c r="AE50" i="11"/>
  <c r="AE62" i="11"/>
  <c r="AE121" i="11"/>
  <c r="AE77" i="11"/>
  <c r="AE128" i="11"/>
  <c r="AE107" i="11"/>
  <c r="AE98" i="11"/>
  <c r="AE81" i="11"/>
  <c r="AE45" i="11"/>
  <c r="AE94" i="11"/>
  <c r="AE56" i="11"/>
  <c r="AE44" i="11"/>
  <c r="AE114" i="11"/>
  <c r="AE75" i="11"/>
  <c r="AE35" i="11"/>
  <c r="AE97" i="11"/>
  <c r="AE71" i="11"/>
  <c r="AE27" i="11"/>
  <c r="AE127" i="11"/>
  <c r="AE70" i="11"/>
  <c r="AE19" i="11"/>
  <c r="AE133" i="11"/>
  <c r="AE111" i="11"/>
  <c r="AE93" i="11"/>
  <c r="AE47" i="11"/>
  <c r="AE125" i="11"/>
  <c r="AE89" i="11"/>
  <c r="AE76" i="11"/>
  <c r="AE37" i="11"/>
  <c r="AE135" i="11"/>
  <c r="AE119" i="11"/>
  <c r="AE52" i="11"/>
  <c r="AE29" i="11"/>
  <c r="AE130" i="11"/>
  <c r="AE91" i="11"/>
  <c r="AE57" i="11"/>
  <c r="AE21" i="11"/>
  <c r="AE122" i="11"/>
  <c r="AE90" i="11"/>
  <c r="AE72" i="11"/>
  <c r="AE34" i="11"/>
  <c r="AE131" i="11"/>
  <c r="AE110" i="11"/>
  <c r="AE88" i="11"/>
  <c r="AE26" i="11"/>
  <c r="AE22" i="11"/>
  <c r="AE136" i="11"/>
  <c r="AE104" i="11"/>
  <c r="AE58" i="11"/>
  <c r="AE39" i="11"/>
  <c r="AE120" i="11"/>
  <c r="AE96" i="11"/>
  <c r="AE46" i="11"/>
  <c r="AE31" i="11"/>
  <c r="AE109" i="11"/>
  <c r="AE103" i="11"/>
  <c r="AE80" i="11"/>
  <c r="AE59" i="11"/>
  <c r="AE115" i="11"/>
  <c r="AE126" i="11"/>
  <c r="AE92" i="11"/>
  <c r="AE82" i="11"/>
  <c r="AE51" i="11"/>
  <c r="AE55" i="11"/>
  <c r="AE66" i="11"/>
  <c r="AE67" i="11"/>
  <c r="AE43" i="11"/>
  <c r="K69" i="11"/>
  <c r="K73" i="11"/>
  <c r="K27" i="11"/>
  <c r="K126" i="11"/>
  <c r="K30" i="11"/>
  <c r="K113" i="11"/>
  <c r="K49" i="11"/>
  <c r="K132" i="11"/>
  <c r="Z46" i="11"/>
  <c r="Z57" i="11"/>
  <c r="Z87" i="11"/>
  <c r="Z70" i="11"/>
  <c r="Z112" i="11"/>
  <c r="Z62" i="11"/>
  <c r="Z134" i="11"/>
  <c r="Z31" i="11"/>
  <c r="AF123" i="11"/>
  <c r="AF77" i="11"/>
  <c r="AF121" i="11"/>
  <c r="AF69" i="11"/>
  <c r="AF60" i="11"/>
  <c r="AF22" i="11"/>
  <c r="AF23" i="11"/>
  <c r="K87" i="11"/>
  <c r="K133" i="11"/>
  <c r="K43" i="11"/>
  <c r="K117" i="11"/>
  <c r="K46" i="11"/>
  <c r="K129" i="11"/>
  <c r="K65" i="11"/>
  <c r="Z58" i="11"/>
  <c r="Z128" i="11"/>
  <c r="Z121" i="11"/>
  <c r="Z41" i="11"/>
  <c r="Z135" i="11"/>
  <c r="Z84" i="11"/>
  <c r="Z100" i="11"/>
  <c r="AF128" i="11"/>
  <c r="AF107" i="11"/>
  <c r="AF31" i="11"/>
  <c r="AF98" i="11"/>
  <c r="AF64" i="11"/>
  <c r="AF38" i="11"/>
  <c r="AF50" i="11"/>
  <c r="R9" i="15"/>
  <c r="X6" i="11" s="1"/>
  <c r="AB31" i="11"/>
  <c r="AB33" i="11"/>
  <c r="AB34" i="11"/>
  <c r="AB41" i="11"/>
  <c r="AB23" i="11"/>
  <c r="AB20" i="11"/>
  <c r="AB120" i="11"/>
  <c r="AB119" i="11"/>
  <c r="AB94" i="11"/>
  <c r="AB122" i="11"/>
  <c r="AB117" i="11"/>
  <c r="AB100" i="11"/>
  <c r="AB127" i="11"/>
  <c r="AB112" i="11"/>
  <c r="AB114" i="11"/>
  <c r="AB92" i="11"/>
  <c r="AB19" i="11"/>
  <c r="AB133" i="11"/>
  <c r="AB85" i="11"/>
  <c r="AB88" i="11"/>
  <c r="AB53" i="11"/>
  <c r="AB30" i="11"/>
  <c r="AB54" i="11"/>
  <c r="AB137" i="11"/>
  <c r="AB111" i="11"/>
  <c r="AB87" i="11"/>
  <c r="AB83" i="11"/>
  <c r="AB22" i="11"/>
  <c r="AB67" i="11"/>
  <c r="AB123" i="11"/>
  <c r="AB84" i="11"/>
  <c r="AB86" i="11"/>
  <c r="AB48" i="11"/>
  <c r="AB63" i="11"/>
  <c r="AB51" i="11"/>
  <c r="AB102" i="11"/>
  <c r="AB107" i="11"/>
  <c r="AB77" i="11"/>
  <c r="AB44" i="11"/>
  <c r="AB46" i="11"/>
  <c r="AB36" i="11"/>
  <c r="AB126" i="11"/>
  <c r="AB101" i="11"/>
  <c r="AB105" i="11"/>
  <c r="AB49" i="11"/>
  <c r="AB45" i="11"/>
  <c r="AB118" i="11"/>
  <c r="AB116" i="11"/>
  <c r="AB95" i="11"/>
  <c r="AB71" i="11"/>
  <c r="AB64" i="11"/>
  <c r="AB136" i="11"/>
  <c r="AB124" i="11"/>
  <c r="AB115" i="11"/>
  <c r="AB90" i="11"/>
  <c r="AB58" i="11"/>
  <c r="AB40" i="11"/>
  <c r="AB128" i="11"/>
  <c r="AB99" i="11"/>
  <c r="AB110" i="11"/>
  <c r="AB81" i="11"/>
  <c r="AB68" i="11"/>
  <c r="AB32" i="11"/>
  <c r="AB138" i="11"/>
  <c r="AB106" i="11"/>
  <c r="AB108" i="11"/>
  <c r="AB75" i="11"/>
  <c r="AB65" i="11"/>
  <c r="AB24" i="11"/>
  <c r="AB130" i="11"/>
  <c r="AB98" i="11"/>
  <c r="AB103" i="11"/>
  <c r="AB93" i="11"/>
  <c r="AB70" i="11"/>
  <c r="AB69" i="11"/>
  <c r="AB135" i="11"/>
  <c r="AB109" i="11"/>
  <c r="AB73" i="11"/>
  <c r="AB91" i="11"/>
  <c r="AB80" i="11"/>
  <c r="AB47" i="11"/>
  <c r="AB125" i="11"/>
  <c r="AB134" i="11"/>
  <c r="AB60" i="11"/>
  <c r="AB97" i="11"/>
  <c r="AB50" i="11"/>
  <c r="AB37" i="11"/>
  <c r="AB25" i="11"/>
  <c r="AB113" i="11"/>
  <c r="AB104" i="11"/>
  <c r="AB52" i="11"/>
  <c r="AB72" i="11"/>
  <c r="AB57" i="11"/>
  <c r="AB29" i="11"/>
  <c r="AB132" i="11"/>
  <c r="AB74" i="11"/>
  <c r="AB96" i="11"/>
  <c r="AB82" i="11"/>
  <c r="AB43" i="11"/>
  <c r="AB61" i="11"/>
  <c r="AB62" i="11"/>
  <c r="AB89" i="11"/>
  <c r="AB76" i="11"/>
  <c r="AB56" i="11"/>
  <c r="AB42" i="11"/>
  <c r="AB28" i="11"/>
  <c r="AB38" i="11"/>
  <c r="AB59" i="11"/>
  <c r="AB55" i="11"/>
  <c r="AB35" i="11"/>
  <c r="AB129" i="11"/>
  <c r="AB39" i="11"/>
  <c r="AB121" i="11"/>
  <c r="AB131" i="11"/>
  <c r="AB66" i="11"/>
  <c r="AB21" i="11"/>
  <c r="AB27" i="11"/>
  <c r="N40" i="11"/>
  <c r="N30" i="11"/>
  <c r="N21" i="11"/>
  <c r="N28" i="11"/>
  <c r="N39" i="11"/>
  <c r="N44" i="11"/>
  <c r="N24" i="11"/>
  <c r="N26" i="11"/>
  <c r="N20" i="11"/>
  <c r="N135" i="11"/>
  <c r="N122" i="11"/>
  <c r="N73" i="11"/>
  <c r="N59" i="11"/>
  <c r="N76" i="11"/>
  <c r="N19" i="11"/>
  <c r="N132" i="11"/>
  <c r="N105" i="11"/>
  <c r="N83" i="11"/>
  <c r="N96" i="11"/>
  <c r="N114" i="11"/>
  <c r="N56" i="11"/>
  <c r="N23" i="11"/>
  <c r="N137" i="11"/>
  <c r="N103" i="11"/>
  <c r="N90" i="11"/>
  <c r="N70" i="11"/>
  <c r="N66" i="11"/>
  <c r="N37" i="11"/>
  <c r="N50" i="11"/>
  <c r="N130" i="11"/>
  <c r="N111" i="11"/>
  <c r="N92" i="11"/>
  <c r="N80" i="11"/>
  <c r="N64" i="11"/>
  <c r="N51" i="11"/>
  <c r="N31" i="11"/>
  <c r="N45" i="11"/>
  <c r="N126" i="11"/>
  <c r="N121" i="11"/>
  <c r="N72" i="11"/>
  <c r="N61" i="11"/>
  <c r="N123" i="11"/>
  <c r="N89" i="11"/>
  <c r="N99" i="11"/>
  <c r="N47" i="11"/>
  <c r="N101" i="11"/>
  <c r="N91" i="11"/>
  <c r="N82" i="11"/>
  <c r="N35" i="11"/>
  <c r="N98" i="11"/>
  <c r="N112" i="11"/>
  <c r="N88" i="11"/>
  <c r="N27" i="11"/>
  <c r="N116" i="11"/>
  <c r="N106" i="11"/>
  <c r="N87" i="11"/>
  <c r="N84" i="11"/>
  <c r="N38" i="11"/>
  <c r="N133" i="11"/>
  <c r="N128" i="11"/>
  <c r="N108" i="11"/>
  <c r="N52" i="11"/>
  <c r="N54" i="11"/>
  <c r="N125" i="11"/>
  <c r="N104" i="11"/>
  <c r="N93" i="11"/>
  <c r="N48" i="11"/>
  <c r="N53" i="11"/>
  <c r="N138" i="11"/>
  <c r="N117" i="11"/>
  <c r="N57" i="11"/>
  <c r="N86" i="11"/>
  <c r="N29" i="11"/>
  <c r="N127" i="11"/>
  <c r="N107" i="11"/>
  <c r="N81" i="11"/>
  <c r="N69" i="11"/>
  <c r="N34" i="11"/>
  <c r="N119" i="11"/>
  <c r="N97" i="11"/>
  <c r="N109" i="11"/>
  <c r="N68" i="11"/>
  <c r="N62" i="11"/>
  <c r="N124" i="11"/>
  <c r="N113" i="11"/>
  <c r="N75" i="11"/>
  <c r="N67" i="11"/>
  <c r="N58" i="11"/>
  <c r="N131" i="11"/>
  <c r="N118" i="11"/>
  <c r="N65" i="11"/>
  <c r="N55" i="11"/>
  <c r="N43" i="11"/>
  <c r="N129" i="11"/>
  <c r="N120" i="11"/>
  <c r="N115" i="11"/>
  <c r="N63" i="11"/>
  <c r="N42" i="11"/>
  <c r="N110" i="11"/>
  <c r="N95" i="11"/>
  <c r="N100" i="11"/>
  <c r="N85" i="11"/>
  <c r="N77" i="11"/>
  <c r="N33" i="11"/>
  <c r="N71" i="11"/>
  <c r="N102" i="11"/>
  <c r="N94" i="11"/>
  <c r="N74" i="11"/>
  <c r="N46" i="11"/>
  <c r="N60" i="11"/>
  <c r="N32" i="11"/>
  <c r="N41" i="11"/>
  <c r="N36" i="11"/>
  <c r="N134" i="11"/>
  <c r="N49" i="11"/>
  <c r="N136" i="11"/>
  <c r="N25" i="11"/>
  <c r="K103" i="11"/>
  <c r="K102" i="11"/>
  <c r="K59" i="11"/>
  <c r="K118" i="11"/>
  <c r="K62" i="11"/>
  <c r="K105" i="11"/>
  <c r="K83" i="11"/>
  <c r="Z48" i="11"/>
  <c r="Z129" i="11"/>
  <c r="Z19" i="11"/>
  <c r="Z98" i="11"/>
  <c r="Z32" i="11"/>
  <c r="Z115" i="11"/>
  <c r="Z105" i="11"/>
  <c r="AF43" i="11"/>
  <c r="AF53" i="11"/>
  <c r="AF92" i="11"/>
  <c r="AF88" i="11"/>
  <c r="AF91" i="11"/>
  <c r="AF24" i="11"/>
  <c r="AF19" i="11"/>
  <c r="AC34" i="15"/>
  <c r="K119" i="11"/>
  <c r="K120" i="11"/>
  <c r="K75" i="11"/>
  <c r="K137" i="11"/>
  <c r="K80" i="11"/>
  <c r="K41" i="11"/>
  <c r="K99" i="11"/>
  <c r="Z59" i="11"/>
  <c r="Z42" i="11"/>
  <c r="Z39" i="11"/>
  <c r="Z76" i="11"/>
  <c r="Z68" i="11"/>
  <c r="Z117" i="11"/>
  <c r="Z118" i="11"/>
  <c r="AF80" i="11"/>
  <c r="AF58" i="11"/>
  <c r="AF126" i="11"/>
  <c r="AF94" i="11"/>
  <c r="AF104" i="11"/>
  <c r="AF63" i="11"/>
  <c r="AF44" i="11"/>
  <c r="AB26" i="11"/>
  <c r="AC50" i="11"/>
  <c r="AC21" i="11"/>
  <c r="AC20" i="11"/>
  <c r="AC23" i="11"/>
  <c r="AC45" i="11"/>
  <c r="AC33" i="11"/>
  <c r="AC19" i="11"/>
  <c r="AC137" i="11"/>
  <c r="AC108" i="11"/>
  <c r="AC83" i="11"/>
  <c r="AC75" i="11"/>
  <c r="AC38" i="11"/>
  <c r="AC26" i="11"/>
  <c r="AC136" i="11"/>
  <c r="AC134" i="11"/>
  <c r="AC113" i="11"/>
  <c r="AC94" i="11"/>
  <c r="AC71" i="11"/>
  <c r="AC30" i="11"/>
  <c r="AC55" i="11"/>
  <c r="AC44" i="11"/>
  <c r="AC25" i="11"/>
  <c r="AC120" i="11"/>
  <c r="AC126" i="11"/>
  <c r="AC93" i="11"/>
  <c r="AC92" i="11"/>
  <c r="AC116" i="11"/>
  <c r="AC60" i="11"/>
  <c r="AC48" i="11"/>
  <c r="AC135" i="11"/>
  <c r="AC117" i="11"/>
  <c r="AC80" i="11"/>
  <c r="AC104" i="11"/>
  <c r="AC63" i="11"/>
  <c r="AC58" i="11"/>
  <c r="AC91" i="11"/>
  <c r="AC127" i="11"/>
  <c r="AC115" i="11"/>
  <c r="AC121" i="11"/>
  <c r="AC88" i="11"/>
  <c r="AC56" i="11"/>
  <c r="AC40" i="11"/>
  <c r="AC53" i="11"/>
  <c r="AC132" i="11"/>
  <c r="AC110" i="11"/>
  <c r="AC112" i="11"/>
  <c r="AC87" i="11"/>
  <c r="AC49" i="11"/>
  <c r="AC32" i="11"/>
  <c r="AC52" i="11"/>
  <c r="AC124" i="11"/>
  <c r="AC90" i="11"/>
  <c r="AC100" i="11"/>
  <c r="AC77" i="11"/>
  <c r="AC54" i="11"/>
  <c r="AC24" i="11"/>
  <c r="AC103" i="11"/>
  <c r="AC125" i="11"/>
  <c r="AC76" i="11"/>
  <c r="AC59" i="11"/>
  <c r="AC68" i="11"/>
  <c r="AC47" i="11"/>
  <c r="AC122" i="11"/>
  <c r="AC98" i="11"/>
  <c r="AC101" i="11"/>
  <c r="AC65" i="11"/>
  <c r="AC57" i="11"/>
  <c r="AC29" i="11"/>
  <c r="AC111" i="11"/>
  <c r="AC107" i="11"/>
  <c r="AC42" i="11"/>
  <c r="AC130" i="11"/>
  <c r="AC99" i="11"/>
  <c r="AC22" i="11"/>
  <c r="AC129" i="11"/>
  <c r="AC89" i="11"/>
  <c r="AC64" i="11"/>
  <c r="AC131" i="11"/>
  <c r="AC102" i="11"/>
  <c r="AC69" i="11"/>
  <c r="AC31" i="11"/>
  <c r="AC138" i="11"/>
  <c r="AC66" i="11"/>
  <c r="AC62" i="11"/>
  <c r="AC119" i="11"/>
  <c r="AC74" i="11"/>
  <c r="AC37" i="11"/>
  <c r="AC118" i="11"/>
  <c r="AC105" i="11"/>
  <c r="AC61" i="11"/>
  <c r="AC82" i="11"/>
  <c r="AC85" i="11"/>
  <c r="AC34" i="11"/>
  <c r="AC123" i="11"/>
  <c r="AC95" i="11"/>
  <c r="AC67" i="11"/>
  <c r="AC106" i="11"/>
  <c r="AC81" i="11"/>
  <c r="AC36" i="11"/>
  <c r="AC109" i="11"/>
  <c r="AC97" i="11"/>
  <c r="AC114" i="11"/>
  <c r="AC72" i="11"/>
  <c r="AC96" i="11"/>
  <c r="AC41" i="11"/>
  <c r="AC133" i="11"/>
  <c r="AC73" i="11"/>
  <c r="AC43" i="11"/>
  <c r="AC28" i="11"/>
  <c r="AC35" i="11"/>
  <c r="AC128" i="11"/>
  <c r="AC86" i="11"/>
  <c r="AC84" i="11"/>
  <c r="AC51" i="11"/>
  <c r="AC70" i="11"/>
  <c r="AC39" i="11"/>
  <c r="AC27" i="11"/>
  <c r="K135" i="11"/>
  <c r="K71" i="11"/>
  <c r="K93" i="11"/>
  <c r="K24" i="11"/>
  <c r="K96" i="11"/>
  <c r="K32" i="11"/>
  <c r="K115" i="11"/>
  <c r="Z83" i="11"/>
  <c r="Z64" i="11"/>
  <c r="Z25" i="11"/>
  <c r="Z106" i="11"/>
  <c r="Z74" i="11"/>
  <c r="Z35" i="11"/>
  <c r="Z119" i="11"/>
  <c r="AF71" i="11"/>
  <c r="AF110" i="11"/>
  <c r="AF120" i="11"/>
  <c r="AF116" i="11"/>
  <c r="AF42" i="11"/>
  <c r="AF54" i="11"/>
  <c r="AF33" i="11"/>
  <c r="U26" i="15"/>
  <c r="AI25" i="11"/>
  <c r="AI127" i="11"/>
  <c r="AI137" i="11"/>
  <c r="AI103" i="11"/>
  <c r="AI86" i="11"/>
  <c r="AI73" i="11"/>
  <c r="AI31" i="11"/>
  <c r="AI45" i="11"/>
  <c r="AI40" i="11"/>
  <c r="AI119" i="11"/>
  <c r="AI125" i="11"/>
  <c r="AI84" i="11"/>
  <c r="AI85" i="11"/>
  <c r="AI55" i="11"/>
  <c r="AI23" i="11"/>
  <c r="AI44" i="11"/>
  <c r="AI132" i="11"/>
  <c r="AI116" i="11"/>
  <c r="AI101" i="11"/>
  <c r="AI83" i="11"/>
  <c r="AI94" i="11"/>
  <c r="AI66" i="11"/>
  <c r="AI43" i="11"/>
  <c r="AI134" i="11"/>
  <c r="AI121" i="11"/>
  <c r="AI95" i="11"/>
  <c r="AI77" i="11"/>
  <c r="AI67" i="11"/>
  <c r="AI36" i="11"/>
  <c r="AI35" i="11"/>
  <c r="AI126" i="11"/>
  <c r="AI115" i="11"/>
  <c r="AI90" i="11"/>
  <c r="AI100" i="11"/>
  <c r="AI52" i="11"/>
  <c r="AI28" i="11"/>
  <c r="AI60" i="11"/>
  <c r="AI131" i="11"/>
  <c r="AI106" i="11"/>
  <c r="AI91" i="11"/>
  <c r="AI75" i="11"/>
  <c r="AI70" i="11"/>
  <c r="AI59" i="11"/>
  <c r="AI57" i="11"/>
  <c r="AI124" i="11"/>
  <c r="AI89" i="11"/>
  <c r="AI88" i="11"/>
  <c r="AI99" i="11"/>
  <c r="AI62" i="11"/>
  <c r="AI54" i="11"/>
  <c r="AI49" i="11"/>
  <c r="AI110" i="11"/>
  <c r="AI81" i="11"/>
  <c r="AI82" i="11"/>
  <c r="AI93" i="11"/>
  <c r="AI71" i="11"/>
  <c r="AI53" i="11"/>
  <c r="AI68" i="11"/>
  <c r="AI22" i="11"/>
  <c r="AI102" i="11"/>
  <c r="AI118" i="11"/>
  <c r="AI72" i="11"/>
  <c r="AI58" i="11"/>
  <c r="AI47" i="11"/>
  <c r="AI48" i="11"/>
  <c r="AI26" i="11"/>
  <c r="AI130" i="11"/>
  <c r="AI120" i="11"/>
  <c r="AI107" i="11"/>
  <c r="AI69" i="11"/>
  <c r="AI37" i="11"/>
  <c r="AI33" i="11"/>
  <c r="AI46" i="11"/>
  <c r="AI136" i="11"/>
  <c r="AI111" i="11"/>
  <c r="AI98" i="11"/>
  <c r="AI80" i="11"/>
  <c r="AI29" i="11"/>
  <c r="AI76" i="11"/>
  <c r="AI129" i="11"/>
  <c r="AI96" i="11"/>
  <c r="AI92" i="11"/>
  <c r="AI97" i="11"/>
  <c r="AI21" i="11"/>
  <c r="AI42" i="11"/>
  <c r="AI128" i="11"/>
  <c r="AI108" i="11"/>
  <c r="AI87" i="11"/>
  <c r="AI63" i="11"/>
  <c r="AI109" i="11"/>
  <c r="AI41" i="11"/>
  <c r="AI123" i="11"/>
  <c r="AI117" i="11"/>
  <c r="AI122" i="11"/>
  <c r="AI61" i="11"/>
  <c r="AI64" i="11"/>
  <c r="AI56" i="11"/>
  <c r="AI113" i="11"/>
  <c r="AI104" i="11"/>
  <c r="AI114" i="11"/>
  <c r="AI27" i="11"/>
  <c r="AI105" i="11"/>
  <c r="AI74" i="11"/>
  <c r="AI112" i="11"/>
  <c r="AI65" i="11"/>
  <c r="AI39" i="11"/>
  <c r="AI51" i="11"/>
  <c r="AI50" i="11"/>
  <c r="AI34" i="11"/>
  <c r="AI24" i="11"/>
  <c r="AI138" i="11"/>
  <c r="AI135" i="11"/>
  <c r="AI133" i="11"/>
  <c r="AI20" i="11"/>
  <c r="AI38" i="11"/>
  <c r="AI32" i="11"/>
  <c r="AI19" i="11"/>
  <c r="AI30" i="11"/>
  <c r="S30" i="11"/>
  <c r="S22" i="11"/>
  <c r="S38" i="11"/>
  <c r="S25" i="11"/>
  <c r="S32" i="11"/>
  <c r="S136" i="11"/>
  <c r="S114" i="11"/>
  <c r="S65" i="11"/>
  <c r="S80" i="11"/>
  <c r="S59" i="11"/>
  <c r="S74" i="11"/>
  <c r="S135" i="11"/>
  <c r="S138" i="11"/>
  <c r="S95" i="11"/>
  <c r="S75" i="11"/>
  <c r="S67" i="11"/>
  <c r="S53" i="11"/>
  <c r="S42" i="11"/>
  <c r="S127" i="11"/>
  <c r="S107" i="11"/>
  <c r="S113" i="11"/>
  <c r="S97" i="11"/>
  <c r="S50" i="11"/>
  <c r="S54" i="11"/>
  <c r="S119" i="11"/>
  <c r="S109" i="11"/>
  <c r="S92" i="11"/>
  <c r="S91" i="11"/>
  <c r="S70" i="11"/>
  <c r="S37" i="11"/>
  <c r="S33" i="11"/>
  <c r="S132" i="11"/>
  <c r="S128" i="11"/>
  <c r="S88" i="11"/>
  <c r="S101" i="11"/>
  <c r="S55" i="11"/>
  <c r="S29" i="11"/>
  <c r="S45" i="11"/>
  <c r="S134" i="11"/>
  <c r="S130" i="11"/>
  <c r="S82" i="11"/>
  <c r="S94" i="11"/>
  <c r="S90" i="11"/>
  <c r="S21" i="11"/>
  <c r="S44" i="11"/>
  <c r="S126" i="11"/>
  <c r="S129" i="11"/>
  <c r="S112" i="11"/>
  <c r="S69" i="11"/>
  <c r="S83" i="11"/>
  <c r="S84" i="11"/>
  <c r="S43" i="11"/>
  <c r="S131" i="11"/>
  <c r="S123" i="11"/>
  <c r="S72" i="11"/>
  <c r="S58" i="11"/>
  <c r="S64" i="11"/>
  <c r="S56" i="11"/>
  <c r="S47" i="11"/>
  <c r="S133" i="11"/>
  <c r="S111" i="11"/>
  <c r="S105" i="11"/>
  <c r="S103" i="11"/>
  <c r="S62" i="11"/>
  <c r="S52" i="11"/>
  <c r="S46" i="11"/>
  <c r="S122" i="11"/>
  <c r="S98" i="11"/>
  <c r="S93" i="11"/>
  <c r="S100" i="11"/>
  <c r="S63" i="11"/>
  <c r="S48" i="11"/>
  <c r="S110" i="11"/>
  <c r="S89" i="11"/>
  <c r="S87" i="11"/>
  <c r="S76" i="11"/>
  <c r="S61" i="11"/>
  <c r="S39" i="11"/>
  <c r="S49" i="11"/>
  <c r="S102" i="11"/>
  <c r="S81" i="11"/>
  <c r="S124" i="11"/>
  <c r="S104" i="11"/>
  <c r="S60" i="11"/>
  <c r="S31" i="11"/>
  <c r="S125" i="11"/>
  <c r="S120" i="11"/>
  <c r="S71" i="11"/>
  <c r="S77" i="11"/>
  <c r="S35" i="11"/>
  <c r="S57" i="11"/>
  <c r="S66" i="11"/>
  <c r="S85" i="11"/>
  <c r="S137" i="11"/>
  <c r="S73" i="11"/>
  <c r="S118" i="11"/>
  <c r="S23" i="11"/>
  <c r="S117" i="11"/>
  <c r="S51" i="11"/>
  <c r="S108" i="11"/>
  <c r="S36" i="11"/>
  <c r="S96" i="11"/>
  <c r="S28" i="11"/>
  <c r="S121" i="11"/>
  <c r="S41" i="11"/>
  <c r="S116" i="11"/>
  <c r="S115" i="11"/>
  <c r="S99" i="11"/>
  <c r="S68" i="11"/>
  <c r="S27" i="11"/>
  <c r="S106" i="11"/>
  <c r="S86" i="11"/>
  <c r="S24" i="11"/>
  <c r="S20" i="11"/>
  <c r="S26" i="11"/>
  <c r="S40" i="11"/>
  <c r="S34" i="11"/>
  <c r="S19" i="11"/>
  <c r="L13" i="11"/>
  <c r="L15" i="11" s="1"/>
  <c r="F22" i="15" s="1"/>
  <c r="F43" i="15" s="1"/>
  <c r="F4" i="21" s="1"/>
  <c r="K67" i="11"/>
  <c r="K40" i="11"/>
  <c r="K109" i="11"/>
  <c r="K107" i="11"/>
  <c r="K112" i="11"/>
  <c r="K48" i="11"/>
  <c r="K131" i="11"/>
  <c r="Z110" i="11"/>
  <c r="Z67" i="11"/>
  <c r="Z90" i="11"/>
  <c r="Z120" i="11"/>
  <c r="Z92" i="11"/>
  <c r="Z73" i="11"/>
  <c r="Z36" i="11"/>
  <c r="AF89" i="11"/>
  <c r="AF85" i="11"/>
  <c r="AF134" i="11"/>
  <c r="AF25" i="11"/>
  <c r="AF67" i="11"/>
  <c r="AF109" i="11"/>
  <c r="AF36" i="11"/>
  <c r="AF133" i="11"/>
  <c r="AF131" i="11"/>
  <c r="AF39" i="11"/>
  <c r="AF40" i="11"/>
  <c r="AF70" i="11"/>
  <c r="AF117" i="11"/>
  <c r="AF57" i="11"/>
  <c r="R29" i="15"/>
  <c r="R37" i="15" s="1"/>
  <c r="R38" i="15" s="1"/>
  <c r="R39" i="15" s="1"/>
  <c r="X4" i="11"/>
  <c r="V22" i="11"/>
  <c r="V36" i="11"/>
  <c r="V46" i="11"/>
  <c r="V137" i="11"/>
  <c r="V112" i="11"/>
  <c r="V133" i="11"/>
  <c r="V53" i="11"/>
  <c r="V114" i="11"/>
  <c r="V23" i="11"/>
  <c r="V38" i="11"/>
  <c r="V32" i="11"/>
  <c r="V129" i="11"/>
  <c r="V113" i="11"/>
  <c r="V109" i="11"/>
  <c r="V94" i="11"/>
  <c r="V98" i="11"/>
  <c r="V89" i="11"/>
  <c r="V30" i="11"/>
  <c r="V121" i="11"/>
  <c r="V132" i="11"/>
  <c r="V91" i="11"/>
  <c r="V76" i="11"/>
  <c r="V90" i="11"/>
  <c r="V51" i="11"/>
  <c r="V58" i="11"/>
  <c r="V131" i="11"/>
  <c r="V126" i="11"/>
  <c r="V75" i="11"/>
  <c r="V63" i="11"/>
  <c r="V71" i="11"/>
  <c r="V50" i="11"/>
  <c r="V66" i="11"/>
  <c r="V107" i="11"/>
  <c r="V96" i="11"/>
  <c r="V124" i="11"/>
  <c r="V57" i="11"/>
  <c r="V97" i="11"/>
  <c r="V80" i="11"/>
  <c r="V74" i="11"/>
  <c r="V42" i="11"/>
  <c r="V122" i="11"/>
  <c r="V86" i="11"/>
  <c r="V117" i="11"/>
  <c r="V41" i="11"/>
  <c r="V123" i="11"/>
  <c r="V118" i="11"/>
  <c r="V119" i="11"/>
  <c r="V62" i="11"/>
  <c r="V33" i="11"/>
  <c r="V52" i="11"/>
  <c r="V136" i="11"/>
  <c r="V93" i="11"/>
  <c r="V95" i="11"/>
  <c r="V54" i="11"/>
  <c r="V25" i="11"/>
  <c r="V128" i="11"/>
  <c r="V101" i="11"/>
  <c r="V70" i="11"/>
  <c r="V64" i="11"/>
  <c r="V88" i="11"/>
  <c r="V127" i="11"/>
  <c r="V116" i="11"/>
  <c r="V61" i="11"/>
  <c r="V45" i="11"/>
  <c r="V65" i="11"/>
  <c r="V29" i="11"/>
  <c r="V134" i="11"/>
  <c r="V115" i="11"/>
  <c r="V55" i="11"/>
  <c r="V77" i="11"/>
  <c r="V69" i="11"/>
  <c r="V21" i="11"/>
  <c r="V28" i="11"/>
  <c r="V106" i="11"/>
  <c r="V103" i="11"/>
  <c r="V92" i="11"/>
  <c r="V59" i="11"/>
  <c r="V49" i="11"/>
  <c r="V135" i="11"/>
  <c r="V102" i="11"/>
  <c r="V68" i="11"/>
  <c r="V108" i="11"/>
  <c r="V44" i="11"/>
  <c r="V130" i="11"/>
  <c r="V100" i="11"/>
  <c r="V73" i="11"/>
  <c r="V72" i="11"/>
  <c r="V43" i="11"/>
  <c r="V138" i="11"/>
  <c r="V67" i="11"/>
  <c r="V99" i="11"/>
  <c r="V56" i="11"/>
  <c r="V47" i="11"/>
  <c r="V111" i="11"/>
  <c r="V125" i="11"/>
  <c r="V85" i="11"/>
  <c r="V48" i="11"/>
  <c r="V40" i="11"/>
  <c r="V110" i="11"/>
  <c r="V105" i="11"/>
  <c r="V84" i="11"/>
  <c r="V39" i="11"/>
  <c r="V37" i="11"/>
  <c r="V31" i="11"/>
  <c r="V60" i="11"/>
  <c r="V104" i="11"/>
  <c r="V120" i="11"/>
  <c r="V87" i="11"/>
  <c r="V81" i="11"/>
  <c r="V83" i="11"/>
  <c r="V82" i="11"/>
  <c r="V26" i="11"/>
  <c r="V35" i="11"/>
  <c r="V24" i="11"/>
  <c r="V20" i="11"/>
  <c r="V27" i="11"/>
  <c r="V34" i="11"/>
  <c r="K55" i="11"/>
  <c r="K26" i="11"/>
  <c r="K101" i="11"/>
  <c r="K45" i="11"/>
  <c r="K36" i="11"/>
  <c r="K82" i="11"/>
  <c r="K54" i="11"/>
  <c r="Z71" i="11"/>
  <c r="Z132" i="11"/>
  <c r="Z111" i="11"/>
  <c r="Z93" i="11"/>
  <c r="Z130" i="11"/>
  <c r="Z94" i="11"/>
  <c r="Z103" i="11"/>
  <c r="AF30" i="11"/>
  <c r="AF52" i="11"/>
  <c r="AF59" i="11"/>
  <c r="AF86" i="11"/>
  <c r="AF106" i="11"/>
  <c r="AF95" i="11"/>
  <c r="AF122" i="11"/>
  <c r="AF45" i="11"/>
  <c r="AC46" i="11"/>
  <c r="K72" i="11"/>
  <c r="K42" i="11"/>
  <c r="K68" i="11"/>
  <c r="K61" i="11"/>
  <c r="K136" i="11"/>
  <c r="K98" i="11"/>
  <c r="K39" i="11"/>
  <c r="Z22" i="11"/>
  <c r="Z43" i="11"/>
  <c r="Z124" i="11"/>
  <c r="Z86" i="11"/>
  <c r="Z40" i="11"/>
  <c r="Z116" i="11"/>
  <c r="Z126" i="11"/>
  <c r="AF51" i="11"/>
  <c r="AF73" i="11"/>
  <c r="AF84" i="11"/>
  <c r="AF115" i="11"/>
  <c r="AF102" i="11"/>
  <c r="AF125" i="11"/>
  <c r="AF41" i="11"/>
  <c r="AF20" i="11"/>
  <c r="AN71" i="11"/>
  <c r="AN37" i="11"/>
  <c r="AN19" i="11"/>
  <c r="AN29" i="11"/>
  <c r="AN46" i="11"/>
  <c r="AN39" i="11"/>
  <c r="AN25" i="11"/>
  <c r="AN111" i="11"/>
  <c r="AN103" i="11"/>
  <c r="AN115" i="11"/>
  <c r="AN76" i="11"/>
  <c r="AN42" i="11"/>
  <c r="AN44" i="11"/>
  <c r="AN137" i="11"/>
  <c r="AN102" i="11"/>
  <c r="AN93" i="11"/>
  <c r="AN91" i="11"/>
  <c r="AN83" i="11"/>
  <c r="AN43" i="11"/>
  <c r="AN22" i="11"/>
  <c r="AN135" i="11"/>
  <c r="AN130" i="11"/>
  <c r="AN96" i="11"/>
  <c r="AN73" i="11"/>
  <c r="AN57" i="11"/>
  <c r="AN35" i="11"/>
  <c r="AN110" i="11"/>
  <c r="AN119" i="11"/>
  <c r="AN85" i="11"/>
  <c r="AN67" i="11"/>
  <c r="AN61" i="11"/>
  <c r="AN27" i="11"/>
  <c r="AN134" i="11"/>
  <c r="AN104" i="11"/>
  <c r="AN106" i="11"/>
  <c r="AN116" i="11"/>
  <c r="AN107" i="11"/>
  <c r="AN53" i="11"/>
  <c r="AN70" i="11"/>
  <c r="AN126" i="11"/>
  <c r="AN99" i="11"/>
  <c r="AN95" i="11"/>
  <c r="AN121" i="11"/>
  <c r="AN123" i="11"/>
  <c r="AN63" i="11"/>
  <c r="AN51" i="11"/>
  <c r="AN40" i="11"/>
  <c r="AN136" i="11"/>
  <c r="AN113" i="11"/>
  <c r="AN88" i="11"/>
  <c r="AN87" i="11"/>
  <c r="AN94" i="11"/>
  <c r="AN62" i="11"/>
  <c r="AN47" i="11"/>
  <c r="AN128" i="11"/>
  <c r="AN112" i="11"/>
  <c r="AN82" i="11"/>
  <c r="AN81" i="11"/>
  <c r="AN92" i="11"/>
  <c r="AN36" i="11"/>
  <c r="AN34" i="11"/>
  <c r="AN120" i="11"/>
  <c r="AN122" i="11"/>
  <c r="AN72" i="11"/>
  <c r="AN75" i="11"/>
  <c r="AN84" i="11"/>
  <c r="AN28" i="11"/>
  <c r="AN133" i="11"/>
  <c r="AN109" i="11"/>
  <c r="AN64" i="11"/>
  <c r="AN58" i="11"/>
  <c r="AN49" i="11"/>
  <c r="AN20" i="11"/>
  <c r="AN125" i="11"/>
  <c r="AN117" i="11"/>
  <c r="AN118" i="11"/>
  <c r="AN50" i="11"/>
  <c r="AN66" i="11"/>
  <c r="AN54" i="11"/>
  <c r="AN138" i="11"/>
  <c r="AN90" i="11"/>
  <c r="AN74" i="11"/>
  <c r="AN89" i="11"/>
  <c r="AN59" i="11"/>
  <c r="AN41" i="11"/>
  <c r="AN131" i="11"/>
  <c r="AN108" i="11"/>
  <c r="AN80" i="11"/>
  <c r="AN105" i="11"/>
  <c r="AN55" i="11"/>
  <c r="AN38" i="11"/>
  <c r="AN114" i="11"/>
  <c r="AN100" i="11"/>
  <c r="AN124" i="11"/>
  <c r="AN98" i="11"/>
  <c r="AN52" i="11"/>
  <c r="AN56" i="11"/>
  <c r="AN97" i="11"/>
  <c r="AN86" i="11"/>
  <c r="AN68" i="11"/>
  <c r="AN60" i="11"/>
  <c r="AN65" i="11"/>
  <c r="AN69" i="11"/>
  <c r="AN30" i="11"/>
  <c r="AN26" i="11"/>
  <c r="AN21" i="11"/>
  <c r="AN77" i="11"/>
  <c r="AN129" i="11"/>
  <c r="AN132" i="11"/>
  <c r="AN48" i="11"/>
  <c r="AN45" i="11"/>
  <c r="AN127" i="11"/>
  <c r="AN101" i="11"/>
  <c r="AN33" i="11"/>
  <c r="AN24" i="11"/>
  <c r="AN31" i="11"/>
  <c r="AN23" i="11"/>
  <c r="AN32" i="11"/>
  <c r="Z56" i="11"/>
  <c r="AI31" i="15"/>
  <c r="AI32" i="15" s="1"/>
  <c r="AI33" i="15" s="1"/>
  <c r="AO4" i="11"/>
  <c r="AE34" i="15"/>
  <c r="W61" i="11"/>
  <c r="W114" i="11"/>
  <c r="W115" i="11"/>
  <c r="W85" i="11"/>
  <c r="W81" i="11"/>
  <c r="W52" i="11"/>
  <c r="W27" i="11"/>
  <c r="W135" i="11"/>
  <c r="W103" i="11"/>
  <c r="W122" i="11"/>
  <c r="W69" i="11"/>
  <c r="W57" i="11"/>
  <c r="W70" i="11"/>
  <c r="W36" i="11"/>
  <c r="W121" i="11"/>
  <c r="W131" i="11"/>
  <c r="W95" i="11"/>
  <c r="W97" i="11"/>
  <c r="W64" i="11"/>
  <c r="W25" i="11"/>
  <c r="W54" i="11"/>
  <c r="W134" i="11"/>
  <c r="W127" i="11"/>
  <c r="W108" i="11"/>
  <c r="W94" i="11"/>
  <c r="W87" i="11"/>
  <c r="W63" i="11"/>
  <c r="W136" i="11"/>
  <c r="W113" i="11"/>
  <c r="W92" i="11"/>
  <c r="W68" i="11"/>
  <c r="W75" i="11"/>
  <c r="W49" i="11"/>
  <c r="W128" i="11"/>
  <c r="W132" i="11"/>
  <c r="W88" i="11"/>
  <c r="W73" i="11"/>
  <c r="W66" i="11"/>
  <c r="W44" i="11"/>
  <c r="W133" i="11"/>
  <c r="W120" i="11"/>
  <c r="W82" i="11"/>
  <c r="W60" i="11"/>
  <c r="W42" i="11"/>
  <c r="W43" i="11"/>
  <c r="W138" i="11"/>
  <c r="W118" i="11"/>
  <c r="W93" i="11"/>
  <c r="W84" i="11"/>
  <c r="W56" i="11"/>
  <c r="W30" i="11"/>
  <c r="W19" i="11"/>
  <c r="W112" i="11"/>
  <c r="W83" i="11"/>
  <c r="W74" i="11"/>
  <c r="W105" i="11"/>
  <c r="W39" i="11"/>
  <c r="W104" i="11"/>
  <c r="W110" i="11"/>
  <c r="W86" i="11"/>
  <c r="W111" i="11"/>
  <c r="W31" i="11"/>
  <c r="W46" i="11"/>
  <c r="W129" i="11"/>
  <c r="W109" i="11"/>
  <c r="W58" i="11"/>
  <c r="W125" i="11"/>
  <c r="W107" i="11"/>
  <c r="W62" i="11"/>
  <c r="W123" i="11"/>
  <c r="W98" i="11"/>
  <c r="W45" i="11"/>
  <c r="W126" i="11"/>
  <c r="W99" i="11"/>
  <c r="W35" i="11"/>
  <c r="W117" i="11"/>
  <c r="W67" i="11"/>
  <c r="W37" i="11"/>
  <c r="W22" i="11"/>
  <c r="W130" i="11"/>
  <c r="W77" i="11"/>
  <c r="W59" i="11"/>
  <c r="W124" i="11"/>
  <c r="W90" i="11"/>
  <c r="W32" i="11"/>
  <c r="W119" i="11"/>
  <c r="W65" i="11"/>
  <c r="W91" i="11"/>
  <c r="W76" i="11"/>
  <c r="W101" i="11"/>
  <c r="W72" i="11"/>
  <c r="W116" i="11"/>
  <c r="W71" i="11"/>
  <c r="W102" i="11"/>
  <c r="W23" i="11"/>
  <c r="W48" i="11"/>
  <c r="W53" i="11"/>
  <c r="W100" i="11"/>
  <c r="W89" i="11"/>
  <c r="W137" i="11"/>
  <c r="W106" i="11"/>
  <c r="W38" i="11"/>
  <c r="W96" i="11"/>
  <c r="W80" i="11"/>
  <c r="W41" i="11"/>
  <c r="W33" i="11"/>
  <c r="W29" i="11"/>
  <c r="W50" i="11"/>
  <c r="W28" i="11"/>
  <c r="W21" i="11"/>
  <c r="W47" i="11"/>
  <c r="W40" i="11"/>
  <c r="W26" i="11"/>
  <c r="W24" i="11"/>
  <c r="W20" i="11"/>
  <c r="W55" i="11"/>
  <c r="W34" i="11"/>
  <c r="AD31" i="11"/>
  <c r="AD49" i="11"/>
  <c r="AD40" i="11"/>
  <c r="AD21" i="11"/>
  <c r="AD24" i="11"/>
  <c r="AD20" i="11"/>
  <c r="AD38" i="11"/>
  <c r="AD56" i="11"/>
  <c r="AD33" i="11"/>
  <c r="AD36" i="11"/>
  <c r="AD32" i="11"/>
  <c r="AD138" i="11"/>
  <c r="AD98" i="11"/>
  <c r="AD113" i="11"/>
  <c r="AD102" i="11"/>
  <c r="AD64" i="11"/>
  <c r="AD45" i="11"/>
  <c r="AD52" i="11"/>
  <c r="AD22" i="11"/>
  <c r="AD119" i="11"/>
  <c r="AD115" i="11"/>
  <c r="AD84" i="11"/>
  <c r="AD104" i="11"/>
  <c r="AD80" i="11"/>
  <c r="AD27" i="11"/>
  <c r="AD23" i="11"/>
  <c r="AD124" i="11"/>
  <c r="AD121" i="11"/>
  <c r="AD73" i="11"/>
  <c r="AD87" i="11"/>
  <c r="AD48" i="11"/>
  <c r="AD58" i="11"/>
  <c r="AD110" i="11"/>
  <c r="AD101" i="11"/>
  <c r="AD99" i="11"/>
  <c r="AD74" i="11"/>
  <c r="AD72" i="11"/>
  <c r="AD47" i="11"/>
  <c r="AD30" i="11"/>
  <c r="AD135" i="11"/>
  <c r="AD100" i="11"/>
  <c r="AD112" i="11"/>
  <c r="AD93" i="11"/>
  <c r="AD62" i="11"/>
  <c r="AD127" i="11"/>
  <c r="AD116" i="11"/>
  <c r="AD94" i="11"/>
  <c r="AD91" i="11"/>
  <c r="AD37" i="11"/>
  <c r="AD132" i="11"/>
  <c r="AD106" i="11"/>
  <c r="AD67" i="11"/>
  <c r="AD60" i="11"/>
  <c r="AD29" i="11"/>
  <c r="AD137" i="11"/>
  <c r="AD89" i="11"/>
  <c r="AD57" i="11"/>
  <c r="AD51" i="11"/>
  <c r="AD61" i="11"/>
  <c r="AD130" i="11"/>
  <c r="AD109" i="11"/>
  <c r="AD96" i="11"/>
  <c r="AD66" i="11"/>
  <c r="AD34" i="11"/>
  <c r="AD129" i="11"/>
  <c r="AD114" i="11"/>
  <c r="AD92" i="11"/>
  <c r="AD54" i="11"/>
  <c r="AD26" i="11"/>
  <c r="AD122" i="11"/>
  <c r="AD107" i="11"/>
  <c r="AD88" i="11"/>
  <c r="AD41" i="11"/>
  <c r="AD55" i="11"/>
  <c r="AD39" i="11"/>
  <c r="AD131" i="11"/>
  <c r="AD97" i="11"/>
  <c r="AD77" i="11"/>
  <c r="AD50" i="11"/>
  <c r="AD53" i="11"/>
  <c r="AD136" i="11"/>
  <c r="AD105" i="11"/>
  <c r="AD59" i="11"/>
  <c r="AD82" i="11"/>
  <c r="AD128" i="11"/>
  <c r="AD71" i="11"/>
  <c r="AD86" i="11"/>
  <c r="AD68" i="11"/>
  <c r="AD25" i="11"/>
  <c r="AD126" i="11"/>
  <c r="AD76" i="11"/>
  <c r="AD85" i="11"/>
  <c r="AD63" i="11"/>
  <c r="AD118" i="11"/>
  <c r="AD111" i="11"/>
  <c r="AD65" i="11"/>
  <c r="AD46" i="11"/>
  <c r="AD120" i="11"/>
  <c r="AD83" i="11"/>
  <c r="AD81" i="11"/>
  <c r="AD44" i="11"/>
  <c r="AD125" i="11"/>
  <c r="AD123" i="11"/>
  <c r="AD103" i="11"/>
  <c r="AD70" i="11"/>
  <c r="AD69" i="11"/>
  <c r="AD43" i="11"/>
  <c r="AD133" i="11"/>
  <c r="AD117" i="11"/>
  <c r="AD134" i="11"/>
  <c r="AD95" i="11"/>
  <c r="AD108" i="11"/>
  <c r="AD90" i="11"/>
  <c r="AD19" i="11"/>
  <c r="AD28" i="11"/>
  <c r="AD75" i="11"/>
  <c r="AD35" i="11"/>
  <c r="K90" i="11"/>
  <c r="K58" i="11"/>
  <c r="K89" i="11"/>
  <c r="K77" i="11"/>
  <c r="K121" i="11"/>
  <c r="K114" i="11"/>
  <c r="K91" i="11"/>
  <c r="Z113" i="11"/>
  <c r="Z60" i="11"/>
  <c r="Z30" i="11"/>
  <c r="Z80" i="11"/>
  <c r="Z50" i="11"/>
  <c r="Z125" i="11"/>
  <c r="Z20" i="11"/>
  <c r="AF76" i="11"/>
  <c r="AF81" i="11"/>
  <c r="AF93" i="11"/>
  <c r="AF97" i="11"/>
  <c r="AF112" i="11"/>
  <c r="AF34" i="11"/>
  <c r="AF32" i="11"/>
  <c r="AF27" i="11"/>
  <c r="K106" i="11"/>
  <c r="K74" i="11"/>
  <c r="K28" i="11"/>
  <c r="K95" i="11"/>
  <c r="K57" i="11"/>
  <c r="K130" i="11"/>
  <c r="K34" i="11"/>
  <c r="Y31" i="11"/>
  <c r="Y34" i="11"/>
  <c r="Y41" i="11"/>
  <c r="Y23" i="11"/>
  <c r="Y33" i="11"/>
  <c r="Y24" i="11"/>
  <c r="Y130" i="11"/>
  <c r="Y120" i="11"/>
  <c r="Y86" i="11"/>
  <c r="Y125" i="11"/>
  <c r="Y92" i="11"/>
  <c r="Y38" i="11"/>
  <c r="Y48" i="11"/>
  <c r="Y115" i="11"/>
  <c r="Y108" i="11"/>
  <c r="Y127" i="11"/>
  <c r="Y89" i="11"/>
  <c r="Y81" i="11"/>
  <c r="Y30" i="11"/>
  <c r="Y101" i="11"/>
  <c r="Y88" i="11"/>
  <c r="Y71" i="11"/>
  <c r="Y74" i="11"/>
  <c r="Y64" i="11"/>
  <c r="Y49" i="11"/>
  <c r="Y137" i="11"/>
  <c r="Y80" i="11"/>
  <c r="Y85" i="11"/>
  <c r="Y117" i="11"/>
  <c r="Y90" i="11"/>
  <c r="Y58" i="11"/>
  <c r="Y119" i="11"/>
  <c r="Y113" i="11"/>
  <c r="Y94" i="11"/>
  <c r="Y98" i="11"/>
  <c r="Y68" i="11"/>
  <c r="Y46" i="11"/>
  <c r="Y135" i="11"/>
  <c r="Y102" i="11"/>
  <c r="Y111" i="11"/>
  <c r="Y93" i="11"/>
  <c r="Y65" i="11"/>
  <c r="Y45" i="11"/>
  <c r="Y124" i="11"/>
  <c r="Y100" i="11"/>
  <c r="Y72" i="11"/>
  <c r="Y122" i="11"/>
  <c r="Y51" i="11"/>
  <c r="Y35" i="11"/>
  <c r="Y121" i="11"/>
  <c r="Y116" i="11"/>
  <c r="Y76" i="11"/>
  <c r="Y73" i="11"/>
  <c r="Y36" i="11"/>
  <c r="Y27" i="11"/>
  <c r="Y136" i="11"/>
  <c r="Y95" i="11"/>
  <c r="Y84" i="11"/>
  <c r="Y62" i="11"/>
  <c r="Y28" i="11"/>
  <c r="Y47" i="11"/>
  <c r="Y19" i="11"/>
  <c r="Y134" i="11"/>
  <c r="Y132" i="11"/>
  <c r="Y105" i="11"/>
  <c r="Y67" i="11"/>
  <c r="Y54" i="11"/>
  <c r="Y20" i="11"/>
  <c r="Y40" i="11"/>
  <c r="Y129" i="11"/>
  <c r="Y66" i="11"/>
  <c r="Y61" i="11"/>
  <c r="Y128" i="11"/>
  <c r="Y87" i="11"/>
  <c r="Y59" i="11"/>
  <c r="Y103" i="11"/>
  <c r="Y97" i="11"/>
  <c r="Y55" i="11"/>
  <c r="Y123" i="11"/>
  <c r="Y56" i="11"/>
  <c r="Y114" i="11"/>
  <c r="Y53" i="11"/>
  <c r="Y96" i="11"/>
  <c r="Y75" i="11"/>
  <c r="Y104" i="11"/>
  <c r="Y60" i="11"/>
  <c r="Y112" i="11"/>
  <c r="Y69" i="11"/>
  <c r="Y99" i="11"/>
  <c r="Y50" i="11"/>
  <c r="Y107" i="11"/>
  <c r="Y63" i="11"/>
  <c r="Y126" i="11"/>
  <c r="Y110" i="11"/>
  <c r="Y44" i="11"/>
  <c r="Y118" i="11"/>
  <c r="Y106" i="11"/>
  <c r="Y43" i="11"/>
  <c r="Y131" i="11"/>
  <c r="Y57" i="11"/>
  <c r="Y42" i="11"/>
  <c r="Y133" i="11"/>
  <c r="Y83" i="11"/>
  <c r="Y22" i="11"/>
  <c r="Y82" i="11"/>
  <c r="Y77" i="11"/>
  <c r="Y32" i="11"/>
  <c r="Y70" i="11"/>
  <c r="Y52" i="11"/>
  <c r="Y25" i="11"/>
  <c r="Y39" i="11"/>
  <c r="Y138" i="11"/>
  <c r="Y109" i="11"/>
  <c r="Y29" i="11"/>
  <c r="Y37" i="11"/>
  <c r="Y21" i="11"/>
  <c r="Y91" i="11"/>
  <c r="Y26" i="11"/>
  <c r="Z114" i="11"/>
  <c r="Z96" i="11"/>
  <c r="Z61" i="11"/>
  <c r="Z99" i="11"/>
  <c r="Z89" i="11"/>
  <c r="Z45" i="11"/>
  <c r="Z26" i="11"/>
  <c r="AF65" i="11"/>
  <c r="AF68" i="11"/>
  <c r="AF119" i="11"/>
  <c r="AF129" i="11"/>
  <c r="AF132" i="11"/>
  <c r="AF87" i="11"/>
  <c r="AF72" i="11"/>
  <c r="AF21" i="11"/>
  <c r="AN239" i="7"/>
  <c r="J9" i="15"/>
  <c r="P6" i="11" s="1"/>
  <c r="P4" i="11"/>
  <c r="S34" i="15"/>
  <c r="K51" i="11"/>
  <c r="K122" i="11"/>
  <c r="K92" i="11"/>
  <c r="K44" i="11"/>
  <c r="K111" i="11"/>
  <c r="K31" i="11"/>
  <c r="K85" i="11"/>
  <c r="AM51" i="11"/>
  <c r="AM19" i="11"/>
  <c r="AM28" i="11"/>
  <c r="AM131" i="11"/>
  <c r="AM83" i="11"/>
  <c r="AM103" i="11"/>
  <c r="AM76" i="11"/>
  <c r="AM71" i="11"/>
  <c r="AM30" i="11"/>
  <c r="AM132" i="11"/>
  <c r="AM113" i="11"/>
  <c r="AM74" i="11"/>
  <c r="AM73" i="11"/>
  <c r="AM52" i="11"/>
  <c r="AM56" i="11"/>
  <c r="AM120" i="11"/>
  <c r="AM101" i="11"/>
  <c r="AM93" i="11"/>
  <c r="AM94" i="11"/>
  <c r="AM82" i="11"/>
  <c r="AM35" i="11"/>
  <c r="AM137" i="11"/>
  <c r="AM126" i="11"/>
  <c r="AM100" i="11"/>
  <c r="AM102" i="11"/>
  <c r="AM85" i="11"/>
  <c r="AM63" i="11"/>
  <c r="AM27" i="11"/>
  <c r="AM129" i="11"/>
  <c r="AM135" i="11"/>
  <c r="AM95" i="11"/>
  <c r="AM88" i="11"/>
  <c r="AM77" i="11"/>
  <c r="AM69" i="11"/>
  <c r="AM49" i="11"/>
  <c r="AM121" i="11"/>
  <c r="AM130" i="11"/>
  <c r="AM124" i="11"/>
  <c r="AM70" i="11"/>
  <c r="AM61" i="11"/>
  <c r="AM39" i="11"/>
  <c r="AM46" i="11"/>
  <c r="AM134" i="11"/>
  <c r="AM109" i="11"/>
  <c r="AM123" i="11"/>
  <c r="AM75" i="11"/>
  <c r="AM58" i="11"/>
  <c r="AM31" i="11"/>
  <c r="AM45" i="11"/>
  <c r="AM128" i="11"/>
  <c r="AM110" i="11"/>
  <c r="AM115" i="11"/>
  <c r="AM105" i="11"/>
  <c r="AM54" i="11"/>
  <c r="AM48" i="11"/>
  <c r="AM37" i="11"/>
  <c r="AM138" i="11"/>
  <c r="AM114" i="11"/>
  <c r="AM107" i="11"/>
  <c r="AM68" i="11"/>
  <c r="AM84" i="11"/>
  <c r="AM55" i="11"/>
  <c r="AM97" i="11"/>
  <c r="AM67" i="11"/>
  <c r="AM57" i="11"/>
  <c r="AM91" i="11"/>
  <c r="AM96" i="11"/>
  <c r="AM47" i="11"/>
  <c r="AM117" i="11"/>
  <c r="AM92" i="11"/>
  <c r="AM108" i="11"/>
  <c r="AM66" i="11"/>
  <c r="AM40" i="11"/>
  <c r="AM122" i="11"/>
  <c r="AM59" i="11"/>
  <c r="AM90" i="11"/>
  <c r="AM65" i="11"/>
  <c r="AM136" i="11"/>
  <c r="AM89" i="11"/>
  <c r="AM62" i="11"/>
  <c r="AM133" i="11"/>
  <c r="AM87" i="11"/>
  <c r="AM42" i="11"/>
  <c r="AM125" i="11"/>
  <c r="AM81" i="11"/>
  <c r="AM53" i="11"/>
  <c r="AM112" i="11"/>
  <c r="AM80" i="11"/>
  <c r="AM23" i="11"/>
  <c r="AM104" i="11"/>
  <c r="AM86" i="11"/>
  <c r="AM33" i="11"/>
  <c r="AM127" i="11"/>
  <c r="AM99" i="11"/>
  <c r="AM25" i="11"/>
  <c r="AM22" i="11"/>
  <c r="AM119" i="11"/>
  <c r="AM72" i="11"/>
  <c r="AM41" i="11"/>
  <c r="AM116" i="11"/>
  <c r="AM98" i="11"/>
  <c r="AM43" i="11"/>
  <c r="AM26" i="11"/>
  <c r="AM34" i="11"/>
  <c r="AM36" i="11"/>
  <c r="AM111" i="11"/>
  <c r="AM118" i="11"/>
  <c r="AM106" i="11"/>
  <c r="AM60" i="11"/>
  <c r="AM24" i="11"/>
  <c r="AM38" i="11"/>
  <c r="AM44" i="11"/>
  <c r="AM21" i="11"/>
  <c r="AM64" i="11"/>
  <c r="AM50" i="11"/>
  <c r="AM20" i="11"/>
  <c r="AM32" i="11"/>
  <c r="Z123" i="11"/>
  <c r="Z81" i="11"/>
  <c r="Z33" i="11"/>
  <c r="Z137" i="11"/>
  <c r="Z102" i="11"/>
  <c r="Z47" i="11"/>
  <c r="AF55" i="11"/>
  <c r="AF136" i="11"/>
  <c r="AF135" i="11"/>
  <c r="AF26" i="11"/>
  <c r="AF49" i="11"/>
  <c r="AF100" i="11"/>
  <c r="AF62" i="11"/>
  <c r="M31" i="11"/>
  <c r="AB72" i="21"/>
  <c r="P20" i="10"/>
  <c r="Z17" i="9"/>
  <c r="Z18" i="9" s="1"/>
  <c r="AD6" i="10"/>
  <c r="V32" i="15"/>
  <c r="V33" i="15" s="1"/>
  <c r="X36" i="9"/>
  <c r="AB7" i="10" s="1"/>
  <c r="AB6" i="10"/>
  <c r="J71" i="21"/>
  <c r="P19" i="10"/>
  <c r="P17" i="10"/>
  <c r="P27" i="10"/>
  <c r="P31" i="10"/>
  <c r="P16" i="10"/>
  <c r="P149" i="10"/>
  <c r="P121" i="10"/>
  <c r="P88" i="10"/>
  <c r="P201" i="10"/>
  <c r="P82" i="10"/>
  <c r="P182" i="10"/>
  <c r="P159" i="10"/>
  <c r="P130" i="10"/>
  <c r="P65" i="10"/>
  <c r="P145" i="10"/>
  <c r="P115" i="10"/>
  <c r="P194" i="10"/>
  <c r="P151" i="10"/>
  <c r="P116" i="10"/>
  <c r="P197" i="10"/>
  <c r="P135" i="10"/>
  <c r="P110" i="10"/>
  <c r="P85" i="10"/>
  <c r="P189" i="10"/>
  <c r="P113" i="10"/>
  <c r="P107" i="10"/>
  <c r="P202" i="10"/>
  <c r="P136" i="10"/>
  <c r="P106" i="10"/>
  <c r="P83" i="10"/>
  <c r="P41" i="10"/>
  <c r="P158" i="10"/>
  <c r="P133" i="10"/>
  <c r="P100" i="10"/>
  <c r="P87" i="10"/>
  <c r="P32" i="10"/>
  <c r="P192" i="10"/>
  <c r="P171" i="10"/>
  <c r="P124" i="10"/>
  <c r="P86" i="10"/>
  <c r="P18" i="10"/>
  <c r="P169" i="10"/>
  <c r="P160" i="10"/>
  <c r="P154" i="10"/>
  <c r="P109" i="10"/>
  <c r="P62" i="10"/>
  <c r="P54" i="10"/>
  <c r="P146" i="10"/>
  <c r="P89" i="10"/>
  <c r="P173" i="10"/>
  <c r="P143" i="10"/>
  <c r="P44" i="10"/>
  <c r="P181" i="10"/>
  <c r="P168" i="10"/>
  <c r="P92" i="10"/>
  <c r="P81" i="10"/>
  <c r="P42" i="10"/>
  <c r="P29" i="10"/>
  <c r="P179" i="10"/>
  <c r="P148" i="10"/>
  <c r="P118" i="10"/>
  <c r="P70" i="10"/>
  <c r="P34" i="10"/>
  <c r="P196" i="10"/>
  <c r="P190" i="10"/>
  <c r="P74" i="10"/>
  <c r="P33" i="10"/>
  <c r="P164" i="10"/>
  <c r="P80" i="10"/>
  <c r="P69" i="10"/>
  <c r="P161" i="10"/>
  <c r="P75" i="10"/>
  <c r="P51" i="10"/>
  <c r="P55" i="10"/>
  <c r="P46" i="10"/>
  <c r="P111" i="10"/>
  <c r="P112" i="10"/>
  <c r="P67" i="10"/>
  <c r="P52" i="10"/>
  <c r="P37" i="10"/>
  <c r="P144" i="10"/>
  <c r="P98" i="10"/>
  <c r="P91" i="10"/>
  <c r="P167" i="10"/>
  <c r="P156" i="10"/>
  <c r="P117" i="10"/>
  <c r="P102" i="10"/>
  <c r="P63" i="10"/>
  <c r="P30" i="10"/>
  <c r="P178" i="10"/>
  <c r="P157" i="10"/>
  <c r="P137" i="10"/>
  <c r="P108" i="10"/>
  <c r="P84" i="10"/>
  <c r="P22" i="10"/>
  <c r="P24" i="10"/>
  <c r="P40" i="10"/>
  <c r="P21" i="10"/>
  <c r="Q19" i="10"/>
  <c r="Q22" i="10"/>
  <c r="Q17" i="10"/>
  <c r="Q24" i="10"/>
  <c r="Q16" i="10"/>
  <c r="Q27" i="10"/>
  <c r="Q31" i="10"/>
  <c r="Q196" i="10"/>
  <c r="Q159" i="10"/>
  <c r="Q144" i="10"/>
  <c r="Q136" i="10"/>
  <c r="Q42" i="10"/>
  <c r="Q168" i="10"/>
  <c r="Q194" i="10"/>
  <c r="Q70" i="10"/>
  <c r="Q89" i="10"/>
  <c r="Q74" i="10"/>
  <c r="Q18" i="10"/>
  <c r="Q201" i="10"/>
  <c r="Q192" i="10"/>
  <c r="Q154" i="10"/>
  <c r="Q62" i="10"/>
  <c r="Q88" i="10"/>
  <c r="Q69" i="10"/>
  <c r="Q160" i="10"/>
  <c r="Q133" i="10"/>
  <c r="Q117" i="10"/>
  <c r="Q91" i="10"/>
  <c r="Q55" i="10"/>
  <c r="Q51" i="10"/>
  <c r="Q164" i="10"/>
  <c r="Q124" i="10"/>
  <c r="Q146" i="10"/>
  <c r="Q115" i="10"/>
  <c r="Q92" i="10"/>
  <c r="Q32" i="10"/>
  <c r="Q190" i="10"/>
  <c r="Q173" i="10"/>
  <c r="Q116" i="10"/>
  <c r="Q107" i="10"/>
  <c r="Q102" i="10"/>
  <c r="Q67" i="10"/>
  <c r="Q44" i="10"/>
  <c r="Q178" i="10"/>
  <c r="Q171" i="10"/>
  <c r="Q108" i="10"/>
  <c r="Q106" i="10"/>
  <c r="Q84" i="10"/>
  <c r="Q52" i="10"/>
  <c r="Q34" i="10"/>
  <c r="Q181" i="10"/>
  <c r="Q100" i="10"/>
  <c r="Q75" i="10"/>
  <c r="Q33" i="10"/>
  <c r="Q197" i="10"/>
  <c r="Q137" i="10"/>
  <c r="Q135" i="10"/>
  <c r="Q113" i="10"/>
  <c r="Q46" i="10"/>
  <c r="Q182" i="10"/>
  <c r="Q156" i="10"/>
  <c r="Q110" i="10"/>
  <c r="Q65" i="10"/>
  <c r="Q37" i="10"/>
  <c r="Q179" i="10"/>
  <c r="Q130" i="10"/>
  <c r="Q149" i="10"/>
  <c r="Q112" i="10"/>
  <c r="Q109" i="10"/>
  <c r="Q83" i="10"/>
  <c r="Q63" i="10"/>
  <c r="Q167" i="10"/>
  <c r="Q87" i="10"/>
  <c r="Q80" i="10"/>
  <c r="Q169" i="10"/>
  <c r="Q157" i="10"/>
  <c r="Q143" i="10"/>
  <c r="Q86" i="10"/>
  <c r="Q54" i="10"/>
  <c r="Q30" i="10"/>
  <c r="Q189" i="10"/>
  <c r="Q151" i="10"/>
  <c r="Q118" i="10"/>
  <c r="Q85" i="10"/>
  <c r="Q121" i="10"/>
  <c r="Q40" i="10"/>
  <c r="Q148" i="10"/>
  <c r="Q158" i="10"/>
  <c r="Q98" i="10"/>
  <c r="Q81" i="10"/>
  <c r="Q202" i="10"/>
  <c r="Q161" i="10"/>
  <c r="Q145" i="10"/>
  <c r="Q111" i="10"/>
  <c r="Q82" i="10"/>
  <c r="Q41" i="10"/>
  <c r="Q29" i="10"/>
  <c r="Q21" i="10"/>
  <c r="P39" i="10"/>
  <c r="P23" i="10"/>
  <c r="P38" i="10"/>
  <c r="P191" i="10"/>
  <c r="P166" i="10"/>
  <c r="P153" i="10"/>
  <c r="P122" i="10"/>
  <c r="P72" i="10"/>
  <c r="P187" i="10"/>
  <c r="P162" i="10"/>
  <c r="P155" i="10"/>
  <c r="P123" i="10"/>
  <c r="P90" i="10"/>
  <c r="P73" i="10"/>
  <c r="P193" i="10"/>
  <c r="P170" i="10"/>
  <c r="P103" i="10"/>
  <c r="P198" i="10"/>
  <c r="P165" i="10"/>
  <c r="P127" i="10"/>
  <c r="P152" i="10"/>
  <c r="P101" i="10"/>
  <c r="P195" i="10"/>
  <c r="P147" i="10"/>
  <c r="P186" i="10"/>
  <c r="P150" i="10"/>
  <c r="P104" i="10"/>
  <c r="P172" i="10"/>
  <c r="P97" i="10"/>
  <c r="P66" i="10"/>
  <c r="P47" i="10"/>
  <c r="P49" i="10"/>
  <c r="P139" i="10"/>
  <c r="P64" i="10"/>
  <c r="P48" i="10"/>
  <c r="P126" i="10"/>
  <c r="P61" i="10"/>
  <c r="P26" i="10"/>
  <c r="P134" i="10"/>
  <c r="P60" i="10"/>
  <c r="P99" i="10"/>
  <c r="P177" i="10"/>
  <c r="P176" i="10"/>
  <c r="P129" i="10"/>
  <c r="P53" i="10"/>
  <c r="P28" i="10"/>
  <c r="P132" i="10"/>
  <c r="P128" i="10"/>
  <c r="P94" i="10"/>
  <c r="P45" i="10"/>
  <c r="P199" i="10"/>
  <c r="P131" i="10"/>
  <c r="P120" i="10"/>
  <c r="P183" i="10"/>
  <c r="P125" i="10"/>
  <c r="P50" i="10"/>
  <c r="P174" i="10"/>
  <c r="P96" i="10"/>
  <c r="P95" i="10"/>
  <c r="P59" i="10"/>
  <c r="P188" i="10"/>
  <c r="P184" i="10"/>
  <c r="P93" i="10"/>
  <c r="P58" i="10"/>
  <c r="P25" i="10"/>
  <c r="P180" i="10"/>
  <c r="P119" i="10"/>
  <c r="P114" i="10"/>
  <c r="P185" i="10"/>
  <c r="P138" i="10"/>
  <c r="P43" i="10"/>
  <c r="P175" i="10"/>
  <c r="P200" i="10"/>
  <c r="P35" i="10"/>
  <c r="P71" i="10"/>
  <c r="P36" i="10"/>
  <c r="P163" i="10"/>
  <c r="P57" i="10"/>
  <c r="P68" i="10"/>
  <c r="P105" i="10"/>
  <c r="P56" i="10"/>
  <c r="U47" i="10"/>
  <c r="U19" i="10"/>
  <c r="U24" i="10"/>
  <c r="U21" i="10"/>
  <c r="U17" i="10"/>
  <c r="U31" i="10"/>
  <c r="U16" i="10"/>
  <c r="U29" i="10"/>
  <c r="U202" i="10"/>
  <c r="U159" i="10"/>
  <c r="U143" i="10"/>
  <c r="U136" i="10"/>
  <c r="U135" i="10"/>
  <c r="U113" i="10"/>
  <c r="U89" i="10"/>
  <c r="U42" i="10"/>
  <c r="U106" i="10"/>
  <c r="U133" i="10"/>
  <c r="U111" i="10"/>
  <c r="U88" i="10"/>
  <c r="U34" i="10"/>
  <c r="U37" i="10"/>
  <c r="U196" i="10"/>
  <c r="U161" i="10"/>
  <c r="U181" i="10"/>
  <c r="U98" i="10"/>
  <c r="U52" i="10"/>
  <c r="U201" i="10"/>
  <c r="U171" i="10"/>
  <c r="U156" i="10"/>
  <c r="U158" i="10"/>
  <c r="U87" i="10"/>
  <c r="U44" i="10"/>
  <c r="U40" i="10"/>
  <c r="U194" i="10"/>
  <c r="U169" i="10"/>
  <c r="U164" i="10"/>
  <c r="U107" i="10"/>
  <c r="U81" i="10"/>
  <c r="U85" i="10"/>
  <c r="U32" i="10"/>
  <c r="U149" i="10"/>
  <c r="U117" i="10"/>
  <c r="U92" i="10"/>
  <c r="U148" i="10"/>
  <c r="U75" i="10"/>
  <c r="U30" i="10"/>
  <c r="U167" i="10"/>
  <c r="U118" i="10"/>
  <c r="U192" i="10"/>
  <c r="U179" i="10"/>
  <c r="U110" i="10"/>
  <c r="U197" i="10"/>
  <c r="U151" i="10"/>
  <c r="U145" i="10"/>
  <c r="U144" i="10"/>
  <c r="U54" i="10"/>
  <c r="U146" i="10"/>
  <c r="U55" i="10"/>
  <c r="U130" i="10"/>
  <c r="U83" i="10"/>
  <c r="U173" i="10"/>
  <c r="U82" i="10"/>
  <c r="U70" i="10"/>
  <c r="U84" i="10"/>
  <c r="U160" i="10"/>
  <c r="U137" i="10"/>
  <c r="U74" i="10"/>
  <c r="U115" i="10"/>
  <c r="U46" i="10"/>
  <c r="U65" i="10"/>
  <c r="U190" i="10"/>
  <c r="U109" i="10"/>
  <c r="U157" i="10"/>
  <c r="U108" i="10"/>
  <c r="U80" i="10"/>
  <c r="U33" i="10"/>
  <c r="U189" i="10"/>
  <c r="U100" i="10"/>
  <c r="U22" i="10"/>
  <c r="U182" i="10"/>
  <c r="U154" i="10"/>
  <c r="U124" i="10"/>
  <c r="U62" i="10"/>
  <c r="U178" i="10"/>
  <c r="U112" i="10"/>
  <c r="U102" i="10"/>
  <c r="U86" i="10"/>
  <c r="U27" i="10"/>
  <c r="U18" i="10"/>
  <c r="U121" i="10"/>
  <c r="U51" i="10"/>
  <c r="U116" i="10"/>
  <c r="U69" i="10"/>
  <c r="U91" i="10"/>
  <c r="U67" i="10"/>
  <c r="U168" i="10"/>
  <c r="U63" i="10"/>
  <c r="U41" i="10"/>
  <c r="Q25" i="10"/>
  <c r="Q23" i="10"/>
  <c r="Q200" i="10"/>
  <c r="Q103" i="10"/>
  <c r="Q120" i="10"/>
  <c r="Q99" i="10"/>
  <c r="Q26" i="10"/>
  <c r="Q39" i="10"/>
  <c r="Q188" i="10"/>
  <c r="Q185" i="10"/>
  <c r="Q129" i="10"/>
  <c r="Q95" i="10"/>
  <c r="Q38" i="10"/>
  <c r="Q195" i="10"/>
  <c r="Q147" i="10"/>
  <c r="Q119" i="10"/>
  <c r="Q28" i="10"/>
  <c r="Q58" i="10"/>
  <c r="Q193" i="10"/>
  <c r="Q170" i="10"/>
  <c r="Q152" i="10"/>
  <c r="Q94" i="10"/>
  <c r="Q20" i="10"/>
  <c r="Q198" i="10"/>
  <c r="Q180" i="10"/>
  <c r="Q104" i="10"/>
  <c r="Q73" i="10"/>
  <c r="Q59" i="10"/>
  <c r="Q186" i="10"/>
  <c r="Q138" i="10"/>
  <c r="Q96" i="10"/>
  <c r="Q165" i="10"/>
  <c r="Q132" i="10"/>
  <c r="Q90" i="10"/>
  <c r="Q172" i="10"/>
  <c r="Q163" i="10"/>
  <c r="Q150" i="10"/>
  <c r="Q131" i="10"/>
  <c r="Q72" i="10"/>
  <c r="Q57" i="10"/>
  <c r="Q184" i="10"/>
  <c r="Q174" i="10"/>
  <c r="Q64" i="10"/>
  <c r="Q68" i="10"/>
  <c r="Q71" i="10"/>
  <c r="Q176" i="10"/>
  <c r="Q175" i="10"/>
  <c r="Q114" i="10"/>
  <c r="Q97" i="10"/>
  <c r="Q66" i="10"/>
  <c r="Q153" i="10"/>
  <c r="Q61" i="10"/>
  <c r="Q36" i="10"/>
  <c r="Q177" i="10"/>
  <c r="Q166" i="10"/>
  <c r="Q139" i="10"/>
  <c r="Q101" i="10"/>
  <c r="Q105" i="10"/>
  <c r="Q60" i="10"/>
  <c r="Q35" i="10"/>
  <c r="Q126" i="10"/>
  <c r="Q93" i="10"/>
  <c r="Q122" i="10"/>
  <c r="Q48" i="10"/>
  <c r="Q199" i="10"/>
  <c r="Q155" i="10"/>
  <c r="Q125" i="10"/>
  <c r="Q47" i="10"/>
  <c r="Q56" i="10"/>
  <c r="Q191" i="10"/>
  <c r="Q187" i="10"/>
  <c r="Q134" i="10"/>
  <c r="Q127" i="10"/>
  <c r="Q128" i="10"/>
  <c r="Q43" i="10"/>
  <c r="Q53" i="10"/>
  <c r="Q183" i="10"/>
  <c r="Q162" i="10"/>
  <c r="Q123" i="10"/>
  <c r="Q50" i="10"/>
  <c r="Q49" i="10"/>
  <c r="Q45" i="10"/>
  <c r="U25" i="10"/>
  <c r="U23" i="10"/>
  <c r="U26" i="10"/>
  <c r="U38" i="10"/>
  <c r="U199" i="10"/>
  <c r="U183" i="10"/>
  <c r="U132" i="10"/>
  <c r="U120" i="10"/>
  <c r="U58" i="10"/>
  <c r="U163" i="10"/>
  <c r="U95" i="10"/>
  <c r="U114" i="10"/>
  <c r="U60" i="10"/>
  <c r="U53" i="10"/>
  <c r="U128" i="10"/>
  <c r="U127" i="10"/>
  <c r="U94" i="10"/>
  <c r="U59" i="10"/>
  <c r="U193" i="10"/>
  <c r="U125" i="10"/>
  <c r="U119" i="10"/>
  <c r="U28" i="10"/>
  <c r="U185" i="10"/>
  <c r="U188" i="10"/>
  <c r="U150" i="10"/>
  <c r="U138" i="10"/>
  <c r="U93" i="10"/>
  <c r="U71" i="10"/>
  <c r="U20" i="10"/>
  <c r="U48" i="10"/>
  <c r="U187" i="10"/>
  <c r="U177" i="10"/>
  <c r="U176" i="10"/>
  <c r="U126" i="10"/>
  <c r="U105" i="10"/>
  <c r="U64" i="10"/>
  <c r="U123" i="10"/>
  <c r="U200" i="10"/>
  <c r="U162" i="10"/>
  <c r="U153" i="10"/>
  <c r="U170" i="10"/>
  <c r="U139" i="10"/>
  <c r="U99" i="10"/>
  <c r="U50" i="10"/>
  <c r="U39" i="10"/>
  <c r="U166" i="10"/>
  <c r="U56" i="10"/>
  <c r="U101" i="10"/>
  <c r="U165" i="10"/>
  <c r="U122" i="10"/>
  <c r="U104" i="10"/>
  <c r="U147" i="10"/>
  <c r="U68" i="10"/>
  <c r="U155" i="10"/>
  <c r="U103" i="10"/>
  <c r="U66" i="10"/>
  <c r="U61" i="10"/>
  <c r="U43" i="10"/>
  <c r="U198" i="10"/>
  <c r="U172" i="10"/>
  <c r="U96" i="10"/>
  <c r="U134" i="10"/>
  <c r="U90" i="10"/>
  <c r="U36" i="10"/>
  <c r="U195" i="10"/>
  <c r="U35" i="10"/>
  <c r="U152" i="10"/>
  <c r="U97" i="10"/>
  <c r="U57" i="10"/>
  <c r="U174" i="10"/>
  <c r="U191" i="10"/>
  <c r="U184" i="10"/>
  <c r="U73" i="10"/>
  <c r="U186" i="10"/>
  <c r="U129" i="10"/>
  <c r="U49" i="10"/>
  <c r="U180" i="10"/>
  <c r="U131" i="10"/>
  <c r="U45" i="10"/>
  <c r="U175" i="10"/>
  <c r="U72" i="10"/>
  <c r="S25" i="21"/>
  <c r="S26" i="21" s="1"/>
  <c r="AB11" i="15"/>
  <c r="AH7" i="11" s="1"/>
  <c r="J19" i="15"/>
  <c r="P11" i="11" s="1"/>
  <c r="R10" i="13"/>
  <c r="R3" i="9" s="1"/>
  <c r="V6" i="10" s="1"/>
  <c r="J64" i="21"/>
  <c r="R72" i="21"/>
  <c r="K64" i="21"/>
  <c r="J79" i="21"/>
  <c r="K63" i="21"/>
  <c r="J77" i="21"/>
  <c r="S73" i="21"/>
  <c r="J78" i="21"/>
  <c r="K77" i="21"/>
  <c r="J63" i="21"/>
  <c r="V81" i="21"/>
  <c r="V12" i="8" s="1"/>
  <c r="V13" i="8" s="1"/>
  <c r="AB64" i="21"/>
  <c r="K79" i="21"/>
  <c r="J72" i="21"/>
  <c r="K61" i="21"/>
  <c r="J61" i="21"/>
  <c r="K60" i="21"/>
  <c r="K71" i="21"/>
  <c r="K76" i="21"/>
  <c r="J60" i="21"/>
  <c r="J62" i="21"/>
  <c r="J76" i="21"/>
  <c r="Q35" i="21"/>
  <c r="Q36" i="21" s="1"/>
  <c r="K62" i="21"/>
  <c r="K78" i="21"/>
  <c r="AR219" i="22"/>
  <c r="AR217" i="22"/>
  <c r="AR215" i="22"/>
  <c r="AR211" i="22"/>
  <c r="AR209" i="22"/>
  <c r="AR207" i="22"/>
  <c r="AR205" i="22"/>
  <c r="AR203" i="22"/>
  <c r="AR199" i="22"/>
  <c r="AR223" i="22"/>
  <c r="AR227" i="22"/>
  <c r="AN80" i="21" s="1"/>
  <c r="AR220" i="22"/>
  <c r="AR218" i="22"/>
  <c r="AR216" i="22"/>
  <c r="AR212" i="22"/>
  <c r="AR210" i="22"/>
  <c r="AR208" i="22"/>
  <c r="AR224" i="22"/>
  <c r="AR194" i="22"/>
  <c r="AR192" i="22"/>
  <c r="AR190" i="22"/>
  <c r="AR204" i="22"/>
  <c r="AR196" i="22"/>
  <c r="AR206" i="22"/>
  <c r="AR198" i="22"/>
  <c r="AR183" i="22"/>
  <c r="AR181" i="22"/>
  <c r="AR179" i="22"/>
  <c r="AR188" i="22"/>
  <c r="AR187" i="22"/>
  <c r="AR197" i="22"/>
  <c r="AR193" i="22"/>
  <c r="AR189" i="22"/>
  <c r="AR195" i="22"/>
  <c r="AR191" i="22"/>
  <c r="AR173" i="22"/>
  <c r="AR171" i="22"/>
  <c r="AR178" i="22"/>
  <c r="AR168" i="22"/>
  <c r="AR166" i="22"/>
  <c r="AR164" i="22"/>
  <c r="AR162" i="22"/>
  <c r="AR186" i="22"/>
  <c r="AR180" i="22"/>
  <c r="AR170" i="22"/>
  <c r="AR177" i="22"/>
  <c r="AR200" i="22"/>
  <c r="AR185" i="22"/>
  <c r="AR184" i="22"/>
  <c r="AR163" i="22"/>
  <c r="AR175" i="22"/>
  <c r="AR154" i="22"/>
  <c r="AR158" i="22"/>
  <c r="AR174" i="22"/>
  <c r="AR172" i="22"/>
  <c r="AR167" i="22"/>
  <c r="AR182" i="22"/>
  <c r="AR151" i="22"/>
  <c r="AR144" i="22"/>
  <c r="AR161" i="22"/>
  <c r="AR136" i="22"/>
  <c r="AR169" i="22"/>
  <c r="AR135" i="22"/>
  <c r="AR165" i="22"/>
  <c r="AR138" i="22"/>
  <c r="AR147" i="22"/>
  <c r="AN65" i="21" s="1"/>
  <c r="AR176" i="22"/>
  <c r="AR139" i="22"/>
  <c r="AR153" i="22"/>
  <c r="AR125" i="22"/>
  <c r="AR123" i="22"/>
  <c r="AR152" i="22"/>
  <c r="AR122" i="22"/>
  <c r="AR121" i="22"/>
  <c r="AR120" i="22"/>
  <c r="AR119" i="22"/>
  <c r="AR130" i="22"/>
  <c r="AR113" i="22"/>
  <c r="AR111" i="22"/>
  <c r="AR107" i="22"/>
  <c r="AR105" i="22"/>
  <c r="AR103" i="22"/>
  <c r="AR134" i="22"/>
  <c r="AR133" i="22"/>
  <c r="AR129" i="22"/>
  <c r="AR128" i="22"/>
  <c r="AR124" i="22"/>
  <c r="AR118" i="22"/>
  <c r="AR117" i="22"/>
  <c r="AR142" i="22"/>
  <c r="AR116" i="22"/>
  <c r="AR115" i="22"/>
  <c r="AR143" i="22"/>
  <c r="AR127" i="22"/>
  <c r="AR150" i="22"/>
  <c r="AR137" i="22"/>
  <c r="AR98" i="22"/>
  <c r="AR101" i="22"/>
  <c r="AR102" i="22"/>
  <c r="AR97" i="22"/>
  <c r="AR126" i="22"/>
  <c r="AR93" i="22"/>
  <c r="AR106" i="22"/>
  <c r="AR114" i="22"/>
  <c r="AR112" i="22"/>
  <c r="AR86" i="22"/>
  <c r="AR90" i="22"/>
  <c r="AR87" i="22"/>
  <c r="AR79" i="22"/>
  <c r="AR104" i="22"/>
  <c r="AR75" i="22"/>
  <c r="AR91" i="22"/>
  <c r="AR88" i="22"/>
  <c r="AR157" i="22"/>
  <c r="AR78" i="22"/>
  <c r="AR83" i="22"/>
  <c r="AR100" i="22"/>
  <c r="AR89" i="22"/>
  <c r="AR108" i="22"/>
  <c r="AR82" i="22"/>
  <c r="AR81" i="22"/>
  <c r="AR94" i="22"/>
  <c r="AR84" i="22"/>
  <c r="AR99" i="22"/>
  <c r="AR92" i="22"/>
  <c r="AR96" i="22"/>
  <c r="AR62" i="22"/>
  <c r="AR61" i="22"/>
  <c r="AR77" i="22"/>
  <c r="AR60" i="22"/>
  <c r="AR59" i="22"/>
  <c r="AR58" i="22"/>
  <c r="AR95" i="22"/>
  <c r="AR85" i="22"/>
  <c r="AR70" i="22"/>
  <c r="AR69" i="22"/>
  <c r="AR72" i="22"/>
  <c r="AR68" i="22"/>
  <c r="AR67" i="22"/>
  <c r="AR57" i="22"/>
  <c r="AR80" i="22"/>
  <c r="AR46" i="22"/>
  <c r="AR38" i="22"/>
  <c r="AR36" i="22"/>
  <c r="AR54" i="22"/>
  <c r="AR41" i="22"/>
  <c r="AR50" i="22"/>
  <c r="AR55" i="22"/>
  <c r="AR47" i="22"/>
  <c r="AR44" i="22"/>
  <c r="AR40" i="22"/>
  <c r="AR64" i="22"/>
  <c r="AR49" i="22"/>
  <c r="AR43" i="22"/>
  <c r="AR37" i="22"/>
  <c r="AR35" i="22"/>
  <c r="AR66" i="22"/>
  <c r="AR45" i="22"/>
  <c r="AR56" i="22"/>
  <c r="AR39" i="22"/>
  <c r="AR71" i="22"/>
  <c r="AR53" i="22"/>
  <c r="AR76" i="22"/>
  <c r="AR65" i="22"/>
  <c r="AR52" i="22"/>
  <c r="AR48" i="22"/>
  <c r="AR20" i="22"/>
  <c r="AR17" i="22"/>
  <c r="AR14" i="22"/>
  <c r="AR12" i="22"/>
  <c r="AR10" i="22"/>
  <c r="AR33" i="22"/>
  <c r="AR30" i="22"/>
  <c r="AR24" i="22"/>
  <c r="AR31" i="22"/>
  <c r="AR21" i="22"/>
  <c r="AR18" i="22"/>
  <c r="AR16" i="22"/>
  <c r="AR29" i="22"/>
  <c r="AR23" i="22"/>
  <c r="AR51" i="22"/>
  <c r="AR42" i="22"/>
  <c r="AR19" i="22"/>
  <c r="AR15" i="22"/>
  <c r="AR13" i="22"/>
  <c r="AR11" i="22"/>
  <c r="AR9" i="22"/>
  <c r="AR25" i="22"/>
  <c r="AR32" i="22"/>
  <c r="AR27" i="22"/>
  <c r="AR63" i="22"/>
  <c r="AR34" i="22"/>
  <c r="AR26" i="22"/>
  <c r="AR28" i="22"/>
  <c r="AR22" i="22"/>
  <c r="U28" i="21"/>
  <c r="U31" i="21" s="1"/>
  <c r="V25" i="21"/>
  <c r="V35" i="21" s="1"/>
  <c r="V36" i="21" s="1"/>
  <c r="AS223" i="22"/>
  <c r="AS227" i="22"/>
  <c r="AO80" i="21" s="1"/>
  <c r="AS220" i="22"/>
  <c r="AS218" i="22"/>
  <c r="AS216" i="22"/>
  <c r="AS212" i="22"/>
  <c r="AS210" i="22"/>
  <c r="AS224" i="22"/>
  <c r="AS219" i="22"/>
  <c r="AS203" i="22"/>
  <c r="AS209" i="22"/>
  <c r="AS204" i="22"/>
  <c r="AS196" i="22"/>
  <c r="AS215" i="22"/>
  <c r="AS205" i="22"/>
  <c r="AS206" i="22"/>
  <c r="AS217" i="22"/>
  <c r="AS207" i="22"/>
  <c r="AS211" i="22"/>
  <c r="AS208" i="22"/>
  <c r="AS198" i="22"/>
  <c r="AS190" i="22"/>
  <c r="AS183" i="22"/>
  <c r="AS181" i="22"/>
  <c r="AS179" i="22"/>
  <c r="AS177" i="22"/>
  <c r="AS175" i="22"/>
  <c r="AS173" i="22"/>
  <c r="AS188" i="22"/>
  <c r="AS187" i="22"/>
  <c r="AS197" i="22"/>
  <c r="AS193" i="22"/>
  <c r="AS189" i="22"/>
  <c r="AS195" i="22"/>
  <c r="AS186" i="22"/>
  <c r="AS185" i="22"/>
  <c r="AS191" i="22"/>
  <c r="AS192" i="22"/>
  <c r="AS194" i="22"/>
  <c r="AS171" i="22"/>
  <c r="AS199" i="22"/>
  <c r="AS178" i="22"/>
  <c r="AS168" i="22"/>
  <c r="AS166" i="22"/>
  <c r="AS164" i="22"/>
  <c r="AS162" i="22"/>
  <c r="AS158" i="22"/>
  <c r="AS176" i="22"/>
  <c r="AS170" i="22"/>
  <c r="AS154" i="22"/>
  <c r="AS152" i="22"/>
  <c r="AS150" i="22"/>
  <c r="AS144" i="22"/>
  <c r="AS142" i="22"/>
  <c r="AS184" i="22"/>
  <c r="AS174" i="22"/>
  <c r="AS172" i="22"/>
  <c r="AS167" i="22"/>
  <c r="AS169" i="22"/>
  <c r="AS161" i="22"/>
  <c r="AS133" i="22"/>
  <c r="AS129" i="22"/>
  <c r="AS127" i="22"/>
  <c r="AS125" i="22"/>
  <c r="AS123" i="22"/>
  <c r="AS121" i="22"/>
  <c r="AS119" i="22"/>
  <c r="AS117" i="22"/>
  <c r="AS115" i="22"/>
  <c r="AS200" i="22"/>
  <c r="AS163" i="22"/>
  <c r="AS180" i="22"/>
  <c r="AS135" i="22"/>
  <c r="AS137" i="22"/>
  <c r="AS143" i="22"/>
  <c r="AS134" i="22"/>
  <c r="AS130" i="22"/>
  <c r="AS139" i="22"/>
  <c r="AS153" i="22"/>
  <c r="AS151" i="22"/>
  <c r="AS165" i="22"/>
  <c r="AS122" i="22"/>
  <c r="AS120" i="22"/>
  <c r="AS113" i="22"/>
  <c r="AS111" i="22"/>
  <c r="AS107" i="22"/>
  <c r="AS105" i="22"/>
  <c r="AS128" i="22"/>
  <c r="AS124" i="22"/>
  <c r="AS118" i="22"/>
  <c r="AS182" i="22"/>
  <c r="AS116" i="22"/>
  <c r="AS138" i="22"/>
  <c r="AS147" i="22"/>
  <c r="AO65" i="21" s="1"/>
  <c r="AS126" i="22"/>
  <c r="AS157" i="22"/>
  <c r="AS102" i="22"/>
  <c r="AS97" i="22"/>
  <c r="AS136" i="22"/>
  <c r="AS103" i="22"/>
  <c r="AS93" i="22"/>
  <c r="AS91" i="22"/>
  <c r="AS89" i="22"/>
  <c r="AS106" i="22"/>
  <c r="AS100" i="22"/>
  <c r="AS114" i="22"/>
  <c r="AS108" i="22"/>
  <c r="AS96" i="22"/>
  <c r="AS104" i="22"/>
  <c r="AS99" i="22"/>
  <c r="AS95" i="22"/>
  <c r="AS90" i="22"/>
  <c r="AS87" i="22"/>
  <c r="AS79" i="22"/>
  <c r="AS98" i="22"/>
  <c r="AS88" i="22"/>
  <c r="AS78" i="22"/>
  <c r="AS101" i="22"/>
  <c r="AS112" i="22"/>
  <c r="AS83" i="22"/>
  <c r="AS82" i="22"/>
  <c r="AS81" i="22"/>
  <c r="AS77" i="22"/>
  <c r="AS94" i="22"/>
  <c r="AS84" i="22"/>
  <c r="AS85" i="22"/>
  <c r="AS92" i="22"/>
  <c r="AS60" i="22"/>
  <c r="AS59" i="22"/>
  <c r="AS56" i="22"/>
  <c r="AS54" i="22"/>
  <c r="AS52" i="22"/>
  <c r="AS50" i="22"/>
  <c r="AS48" i="22"/>
  <c r="AS46" i="22"/>
  <c r="AS44" i="22"/>
  <c r="AS42" i="22"/>
  <c r="AS40" i="22"/>
  <c r="AS86" i="22"/>
  <c r="AS58" i="22"/>
  <c r="AS70" i="22"/>
  <c r="AS69" i="22"/>
  <c r="AS72" i="22"/>
  <c r="AS68" i="22"/>
  <c r="AS67" i="22"/>
  <c r="AS57" i="22"/>
  <c r="AS55" i="22"/>
  <c r="AS53" i="22"/>
  <c r="AS51" i="22"/>
  <c r="AS71" i="22"/>
  <c r="AS66" i="22"/>
  <c r="AS65" i="22"/>
  <c r="AS76" i="22"/>
  <c r="AS64" i="22"/>
  <c r="AS63" i="22"/>
  <c r="AS62" i="22"/>
  <c r="AS61" i="22"/>
  <c r="AS41" i="22"/>
  <c r="AS80" i="22"/>
  <c r="AS75" i="22"/>
  <c r="AS47" i="22"/>
  <c r="AS49" i="22"/>
  <c r="AS43" i="22"/>
  <c r="AS37" i="22"/>
  <c r="AS35" i="22"/>
  <c r="AS33" i="22"/>
  <c r="AS31" i="22"/>
  <c r="AS29" i="22"/>
  <c r="AS27" i="22"/>
  <c r="AS25" i="22"/>
  <c r="AS23" i="22"/>
  <c r="AS45" i="22"/>
  <c r="AS39" i="22"/>
  <c r="AS38" i="22"/>
  <c r="AS36" i="22"/>
  <c r="AS34" i="22"/>
  <c r="AS32" i="22"/>
  <c r="AS30" i="22"/>
  <c r="AS24" i="22"/>
  <c r="AS16" i="22"/>
  <c r="AS21" i="22"/>
  <c r="AS18" i="22"/>
  <c r="AS26" i="22"/>
  <c r="AS19" i="22"/>
  <c r="AS15" i="22"/>
  <c r="AS13" i="22"/>
  <c r="AS11" i="22"/>
  <c r="AS9" i="22"/>
  <c r="AS28" i="22"/>
  <c r="AS22" i="22"/>
  <c r="AS20" i="22"/>
  <c r="AS10" i="22"/>
  <c r="AS14" i="22"/>
  <c r="AS17" i="22"/>
  <c r="AS12" i="22"/>
  <c r="Q28" i="21"/>
  <c r="Q31" i="21" s="1"/>
  <c r="AB17" i="15"/>
  <c r="AH10" i="11" s="1"/>
  <c r="AB13" i="15"/>
  <c r="AH8" i="11" s="1"/>
  <c r="K10" i="13"/>
  <c r="K11" i="15"/>
  <c r="Q7" i="11" s="1"/>
  <c r="K17" i="15"/>
  <c r="Q10" i="11" s="1"/>
  <c r="K13" i="15"/>
  <c r="Q8" i="11" s="1"/>
  <c r="K15" i="15"/>
  <c r="Q9" i="11" s="1"/>
  <c r="K19" i="15"/>
  <c r="Q11" i="11" s="1"/>
  <c r="K9" i="15"/>
  <c r="Q6" i="11" s="1"/>
  <c r="K29" i="15"/>
  <c r="K37" i="15" s="1"/>
  <c r="K38" i="15" s="1"/>
  <c r="K39" i="15" s="1"/>
  <c r="K7" i="15"/>
  <c r="Q5" i="11" s="1"/>
  <c r="AA31" i="15"/>
  <c r="AB31" i="15"/>
  <c r="AB32" i="15" s="1"/>
  <c r="AB33" i="15" s="1"/>
  <c r="AB34" i="15" s="1"/>
  <c r="AO5" i="15"/>
  <c r="AO9" i="15" s="1"/>
  <c r="AU6" i="11" s="1"/>
  <c r="AB9" i="15"/>
  <c r="AH6" i="11" s="1"/>
  <c r="AA11" i="15"/>
  <c r="AG7" i="11" s="1"/>
  <c r="AB7" i="15"/>
  <c r="AH5" i="11" s="1"/>
  <c r="AA9" i="15"/>
  <c r="AG6" i="11" s="1"/>
  <c r="AA7" i="15"/>
  <c r="AG5" i="11" s="1"/>
  <c r="U3" i="9"/>
  <c r="Y6" i="10" s="1"/>
  <c r="U3" i="8"/>
  <c r="AA29" i="15"/>
  <c r="AA37" i="15" s="1"/>
  <c r="AA38" i="15" s="1"/>
  <c r="AA39" i="15" s="1"/>
  <c r="AA40" i="15" s="1"/>
  <c r="AB15" i="15"/>
  <c r="AH9" i="11" s="1"/>
  <c r="R15" i="15"/>
  <c r="X9" i="11" s="1"/>
  <c r="AA10" i="13"/>
  <c r="J10" i="13"/>
  <c r="J31" i="15"/>
  <c r="AB29" i="15"/>
  <c r="AB37" i="15" s="1"/>
  <c r="AB38" i="15" s="1"/>
  <c r="AB39" i="15" s="1"/>
  <c r="AB40" i="15" s="1"/>
  <c r="R17" i="15"/>
  <c r="X10" i="11" s="1"/>
  <c r="U25" i="15"/>
  <c r="J17" i="15"/>
  <c r="P10" i="11" s="1"/>
  <c r="AE3" i="8"/>
  <c r="AE3" i="9"/>
  <c r="AI6" i="10" s="1"/>
  <c r="AN244" i="7"/>
  <c r="R79" i="21"/>
  <c r="R77" i="21"/>
  <c r="R71" i="21"/>
  <c r="R17" i="17"/>
  <c r="Q73" i="21"/>
  <c r="AN141" i="7"/>
  <c r="AP266" i="7"/>
  <c r="AP281" i="7" s="1"/>
  <c r="AN138" i="7"/>
  <c r="AN137" i="7"/>
  <c r="R41" i="9"/>
  <c r="R42" i="9" s="1"/>
  <c r="R50" i="9" s="1"/>
  <c r="AB79" i="21"/>
  <c r="U73" i="21"/>
  <c r="R63" i="21"/>
  <c r="Q81" i="21"/>
  <c r="Q12" i="8" s="1"/>
  <c r="Q13" i="8" s="1"/>
  <c r="R78" i="21"/>
  <c r="R15" i="17"/>
  <c r="R27" i="13" s="1"/>
  <c r="AP39" i="7"/>
  <c r="AP40" i="7" s="1"/>
  <c r="AP360" i="7"/>
  <c r="AP375" i="7" s="1"/>
  <c r="AP163" i="7"/>
  <c r="AP178" i="7" s="1"/>
  <c r="AP170" i="7"/>
  <c r="AP185" i="7" s="1"/>
  <c r="AP160" i="7"/>
  <c r="AP175" i="7" s="1"/>
  <c r="AP22" i="7"/>
  <c r="AP165" i="7"/>
  <c r="AP180" i="7" s="1"/>
  <c r="AP166" i="7"/>
  <c r="AP181" i="7" s="1"/>
  <c r="AP21" i="7"/>
  <c r="AP108" i="7"/>
  <c r="AP111" i="7" s="1"/>
  <c r="AP168" i="7"/>
  <c r="AP183" i="7" s="1"/>
  <c r="AP30" i="7"/>
  <c r="AP52" i="7" s="1"/>
  <c r="AP162" i="7"/>
  <c r="AP177" i="7" s="1"/>
  <c r="AP159" i="7"/>
  <c r="AP174" i="7" s="1"/>
  <c r="AP164" i="7"/>
  <c r="AP179" i="7" s="1"/>
  <c r="AP25" i="7"/>
  <c r="AP26" i="7" s="1"/>
  <c r="AP161" i="7"/>
  <c r="AP176" i="7" s="1"/>
  <c r="AP35" i="7"/>
  <c r="AP171" i="7"/>
  <c r="AP186" i="7" s="1"/>
  <c r="AP167" i="7"/>
  <c r="AP182" i="7" s="1"/>
  <c r="V73" i="21"/>
  <c r="R61" i="21"/>
  <c r="R76" i="21"/>
  <c r="R64" i="21"/>
  <c r="R62" i="21"/>
  <c r="R60" i="21"/>
  <c r="V17" i="9"/>
  <c r="V18" i="9" s="1"/>
  <c r="Z2" i="10" s="1"/>
  <c r="V22" i="9"/>
  <c r="V23" i="9" s="1"/>
  <c r="Z3" i="10" s="1"/>
  <c r="V11" i="9"/>
  <c r="V12" i="9" s="1"/>
  <c r="AP362" i="7"/>
  <c r="AP377" i="7" s="1"/>
  <c r="V41" i="9"/>
  <c r="V42" i="9" s="1"/>
  <c r="V50" i="9" s="1"/>
  <c r="V38" i="9"/>
  <c r="V39" i="9" s="1"/>
  <c r="U66" i="21"/>
  <c r="U68" i="21" s="1"/>
  <c r="V44" i="9"/>
  <c r="V45" i="9" s="1"/>
  <c r="V55" i="9" s="1"/>
  <c r="AP298" i="7"/>
  <c r="AP302" i="7" s="1"/>
  <c r="V33" i="9"/>
  <c r="V34" i="9" s="1"/>
  <c r="Z5" i="10" s="1"/>
  <c r="AP359" i="7"/>
  <c r="AP374" i="7" s="1"/>
  <c r="V27" i="9"/>
  <c r="V28" i="9" s="1"/>
  <c r="Z4" i="10" s="1"/>
  <c r="AP355" i="7"/>
  <c r="AP370" i="7" s="1"/>
  <c r="V36" i="9"/>
  <c r="Z7" i="10" s="1"/>
  <c r="AP354" i="7"/>
  <c r="AP369" i="7" s="1"/>
  <c r="AP98" i="7"/>
  <c r="I196" i="14"/>
  <c r="I197" i="14" s="1"/>
  <c r="AB78" i="21"/>
  <c r="U81" i="21"/>
  <c r="U12" i="8" s="1"/>
  <c r="U13" i="8" s="1"/>
  <c r="AP352" i="7"/>
  <c r="AP367" i="7" s="1"/>
  <c r="F61" i="14"/>
  <c r="F64" i="14" s="1"/>
  <c r="AN41" i="7"/>
  <c r="AN99" i="7" s="1"/>
  <c r="AN67" i="14" s="1"/>
  <c r="AN68" i="14" s="1"/>
  <c r="AN69" i="14" s="1"/>
  <c r="S66" i="21"/>
  <c r="S68" i="21" s="1"/>
  <c r="AB71" i="21"/>
  <c r="AQ74" i="7"/>
  <c r="AQ89" i="7" s="1"/>
  <c r="AA196" i="14"/>
  <c r="AA197" i="14" s="1"/>
  <c r="AA199" i="14" s="1"/>
  <c r="AA202" i="14" s="1"/>
  <c r="AA206" i="14" s="1"/>
  <c r="Q199" i="14"/>
  <c r="Q202" i="14" s="1"/>
  <c r="Q206" i="14" s="1"/>
  <c r="Q208" i="14" s="1"/>
  <c r="Q210" i="14" s="1"/>
  <c r="Q211" i="14" s="1"/>
  <c r="Q213" i="14" s="1"/>
  <c r="Q215" i="14" s="1"/>
  <c r="K62" i="14"/>
  <c r="K63" i="14" s="1"/>
  <c r="K61" i="14"/>
  <c r="AI61" i="14"/>
  <c r="AI64" i="14" s="1"/>
  <c r="AI65" i="14" s="1"/>
  <c r="AB76" i="21"/>
  <c r="AB61" i="21"/>
  <c r="AB62" i="21"/>
  <c r="AB60" i="21"/>
  <c r="AB63" i="21"/>
  <c r="AB77" i="21"/>
  <c r="AS12" i="14"/>
  <c r="AN58" i="14"/>
  <c r="AN59" i="14" s="1"/>
  <c r="AN60" i="14" s="1"/>
  <c r="AN62" i="14" s="1"/>
  <c r="AN63" i="14" s="1"/>
  <c r="R61" i="14"/>
  <c r="R64" i="14" s="1"/>
  <c r="AA61" i="14"/>
  <c r="AA64" i="14" s="1"/>
  <c r="AA65" i="14" s="1"/>
  <c r="AO58" i="14"/>
  <c r="AO59" i="14" s="1"/>
  <c r="AO60" i="14" s="1"/>
  <c r="AO62" i="14" s="1"/>
  <c r="AO63" i="14" s="1"/>
  <c r="Z196" i="14"/>
  <c r="Z197" i="14" s="1"/>
  <c r="I64" i="14"/>
  <c r="I65" i="14" s="1"/>
  <c r="J61" i="14"/>
  <c r="J64" i="14" s="1"/>
  <c r="J65" i="14" s="1"/>
  <c r="T60" i="14"/>
  <c r="T62" i="14" s="1"/>
  <c r="T63" i="14" s="1"/>
  <c r="X61" i="14"/>
  <c r="X64" i="14" s="1"/>
  <c r="X65" i="14" s="1"/>
  <c r="AB61" i="14"/>
  <c r="AB64" i="14" s="1"/>
  <c r="AB65" i="14" s="1"/>
  <c r="E60" i="14"/>
  <c r="E62" i="14" s="1"/>
  <c r="E63" i="14" s="1"/>
  <c r="L196" i="14"/>
  <c r="L197" i="14" s="1"/>
  <c r="U199" i="14"/>
  <c r="U202" i="14" s="1"/>
  <c r="U206" i="14" s="1"/>
  <c r="U208" i="14" s="1"/>
  <c r="O196" i="14"/>
  <c r="O197" i="14" s="1"/>
  <c r="O201" i="14" s="1"/>
  <c r="O205" i="14" s="1"/>
  <c r="F26" i="21"/>
  <c r="S81" i="21"/>
  <c r="S12" i="8" s="1"/>
  <c r="S13" i="8" s="1"/>
  <c r="Q66" i="21"/>
  <c r="Q68" i="21" s="1"/>
  <c r="G196" i="14"/>
  <c r="G197" i="14" s="1"/>
  <c r="G201" i="14" s="1"/>
  <c r="G205" i="14" s="1"/>
  <c r="E196" i="14"/>
  <c r="E197" i="14" s="1"/>
  <c r="AO199" i="14"/>
  <c r="AO202" i="14" s="1"/>
  <c r="AO206" i="14" s="1"/>
  <c r="AO208" i="14" s="1"/>
  <c r="N215" i="14"/>
  <c r="Y201" i="14"/>
  <c r="Y205" i="14" s="1"/>
  <c r="H196" i="14"/>
  <c r="H197" i="14" s="1"/>
  <c r="H201" i="14" s="1"/>
  <c r="H205" i="14" s="1"/>
  <c r="AM199" i="14"/>
  <c r="AM202" i="14" s="1"/>
  <c r="AM206" i="14" s="1"/>
  <c r="AM201" i="14"/>
  <c r="AM205" i="14" s="1"/>
  <c r="V196" i="14"/>
  <c r="V197" i="14" s="1"/>
  <c r="V201" i="14" s="1"/>
  <c r="V205" i="14" s="1"/>
  <c r="J196" i="14"/>
  <c r="J197" i="14" s="1"/>
  <c r="J199" i="14" s="1"/>
  <c r="J202" i="14" s="1"/>
  <c r="J206" i="14" s="1"/>
  <c r="AE201" i="14"/>
  <c r="AE205" i="14" s="1"/>
  <c r="W193" i="14"/>
  <c r="W194" i="14"/>
  <c r="W195" i="14" s="1"/>
  <c r="S196" i="14"/>
  <c r="S197" i="14" s="1"/>
  <c r="M196" i="14"/>
  <c r="M197" i="14" s="1"/>
  <c r="Y199" i="14"/>
  <c r="Y202" i="14" s="1"/>
  <c r="Y206" i="14" s="1"/>
  <c r="AK208" i="14"/>
  <c r="AD196" i="14"/>
  <c r="AD197" i="14" s="1"/>
  <c r="AB194" i="14"/>
  <c r="AB195" i="14" s="1"/>
  <c r="AB193" i="14"/>
  <c r="R196" i="14"/>
  <c r="R197" i="14" s="1"/>
  <c r="AB3" i="9"/>
  <c r="AE199" i="14"/>
  <c r="AE202" i="14" s="1"/>
  <c r="AE206" i="14" s="1"/>
  <c r="AI196" i="14"/>
  <c r="AI197" i="14" s="1"/>
  <c r="AI201" i="14" s="1"/>
  <c r="AI205" i="14" s="1"/>
  <c r="K196" i="14"/>
  <c r="K197" i="14" s="1"/>
  <c r="V66" i="21"/>
  <c r="V68" i="21" s="1"/>
  <c r="BG201" i="14"/>
  <c r="BG205" i="14" s="1"/>
  <c r="BG199" i="14"/>
  <c r="BG202" i="14" s="1"/>
  <c r="BG206" i="14" s="1"/>
  <c r="P201" i="14"/>
  <c r="P205" i="14" s="1"/>
  <c r="P199" i="14"/>
  <c r="P202" i="14" s="1"/>
  <c r="P206" i="14" s="1"/>
  <c r="AH199" i="14"/>
  <c r="AH202" i="14" s="1"/>
  <c r="AH206" i="14" s="1"/>
  <c r="AH201" i="14"/>
  <c r="AH205" i="14" s="1"/>
  <c r="T196" i="14"/>
  <c r="T197" i="14" s="1"/>
  <c r="AG196" i="14"/>
  <c r="AG197" i="14" s="1"/>
  <c r="AL199" i="14"/>
  <c r="AL202" i="14" s="1"/>
  <c r="AL206" i="14" s="1"/>
  <c r="AL201" i="14"/>
  <c r="AL205" i="14" s="1"/>
  <c r="X194" i="14"/>
  <c r="X195" i="14" s="1"/>
  <c r="X193" i="14"/>
  <c r="AC199" i="14"/>
  <c r="AC202" i="14" s="1"/>
  <c r="AC206" i="14" s="1"/>
  <c r="AC201" i="14"/>
  <c r="AC205" i="14" s="1"/>
  <c r="AN196" i="14"/>
  <c r="AN197" i="14" s="1"/>
  <c r="Z25" i="21"/>
  <c r="Z35" i="21" s="1"/>
  <c r="Z36" i="21" s="1"/>
  <c r="AE25" i="21"/>
  <c r="AE35" i="21" s="1"/>
  <c r="X31" i="21"/>
  <c r="T40" i="15"/>
  <c r="AR176" i="14"/>
  <c r="AR179" i="14" s="1"/>
  <c r="AR181" i="14" s="1"/>
  <c r="AR178" i="14"/>
  <c r="AR177" i="14"/>
  <c r="T79" i="21"/>
  <c r="AR10" i="14"/>
  <c r="T61" i="21"/>
  <c r="T76" i="21"/>
  <c r="T77" i="21"/>
  <c r="T60" i="21"/>
  <c r="T78" i="21"/>
  <c r="T64" i="21"/>
  <c r="T72" i="21"/>
  <c r="T62" i="21"/>
  <c r="T71" i="21"/>
  <c r="T63" i="21"/>
  <c r="Y73" i="21"/>
  <c r="H73" i="21"/>
  <c r="T25" i="15"/>
  <c r="T26" i="15"/>
  <c r="T11" i="21"/>
  <c r="T34" i="21"/>
  <c r="T17" i="21"/>
  <c r="T14" i="21"/>
  <c r="T17" i="17"/>
  <c r="T14" i="17"/>
  <c r="T28" i="13" s="1"/>
  <c r="AS169" i="14"/>
  <c r="AS11" i="14"/>
  <c r="AR174" i="14"/>
  <c r="T3" i="9"/>
  <c r="X6" i="10" s="1"/>
  <c r="T3" i="8"/>
  <c r="X73" i="21"/>
  <c r="AE6" i="22" s="1"/>
  <c r="AE7" i="22" s="1"/>
  <c r="G73" i="21"/>
  <c r="AE73" i="21"/>
  <c r="AP14" i="14"/>
  <c r="AP25" i="14" s="1"/>
  <c r="AP171" i="14"/>
  <c r="AP184" i="14" s="1"/>
  <c r="AQ14" i="14"/>
  <c r="AQ25" i="14" s="1"/>
  <c r="AQ171" i="14"/>
  <c r="AQ184" i="14" s="1"/>
  <c r="AE81" i="21"/>
  <c r="AE12" i="8" s="1"/>
  <c r="AE13" i="8" s="1"/>
  <c r="AE66" i="21"/>
  <c r="AE68" i="21" s="1"/>
  <c r="Z66" i="21"/>
  <c r="Z68" i="21" s="1"/>
  <c r="AP363" i="7"/>
  <c r="AP378" i="7" s="1"/>
  <c r="AQ76" i="7"/>
  <c r="AQ91" i="7" s="1"/>
  <c r="AR13" i="7"/>
  <c r="AR14" i="7" s="1"/>
  <c r="AR15" i="7" s="1"/>
  <c r="AQ80" i="7"/>
  <c r="AQ95" i="7" s="1"/>
  <c r="AP361" i="7"/>
  <c r="AP376" i="7" s="1"/>
  <c r="AP351" i="7"/>
  <c r="AP366" i="7" s="1"/>
  <c r="AP357" i="7"/>
  <c r="AP372" i="7" s="1"/>
  <c r="AP353" i="7"/>
  <c r="AP368" i="7" s="1"/>
  <c r="AP358" i="7"/>
  <c r="AP373" i="7" s="1"/>
  <c r="AS8" i="14"/>
  <c r="AS5" i="14"/>
  <c r="AS172" i="14" s="1"/>
  <c r="AS7" i="14"/>
  <c r="AS174" i="14" s="1"/>
  <c r="AS9" i="14"/>
  <c r="AS6" i="14"/>
  <c r="AS173" i="14" s="1"/>
  <c r="AR17" i="14"/>
  <c r="AR16" i="14"/>
  <c r="AR18" i="14" s="1"/>
  <c r="AR19" i="14" s="1"/>
  <c r="AR21" i="14" s="1"/>
  <c r="G81" i="21"/>
  <c r="G12" i="8" s="1"/>
  <c r="G13" i="8" s="1"/>
  <c r="AQ77" i="7"/>
  <c r="AQ92" i="7" s="1"/>
  <c r="AQ79" i="7"/>
  <c r="AQ94" i="7" s="1"/>
  <c r="AQ78" i="7"/>
  <c r="AQ93" i="7" s="1"/>
  <c r="AQ103" i="7"/>
  <c r="AQ106" i="7" s="1"/>
  <c r="AQ171" i="7" s="1"/>
  <c r="AQ186" i="7" s="1"/>
  <c r="AQ81" i="7"/>
  <c r="AQ96" i="7" s="1"/>
  <c r="AQ70" i="7"/>
  <c r="AQ85" i="7" s="1"/>
  <c r="AQ17" i="7"/>
  <c r="AQ72" i="7"/>
  <c r="AQ87" i="7" s="1"/>
  <c r="AQ75" i="7"/>
  <c r="AQ90" i="7" s="1"/>
  <c r="AQ73" i="7"/>
  <c r="AQ88" i="7" s="1"/>
  <c r="AQ71" i="7"/>
  <c r="AQ86" i="7" s="1"/>
  <c r="AQ201" i="7"/>
  <c r="AQ202" i="7" s="1"/>
  <c r="AQ295" i="7"/>
  <c r="AQ296" i="7" s="1"/>
  <c r="AQ354" i="7" s="1"/>
  <c r="AQ369" i="7" s="1"/>
  <c r="AN146" i="7"/>
  <c r="AN156" i="7"/>
  <c r="AN142" i="7"/>
  <c r="AN133" i="7"/>
  <c r="AN151" i="7"/>
  <c r="AN145" i="7"/>
  <c r="AN139" i="7"/>
  <c r="AN234" i="7"/>
  <c r="AN140" i="7"/>
  <c r="AN148" i="7"/>
  <c r="AN149" i="7"/>
  <c r="AN144" i="7"/>
  <c r="AN152" i="7"/>
  <c r="AN143" i="7"/>
  <c r="AN125" i="7"/>
  <c r="AN192" i="7" s="1"/>
  <c r="AN155" i="7"/>
  <c r="AN134" i="7"/>
  <c r="AQ49" i="14"/>
  <c r="AQ50" i="14" s="1"/>
  <c r="AN150" i="7"/>
  <c r="AN154" i="7"/>
  <c r="AN245" i="7"/>
  <c r="AN230" i="7"/>
  <c r="AN240" i="7"/>
  <c r="AN249" i="7"/>
  <c r="AN250" i="7"/>
  <c r="AN218" i="7"/>
  <c r="AN232" i="7"/>
  <c r="AN254" i="7"/>
  <c r="AN253" i="7"/>
  <c r="AN243" i="7"/>
  <c r="AN235" i="7"/>
  <c r="AN237" i="7"/>
  <c r="AN246" i="7"/>
  <c r="AN252" i="7"/>
  <c r="AN238" i="7"/>
  <c r="AN248" i="7"/>
  <c r="AN241" i="7"/>
  <c r="AN251" i="7"/>
  <c r="AN242" i="7"/>
  <c r="AN233" i="7"/>
  <c r="Z28" i="21"/>
  <c r="Z31" i="21" s="1"/>
  <c r="G25" i="21"/>
  <c r="G35" i="21" s="1"/>
  <c r="G36" i="21" s="1"/>
  <c r="AP66" i="7"/>
  <c r="G31" i="21"/>
  <c r="K88" i="14"/>
  <c r="J89" i="14"/>
  <c r="AR47" i="14"/>
  <c r="AQ44" i="14"/>
  <c r="AQ19" i="13" s="1"/>
  <c r="AP226" i="7"/>
  <c r="AP209" i="7"/>
  <c r="AP208" i="7"/>
  <c r="AP222" i="7"/>
  <c r="AP212" i="7"/>
  <c r="AP213" i="7" s="1"/>
  <c r="AP217" i="7"/>
  <c r="AP256" i="7"/>
  <c r="AP271" i="7" s="1"/>
  <c r="AR42" i="14"/>
  <c r="AR36" i="14"/>
  <c r="AS9" i="7"/>
  <c r="AS12" i="7"/>
  <c r="AS10" i="7"/>
  <c r="AR48" i="14"/>
  <c r="AT3" i="17"/>
  <c r="AT5" i="17" s="1"/>
  <c r="AT3" i="7"/>
  <c r="AT3" i="14"/>
  <c r="H81" i="21"/>
  <c r="H12" i="8" s="1"/>
  <c r="H13" i="8" s="1"/>
  <c r="G66" i="21"/>
  <c r="G68" i="21" s="1"/>
  <c r="L73" i="21"/>
  <c r="H28" i="21"/>
  <c r="H31" i="21" s="1"/>
  <c r="Z73" i="21"/>
  <c r="Z81" i="21"/>
  <c r="Z12" i="8" s="1"/>
  <c r="Z13" i="8" s="1"/>
  <c r="E73" i="21"/>
  <c r="Y25" i="21"/>
  <c r="Y35" i="21" s="1"/>
  <c r="Y36" i="21" s="1"/>
  <c r="H66" i="21"/>
  <c r="H68" i="21" s="1"/>
  <c r="Y28" i="21"/>
  <c r="Y31" i="21" s="1"/>
  <c r="Y81" i="21"/>
  <c r="Y12" i="8" s="1"/>
  <c r="Y13" i="8" s="1"/>
  <c r="AA164" i="14"/>
  <c r="AG89" i="14"/>
  <c r="X66" i="21"/>
  <c r="X68" i="21" s="1"/>
  <c r="X69" i="21" s="1"/>
  <c r="Y69" i="21" s="1"/>
  <c r="X81" i="21"/>
  <c r="X12" i="8" s="1"/>
  <c r="X13" i="8" s="1"/>
  <c r="M73" i="21"/>
  <c r="G87" i="14"/>
  <c r="G89" i="14" s="1"/>
  <c r="AB164" i="14"/>
  <c r="G94" i="14"/>
  <c r="G111" i="14" s="1"/>
  <c r="G112" i="14" s="1"/>
  <c r="G113" i="14" s="1"/>
  <c r="AA129" i="14"/>
  <c r="AA140" i="14" s="1"/>
  <c r="Q26" i="21"/>
  <c r="AG129" i="14"/>
  <c r="AG140" i="14" s="1"/>
  <c r="I89" i="14"/>
  <c r="AD79" i="14"/>
  <c r="AD90" i="14" s="1"/>
  <c r="AB138" i="14"/>
  <c r="I25" i="21"/>
  <c r="I35" i="21" s="1"/>
  <c r="I36" i="21" s="1"/>
  <c r="I104" i="14"/>
  <c r="I115" i="14" s="1"/>
  <c r="AC79" i="14"/>
  <c r="AC90" i="14" s="1"/>
  <c r="K89" i="14"/>
  <c r="I164" i="14"/>
  <c r="X88" i="14"/>
  <c r="AB88" i="14"/>
  <c r="X79" i="14"/>
  <c r="X90" i="14" s="1"/>
  <c r="AB114" i="14"/>
  <c r="M28" i="21"/>
  <c r="M31" i="21" s="1"/>
  <c r="AD73" i="21"/>
  <c r="AD114" i="14"/>
  <c r="I73" i="21"/>
  <c r="W119" i="14"/>
  <c r="W136" i="14" s="1"/>
  <c r="W137" i="14" s="1"/>
  <c r="AD152" i="14"/>
  <c r="AD157" i="14" s="1"/>
  <c r="AD160" i="14" s="1"/>
  <c r="O25" i="21"/>
  <c r="O35" i="21" s="1"/>
  <c r="O36" i="21" s="1"/>
  <c r="AB129" i="14"/>
  <c r="AB140" i="14" s="1"/>
  <c r="AB89" i="14"/>
  <c r="M66" i="21"/>
  <c r="M68" i="21" s="1"/>
  <c r="W73" i="21"/>
  <c r="L144" i="14"/>
  <c r="L161" i="14" s="1"/>
  <c r="L162" i="14" s="1"/>
  <c r="L164" i="14" s="1"/>
  <c r="I129" i="14"/>
  <c r="I140" i="14" s="1"/>
  <c r="L79" i="14"/>
  <c r="L90" i="14" s="1"/>
  <c r="BG79" i="14"/>
  <c r="BG90" i="14" s="1"/>
  <c r="X89" i="14"/>
  <c r="Z79" i="14"/>
  <c r="Z90" i="14" s="1"/>
  <c r="AC144" i="14"/>
  <c r="AC161" i="14" s="1"/>
  <c r="AC162" i="14" s="1"/>
  <c r="AC163" i="14" s="1"/>
  <c r="I150" i="14"/>
  <c r="I151" i="14" s="1"/>
  <c r="I152" i="14" s="1"/>
  <c r="I157" i="14" s="1"/>
  <c r="I160" i="14" s="1"/>
  <c r="J136" i="14"/>
  <c r="J137" i="14" s="1"/>
  <c r="X136" i="14"/>
  <c r="X137" i="14" s="1"/>
  <c r="X138" i="14" s="1"/>
  <c r="AF114" i="14"/>
  <c r="AF113" i="14"/>
  <c r="M161" i="14"/>
  <c r="AF125" i="14"/>
  <c r="AF126" i="14" s="1"/>
  <c r="AF127" i="14" s="1"/>
  <c r="AF132" i="14" s="1"/>
  <c r="AF135" i="14" s="1"/>
  <c r="K136" i="14"/>
  <c r="K137" i="14" s="1"/>
  <c r="AA150" i="14"/>
  <c r="AA151" i="14" s="1"/>
  <c r="AA152" i="14" s="1"/>
  <c r="AA157" i="14" s="1"/>
  <c r="AA160" i="14" s="1"/>
  <c r="AC136" i="14"/>
  <c r="AC137" i="14" s="1"/>
  <c r="AC139" i="14" s="1"/>
  <c r="AC89" i="14"/>
  <c r="AC88" i="14"/>
  <c r="H75" i="14"/>
  <c r="H76" i="14" s="1"/>
  <c r="H77" i="14" s="1"/>
  <c r="H82" i="14" s="1"/>
  <c r="H85" i="14" s="1"/>
  <c r="AF157" i="14"/>
  <c r="AF160" i="14" s="1"/>
  <c r="AF154" i="14"/>
  <c r="P86" i="14"/>
  <c r="J75" i="14"/>
  <c r="J76" i="14" s="1"/>
  <c r="J77" i="14" s="1"/>
  <c r="J82" i="14" s="1"/>
  <c r="J85" i="14" s="1"/>
  <c r="H136" i="14"/>
  <c r="AG161" i="14"/>
  <c r="AG162" i="14" s="1"/>
  <c r="AG164" i="14" s="1"/>
  <c r="J150" i="14"/>
  <c r="J151" i="14" s="1"/>
  <c r="J152" i="14" s="1"/>
  <c r="J157" i="14" s="1"/>
  <c r="J160" i="14" s="1"/>
  <c r="AG111" i="14"/>
  <c r="AG112" i="14" s="1"/>
  <c r="AG114" i="14" s="1"/>
  <c r="AA94" i="14"/>
  <c r="X144" i="14"/>
  <c r="G125" i="14"/>
  <c r="G126" i="14" s="1"/>
  <c r="G127" i="14" s="1"/>
  <c r="G132" i="14" s="1"/>
  <c r="G135" i="14" s="1"/>
  <c r="Z89" i="14"/>
  <c r="M125" i="14"/>
  <c r="M126" i="14" s="1"/>
  <c r="M127" i="14" s="1"/>
  <c r="AA137" i="14"/>
  <c r="AA139" i="14" s="1"/>
  <c r="BG127" i="14"/>
  <c r="BG132" i="14" s="1"/>
  <c r="BG135" i="14" s="1"/>
  <c r="BG137" i="14"/>
  <c r="BG138" i="14" s="1"/>
  <c r="AA100" i="14"/>
  <c r="AA101" i="14" s="1"/>
  <c r="X150" i="14"/>
  <c r="X151" i="14" s="1"/>
  <c r="X152" i="14" s="1"/>
  <c r="X157" i="14" s="1"/>
  <c r="X160" i="14" s="1"/>
  <c r="Y86" i="14"/>
  <c r="K111" i="14"/>
  <c r="K112" i="14" s="1"/>
  <c r="K114" i="14" s="1"/>
  <c r="K79" i="14"/>
  <c r="K90" i="14" s="1"/>
  <c r="J122" i="14"/>
  <c r="J123" i="14" s="1"/>
  <c r="J124" i="14" s="1"/>
  <c r="K122" i="14"/>
  <c r="K123" i="14" s="1"/>
  <c r="K124" i="14" s="1"/>
  <c r="AG97" i="14"/>
  <c r="AG98" i="14" s="1"/>
  <c r="AG99" i="14" s="1"/>
  <c r="P72" i="14"/>
  <c r="P73" i="14"/>
  <c r="P74" i="14" s="1"/>
  <c r="W86" i="14"/>
  <c r="W87" i="14" s="1"/>
  <c r="AA79" i="14"/>
  <c r="AA90" i="14" s="1"/>
  <c r="Y72" i="14"/>
  <c r="Y73" i="14" s="1"/>
  <c r="Y74" i="14" s="1"/>
  <c r="L150" i="14"/>
  <c r="L151" i="14" s="1"/>
  <c r="L152" i="14" s="1"/>
  <c r="L157" i="14" s="1"/>
  <c r="L160" i="14" s="1"/>
  <c r="K97" i="14"/>
  <c r="K98" i="14" s="1"/>
  <c r="K99" i="14" s="1"/>
  <c r="AE122" i="14"/>
  <c r="AE123" i="14" s="1"/>
  <c r="AE124" i="14" s="1"/>
  <c r="W100" i="14"/>
  <c r="W101" i="14" s="1"/>
  <c r="W102" i="14" s="1"/>
  <c r="W107" i="14" s="1"/>
  <c r="W110" i="14" s="1"/>
  <c r="AF161" i="14"/>
  <c r="AF162" i="14" s="1"/>
  <c r="X111" i="14"/>
  <c r="X112" i="14" s="1"/>
  <c r="X114" i="14" s="1"/>
  <c r="J161" i="14"/>
  <c r="J162" i="14" s="1"/>
  <c r="AE136" i="14"/>
  <c r="AE137" i="14" s="1"/>
  <c r="W111" i="14"/>
  <c r="W112" i="14" s="1"/>
  <c r="W114" i="14" s="1"/>
  <c r="I79" i="14"/>
  <c r="I90" i="14" s="1"/>
  <c r="X97" i="14"/>
  <c r="X98" i="14" s="1"/>
  <c r="X99" i="14" s="1"/>
  <c r="AF79" i="14"/>
  <c r="AF90" i="14" s="1"/>
  <c r="M94" i="14"/>
  <c r="AG75" i="14"/>
  <c r="AG76" i="14" s="1"/>
  <c r="AG77" i="14" s="1"/>
  <c r="AG82" i="14" s="1"/>
  <c r="AG85" i="14" s="1"/>
  <c r="M147" i="14"/>
  <c r="M148" i="14" s="1"/>
  <c r="M149" i="14" s="1"/>
  <c r="K150" i="14"/>
  <c r="K151" i="14" s="1"/>
  <c r="K152" i="14" s="1"/>
  <c r="K157" i="14" s="1"/>
  <c r="K160" i="14" s="1"/>
  <c r="H122" i="14"/>
  <c r="H123" i="14" s="1"/>
  <c r="H124" i="14" s="1"/>
  <c r="X122" i="14"/>
  <c r="X123" i="14" s="1"/>
  <c r="X124" i="14" s="1"/>
  <c r="AC122" i="14"/>
  <c r="AC123" i="14" s="1"/>
  <c r="AC124" i="14" s="1"/>
  <c r="M100" i="14"/>
  <c r="M101" i="14" s="1"/>
  <c r="M102" i="14" s="1"/>
  <c r="M107" i="14" s="1"/>
  <c r="M110" i="14" s="1"/>
  <c r="AG147" i="14"/>
  <c r="AG148" i="14" s="1"/>
  <c r="AG149" i="14" s="1"/>
  <c r="BG111" i="14"/>
  <c r="BG112" i="14" s="1"/>
  <c r="K144" i="14"/>
  <c r="Z136" i="14"/>
  <c r="Z137" i="14" s="1"/>
  <c r="Z139" i="14" s="1"/>
  <c r="AE150" i="14"/>
  <c r="AE151" i="14" s="1"/>
  <c r="AE152" i="14" s="1"/>
  <c r="AE157" i="14" s="1"/>
  <c r="AE160" i="14" s="1"/>
  <c r="L136" i="14"/>
  <c r="L137" i="14" s="1"/>
  <c r="L138" i="14" s="1"/>
  <c r="Z161" i="14"/>
  <c r="Z162" i="14" s="1"/>
  <c r="Z163" i="14" s="1"/>
  <c r="Z111" i="14"/>
  <c r="Z112" i="14" s="1"/>
  <c r="H89" i="14"/>
  <c r="E143" i="14"/>
  <c r="E144" i="14" s="1"/>
  <c r="BG100" i="14"/>
  <c r="BG101" i="14" s="1"/>
  <c r="BG102" i="14" s="1"/>
  <c r="BG107" i="14" s="1"/>
  <c r="BG110" i="14" s="1"/>
  <c r="Z122" i="14"/>
  <c r="Z123" i="14" s="1"/>
  <c r="Z124" i="14" s="1"/>
  <c r="M86" i="14"/>
  <c r="M87" i="14" s="1"/>
  <c r="M88" i="14" s="1"/>
  <c r="AE144" i="14"/>
  <c r="L122" i="14"/>
  <c r="L123" i="14" s="1"/>
  <c r="L124" i="14" s="1"/>
  <c r="AE88" i="14"/>
  <c r="Z147" i="14"/>
  <c r="Z148" i="14" s="1"/>
  <c r="Z149" i="14" s="1"/>
  <c r="Z97" i="14"/>
  <c r="Z98" i="14" s="1"/>
  <c r="Z99" i="14" s="1"/>
  <c r="Y118" i="14"/>
  <c r="Y122" i="14" s="1"/>
  <c r="Y123" i="14" s="1"/>
  <c r="Y124" i="14" s="1"/>
  <c r="J111" i="14"/>
  <c r="J112" i="14" s="1"/>
  <c r="J113" i="14" s="1"/>
  <c r="AH111" i="14"/>
  <c r="AH112" i="14" s="1"/>
  <c r="AH75" i="14"/>
  <c r="AH76" i="14" s="1"/>
  <c r="AH77" i="14" s="1"/>
  <c r="AH82" i="14" s="1"/>
  <c r="AH85" i="14" s="1"/>
  <c r="H161" i="14"/>
  <c r="H162" i="14" s="1"/>
  <c r="AC111" i="14"/>
  <c r="AC112" i="14" s="1"/>
  <c r="L111" i="14"/>
  <c r="L112" i="14" s="1"/>
  <c r="L113" i="14" s="1"/>
  <c r="Y93" i="14"/>
  <c r="Y94" i="14" s="1"/>
  <c r="I112" i="14"/>
  <c r="I113" i="14" s="1"/>
  <c r="J97" i="14"/>
  <c r="J98" i="14" s="1"/>
  <c r="J99" i="14" s="1"/>
  <c r="AH97" i="14"/>
  <c r="AH98" i="14" s="1"/>
  <c r="AH99" i="14" s="1"/>
  <c r="AH88" i="14"/>
  <c r="H147" i="14"/>
  <c r="H148" i="14" s="1"/>
  <c r="H149" i="14" s="1"/>
  <c r="AC97" i="14"/>
  <c r="AC98" i="14" s="1"/>
  <c r="AC99" i="14" s="1"/>
  <c r="AC150" i="14"/>
  <c r="AC151" i="14" s="1"/>
  <c r="L97" i="14"/>
  <c r="L98" i="14" s="1"/>
  <c r="L99" i="14" s="1"/>
  <c r="AH161" i="14"/>
  <c r="AH162" i="14" s="1"/>
  <c r="AH163" i="14" s="1"/>
  <c r="BG150" i="14"/>
  <c r="BG151" i="14" s="1"/>
  <c r="BG152" i="14" s="1"/>
  <c r="BG157" i="14" s="1"/>
  <c r="BG160" i="14" s="1"/>
  <c r="I139" i="14"/>
  <c r="AB79" i="14"/>
  <c r="AB90" i="14" s="1"/>
  <c r="G79" i="14"/>
  <c r="G90" i="14" s="1"/>
  <c r="AE75" i="14"/>
  <c r="AE76" i="14" s="1"/>
  <c r="AE77" i="14" s="1"/>
  <c r="AF104" i="14"/>
  <c r="AF115" i="14" s="1"/>
  <c r="AG136" i="14"/>
  <c r="AG137" i="14" s="1"/>
  <c r="AG138" i="14" s="1"/>
  <c r="AF139" i="14"/>
  <c r="H94" i="14"/>
  <c r="AH147" i="14"/>
  <c r="AH148" i="14" s="1"/>
  <c r="AH149" i="14" s="1"/>
  <c r="BG163" i="14"/>
  <c r="AB139" i="14"/>
  <c r="L87" i="14"/>
  <c r="L88" i="14" s="1"/>
  <c r="AD137" i="14"/>
  <c r="AD138" i="14" s="1"/>
  <c r="AF138" i="14"/>
  <c r="H100" i="14"/>
  <c r="H101" i="14" s="1"/>
  <c r="H102" i="14" s="1"/>
  <c r="H107" i="14" s="1"/>
  <c r="H110" i="14" s="1"/>
  <c r="AE97" i="14"/>
  <c r="AE98" i="14" s="1"/>
  <c r="AE99" i="14" s="1"/>
  <c r="Q86" i="14"/>
  <c r="Q87" i="14" s="1"/>
  <c r="Q88" i="14" s="1"/>
  <c r="I138" i="14"/>
  <c r="AB100" i="14"/>
  <c r="AB101" i="14" s="1"/>
  <c r="AB102" i="14" s="1"/>
  <c r="AB107" i="14" s="1"/>
  <c r="AB110" i="14" s="1"/>
  <c r="AD125" i="14"/>
  <c r="AD126" i="14" s="1"/>
  <c r="AD127" i="14" s="1"/>
  <c r="W75" i="14"/>
  <c r="W76" i="14" s="1"/>
  <c r="W77" i="14" s="1"/>
  <c r="AE94" i="14"/>
  <c r="Q73" i="14"/>
  <c r="Q74" i="14" s="1"/>
  <c r="Q72" i="14"/>
  <c r="W161" i="14"/>
  <c r="W162" i="14" s="1"/>
  <c r="W163" i="14" s="1"/>
  <c r="G100" i="14"/>
  <c r="G101" i="14" s="1"/>
  <c r="G102" i="14" s="1"/>
  <c r="G107" i="14" s="1"/>
  <c r="G110" i="14" s="1"/>
  <c r="AB150" i="14"/>
  <c r="AB151" i="14" s="1"/>
  <c r="AB152" i="14" s="1"/>
  <c r="AB157" i="14" s="1"/>
  <c r="AB160" i="14" s="1"/>
  <c r="AH122" i="14"/>
  <c r="AH123" i="14" s="1"/>
  <c r="AH124" i="14" s="1"/>
  <c r="AD100" i="14"/>
  <c r="AD101" i="14" s="1"/>
  <c r="AD102" i="14" s="1"/>
  <c r="AD107" i="14" s="1"/>
  <c r="AD110" i="14" s="1"/>
  <c r="G161" i="14"/>
  <c r="G162" i="14" s="1"/>
  <c r="G164" i="14" s="1"/>
  <c r="W147" i="14"/>
  <c r="W148" i="14" s="1"/>
  <c r="W149" i="14" s="1"/>
  <c r="AD162" i="14"/>
  <c r="AD164" i="14" s="1"/>
  <c r="AH119" i="14"/>
  <c r="U26" i="21"/>
  <c r="G147" i="14"/>
  <c r="G148" i="14" s="1"/>
  <c r="G149" i="14" s="1"/>
  <c r="W125" i="14"/>
  <c r="W126" i="14" s="1"/>
  <c r="W127" i="14" s="1"/>
  <c r="W132" i="14" s="1"/>
  <c r="W135" i="14" s="1"/>
  <c r="G119" i="14"/>
  <c r="M79" i="14"/>
  <c r="M90" i="14" s="1"/>
  <c r="M119" i="14"/>
  <c r="AI143" i="14"/>
  <c r="AI144" i="14" s="1"/>
  <c r="AI93" i="14"/>
  <c r="AI94" i="14" s="1"/>
  <c r="AI72" i="14"/>
  <c r="AI73" i="14" s="1"/>
  <c r="AI74" i="14" s="1"/>
  <c r="AI118" i="14"/>
  <c r="AI119" i="14" s="1"/>
  <c r="AI69" i="14"/>
  <c r="BG73" i="21"/>
  <c r="E118" i="14"/>
  <c r="E122" i="14" s="1"/>
  <c r="E123" i="14" s="1"/>
  <c r="E124" i="14" s="1"/>
  <c r="Y66" i="21"/>
  <c r="Y68" i="21" s="1"/>
  <c r="M25" i="21"/>
  <c r="M35" i="21" s="1"/>
  <c r="M36" i="21" s="1"/>
  <c r="AO8" i="21"/>
  <c r="AO17" i="21" s="1"/>
  <c r="Z11" i="9"/>
  <c r="Z12" i="9" s="1"/>
  <c r="Z44" i="9"/>
  <c r="Z45" i="9" s="1"/>
  <c r="Z55" i="9" s="1"/>
  <c r="E111" i="14"/>
  <c r="E112" i="14" s="1"/>
  <c r="E114" i="14" s="1"/>
  <c r="Z27" i="9"/>
  <c r="Z28" i="9" s="1"/>
  <c r="E97" i="14"/>
  <c r="E98" i="14" s="1"/>
  <c r="E99" i="14" s="1"/>
  <c r="Z36" i="9"/>
  <c r="AD7" i="10" s="1"/>
  <c r="Z22" i="9"/>
  <c r="Z23" i="9" s="1"/>
  <c r="Z41" i="9"/>
  <c r="Z42" i="9" s="1"/>
  <c r="Z50" i="9" s="1"/>
  <c r="Z33" i="9"/>
  <c r="Z34" i="9" s="1"/>
  <c r="AD5" i="10" s="1"/>
  <c r="O73" i="21"/>
  <c r="Z38" i="9"/>
  <c r="Z39" i="9" s="1"/>
  <c r="Z48" i="9" s="1"/>
  <c r="E73" i="14"/>
  <c r="E74" i="14" s="1"/>
  <c r="AO15" i="17"/>
  <c r="AO27" i="13" s="1"/>
  <c r="AN8" i="21"/>
  <c r="AN15" i="17"/>
  <c r="AN27" i="13" s="1"/>
  <c r="AN15" i="15"/>
  <c r="AT9" i="11" s="1"/>
  <c r="AN11" i="15"/>
  <c r="AT7" i="11" s="1"/>
  <c r="AN7" i="15"/>
  <c r="AT5" i="11" s="1"/>
  <c r="AN29" i="15"/>
  <c r="AN37" i="15" s="1"/>
  <c r="AN38" i="15" s="1"/>
  <c r="AN39" i="15" s="1"/>
  <c r="AN40" i="15" s="1"/>
  <c r="AN17" i="15"/>
  <c r="AT10" i="11" s="1"/>
  <c r="AN13" i="15"/>
  <c r="AT8" i="11" s="1"/>
  <c r="AN9" i="15"/>
  <c r="AT6" i="11" s="1"/>
  <c r="AN31" i="15"/>
  <c r="AN32" i="15" s="1"/>
  <c r="AN33" i="15" s="1"/>
  <c r="AN34" i="15" s="1"/>
  <c r="AN19" i="15"/>
  <c r="AT11" i="11" s="1"/>
  <c r="AN10" i="13"/>
  <c r="AO17" i="17"/>
  <c r="AO14" i="17"/>
  <c r="AO28" i="13" s="1"/>
  <c r="AN323" i="7"/>
  <c r="AN388" i="7" s="1"/>
  <c r="AN142" i="14" s="1"/>
  <c r="H35" i="21"/>
  <c r="H36" i="21" s="1"/>
  <c r="AC25" i="21"/>
  <c r="AC26" i="21" s="1"/>
  <c r="K25" i="21"/>
  <c r="K35" i="21" s="1"/>
  <c r="K36" i="21" s="1"/>
  <c r="P73" i="21"/>
  <c r="L25" i="21"/>
  <c r="L26" i="21" s="1"/>
  <c r="M81" i="21"/>
  <c r="M12" i="8" s="1"/>
  <c r="M13" i="8" s="1"/>
  <c r="J25" i="21"/>
  <c r="J28" i="21"/>
  <c r="J31" i="21" s="1"/>
  <c r="W25" i="21"/>
  <c r="W35" i="21" s="1"/>
  <c r="W36" i="21" s="1"/>
  <c r="P81" i="21"/>
  <c r="P12" i="8" s="1"/>
  <c r="P13" i="8" s="1"/>
  <c r="AD81" i="21"/>
  <c r="AD12" i="8" s="1"/>
  <c r="AD13" i="8" s="1"/>
  <c r="AA31" i="21"/>
  <c r="BG66" i="21"/>
  <c r="BG68" i="21" s="1"/>
  <c r="AC66" i="21"/>
  <c r="AC68" i="21" s="1"/>
  <c r="O66" i="21"/>
  <c r="O68" i="21" s="1"/>
  <c r="BG34" i="15"/>
  <c r="BG25" i="21"/>
  <c r="L66" i="21"/>
  <c r="L68" i="21" s="1"/>
  <c r="AC73" i="21"/>
  <c r="V28" i="21"/>
  <c r="V31" i="21" s="1"/>
  <c r="BG28" i="21"/>
  <c r="BG31" i="21" s="1"/>
  <c r="BG33" i="9"/>
  <c r="BG34" i="9" s="1"/>
  <c r="BK5" i="10" s="1"/>
  <c r="BG36" i="9"/>
  <c r="BK7" i="10" s="1"/>
  <c r="BG11" i="9"/>
  <c r="BG12" i="9" s="1"/>
  <c r="BG44" i="9"/>
  <c r="BG45" i="9" s="1"/>
  <c r="BG55" i="9" s="1"/>
  <c r="BG17" i="9"/>
  <c r="BG18" i="9" s="1"/>
  <c r="BK2" i="10" s="1"/>
  <c r="BG27" i="9"/>
  <c r="BG28" i="9" s="1"/>
  <c r="BK4" i="10" s="1"/>
  <c r="BG41" i="9"/>
  <c r="BG42" i="9" s="1"/>
  <c r="BG50" i="9" s="1"/>
  <c r="BG38" i="9"/>
  <c r="BG39" i="9" s="1"/>
  <c r="BG22" i="9"/>
  <c r="BG23" i="9" s="1"/>
  <c r="BK3" i="10" s="1"/>
  <c r="BG81" i="21"/>
  <c r="BG12" i="8" s="1"/>
  <c r="BG13" i="8" s="1"/>
  <c r="AI17" i="17"/>
  <c r="AI14" i="17"/>
  <c r="AI28" i="13" s="1"/>
  <c r="E31" i="21"/>
  <c r="I81" i="21"/>
  <c r="I12" i="8" s="1"/>
  <c r="I13" i="8" s="1"/>
  <c r="W66" i="21"/>
  <c r="W68" i="21" s="1"/>
  <c r="E66" i="21"/>
  <c r="E68" i="21" s="1"/>
  <c r="N66" i="21"/>
  <c r="N68" i="21" s="1"/>
  <c r="N81" i="21"/>
  <c r="N12" i="8" s="1"/>
  <c r="N13" i="8" s="1"/>
  <c r="L81" i="21"/>
  <c r="L12" i="8" s="1"/>
  <c r="L13" i="8" s="1"/>
  <c r="AA25" i="21"/>
  <c r="W81" i="21"/>
  <c r="W12" i="8" s="1"/>
  <c r="W13" i="8" s="1"/>
  <c r="I66" i="21"/>
  <c r="I68" i="21" s="1"/>
  <c r="P66" i="21"/>
  <c r="P68" i="21" s="1"/>
  <c r="AC28" i="21"/>
  <c r="AC31" i="21" s="1"/>
  <c r="L28" i="21"/>
  <c r="L31" i="21" s="1"/>
  <c r="AC81" i="21"/>
  <c r="AC12" i="8" s="1"/>
  <c r="AC13" i="8" s="1"/>
  <c r="AH44" i="9"/>
  <c r="AH45" i="9" s="1"/>
  <c r="AH55" i="9" s="1"/>
  <c r="AH22" i="9"/>
  <c r="AH23" i="9" s="1"/>
  <c r="AH38" i="9"/>
  <c r="AH39" i="9" s="1"/>
  <c r="AH33" i="9"/>
  <c r="AH34" i="9" s="1"/>
  <c r="AL5" i="10" s="1"/>
  <c r="AH27" i="9"/>
  <c r="AH28" i="9" s="1"/>
  <c r="AH11" i="9"/>
  <c r="AH12" i="9" s="1"/>
  <c r="AH17" i="9"/>
  <c r="AH18" i="9" s="1"/>
  <c r="AH41" i="9"/>
  <c r="AH42" i="9" s="1"/>
  <c r="AH50" i="9" s="1"/>
  <c r="AH36" i="9"/>
  <c r="AL7" i="10" s="1"/>
  <c r="X25" i="21"/>
  <c r="AC44" i="9"/>
  <c r="AC45" i="9" s="1"/>
  <c r="AC55" i="9" s="1"/>
  <c r="AC11" i="9"/>
  <c r="AC12" i="9" s="1"/>
  <c r="AC38" i="9"/>
  <c r="AC39" i="9" s="1"/>
  <c r="AC33" i="9"/>
  <c r="AC34" i="9" s="1"/>
  <c r="AG5" i="10" s="1"/>
  <c r="AC41" i="9"/>
  <c r="AC42" i="9" s="1"/>
  <c r="AC50" i="9" s="1"/>
  <c r="AC17" i="9"/>
  <c r="AC18" i="9" s="1"/>
  <c r="AC27" i="9"/>
  <c r="AC28" i="9" s="1"/>
  <c r="AC36" i="9"/>
  <c r="AG7" i="10" s="1"/>
  <c r="AC22" i="9"/>
  <c r="AC23" i="9" s="1"/>
  <c r="K28" i="21"/>
  <c r="K31" i="21" s="1"/>
  <c r="R28" i="21"/>
  <c r="AA81" i="21"/>
  <c r="AA12" i="8" s="1"/>
  <c r="AA13" i="8" s="1"/>
  <c r="W28" i="21"/>
  <c r="W31" i="21" s="1"/>
  <c r="N73" i="21"/>
  <c r="AA66" i="21"/>
  <c r="AA68" i="21" s="1"/>
  <c r="O28" i="21"/>
  <c r="O31" i="21" s="1"/>
  <c r="E81" i="21"/>
  <c r="E12" i="8" s="1"/>
  <c r="E13" i="8" s="1"/>
  <c r="AA73" i="21"/>
  <c r="AF33" i="9"/>
  <c r="AF34" i="9" s="1"/>
  <c r="AJ5" i="10" s="1"/>
  <c r="AF22" i="9"/>
  <c r="AF23" i="9" s="1"/>
  <c r="AF17" i="9"/>
  <c r="AF18" i="9" s="1"/>
  <c r="AF11" i="9"/>
  <c r="AF12" i="9" s="1"/>
  <c r="AF27" i="9"/>
  <c r="AF28" i="9" s="1"/>
  <c r="AF38" i="9"/>
  <c r="AF39" i="9" s="1"/>
  <c r="AF41" i="9"/>
  <c r="AF42" i="9" s="1"/>
  <c r="AF50" i="9" s="1"/>
  <c r="AF36" i="9"/>
  <c r="AJ7" i="10" s="1"/>
  <c r="AF44" i="9"/>
  <c r="AF45" i="9" s="1"/>
  <c r="AF55" i="9" s="1"/>
  <c r="O81" i="21"/>
  <c r="O12" i="8" s="1"/>
  <c r="O13" i="8" s="1"/>
  <c r="N20" i="21"/>
  <c r="N25" i="21" s="1"/>
  <c r="I28" i="21"/>
  <c r="I31" i="21" s="1"/>
  <c r="AD66" i="21"/>
  <c r="AD68" i="21" s="1"/>
  <c r="E25" i="21"/>
  <c r="P20" i="21"/>
  <c r="P25" i="21" s="1"/>
  <c r="AD20" i="21"/>
  <c r="AD25" i="21" s="1"/>
  <c r="AI78" i="21"/>
  <c r="AI79" i="21"/>
  <c r="AI63" i="21"/>
  <c r="AI64" i="21"/>
  <c r="AI72" i="21"/>
  <c r="AI62" i="21"/>
  <c r="AI77" i="21"/>
  <c r="AI76" i="21"/>
  <c r="AI17" i="21"/>
  <c r="AI61" i="21"/>
  <c r="AI71" i="21"/>
  <c r="AI60" i="21"/>
  <c r="AI11" i="21"/>
  <c r="AI14" i="21"/>
  <c r="AI20" i="21" s="1"/>
  <c r="AG20" i="21"/>
  <c r="AG25" i="21" s="1"/>
  <c r="AF20" i="21"/>
  <c r="AF28" i="21" s="1"/>
  <c r="AF31" i="21" s="1"/>
  <c r="AH20" i="21"/>
  <c r="AH25" i="21" s="1"/>
  <c r="AE28" i="21"/>
  <c r="AE31" i="21" s="1"/>
  <c r="AG73" i="21"/>
  <c r="X27" i="9"/>
  <c r="X28" i="9" s="1"/>
  <c r="AB4" i="10" s="1"/>
  <c r="AK75" i="9"/>
  <c r="M8" i="8"/>
  <c r="X17" i="9"/>
  <c r="X18" i="9" s="1"/>
  <c r="AB2" i="10" s="1"/>
  <c r="X38" i="9"/>
  <c r="X39" i="9" s="1"/>
  <c r="L8" i="8"/>
  <c r="H7" i="8"/>
  <c r="I3" i="10"/>
  <c r="E8" i="8"/>
  <c r="X44" i="9"/>
  <c r="X45" i="9" s="1"/>
  <c r="X55" i="9" s="1"/>
  <c r="I2" i="10"/>
  <c r="E7" i="8"/>
  <c r="X41" i="9"/>
  <c r="X42" i="9" s="1"/>
  <c r="X50" i="9" s="1"/>
  <c r="L9" i="8"/>
  <c r="X33" i="9"/>
  <c r="X34" i="9" s="1"/>
  <c r="AB5" i="10" s="1"/>
  <c r="X11" i="9"/>
  <c r="X12" i="9" s="1"/>
  <c r="L7" i="8"/>
  <c r="I4" i="10"/>
  <c r="E9" i="8"/>
  <c r="Q8" i="8"/>
  <c r="M7" i="8"/>
  <c r="X22" i="9"/>
  <c r="X23" i="9" s="1"/>
  <c r="AB3" i="10" s="1"/>
  <c r="H8" i="8"/>
  <c r="Q7" i="8"/>
  <c r="M9" i="8"/>
  <c r="AH73" i="21"/>
  <c r="AH66" i="21"/>
  <c r="AH68" i="21" s="1"/>
  <c r="AG81" i="21"/>
  <c r="AG12" i="8" s="1"/>
  <c r="AG13" i="8" s="1"/>
  <c r="AF73" i="21"/>
  <c r="AH81" i="21"/>
  <c r="AH12" i="8" s="1"/>
  <c r="AH13" i="8" s="1"/>
  <c r="AF81" i="21"/>
  <c r="AF12" i="8" s="1"/>
  <c r="AF13" i="8" s="1"/>
  <c r="AG66" i="21"/>
  <c r="AG68" i="21" s="1"/>
  <c r="AF66" i="21"/>
  <c r="AF68" i="21" s="1"/>
  <c r="Y33" i="9"/>
  <c r="Y34" i="9" s="1"/>
  <c r="AC5" i="10" s="1"/>
  <c r="Y36" i="9"/>
  <c r="AC7" i="10" s="1"/>
  <c r="Y41" i="9"/>
  <c r="Y42" i="9" s="1"/>
  <c r="Y50" i="9" s="1"/>
  <c r="Y44" i="9"/>
  <c r="Y45" i="9" s="1"/>
  <c r="Y55" i="9" s="1"/>
  <c r="Y38" i="9"/>
  <c r="Y39" i="9" s="1"/>
  <c r="Y27" i="9"/>
  <c r="Y28" i="9" s="1"/>
  <c r="AC4" i="10" s="1"/>
  <c r="E87" i="14"/>
  <c r="E88" i="14" s="1"/>
  <c r="Y11" i="9"/>
  <c r="Y12" i="9" s="1"/>
  <c r="Y22" i="9"/>
  <c r="Y23" i="9" s="1"/>
  <c r="AC3" i="10" s="1"/>
  <c r="Y17" i="9"/>
  <c r="Y18" i="9" s="1"/>
  <c r="AC2" i="10" s="1"/>
  <c r="L58" i="9"/>
  <c r="L54" i="9"/>
  <c r="L49" i="9"/>
  <c r="L59" i="9"/>
  <c r="Y40" i="15"/>
  <c r="E57" i="9"/>
  <c r="E56" i="9"/>
  <c r="E48" i="9"/>
  <c r="L48" i="9"/>
  <c r="L57" i="9"/>
  <c r="L56" i="9"/>
  <c r="AF40" i="15"/>
  <c r="Q57" i="9"/>
  <c r="Q56" i="9"/>
  <c r="Q48" i="9"/>
  <c r="H59" i="9"/>
  <c r="H54" i="9"/>
  <c r="M58" i="9"/>
  <c r="M59" i="9"/>
  <c r="M49" i="9"/>
  <c r="M54" i="9"/>
  <c r="M48" i="9"/>
  <c r="M57" i="9"/>
  <c r="M56" i="9"/>
  <c r="H48" i="9"/>
  <c r="E59" i="9"/>
  <c r="E58" i="9"/>
  <c r="E54" i="9"/>
  <c r="E49" i="9"/>
  <c r="AC40" i="15"/>
  <c r="AH40" i="15"/>
  <c r="Q54" i="9"/>
  <c r="Q59" i="9"/>
  <c r="Q49" i="9"/>
  <c r="Q58" i="9"/>
  <c r="AG39" i="15"/>
  <c r="AG40" i="15" s="1"/>
  <c r="N56" i="9"/>
  <c r="E39" i="15"/>
  <c r="E40" i="15" s="1"/>
  <c r="AD40" i="15"/>
  <c r="O40" i="15"/>
  <c r="M40" i="15"/>
  <c r="L39" i="15"/>
  <c r="L40" i="15" s="1"/>
  <c r="P39" i="15"/>
  <c r="P40" i="15" s="1"/>
  <c r="P17" i="9"/>
  <c r="P18" i="9" s="1"/>
  <c r="T2" i="10" s="1"/>
  <c r="P44" i="9"/>
  <c r="P45" i="9" s="1"/>
  <c r="P55" i="9" s="1"/>
  <c r="P33" i="9"/>
  <c r="P34" i="9" s="1"/>
  <c r="T5" i="10" s="1"/>
  <c r="P36" i="9"/>
  <c r="T7" i="10" s="1"/>
  <c r="P38" i="9"/>
  <c r="P39" i="9" s="1"/>
  <c r="P22" i="9"/>
  <c r="P23" i="9" s="1"/>
  <c r="T3" i="10" s="1"/>
  <c r="P41" i="9"/>
  <c r="P42" i="9" s="1"/>
  <c r="P50" i="9" s="1"/>
  <c r="P11" i="9"/>
  <c r="P12" i="9" s="1"/>
  <c r="P27" i="9"/>
  <c r="P28" i="9" s="1"/>
  <c r="T4" i="10" s="1"/>
  <c r="Y323" i="7"/>
  <c r="Y388" i="7" s="1"/>
  <c r="Y142" i="14" s="1"/>
  <c r="AV277" i="23" l="1"/>
  <c r="AV274" i="23"/>
  <c r="AV271" i="23"/>
  <c r="AV29" i="23"/>
  <c r="AV276" i="23"/>
  <c r="AV272" i="23"/>
  <c r="AV273" i="23"/>
  <c r="AV275" i="23"/>
  <c r="J9" i="10"/>
  <c r="F62" i="9" s="1"/>
  <c r="F68" i="9" s="1"/>
  <c r="F71" i="9" s="1"/>
  <c r="J10" i="10"/>
  <c r="F53" i="9" s="1"/>
  <c r="F60" i="9" s="1"/>
  <c r="F66" i="9" s="1"/>
  <c r="AF271" i="23"/>
  <c r="AF274" i="23"/>
  <c r="L92" i="10"/>
  <c r="AF277" i="23"/>
  <c r="AF272" i="23"/>
  <c r="AF275" i="23"/>
  <c r="AF273" i="23"/>
  <c r="J8" i="10"/>
  <c r="F47" i="9" s="1"/>
  <c r="F51" i="9" s="1"/>
  <c r="F64" i="9" s="1"/>
  <c r="H49" i="9"/>
  <c r="H58" i="9"/>
  <c r="H272" i="23"/>
  <c r="H277" i="23"/>
  <c r="H274" i="23"/>
  <c r="H271" i="23"/>
  <c r="H276" i="23"/>
  <c r="H273" i="23"/>
  <c r="H275" i="23"/>
  <c r="AV153" i="23"/>
  <c r="AV151" i="23"/>
  <c r="AV148" i="23"/>
  <c r="AV152" i="23"/>
  <c r="AV147" i="23"/>
  <c r="AV149" i="23"/>
  <c r="T153" i="23"/>
  <c r="T151" i="23"/>
  <c r="T152" i="23"/>
  <c r="T149" i="23"/>
  <c r="T148" i="23"/>
  <c r="T147" i="23"/>
  <c r="X272" i="23"/>
  <c r="X277" i="23"/>
  <c r="X274" i="23"/>
  <c r="X271" i="23"/>
  <c r="X276" i="23"/>
  <c r="X273" i="23"/>
  <c r="X275" i="23"/>
  <c r="I148" i="23"/>
  <c r="I147" i="23"/>
  <c r="I153" i="23"/>
  <c r="I152" i="23"/>
  <c r="I149" i="23"/>
  <c r="I151" i="23"/>
  <c r="BD272" i="23"/>
  <c r="BD277" i="23"/>
  <c r="BD274" i="23"/>
  <c r="BD271" i="23"/>
  <c r="BD276" i="23"/>
  <c r="BD273" i="23"/>
  <c r="BD275" i="23"/>
  <c r="N153" i="23"/>
  <c r="N152" i="23"/>
  <c r="N149" i="23"/>
  <c r="N151" i="23"/>
  <c r="N148" i="23"/>
  <c r="N147" i="23"/>
  <c r="AT150" i="23"/>
  <c r="AT25" i="23"/>
  <c r="E36" i="23"/>
  <c r="E31" i="23"/>
  <c r="E127" i="23"/>
  <c r="E266" i="23"/>
  <c r="E264" i="23"/>
  <c r="E263" i="23"/>
  <c r="E136" i="23"/>
  <c r="E48" i="23" s="1"/>
  <c r="E46" i="23" s="1"/>
  <c r="E256" i="23"/>
  <c r="E243" i="23"/>
  <c r="E251" i="23" s="1"/>
  <c r="E193" i="23"/>
  <c r="E195" i="23" s="1"/>
  <c r="E71" i="23"/>
  <c r="E73" i="23" s="1"/>
  <c r="E74" i="23" s="1"/>
  <c r="E75" i="23" s="1"/>
  <c r="E76" i="23" s="1"/>
  <c r="E77" i="23" s="1"/>
  <c r="E78" i="23" s="1"/>
  <c r="E79" i="23" s="1"/>
  <c r="E81" i="23" s="1"/>
  <c r="E82" i="23" s="1"/>
  <c r="E146" i="23"/>
  <c r="L146" i="10"/>
  <c r="AI3" i="9"/>
  <c r="L159" i="10"/>
  <c r="L185" i="10"/>
  <c r="L19" i="10"/>
  <c r="T229" i="7"/>
  <c r="T288" i="7" s="1"/>
  <c r="T117" i="14" s="1"/>
  <c r="T118" i="14" s="1"/>
  <c r="T119" i="14" s="1"/>
  <c r="T136" i="14" s="1"/>
  <c r="T137" i="14" s="1"/>
  <c r="T139" i="14" s="1"/>
  <c r="L186" i="10"/>
  <c r="O229" i="7"/>
  <c r="O288" i="7" s="1"/>
  <c r="O117" i="14" s="1"/>
  <c r="O118" i="14" s="1"/>
  <c r="O122" i="14" s="1"/>
  <c r="O123" i="14" s="1"/>
  <c r="O124" i="14" s="1"/>
  <c r="O125" i="14" s="1"/>
  <c r="O126" i="14" s="1"/>
  <c r="O127" i="14" s="1"/>
  <c r="O132" i="14" s="1"/>
  <c r="O135" i="14" s="1"/>
  <c r="E134" i="23"/>
  <c r="E47" i="23" s="1"/>
  <c r="E144" i="23"/>
  <c r="L114" i="10"/>
  <c r="O323" i="7"/>
  <c r="O388" i="7" s="1"/>
  <c r="O142" i="14" s="1"/>
  <c r="O143" i="14" s="1"/>
  <c r="O147" i="14" s="1"/>
  <c r="O148" i="14" s="1"/>
  <c r="O149" i="14" s="1"/>
  <c r="O150" i="14" s="1"/>
  <c r="O151" i="14" s="1"/>
  <c r="O152" i="14" s="1"/>
  <c r="O157" i="14" s="1"/>
  <c r="O160" i="14" s="1"/>
  <c r="L188" i="10"/>
  <c r="L184" i="10"/>
  <c r="I7" i="8"/>
  <c r="H9" i="8"/>
  <c r="H36" i="8" s="1"/>
  <c r="H39" i="8" s="1"/>
  <c r="L34" i="10"/>
  <c r="L47" i="10"/>
  <c r="L24" i="10"/>
  <c r="AO59" i="7"/>
  <c r="AO26" i="7"/>
  <c r="L57" i="10"/>
  <c r="L112" i="10"/>
  <c r="L178" i="10"/>
  <c r="L65" i="10"/>
  <c r="L109" i="10"/>
  <c r="L54" i="10"/>
  <c r="L107" i="10"/>
  <c r="L42" i="10"/>
  <c r="L163" i="10"/>
  <c r="L73" i="10"/>
  <c r="L153" i="10"/>
  <c r="L128" i="10"/>
  <c r="L191" i="10"/>
  <c r="L18" i="10"/>
  <c r="L119" i="10"/>
  <c r="AO352" i="7"/>
  <c r="AO367" i="7" s="1"/>
  <c r="AO359" i="7"/>
  <c r="AO374" i="7" s="1"/>
  <c r="AO356" i="7"/>
  <c r="AO371" i="7" s="1"/>
  <c r="AO353" i="7"/>
  <c r="AO368" i="7" s="1"/>
  <c r="AO363" i="7"/>
  <c r="AO378" i="7" s="1"/>
  <c r="AO360" i="7"/>
  <c r="AO375" i="7" s="1"/>
  <c r="AO357" i="7"/>
  <c r="AO372" i="7" s="1"/>
  <c r="AO361" i="7"/>
  <c r="AO376" i="7" s="1"/>
  <c r="AO362" i="7"/>
  <c r="AO377" i="7" s="1"/>
  <c r="AO298" i="7"/>
  <c r="AO303" i="7" s="1"/>
  <c r="AO358" i="7"/>
  <c r="AO373" i="7" s="1"/>
  <c r="AO354" i="7"/>
  <c r="AO369" i="7" s="1"/>
  <c r="AO355" i="7"/>
  <c r="AO370" i="7" s="1"/>
  <c r="AO351" i="7"/>
  <c r="AO366" i="7" s="1"/>
  <c r="F131" i="7"/>
  <c r="F194" i="7" s="1"/>
  <c r="F92" i="14" s="1"/>
  <c r="F93" i="14" s="1"/>
  <c r="L17" i="10"/>
  <c r="L154" i="10"/>
  <c r="L40" i="10"/>
  <c r="L106" i="10"/>
  <c r="L201" i="10"/>
  <c r="L182" i="10"/>
  <c r="L93" i="10"/>
  <c r="L131" i="10"/>
  <c r="L123" i="10"/>
  <c r="L97" i="10"/>
  <c r="L96" i="10"/>
  <c r="Q131" i="7"/>
  <c r="Q194" i="7" s="1"/>
  <c r="Q92" i="14" s="1"/>
  <c r="Q93" i="14" s="1"/>
  <c r="Q94" i="14" s="1"/>
  <c r="Q111" i="14" s="1"/>
  <c r="P131" i="7"/>
  <c r="P194" i="7" s="1"/>
  <c r="P92" i="14" s="1"/>
  <c r="V229" i="7"/>
  <c r="V288" i="7" s="1"/>
  <c r="V117" i="14" s="1"/>
  <c r="V118" i="14" s="1"/>
  <c r="S131" i="7"/>
  <c r="S194" i="7" s="1"/>
  <c r="S92" i="14" s="1"/>
  <c r="L160" i="10"/>
  <c r="L33" i="10"/>
  <c r="L121" i="10"/>
  <c r="L69" i="10"/>
  <c r="L117" i="10"/>
  <c r="L52" i="10"/>
  <c r="L192" i="10"/>
  <c r="L162" i="10"/>
  <c r="L38" i="10"/>
  <c r="L28" i="10"/>
  <c r="L122" i="10"/>
  <c r="L139" i="10"/>
  <c r="O68" i="14"/>
  <c r="O72" i="14" s="1"/>
  <c r="O73" i="14" s="1"/>
  <c r="O74" i="14" s="1"/>
  <c r="N131" i="7"/>
  <c r="N194" i="7" s="1"/>
  <c r="N92" i="14" s="1"/>
  <c r="L195" i="10"/>
  <c r="AO30" i="7"/>
  <c r="AO22" i="7"/>
  <c r="Q229" i="7"/>
  <c r="Q288" i="7" s="1"/>
  <c r="Q117" i="14" s="1"/>
  <c r="Q118" i="14" s="1"/>
  <c r="N69" i="14"/>
  <c r="N72" i="14"/>
  <c r="N73" i="14" s="1"/>
  <c r="N74" i="14" s="1"/>
  <c r="N75" i="14" s="1"/>
  <c r="N76" i="14" s="1"/>
  <c r="N77" i="14" s="1"/>
  <c r="N82" i="14" s="1"/>
  <c r="N85" i="14" s="1"/>
  <c r="N229" i="7"/>
  <c r="N288" i="7" s="1"/>
  <c r="N117" i="14" s="1"/>
  <c r="N118" i="14" s="1"/>
  <c r="F69" i="14"/>
  <c r="F73" i="14"/>
  <c r="F74" i="14" s="1"/>
  <c r="F75" i="14" s="1"/>
  <c r="F76" i="14" s="1"/>
  <c r="F77" i="14" s="1"/>
  <c r="F82" i="14" s="1"/>
  <c r="F85" i="14" s="1"/>
  <c r="F72" i="14"/>
  <c r="L181" i="10"/>
  <c r="L80" i="10"/>
  <c r="L176" i="10"/>
  <c r="L84" i="10"/>
  <c r="L32" i="10"/>
  <c r="L189" i="10"/>
  <c r="L190" i="10"/>
  <c r="L108" i="10"/>
  <c r="L157" i="10"/>
  <c r="L45" i="10"/>
  <c r="L105" i="10"/>
  <c r="L125" i="10"/>
  <c r="L187" i="10"/>
  <c r="L199" i="10"/>
  <c r="U323" i="7"/>
  <c r="U388" i="7" s="1"/>
  <c r="U142" i="14" s="1"/>
  <c r="R131" i="7"/>
  <c r="R194" i="7" s="1"/>
  <c r="R92" i="14" s="1"/>
  <c r="R93" i="14" s="1"/>
  <c r="T68" i="14"/>
  <c r="T69" i="14"/>
  <c r="U69" i="14"/>
  <c r="U73" i="14"/>
  <c r="U74" i="14" s="1"/>
  <c r="U75" i="14" s="1"/>
  <c r="U76" i="14" s="1"/>
  <c r="U77" i="14" s="1"/>
  <c r="U82" i="14" s="1"/>
  <c r="U85" i="14" s="1"/>
  <c r="U72" i="14"/>
  <c r="L56" i="10"/>
  <c r="L156" i="10"/>
  <c r="L152" i="10"/>
  <c r="H56" i="9"/>
  <c r="I8" i="8"/>
  <c r="L113" i="10"/>
  <c r="L98" i="10"/>
  <c r="L100" i="10"/>
  <c r="L88" i="10"/>
  <c r="L169" i="10"/>
  <c r="L171" i="10"/>
  <c r="L58" i="10"/>
  <c r="L170" i="10"/>
  <c r="L147" i="10"/>
  <c r="L64" i="10"/>
  <c r="L35" i="10"/>
  <c r="AO263" i="7"/>
  <c r="AO278" i="7" s="1"/>
  <c r="AO257" i="7"/>
  <c r="AO272" i="7" s="1"/>
  <c r="AO262" i="7"/>
  <c r="AO277" i="7" s="1"/>
  <c r="AO260" i="7"/>
  <c r="AO275" i="7" s="1"/>
  <c r="AO266" i="7"/>
  <c r="AO281" i="7" s="1"/>
  <c r="AO269" i="7"/>
  <c r="AO284" i="7" s="1"/>
  <c r="AO259" i="7"/>
  <c r="AO274" i="7" s="1"/>
  <c r="AO264" i="7"/>
  <c r="AO279" i="7" s="1"/>
  <c r="AO258" i="7"/>
  <c r="AO273" i="7" s="1"/>
  <c r="AO261" i="7"/>
  <c r="AO276" i="7" s="1"/>
  <c r="AO268" i="7"/>
  <c r="AO283" i="7" s="1"/>
  <c r="AO204" i="7"/>
  <c r="AO256" i="7" s="1"/>
  <c r="AO271" i="7" s="1"/>
  <c r="AO265" i="7"/>
  <c r="AO280" i="7" s="1"/>
  <c r="AO267" i="7"/>
  <c r="AO282" i="7" s="1"/>
  <c r="V131" i="7"/>
  <c r="V194" i="7" s="1"/>
  <c r="V92" i="14" s="1"/>
  <c r="V93" i="14" s="1"/>
  <c r="O131" i="7"/>
  <c r="O194" i="7" s="1"/>
  <c r="O92" i="14" s="1"/>
  <c r="Q323" i="7"/>
  <c r="Q388" i="7" s="1"/>
  <c r="Q142" i="14" s="1"/>
  <c r="Q143" i="14" s="1"/>
  <c r="Q147" i="14" s="1"/>
  <c r="V69" i="14"/>
  <c r="V73" i="14"/>
  <c r="V74" i="14" s="1"/>
  <c r="V75" i="14" s="1"/>
  <c r="V76" i="14" s="1"/>
  <c r="V77" i="14" s="1"/>
  <c r="V82" i="14" s="1"/>
  <c r="V85" i="14" s="1"/>
  <c r="V72" i="14"/>
  <c r="AQ267" i="7"/>
  <c r="AQ282" i="7" s="1"/>
  <c r="AR201" i="7"/>
  <c r="AR202" i="7" s="1"/>
  <c r="L144" i="10"/>
  <c r="L124" i="10"/>
  <c r="L116" i="10"/>
  <c r="L110" i="10"/>
  <c r="L196" i="10"/>
  <c r="L82" i="10"/>
  <c r="L39" i="10"/>
  <c r="L95" i="10"/>
  <c r="L50" i="10"/>
  <c r="L200" i="10"/>
  <c r="L155" i="10"/>
  <c r="L23" i="10"/>
  <c r="R69" i="14"/>
  <c r="R73" i="14"/>
  <c r="R74" i="14" s="1"/>
  <c r="R72" i="14"/>
  <c r="T323" i="7"/>
  <c r="T388" i="7" s="1"/>
  <c r="T142" i="14" s="1"/>
  <c r="T143" i="14" s="1"/>
  <c r="L41" i="10"/>
  <c r="L136" i="10"/>
  <c r="L166" i="10"/>
  <c r="L55" i="10"/>
  <c r="L194" i="10"/>
  <c r="L135" i="10"/>
  <c r="L102" i="10"/>
  <c r="L86" i="10"/>
  <c r="L63" i="10"/>
  <c r="L25" i="10"/>
  <c r="L101" i="10"/>
  <c r="L72" i="10"/>
  <c r="L48" i="10"/>
  <c r="L165" i="10"/>
  <c r="U131" i="7"/>
  <c r="U194" i="7" s="1"/>
  <c r="U92" i="14" s="1"/>
  <c r="U93" i="14" s="1"/>
  <c r="N323" i="7"/>
  <c r="N388" i="7" s="1"/>
  <c r="N142" i="14" s="1"/>
  <c r="L53" i="10"/>
  <c r="H57" i="9"/>
  <c r="L16" i="10"/>
  <c r="L143" i="10"/>
  <c r="L164" i="10"/>
  <c r="L31" i="10"/>
  <c r="L145" i="10"/>
  <c r="L161" i="10"/>
  <c r="L66" i="10"/>
  <c r="L59" i="10"/>
  <c r="L71" i="10"/>
  <c r="L103" i="10"/>
  <c r="L127" i="10"/>
  <c r="S229" i="7"/>
  <c r="S288" i="7" s="1"/>
  <c r="S117" i="14" s="1"/>
  <c r="S118" i="14" s="1"/>
  <c r="F229" i="7"/>
  <c r="F288" i="7" s="1"/>
  <c r="F117" i="14" s="1"/>
  <c r="F118" i="14" s="1"/>
  <c r="L151" i="10"/>
  <c r="L83" i="10"/>
  <c r="L87" i="10"/>
  <c r="L137" i="10"/>
  <c r="L70" i="10"/>
  <c r="L111" i="10"/>
  <c r="L197" i="10"/>
  <c r="L149" i="10"/>
  <c r="L134" i="10"/>
  <c r="L104" i="10"/>
  <c r="L132" i="10"/>
  <c r="L129" i="10"/>
  <c r="L177" i="10"/>
  <c r="AO166" i="7"/>
  <c r="AO181" i="7" s="1"/>
  <c r="AO167" i="7"/>
  <c r="AO182" i="7" s="1"/>
  <c r="AO159" i="7"/>
  <c r="AO174" i="7" s="1"/>
  <c r="AO164" i="7"/>
  <c r="AO179" i="7" s="1"/>
  <c r="AO171" i="7"/>
  <c r="AO186" i="7" s="1"/>
  <c r="AO169" i="7"/>
  <c r="AO184" i="7" s="1"/>
  <c r="AO170" i="7"/>
  <c r="AO185" i="7" s="1"/>
  <c r="AO162" i="7"/>
  <c r="AO177" i="7" s="1"/>
  <c r="AO163" i="7"/>
  <c r="AO178" i="7" s="1"/>
  <c r="AO161" i="7"/>
  <c r="AO176" i="7" s="1"/>
  <c r="AO108" i="7"/>
  <c r="AO111" i="7" s="1"/>
  <c r="AO160" i="7"/>
  <c r="AO175" i="7" s="1"/>
  <c r="AO168" i="7"/>
  <c r="AO183" i="7" s="1"/>
  <c r="AO165" i="7"/>
  <c r="AO180" i="7" s="1"/>
  <c r="AO158" i="7"/>
  <c r="AO173" i="7" s="1"/>
  <c r="AO119" i="7"/>
  <c r="AO120" i="7" s="1"/>
  <c r="AO128" i="7"/>
  <c r="AO129" i="7" s="1"/>
  <c r="AO147" i="7" s="1"/>
  <c r="S68" i="14"/>
  <c r="S69" i="14" s="1"/>
  <c r="T131" i="7"/>
  <c r="T194" i="7" s="1"/>
  <c r="T92" i="14" s="1"/>
  <c r="P323" i="7"/>
  <c r="P388" i="7" s="1"/>
  <c r="P142" i="14" s="1"/>
  <c r="P143" i="14" s="1"/>
  <c r="P144" i="14" s="1"/>
  <c r="P161" i="14" s="1"/>
  <c r="V323" i="7"/>
  <c r="V388" i="7" s="1"/>
  <c r="V142" i="14" s="1"/>
  <c r="V143" i="14" s="1"/>
  <c r="L21" i="10"/>
  <c r="AP247" i="7"/>
  <c r="L75" i="10"/>
  <c r="L168" i="10"/>
  <c r="L118" i="10"/>
  <c r="L179" i="10"/>
  <c r="L37" i="10"/>
  <c r="L22" i="10"/>
  <c r="L180" i="10"/>
  <c r="L150" i="10"/>
  <c r="L174" i="10"/>
  <c r="L138" i="10"/>
  <c r="L198" i="10"/>
  <c r="AO39" i="7"/>
  <c r="S323" i="7"/>
  <c r="S388" i="7" s="1"/>
  <c r="S142" i="14" s="1"/>
  <c r="S143" i="14" s="1"/>
  <c r="F323" i="7"/>
  <c r="F388" i="7" s="1"/>
  <c r="F142" i="14" s="1"/>
  <c r="F143" i="14" s="1"/>
  <c r="R323" i="7"/>
  <c r="R388" i="7" s="1"/>
  <c r="R142" i="14" s="1"/>
  <c r="R143" i="14" s="1"/>
  <c r="L68" i="10"/>
  <c r="AQ20" i="13"/>
  <c r="AQ6" i="24"/>
  <c r="AQ11" i="7"/>
  <c r="AQ22" i="7"/>
  <c r="L115" i="10"/>
  <c r="L202" i="10"/>
  <c r="L46" i="10"/>
  <c r="L173" i="10"/>
  <c r="L89" i="10"/>
  <c r="L27" i="10"/>
  <c r="L183" i="10"/>
  <c r="L172" i="10"/>
  <c r="L175" i="10"/>
  <c r="L26" i="10"/>
  <c r="L94" i="10"/>
  <c r="AO68" i="7"/>
  <c r="AO83" i="7" s="1"/>
  <c r="AO98" i="7" s="1"/>
  <c r="R229" i="7"/>
  <c r="R288" i="7" s="1"/>
  <c r="R117" i="14" s="1"/>
  <c r="R118" i="14" s="1"/>
  <c r="P229" i="7"/>
  <c r="P288" i="7" s="1"/>
  <c r="P117" i="14" s="1"/>
  <c r="P118" i="14" s="1"/>
  <c r="P119" i="14" s="1"/>
  <c r="L91" i="10"/>
  <c r="L148" i="10"/>
  <c r="L30" i="10"/>
  <c r="L74" i="10"/>
  <c r="L130" i="10"/>
  <c r="L51" i="10"/>
  <c r="L29" i="10"/>
  <c r="L193" i="10"/>
  <c r="L36" i="10"/>
  <c r="L90" i="10"/>
  <c r="L61" i="10"/>
  <c r="L126" i="10"/>
  <c r="AO21" i="7"/>
  <c r="L133" i="10"/>
  <c r="L49" i="10"/>
  <c r="T122" i="14"/>
  <c r="L20" i="10"/>
  <c r="L167" i="10"/>
  <c r="L67" i="10"/>
  <c r="L81" i="10"/>
  <c r="L158" i="10"/>
  <c r="L85" i="10"/>
  <c r="L44" i="10"/>
  <c r="L43" i="10"/>
  <c r="L60" i="10"/>
  <c r="L120" i="10"/>
  <c r="L99" i="10"/>
  <c r="AO35" i="7"/>
  <c r="U229" i="7"/>
  <c r="U288" i="7" s="1"/>
  <c r="U117" i="14" s="1"/>
  <c r="G7" i="8"/>
  <c r="AI25" i="15"/>
  <c r="AI26" i="15"/>
  <c r="O13" i="11"/>
  <c r="O15" i="11" s="1"/>
  <c r="O12" i="11"/>
  <c r="O14" i="11" s="1"/>
  <c r="AL12" i="11"/>
  <c r="AL14" i="11" s="1"/>
  <c r="AF21" i="15" s="1"/>
  <c r="AF5" i="9" s="1"/>
  <c r="AL13" i="11"/>
  <c r="AL15" i="11" s="1"/>
  <c r="AF22" i="15" s="1"/>
  <c r="AF43" i="15" s="1"/>
  <c r="W4" i="10"/>
  <c r="W104" i="10" s="1"/>
  <c r="M118" i="10"/>
  <c r="M115" i="10"/>
  <c r="G49" i="9"/>
  <c r="AB28" i="21"/>
  <c r="M122" i="10"/>
  <c r="I57" i="9"/>
  <c r="K131" i="10"/>
  <c r="M179" i="10"/>
  <c r="M164" i="10"/>
  <c r="M168" i="10"/>
  <c r="M26" i="10"/>
  <c r="M38" i="10"/>
  <c r="M53" i="10"/>
  <c r="M68" i="10"/>
  <c r="M46" i="10"/>
  <c r="M64" i="10"/>
  <c r="M16" i="10"/>
  <c r="M35" i="10"/>
  <c r="M81" i="10"/>
  <c r="M50" i="10"/>
  <c r="M42" i="10"/>
  <c r="M58" i="10"/>
  <c r="M202" i="10"/>
  <c r="M191" i="10"/>
  <c r="M146" i="10"/>
  <c r="M94" i="10"/>
  <c r="M151" i="10"/>
  <c r="M181" i="10"/>
  <c r="M52" i="10"/>
  <c r="M37" i="10"/>
  <c r="M171" i="10"/>
  <c r="M116" i="10"/>
  <c r="M67" i="10"/>
  <c r="M108" i="10"/>
  <c r="M59" i="10"/>
  <c r="M61" i="10"/>
  <c r="M198" i="10"/>
  <c r="M170" i="10"/>
  <c r="M165" i="10"/>
  <c r="K62" i="10"/>
  <c r="M20" i="10"/>
  <c r="M24" i="10"/>
  <c r="M31" i="10"/>
  <c r="M112" i="10"/>
  <c r="M85" i="10"/>
  <c r="M156" i="10"/>
  <c r="M107" i="10"/>
  <c r="M97" i="10"/>
  <c r="M172" i="10"/>
  <c r="M66" i="10"/>
  <c r="M120" i="10"/>
  <c r="M119" i="10"/>
  <c r="M88" i="10"/>
  <c r="M86" i="10"/>
  <c r="M149" i="10"/>
  <c r="M111" i="10"/>
  <c r="M182" i="10"/>
  <c r="M135" i="10"/>
  <c r="M72" i="10"/>
  <c r="M47" i="10"/>
  <c r="M125" i="10"/>
  <c r="M180" i="10"/>
  <c r="M134" i="10"/>
  <c r="M109" i="10"/>
  <c r="I58" i="9"/>
  <c r="M32" i="10"/>
  <c r="M121" i="10"/>
  <c r="M159" i="10"/>
  <c r="M124" i="10"/>
  <c r="M192" i="10"/>
  <c r="M136" i="10"/>
  <c r="M73" i="10"/>
  <c r="M56" i="10"/>
  <c r="M153" i="10"/>
  <c r="M200" i="10"/>
  <c r="M183" i="10"/>
  <c r="M82" i="10"/>
  <c r="M65" i="10"/>
  <c r="M41" i="10"/>
  <c r="M190" i="10"/>
  <c r="M173" i="10"/>
  <c r="M117" i="10"/>
  <c r="M158" i="10"/>
  <c r="M36" i="10"/>
  <c r="M93" i="10"/>
  <c r="M175" i="10"/>
  <c r="M123" i="10"/>
  <c r="M185" i="10"/>
  <c r="K133" i="10"/>
  <c r="M18" i="10"/>
  <c r="M83" i="10"/>
  <c r="M89" i="10"/>
  <c r="M189" i="10"/>
  <c r="M91" i="10"/>
  <c r="M161" i="10"/>
  <c r="M27" i="10"/>
  <c r="M95" i="10"/>
  <c r="M126" i="10"/>
  <c r="M23" i="10"/>
  <c r="M163" i="10"/>
  <c r="M199" i="10"/>
  <c r="M132" i="10"/>
  <c r="AI40" i="15"/>
  <c r="M34" i="10"/>
  <c r="M69" i="10"/>
  <c r="M98" i="10"/>
  <c r="M157" i="10"/>
  <c r="M143" i="10"/>
  <c r="M154" i="10"/>
  <c r="M63" i="10"/>
  <c r="M60" i="10"/>
  <c r="M174" i="10"/>
  <c r="M128" i="10"/>
  <c r="M152" i="10"/>
  <c r="M155" i="10"/>
  <c r="M104" i="10"/>
  <c r="I9" i="8"/>
  <c r="M40" i="10"/>
  <c r="M102" i="10"/>
  <c r="M160" i="10"/>
  <c r="M148" i="10"/>
  <c r="M44" i="10"/>
  <c r="M19" i="10"/>
  <c r="M17" i="10"/>
  <c r="M96" i="10"/>
  <c r="M101" i="10"/>
  <c r="M147" i="10"/>
  <c r="M138" i="10"/>
  <c r="M131" i="10"/>
  <c r="M45" i="10"/>
  <c r="M33" i="10"/>
  <c r="M51" i="10"/>
  <c r="M169" i="10"/>
  <c r="M178" i="10"/>
  <c r="M92" i="10"/>
  <c r="M106" i="10"/>
  <c r="M39" i="10"/>
  <c r="M129" i="10"/>
  <c r="M139" i="10"/>
  <c r="M187" i="10"/>
  <c r="M114" i="10"/>
  <c r="M166" i="10"/>
  <c r="M133" i="10"/>
  <c r="M55" i="10"/>
  <c r="M62" i="10"/>
  <c r="M194" i="10"/>
  <c r="M197" i="10"/>
  <c r="M87" i="10"/>
  <c r="M137" i="10"/>
  <c r="M25" i="10"/>
  <c r="M57" i="10"/>
  <c r="M195" i="10"/>
  <c r="M193" i="10"/>
  <c r="M162" i="10"/>
  <c r="M186" i="10"/>
  <c r="M90" i="10"/>
  <c r="AD41" i="9"/>
  <c r="AD42" i="9" s="1"/>
  <c r="AD50" i="9" s="1"/>
  <c r="M21" i="10"/>
  <c r="M30" i="10"/>
  <c r="M100" i="10"/>
  <c r="M84" i="10"/>
  <c r="M75" i="10"/>
  <c r="M201" i="10"/>
  <c r="M43" i="10"/>
  <c r="M48" i="10"/>
  <c r="M188" i="10"/>
  <c r="M99" i="10"/>
  <c r="M176" i="10"/>
  <c r="M167" i="10"/>
  <c r="M22" i="10"/>
  <c r="M70" i="10"/>
  <c r="M80" i="10"/>
  <c r="M110" i="10"/>
  <c r="M113" i="10"/>
  <c r="M196" i="10"/>
  <c r="M49" i="10"/>
  <c r="M105" i="10"/>
  <c r="M184" i="10"/>
  <c r="M150" i="10"/>
  <c r="M103" i="10"/>
  <c r="M29" i="10"/>
  <c r="M74" i="10"/>
  <c r="M145" i="10"/>
  <c r="M130" i="10"/>
  <c r="M144" i="10"/>
  <c r="M54" i="10"/>
  <c r="M71" i="10"/>
  <c r="M28" i="10"/>
  <c r="M127" i="10"/>
  <c r="M177" i="10"/>
  <c r="G8" i="8"/>
  <c r="K183" i="10"/>
  <c r="K51" i="10"/>
  <c r="I56" i="9"/>
  <c r="K53" i="10"/>
  <c r="K108" i="10"/>
  <c r="K159" i="10"/>
  <c r="K201" i="10"/>
  <c r="K196" i="10"/>
  <c r="K84" i="10"/>
  <c r="K143" i="10"/>
  <c r="I48" i="9"/>
  <c r="K38" i="10"/>
  <c r="K50" i="10"/>
  <c r="K55" i="10"/>
  <c r="K90" i="10"/>
  <c r="K44" i="10"/>
  <c r="K147" i="10"/>
  <c r="K54" i="10"/>
  <c r="K97" i="10"/>
  <c r="K94" i="10"/>
  <c r="K167" i="10"/>
  <c r="K155" i="10"/>
  <c r="K25" i="10"/>
  <c r="K64" i="10"/>
  <c r="K43" i="10"/>
  <c r="K128" i="10"/>
  <c r="K152" i="10"/>
  <c r="K42" i="10"/>
  <c r="K171" i="10"/>
  <c r="K146" i="10"/>
  <c r="K69" i="10"/>
  <c r="K121" i="10"/>
  <c r="K158" i="10"/>
  <c r="K35" i="10"/>
  <c r="K120" i="10"/>
  <c r="K162" i="10"/>
  <c r="K180" i="10"/>
  <c r="K199" i="10"/>
  <c r="K31" i="10"/>
  <c r="K189" i="10"/>
  <c r="K192" i="10"/>
  <c r="K98" i="10"/>
  <c r="K157" i="10"/>
  <c r="K63" i="10"/>
  <c r="K47" i="10"/>
  <c r="K153" i="10"/>
  <c r="K57" i="10"/>
  <c r="K60" i="10"/>
  <c r="K105" i="10"/>
  <c r="K21" i="10"/>
  <c r="K80" i="10"/>
  <c r="K85" i="10"/>
  <c r="K117" i="10"/>
  <c r="K75" i="10"/>
  <c r="K164" i="10"/>
  <c r="K26" i="10"/>
  <c r="K193" i="10"/>
  <c r="K125" i="10"/>
  <c r="K95" i="10"/>
  <c r="K96" i="10"/>
  <c r="K89" i="10"/>
  <c r="K29" i="10"/>
  <c r="K106" i="10"/>
  <c r="K144" i="10"/>
  <c r="K181" i="10"/>
  <c r="K65" i="10"/>
  <c r="K194" i="10"/>
  <c r="K56" i="10"/>
  <c r="K184" i="10"/>
  <c r="K177" i="10"/>
  <c r="K126" i="10"/>
  <c r="K166" i="10"/>
  <c r="K30" i="10"/>
  <c r="K27" i="10"/>
  <c r="K118" i="10"/>
  <c r="K145" i="10"/>
  <c r="K100" i="10"/>
  <c r="K148" i="10"/>
  <c r="K16" i="10"/>
  <c r="K71" i="10"/>
  <c r="K66" i="10"/>
  <c r="K195" i="10"/>
  <c r="K139" i="10"/>
  <c r="K186" i="10"/>
  <c r="K17" i="10"/>
  <c r="K52" i="10"/>
  <c r="K135" i="10"/>
  <c r="K178" i="10"/>
  <c r="K91" i="10"/>
  <c r="K130" i="10"/>
  <c r="K48" i="10"/>
  <c r="K114" i="10"/>
  <c r="K132" i="10"/>
  <c r="K72" i="10"/>
  <c r="K129" i="10"/>
  <c r="K103" i="10"/>
  <c r="K18" i="10"/>
  <c r="K41" i="10"/>
  <c r="K190" i="10"/>
  <c r="K67" i="10"/>
  <c r="K113" i="10"/>
  <c r="K83" i="10"/>
  <c r="I49" i="9"/>
  <c r="K119" i="10"/>
  <c r="K163" i="10"/>
  <c r="K58" i="10"/>
  <c r="K188" i="10"/>
  <c r="K104" i="10"/>
  <c r="K24" i="10"/>
  <c r="K151" i="10"/>
  <c r="K149" i="10"/>
  <c r="K110" i="10"/>
  <c r="K102" i="10"/>
  <c r="K70" i="10"/>
  <c r="G9" i="8"/>
  <c r="K61" i="10"/>
  <c r="K170" i="10"/>
  <c r="K138" i="10"/>
  <c r="K68" i="10"/>
  <c r="K174" i="10"/>
  <c r="K46" i="10"/>
  <c r="K169" i="10"/>
  <c r="K197" i="10"/>
  <c r="K107" i="10"/>
  <c r="K136" i="10"/>
  <c r="K112" i="10"/>
  <c r="I59" i="9"/>
  <c r="I54" i="9"/>
  <c r="K49" i="10"/>
  <c r="K99" i="10"/>
  <c r="K150" i="10"/>
  <c r="K101" i="10"/>
  <c r="K172" i="10"/>
  <c r="K37" i="10"/>
  <c r="K161" i="10"/>
  <c r="K87" i="10"/>
  <c r="K86" i="10"/>
  <c r="K111" i="10"/>
  <c r="K124" i="10"/>
  <c r="K20" i="10"/>
  <c r="K127" i="10"/>
  <c r="K122" i="10"/>
  <c r="K185" i="10"/>
  <c r="K187" i="10"/>
  <c r="K23" i="10"/>
  <c r="K32" i="10"/>
  <c r="K202" i="10"/>
  <c r="K156" i="10"/>
  <c r="K109" i="10"/>
  <c r="K115" i="10"/>
  <c r="K168" i="10"/>
  <c r="K28" i="10"/>
  <c r="K165" i="10"/>
  <c r="K123" i="10"/>
  <c r="K59" i="10"/>
  <c r="K176" i="10"/>
  <c r="K22" i="10"/>
  <c r="K19" i="10"/>
  <c r="K40" i="10"/>
  <c r="K160" i="10"/>
  <c r="K154" i="10"/>
  <c r="K82" i="10"/>
  <c r="K45" i="10"/>
  <c r="K198" i="10"/>
  <c r="K175" i="10"/>
  <c r="K93" i="10"/>
  <c r="K191" i="10"/>
  <c r="K33" i="10"/>
  <c r="K81" i="10"/>
  <c r="K88" i="10"/>
  <c r="K179" i="10"/>
  <c r="K182" i="10"/>
  <c r="K137" i="10"/>
  <c r="K36" i="10"/>
  <c r="K39" i="10"/>
  <c r="K200" i="10"/>
  <c r="K134" i="10"/>
  <c r="K73" i="10"/>
  <c r="K34" i="10"/>
  <c r="K116" i="10"/>
  <c r="K92" i="10"/>
  <c r="K173" i="10"/>
  <c r="K74" i="10"/>
  <c r="G56" i="9"/>
  <c r="G54" i="9"/>
  <c r="G58" i="9"/>
  <c r="G59" i="9"/>
  <c r="G57" i="9"/>
  <c r="N57" i="9"/>
  <c r="AG41" i="9"/>
  <c r="AG42" i="9" s="1"/>
  <c r="AG50" i="9" s="1"/>
  <c r="AG17" i="9"/>
  <c r="AG18" i="9" s="1"/>
  <c r="AG7" i="8" s="1"/>
  <c r="AG33" i="9"/>
  <c r="AG34" i="9" s="1"/>
  <c r="AK5" i="10" s="1"/>
  <c r="AG38" i="9"/>
  <c r="AG39" i="9" s="1"/>
  <c r="AG56" i="9" s="1"/>
  <c r="AG36" i="9"/>
  <c r="AK7" i="10" s="1"/>
  <c r="AG27" i="9"/>
  <c r="AG28" i="9" s="1"/>
  <c r="AG9" i="8" s="1"/>
  <c r="AG22" i="9"/>
  <c r="AG23" i="9" s="1"/>
  <c r="AG8" i="8" s="1"/>
  <c r="AG44" i="9"/>
  <c r="AG45" i="9" s="1"/>
  <c r="AG55" i="9" s="1"/>
  <c r="AG11" i="9"/>
  <c r="AG12" i="9" s="1"/>
  <c r="AG54" i="9" s="1"/>
  <c r="K73" i="21"/>
  <c r="W7" i="8"/>
  <c r="AO29" i="15"/>
  <c r="AO37" i="15" s="1"/>
  <c r="AO38" i="15" s="1"/>
  <c r="AO39" i="15" s="1"/>
  <c r="AO40" i="15" s="1"/>
  <c r="N9" i="8"/>
  <c r="R201" i="10"/>
  <c r="R116" i="10"/>
  <c r="S35" i="21"/>
  <c r="S36" i="21" s="1"/>
  <c r="AA89" i="10"/>
  <c r="J39" i="15"/>
  <c r="J40" i="15" s="1"/>
  <c r="W59" i="9"/>
  <c r="R160" i="10"/>
  <c r="N8" i="8"/>
  <c r="R148" i="10"/>
  <c r="R91" i="10"/>
  <c r="R146" i="10"/>
  <c r="R51" i="10"/>
  <c r="S7" i="8"/>
  <c r="R31" i="10"/>
  <c r="R98" i="10"/>
  <c r="R137" i="10"/>
  <c r="R144" i="10"/>
  <c r="AA40" i="10"/>
  <c r="R106" i="10"/>
  <c r="W8" i="8"/>
  <c r="AA27" i="10"/>
  <c r="R20" i="10"/>
  <c r="AB73" i="21"/>
  <c r="R28" i="10"/>
  <c r="R90" i="10"/>
  <c r="R175" i="10"/>
  <c r="R176" i="10"/>
  <c r="R134" i="10"/>
  <c r="R186" i="10"/>
  <c r="R139" i="10"/>
  <c r="S49" i="9"/>
  <c r="R170" i="10"/>
  <c r="R66" i="10"/>
  <c r="R64" i="10"/>
  <c r="N49" i="9"/>
  <c r="R26" i="10"/>
  <c r="AA42" i="10"/>
  <c r="T12" i="11"/>
  <c r="T14" i="11" s="1"/>
  <c r="N21" i="15" s="1"/>
  <c r="N5" i="9" s="1"/>
  <c r="T13" i="11"/>
  <c r="T15" i="11" s="1"/>
  <c r="N22" i="15" s="1"/>
  <c r="N43" i="15" s="1"/>
  <c r="N59" i="9"/>
  <c r="N58" i="9"/>
  <c r="AB25" i="21"/>
  <c r="AB26" i="21" s="1"/>
  <c r="S58" i="9"/>
  <c r="AA148" i="10"/>
  <c r="AA178" i="10"/>
  <c r="AD11" i="9"/>
  <c r="AD12" i="9" s="1"/>
  <c r="AA83" i="10"/>
  <c r="AA189" i="10"/>
  <c r="AA85" i="10"/>
  <c r="AD27" i="9"/>
  <c r="AD28" i="9" s="1"/>
  <c r="AD9" i="8" s="1"/>
  <c r="AD44" i="9"/>
  <c r="AD45" i="9" s="1"/>
  <c r="AD55" i="9" s="1"/>
  <c r="AA157" i="10"/>
  <c r="AA62" i="10"/>
  <c r="AA112" i="10"/>
  <c r="AA74" i="10"/>
  <c r="AA65" i="10"/>
  <c r="W9" i="8"/>
  <c r="AD38" i="9"/>
  <c r="AD39" i="9" s="1"/>
  <c r="AD48" i="9" s="1"/>
  <c r="AO17" i="15"/>
  <c r="AU10" i="11" s="1"/>
  <c r="AA143" i="10"/>
  <c r="AA81" i="10"/>
  <c r="V7" i="8"/>
  <c r="AD22" i="9"/>
  <c r="AD23" i="9" s="1"/>
  <c r="AA107" i="10"/>
  <c r="AA159" i="10"/>
  <c r="AD17" i="9"/>
  <c r="AD18" i="9" s="1"/>
  <c r="AD7" i="8" s="1"/>
  <c r="W58" i="9"/>
  <c r="AD36" i="9"/>
  <c r="AH7" i="10" s="1"/>
  <c r="AO15" i="15"/>
  <c r="AU9" i="11" s="1"/>
  <c r="AA194" i="10"/>
  <c r="AD33" i="9"/>
  <c r="AD34" i="9" s="1"/>
  <c r="AH5" i="10" s="1"/>
  <c r="AO19" i="15"/>
  <c r="AU11" i="11" s="1"/>
  <c r="AA16" i="10"/>
  <c r="AA150" i="10"/>
  <c r="R156" i="10"/>
  <c r="J73" i="21"/>
  <c r="S57" i="9"/>
  <c r="S56" i="9"/>
  <c r="S8" i="8"/>
  <c r="S59" i="9"/>
  <c r="F43" i="21"/>
  <c r="F39" i="21"/>
  <c r="F53" i="21"/>
  <c r="F54" i="21" s="1"/>
  <c r="F55" i="21" s="1"/>
  <c r="F56" i="21" s="1"/>
  <c r="F46" i="21"/>
  <c r="F47" i="21" s="1"/>
  <c r="F48" i="21" s="1"/>
  <c r="F11" i="8" s="1"/>
  <c r="R128" i="10"/>
  <c r="R127" i="10"/>
  <c r="R101" i="10"/>
  <c r="R71" i="10"/>
  <c r="R193" i="10"/>
  <c r="R124" i="10"/>
  <c r="R192" i="10"/>
  <c r="R136" i="10"/>
  <c r="R118" i="10"/>
  <c r="R110" i="10"/>
  <c r="R75" i="10"/>
  <c r="R18" i="10"/>
  <c r="R138" i="10"/>
  <c r="R129" i="10"/>
  <c r="R23" i="10"/>
  <c r="R200" i="10"/>
  <c r="R131" i="10"/>
  <c r="R29" i="10"/>
  <c r="R196" i="10"/>
  <c r="R44" i="10"/>
  <c r="R168" i="10"/>
  <c r="R179" i="10"/>
  <c r="R173" i="10"/>
  <c r="AA105" i="10"/>
  <c r="R177" i="10"/>
  <c r="R43" i="10"/>
  <c r="R96" i="10"/>
  <c r="R49" i="10"/>
  <c r="R165" i="10"/>
  <c r="R67" i="10"/>
  <c r="R33" i="10"/>
  <c r="R42" i="10"/>
  <c r="R189" i="10"/>
  <c r="R182" i="10"/>
  <c r="R161" i="10"/>
  <c r="AA119" i="10"/>
  <c r="R57" i="10"/>
  <c r="R45" i="10"/>
  <c r="R166" i="10"/>
  <c r="R48" i="10"/>
  <c r="R198" i="10"/>
  <c r="R81" i="10"/>
  <c r="R55" i="10"/>
  <c r="R89" i="10"/>
  <c r="R54" i="10"/>
  <c r="R32" i="10"/>
  <c r="R151" i="10"/>
  <c r="AA195" i="10"/>
  <c r="F4" i="9"/>
  <c r="F80" i="9" s="1"/>
  <c r="R180" i="10"/>
  <c r="R95" i="10"/>
  <c r="R183" i="10"/>
  <c r="R153" i="10"/>
  <c r="R36" i="10"/>
  <c r="R102" i="10"/>
  <c r="R74" i="10"/>
  <c r="R164" i="10"/>
  <c r="R40" i="10"/>
  <c r="R30" i="10"/>
  <c r="R41" i="10"/>
  <c r="AA187" i="10"/>
  <c r="AA49" i="10"/>
  <c r="K40" i="15"/>
  <c r="F4" i="20"/>
  <c r="R73" i="10"/>
  <c r="R152" i="10"/>
  <c r="R187" i="10"/>
  <c r="R162" i="10"/>
  <c r="R68" i="10"/>
  <c r="R115" i="10"/>
  <c r="R62" i="10"/>
  <c r="R167" i="10"/>
  <c r="R86" i="10"/>
  <c r="R65" i="10"/>
  <c r="R16" i="10"/>
  <c r="AA188" i="10"/>
  <c r="J4" i="22"/>
  <c r="F44" i="15"/>
  <c r="F45" i="15" s="1"/>
  <c r="F46" i="15" s="1"/>
  <c r="R104" i="10"/>
  <c r="R191" i="10"/>
  <c r="R38" i="10"/>
  <c r="R195" i="10"/>
  <c r="R72" i="10"/>
  <c r="R154" i="10"/>
  <c r="R135" i="10"/>
  <c r="R197" i="10"/>
  <c r="R178" i="10"/>
  <c r="R113" i="10"/>
  <c r="R21" i="10"/>
  <c r="AA50" i="10"/>
  <c r="R125" i="10"/>
  <c r="R120" i="10"/>
  <c r="R56" i="10"/>
  <c r="R53" i="10"/>
  <c r="R132" i="10"/>
  <c r="R133" i="10"/>
  <c r="R149" i="10"/>
  <c r="R111" i="10"/>
  <c r="R80" i="10"/>
  <c r="R145" i="10"/>
  <c r="R17" i="10"/>
  <c r="AA58" i="10"/>
  <c r="N7" i="8"/>
  <c r="R163" i="10"/>
  <c r="R103" i="10"/>
  <c r="R122" i="10"/>
  <c r="R60" i="10"/>
  <c r="R184" i="10"/>
  <c r="R24" i="10"/>
  <c r="R159" i="10"/>
  <c r="R157" i="10"/>
  <c r="R158" i="10"/>
  <c r="R87" i="10"/>
  <c r="R130" i="10"/>
  <c r="R19" i="10"/>
  <c r="AA122" i="10"/>
  <c r="R188" i="10"/>
  <c r="R123" i="10"/>
  <c r="R93" i="10"/>
  <c r="R114" i="10"/>
  <c r="R185" i="10"/>
  <c r="R22" i="10"/>
  <c r="R169" i="10"/>
  <c r="R202" i="10"/>
  <c r="R194" i="10"/>
  <c r="R109" i="10"/>
  <c r="R181" i="10"/>
  <c r="AA104" i="10"/>
  <c r="R25" i="10"/>
  <c r="R58" i="10"/>
  <c r="R126" i="10"/>
  <c r="R61" i="10"/>
  <c r="R147" i="10"/>
  <c r="R37" i="10"/>
  <c r="R46" i="10"/>
  <c r="R34" i="10"/>
  <c r="R27" i="10"/>
  <c r="R112" i="10"/>
  <c r="R190" i="10"/>
  <c r="R47" i="10"/>
  <c r="R59" i="10"/>
  <c r="R172" i="10"/>
  <c r="R97" i="10"/>
  <c r="R174" i="10"/>
  <c r="R52" i="10"/>
  <c r="R92" i="10"/>
  <c r="R69" i="10"/>
  <c r="R82" i="10"/>
  <c r="R143" i="10"/>
  <c r="R100" i="10"/>
  <c r="R94" i="10"/>
  <c r="R50" i="10"/>
  <c r="R39" i="10"/>
  <c r="R150" i="10"/>
  <c r="R199" i="10"/>
  <c r="R84" i="10"/>
  <c r="R117" i="10"/>
  <c r="R88" i="10"/>
  <c r="R121" i="10"/>
  <c r="R63" i="10"/>
  <c r="R108" i="10"/>
  <c r="R119" i="10"/>
  <c r="R99" i="10"/>
  <c r="R105" i="10"/>
  <c r="R35" i="10"/>
  <c r="R155" i="10"/>
  <c r="R107" i="10"/>
  <c r="R171" i="10"/>
  <c r="R70" i="10"/>
  <c r="R85" i="10"/>
  <c r="R83" i="10"/>
  <c r="R35" i="21"/>
  <c r="R36" i="21" s="1"/>
  <c r="AA32" i="10"/>
  <c r="AA98" i="10"/>
  <c r="AA110" i="10"/>
  <c r="AA117" i="10"/>
  <c r="AA87" i="10"/>
  <c r="AA70" i="10"/>
  <c r="AA170" i="10"/>
  <c r="AA48" i="10"/>
  <c r="AA61" i="10"/>
  <c r="AA152" i="10"/>
  <c r="AA71" i="10"/>
  <c r="AA17" i="10"/>
  <c r="AA111" i="10"/>
  <c r="AA181" i="10"/>
  <c r="AA168" i="10"/>
  <c r="AA118" i="10"/>
  <c r="AA67" i="10"/>
  <c r="AA26" i="10"/>
  <c r="AA66" i="10"/>
  <c r="AA73" i="10"/>
  <c r="AA139" i="10"/>
  <c r="AA126" i="10"/>
  <c r="AA54" i="10"/>
  <c r="AA146" i="10"/>
  <c r="AA51" i="10"/>
  <c r="AA190" i="10"/>
  <c r="AA179" i="10"/>
  <c r="AA124" i="10"/>
  <c r="AA43" i="10"/>
  <c r="AA129" i="10"/>
  <c r="AA101" i="10"/>
  <c r="AA163" i="10"/>
  <c r="AA153" i="10"/>
  <c r="AA30" i="10"/>
  <c r="AA182" i="10"/>
  <c r="AA113" i="10"/>
  <c r="AA22" i="10"/>
  <c r="AA171" i="10"/>
  <c r="AA145" i="10"/>
  <c r="AA23" i="10"/>
  <c r="AA93" i="10"/>
  <c r="AA131" i="10"/>
  <c r="AA125" i="10"/>
  <c r="AA193" i="10"/>
  <c r="AA39" i="10"/>
  <c r="AA18" i="10"/>
  <c r="AA31" i="10"/>
  <c r="AA91" i="10"/>
  <c r="AA75" i="10"/>
  <c r="AA33" i="10"/>
  <c r="AA167" i="10"/>
  <c r="AA25" i="10"/>
  <c r="AA127" i="10"/>
  <c r="AA176" i="10"/>
  <c r="AA138" i="10"/>
  <c r="AA199" i="10"/>
  <c r="AA20" i="10"/>
  <c r="W57" i="9"/>
  <c r="AA52" i="10"/>
  <c r="AA82" i="10"/>
  <c r="AA100" i="10"/>
  <c r="AA151" i="10"/>
  <c r="AA92" i="10"/>
  <c r="AA202" i="10"/>
  <c r="AA28" i="10"/>
  <c r="AA174" i="10"/>
  <c r="AA198" i="10"/>
  <c r="AA68" i="10"/>
  <c r="AA59" i="10"/>
  <c r="W49" i="9"/>
  <c r="AA46" i="10"/>
  <c r="AA88" i="10"/>
  <c r="AA115" i="10"/>
  <c r="AA158" i="10"/>
  <c r="AA37" i="10"/>
  <c r="AA44" i="10"/>
  <c r="AA57" i="10"/>
  <c r="AA183" i="10"/>
  <c r="AA53" i="10"/>
  <c r="AA128" i="10"/>
  <c r="AA99" i="10"/>
  <c r="W56" i="9"/>
  <c r="AA84" i="10"/>
  <c r="AA106" i="10"/>
  <c r="AA130" i="10"/>
  <c r="AA201" i="10"/>
  <c r="AA41" i="10"/>
  <c r="AA108" i="10"/>
  <c r="AA97" i="10"/>
  <c r="AA200" i="10"/>
  <c r="AA103" i="10"/>
  <c r="AA162" i="10"/>
  <c r="AA96" i="10"/>
  <c r="AB31" i="21"/>
  <c r="AA86" i="10"/>
  <c r="AA102" i="10"/>
  <c r="AA21" i="10"/>
  <c r="AA19" i="10"/>
  <c r="AA160" i="10"/>
  <c r="AA69" i="10"/>
  <c r="AA180" i="10"/>
  <c r="AA45" i="10"/>
  <c r="AA114" i="10"/>
  <c r="AA166" i="10"/>
  <c r="AA177" i="10"/>
  <c r="AA47" i="10"/>
  <c r="AA64" i="10"/>
  <c r="AA155" i="10"/>
  <c r="AA90" i="10"/>
  <c r="AA175" i="10"/>
  <c r="AA136" i="10"/>
  <c r="AA169" i="10"/>
  <c r="AA156" i="10"/>
  <c r="AA80" i="10"/>
  <c r="AA63" i="10"/>
  <c r="AA121" i="10"/>
  <c r="AA94" i="10"/>
  <c r="AA95" i="10"/>
  <c r="AA172" i="10"/>
  <c r="AA147" i="10"/>
  <c r="AA186" i="10"/>
  <c r="AA154" i="10"/>
  <c r="AA192" i="10"/>
  <c r="AA109" i="10"/>
  <c r="AA116" i="10"/>
  <c r="AA144" i="10"/>
  <c r="AA135" i="10"/>
  <c r="W149" i="10"/>
  <c r="AA185" i="10"/>
  <c r="AA123" i="10"/>
  <c r="AA56" i="10"/>
  <c r="AA134" i="10"/>
  <c r="AA38" i="10"/>
  <c r="AA197" i="10"/>
  <c r="AA34" i="10"/>
  <c r="AA173" i="10"/>
  <c r="AA137" i="10"/>
  <c r="AA164" i="10"/>
  <c r="AA133" i="10"/>
  <c r="AA184" i="10"/>
  <c r="AA132" i="10"/>
  <c r="AA72" i="10"/>
  <c r="AA191" i="10"/>
  <c r="AA60" i="10"/>
  <c r="AA55" i="10"/>
  <c r="AA24" i="10"/>
  <c r="AA29" i="10"/>
  <c r="AA196" i="10"/>
  <c r="AA161" i="10"/>
  <c r="AA149" i="10"/>
  <c r="AA35" i="10"/>
  <c r="AA165" i="10"/>
  <c r="AA120" i="10"/>
  <c r="AA36" i="10"/>
  <c r="AP286" i="7"/>
  <c r="V8" i="8"/>
  <c r="S6" i="10"/>
  <c r="O44" i="9"/>
  <c r="O45" i="9" s="1"/>
  <c r="O55" i="9" s="1"/>
  <c r="O36" i="9"/>
  <c r="S7" i="10" s="1"/>
  <c r="O38" i="9"/>
  <c r="O39" i="9" s="1"/>
  <c r="O48" i="9" s="1"/>
  <c r="O17" i="9"/>
  <c r="O18" i="9" s="1"/>
  <c r="S2" i="10" s="1"/>
  <c r="K33" i="15"/>
  <c r="K34" i="15" s="1"/>
  <c r="O33" i="9"/>
  <c r="O34" i="9" s="1"/>
  <c r="S5" i="10" s="1"/>
  <c r="O27" i="9"/>
  <c r="O28" i="9" s="1"/>
  <c r="S4" i="10" s="1"/>
  <c r="O22" i="9"/>
  <c r="O23" i="9" s="1"/>
  <c r="S3" i="10" s="1"/>
  <c r="O41" i="9"/>
  <c r="O42" i="9" s="1"/>
  <c r="O50" i="9" s="1"/>
  <c r="AO31" i="15"/>
  <c r="AO32" i="15" s="1"/>
  <c r="AO33" i="15" s="1"/>
  <c r="AO34" i="15" s="1"/>
  <c r="AO13" i="15"/>
  <c r="AU8" i="11" s="1"/>
  <c r="R27" i="9"/>
  <c r="R28" i="9" s="1"/>
  <c r="V4" i="10" s="1"/>
  <c r="AO10" i="13"/>
  <c r="AO3" i="9" s="1"/>
  <c r="AS6" i="10" s="1"/>
  <c r="AO7" i="15"/>
  <c r="AU5" i="11" s="1"/>
  <c r="F22" i="13"/>
  <c r="F41" i="8"/>
  <c r="F23" i="13" s="1"/>
  <c r="R36" i="9"/>
  <c r="V7" i="10" s="1"/>
  <c r="R17" i="9"/>
  <c r="R18" i="9" s="1"/>
  <c r="V2" i="10" s="1"/>
  <c r="R38" i="9"/>
  <c r="R39" i="9" s="1"/>
  <c r="R48" i="9" s="1"/>
  <c r="Q46" i="11"/>
  <c r="R3" i="8"/>
  <c r="R44" i="9"/>
  <c r="R45" i="9" s="1"/>
  <c r="R55" i="9" s="1"/>
  <c r="U13" i="11"/>
  <c r="U15" i="11" s="1"/>
  <c r="O22" i="15" s="1"/>
  <c r="O43" i="15" s="1"/>
  <c r="R22" i="9"/>
  <c r="R23" i="9" s="1"/>
  <c r="R11" i="9"/>
  <c r="R12" i="9" s="1"/>
  <c r="R54" i="9" s="1"/>
  <c r="AP42" i="7"/>
  <c r="R33" i="9"/>
  <c r="R34" i="9" s="1"/>
  <c r="V5" i="10" s="1"/>
  <c r="AT31" i="11"/>
  <c r="U12" i="11"/>
  <c r="U14" i="11" s="1"/>
  <c r="O21" i="15" s="1"/>
  <c r="O5" i="9" s="1"/>
  <c r="AP44" i="7"/>
  <c r="AP31" i="7"/>
  <c r="Z26" i="21"/>
  <c r="I105" i="10"/>
  <c r="Q118" i="11"/>
  <c r="AT130" i="11"/>
  <c r="R31" i="21"/>
  <c r="AA26" i="15"/>
  <c r="AT73" i="11"/>
  <c r="AT70" i="11"/>
  <c r="Q54" i="11"/>
  <c r="Q80" i="11"/>
  <c r="Q135" i="11"/>
  <c r="Q45" i="11"/>
  <c r="Q87" i="11"/>
  <c r="Q27" i="11"/>
  <c r="R73" i="21"/>
  <c r="AA25" i="15"/>
  <c r="AP56" i="7"/>
  <c r="AT24" i="11"/>
  <c r="AT108" i="11"/>
  <c r="AT64" i="11"/>
  <c r="R32" i="15"/>
  <c r="R33" i="15" s="1"/>
  <c r="AG27" i="11"/>
  <c r="AT133" i="11"/>
  <c r="AB26" i="15"/>
  <c r="AT56" i="11"/>
  <c r="I191" i="10"/>
  <c r="W175" i="10"/>
  <c r="W12" i="11"/>
  <c r="W14" i="11" s="1"/>
  <c r="Q21" i="15" s="1"/>
  <c r="Q5" i="9" s="1"/>
  <c r="X31" i="11"/>
  <c r="X41" i="11"/>
  <c r="X40" i="11"/>
  <c r="X19" i="11"/>
  <c r="X126" i="11"/>
  <c r="X131" i="11"/>
  <c r="X100" i="11"/>
  <c r="X69" i="11"/>
  <c r="X107" i="11"/>
  <c r="X52" i="11"/>
  <c r="X27" i="11"/>
  <c r="X136" i="11"/>
  <c r="X127" i="11"/>
  <c r="X105" i="11"/>
  <c r="X58" i="11"/>
  <c r="X98" i="11"/>
  <c r="X51" i="11"/>
  <c r="X47" i="11"/>
  <c r="X128" i="11"/>
  <c r="X113" i="11"/>
  <c r="X104" i="11"/>
  <c r="X50" i="11"/>
  <c r="X108" i="11"/>
  <c r="X36" i="11"/>
  <c r="X61" i="11"/>
  <c r="X120" i="11"/>
  <c r="X112" i="11"/>
  <c r="X97" i="11"/>
  <c r="X92" i="11"/>
  <c r="X75" i="11"/>
  <c r="X28" i="11"/>
  <c r="X34" i="11"/>
  <c r="X133" i="11"/>
  <c r="X99" i="11"/>
  <c r="X72" i="11"/>
  <c r="X73" i="11"/>
  <c r="X71" i="11"/>
  <c r="X20" i="11"/>
  <c r="X125" i="11"/>
  <c r="X132" i="11"/>
  <c r="X64" i="11"/>
  <c r="X60" i="11"/>
  <c r="X70" i="11"/>
  <c r="X57" i="11"/>
  <c r="X138" i="11"/>
  <c r="X129" i="11"/>
  <c r="X96" i="11"/>
  <c r="X84" i="11"/>
  <c r="X68" i="11"/>
  <c r="X65" i="11"/>
  <c r="X117" i="11"/>
  <c r="X123" i="11"/>
  <c r="X93" i="11"/>
  <c r="X67" i="11"/>
  <c r="X59" i="11"/>
  <c r="X63" i="11"/>
  <c r="X116" i="11"/>
  <c r="X114" i="11"/>
  <c r="X80" i="11"/>
  <c r="X83" i="11"/>
  <c r="X55" i="11"/>
  <c r="X44" i="11"/>
  <c r="X32" i="11"/>
  <c r="X118" i="11"/>
  <c r="X119" i="11"/>
  <c r="X74" i="11"/>
  <c r="X82" i="11"/>
  <c r="X49" i="11"/>
  <c r="X43" i="11"/>
  <c r="X137" i="11"/>
  <c r="X110" i="11"/>
  <c r="X86" i="11"/>
  <c r="X77" i="11"/>
  <c r="X91" i="11"/>
  <c r="X38" i="11"/>
  <c r="X135" i="11"/>
  <c r="X101" i="11"/>
  <c r="X106" i="11"/>
  <c r="X66" i="11"/>
  <c r="X42" i="11"/>
  <c r="X30" i="11"/>
  <c r="X111" i="11"/>
  <c r="X90" i="11"/>
  <c r="X109" i="11"/>
  <c r="X89" i="11"/>
  <c r="X81" i="11"/>
  <c r="X62" i="11"/>
  <c r="X134" i="11"/>
  <c r="X121" i="11"/>
  <c r="X102" i="11"/>
  <c r="X122" i="11"/>
  <c r="X95" i="11"/>
  <c r="X56" i="11"/>
  <c r="X35" i="11"/>
  <c r="X130" i="11"/>
  <c r="X124" i="11"/>
  <c r="X115" i="11"/>
  <c r="X103" i="11"/>
  <c r="X25" i="11"/>
  <c r="X85" i="11"/>
  <c r="X94" i="11"/>
  <c r="X76" i="11"/>
  <c r="X88" i="11"/>
  <c r="X87" i="11"/>
  <c r="X22" i="11"/>
  <c r="X23" i="11"/>
  <c r="X53" i="11"/>
  <c r="X54" i="11"/>
  <c r="X46" i="11"/>
  <c r="X45" i="11"/>
  <c r="X48" i="11"/>
  <c r="X21" i="11"/>
  <c r="X37" i="11"/>
  <c r="X29" i="11"/>
  <c r="X39" i="11"/>
  <c r="X26" i="11"/>
  <c r="X24" i="11"/>
  <c r="S12" i="11"/>
  <c r="S14" i="11" s="1"/>
  <c r="M21" i="15" s="1"/>
  <c r="M5" i="9" s="1"/>
  <c r="AF13" i="11"/>
  <c r="AF15" i="11" s="1"/>
  <c r="Z22" i="15" s="1"/>
  <c r="Z43" i="15" s="1"/>
  <c r="AF12" i="11"/>
  <c r="AF14" i="11" s="1"/>
  <c r="Z21" i="15" s="1"/>
  <c r="Z5" i="9" s="1"/>
  <c r="Q88" i="11"/>
  <c r="Q107" i="11"/>
  <c r="Q31" i="11"/>
  <c r="Q92" i="11"/>
  <c r="Q19" i="11"/>
  <c r="Q55" i="11"/>
  <c r="Q105" i="11"/>
  <c r="AA12" i="11"/>
  <c r="AA14" i="11" s="1"/>
  <c r="U21" i="15" s="1"/>
  <c r="U5" i="9" s="1"/>
  <c r="AT118" i="11"/>
  <c r="AT42" i="11"/>
  <c r="AT106" i="11"/>
  <c r="AT126" i="11"/>
  <c r="AT46" i="11"/>
  <c r="AT104" i="11"/>
  <c r="AT23" i="11"/>
  <c r="AO11" i="15"/>
  <c r="AU7" i="11" s="1"/>
  <c r="AU4" i="11"/>
  <c r="W202" i="10"/>
  <c r="V34" i="15"/>
  <c r="Y13" i="11"/>
  <c r="Y15" i="11" s="1"/>
  <c r="S22" i="15" s="1"/>
  <c r="S43" i="15" s="1"/>
  <c r="S4" i="9" s="1"/>
  <c r="AC12" i="11"/>
  <c r="AC14" i="11" s="1"/>
  <c r="W21" i="15" s="1"/>
  <c r="W5" i="9" s="1"/>
  <c r="Q24" i="11"/>
  <c r="Q32" i="11"/>
  <c r="Q132" i="11"/>
  <c r="Q38" i="11"/>
  <c r="Q56" i="11"/>
  <c r="Q61" i="11"/>
  <c r="Q81" i="11"/>
  <c r="AT33" i="11"/>
  <c r="AT136" i="11"/>
  <c r="AT95" i="11"/>
  <c r="AT29" i="11"/>
  <c r="AT49" i="11"/>
  <c r="AT117" i="11"/>
  <c r="AT127" i="11"/>
  <c r="AT32" i="11"/>
  <c r="Q52" i="11"/>
  <c r="Q36" i="11"/>
  <c r="Q39" i="11"/>
  <c r="Q26" i="11"/>
  <c r="Q86" i="11"/>
  <c r="Q76" i="11"/>
  <c r="Q25" i="11"/>
  <c r="AT68" i="11"/>
  <c r="AT91" i="11"/>
  <c r="AT86" i="11"/>
  <c r="AT69" i="11"/>
  <c r="AT85" i="11"/>
  <c r="AT84" i="11"/>
  <c r="AT107" i="11"/>
  <c r="AT30" i="11"/>
  <c r="R40" i="15"/>
  <c r="W65" i="10"/>
  <c r="Q112" i="11"/>
  <c r="Q83" i="11"/>
  <c r="Q115" i="11"/>
  <c r="Q51" i="11"/>
  <c r="Q94" i="11"/>
  <c r="Q125" i="11"/>
  <c r="Q20" i="11"/>
  <c r="AT55" i="11"/>
  <c r="AT27" i="11"/>
  <c r="AT135" i="11"/>
  <c r="AT90" i="11"/>
  <c r="AT83" i="11"/>
  <c r="AT121" i="11"/>
  <c r="AT76" i="11"/>
  <c r="AT20" i="11"/>
  <c r="W58" i="10"/>
  <c r="AM13" i="11"/>
  <c r="AM15" i="11" s="1"/>
  <c r="AG22" i="15" s="1"/>
  <c r="AG43" i="15" s="1"/>
  <c r="P59" i="11"/>
  <c r="P25" i="11"/>
  <c r="P36" i="11"/>
  <c r="P30" i="11"/>
  <c r="P22" i="11"/>
  <c r="P29" i="11"/>
  <c r="P37" i="11"/>
  <c r="P21" i="11"/>
  <c r="P27" i="11"/>
  <c r="P20" i="11"/>
  <c r="P47" i="11"/>
  <c r="P28" i="11"/>
  <c r="P35" i="11"/>
  <c r="P19" i="11"/>
  <c r="P116" i="11"/>
  <c r="P119" i="11"/>
  <c r="P104" i="11"/>
  <c r="P70" i="11"/>
  <c r="P73" i="11"/>
  <c r="P53" i="11"/>
  <c r="P38" i="11"/>
  <c r="P137" i="11"/>
  <c r="P136" i="11"/>
  <c r="P91" i="11"/>
  <c r="P64" i="11"/>
  <c r="P67" i="11"/>
  <c r="P34" i="11"/>
  <c r="P129" i="11"/>
  <c r="P131" i="11"/>
  <c r="P90" i="11"/>
  <c r="P110" i="11"/>
  <c r="P50" i="11"/>
  <c r="P26" i="11"/>
  <c r="P134" i="11"/>
  <c r="P97" i="11"/>
  <c r="P92" i="11"/>
  <c r="P80" i="11"/>
  <c r="P65" i="11"/>
  <c r="P48" i="11"/>
  <c r="P128" i="11"/>
  <c r="P94" i="11"/>
  <c r="P112" i="11"/>
  <c r="P72" i="11"/>
  <c r="P71" i="11"/>
  <c r="P39" i="11"/>
  <c r="P133" i="11"/>
  <c r="P113" i="11"/>
  <c r="P105" i="11"/>
  <c r="P61" i="11"/>
  <c r="P75" i="11"/>
  <c r="P31" i="11"/>
  <c r="P107" i="11"/>
  <c r="P126" i="11"/>
  <c r="P88" i="11"/>
  <c r="P103" i="11"/>
  <c r="P46" i="11"/>
  <c r="P63" i="11"/>
  <c r="P123" i="11"/>
  <c r="P108" i="11"/>
  <c r="P98" i="11"/>
  <c r="P76" i="11"/>
  <c r="P95" i="11"/>
  <c r="P93" i="11"/>
  <c r="P118" i="11"/>
  <c r="P121" i="11"/>
  <c r="P77" i="11"/>
  <c r="P69" i="11"/>
  <c r="P60" i="11"/>
  <c r="P82" i="11"/>
  <c r="P117" i="11"/>
  <c r="P115" i="11"/>
  <c r="P66" i="11"/>
  <c r="P111" i="11"/>
  <c r="P57" i="11"/>
  <c r="P58" i="11"/>
  <c r="P125" i="11"/>
  <c r="P102" i="11"/>
  <c r="P62" i="11"/>
  <c r="P87" i="11"/>
  <c r="P74" i="11"/>
  <c r="P43" i="11"/>
  <c r="P138" i="11"/>
  <c r="P135" i="11"/>
  <c r="P101" i="11"/>
  <c r="P54" i="11"/>
  <c r="P86" i="11"/>
  <c r="P52" i="11"/>
  <c r="P42" i="11"/>
  <c r="P130" i="11"/>
  <c r="P127" i="11"/>
  <c r="P100" i="11"/>
  <c r="P120" i="11"/>
  <c r="P84" i="11"/>
  <c r="P40" i="11"/>
  <c r="P41" i="11"/>
  <c r="P124" i="11"/>
  <c r="P99" i="11"/>
  <c r="P83" i="11"/>
  <c r="P96" i="11"/>
  <c r="P51" i="11"/>
  <c r="P55" i="11"/>
  <c r="P44" i="11"/>
  <c r="P122" i="11"/>
  <c r="P114" i="11"/>
  <c r="P49" i="11"/>
  <c r="P132" i="11"/>
  <c r="P33" i="11"/>
  <c r="P106" i="11"/>
  <c r="P68" i="11"/>
  <c r="P89" i="11"/>
  <c r="P45" i="11"/>
  <c r="P109" i="11"/>
  <c r="P56" i="11"/>
  <c r="P85" i="11"/>
  <c r="P23" i="11"/>
  <c r="P81" i="11"/>
  <c r="P32" i="11"/>
  <c r="P24" i="11"/>
  <c r="AO49" i="11"/>
  <c r="AO37" i="11"/>
  <c r="AO19" i="11"/>
  <c r="AO39" i="11"/>
  <c r="AO25" i="11"/>
  <c r="AO23" i="11"/>
  <c r="AO136" i="11"/>
  <c r="AO100" i="11"/>
  <c r="AO105" i="11"/>
  <c r="AO29" i="11"/>
  <c r="AO134" i="11"/>
  <c r="AO118" i="11"/>
  <c r="AO135" i="11"/>
  <c r="AO102" i="11"/>
  <c r="AO106" i="11"/>
  <c r="AO68" i="11"/>
  <c r="AO38" i="11"/>
  <c r="AO45" i="11"/>
  <c r="AO131" i="11"/>
  <c r="AO111" i="11"/>
  <c r="AO119" i="11"/>
  <c r="AO98" i="11"/>
  <c r="AO74" i="11"/>
  <c r="AO30" i="11"/>
  <c r="AO40" i="11"/>
  <c r="AO133" i="11"/>
  <c r="AO113" i="11"/>
  <c r="AO91" i="11"/>
  <c r="AO76" i="11"/>
  <c r="AO72" i="11"/>
  <c r="AO22" i="11"/>
  <c r="AO32" i="11"/>
  <c r="AO125" i="11"/>
  <c r="AO112" i="11"/>
  <c r="AO97" i="11"/>
  <c r="AO57" i="11"/>
  <c r="AO90" i="11"/>
  <c r="AO77" i="11"/>
  <c r="AO47" i="11"/>
  <c r="AO138" i="11"/>
  <c r="AO122" i="11"/>
  <c r="AO86" i="11"/>
  <c r="AO73" i="11"/>
  <c r="AO63" i="11"/>
  <c r="AO55" i="11"/>
  <c r="AO81" i="11"/>
  <c r="AO130" i="11"/>
  <c r="AO124" i="11"/>
  <c r="AO71" i="11"/>
  <c r="AO67" i="11"/>
  <c r="AO109" i="11"/>
  <c r="AO107" i="11"/>
  <c r="AO115" i="11"/>
  <c r="AO108" i="11"/>
  <c r="AO84" i="11"/>
  <c r="AO41" i="11"/>
  <c r="AO127" i="11"/>
  <c r="AO83" i="11"/>
  <c r="AO61" i="11"/>
  <c r="AO95" i="11"/>
  <c r="AO82" i="11"/>
  <c r="AO56" i="11"/>
  <c r="AO126" i="11"/>
  <c r="AO103" i="11"/>
  <c r="AO65" i="11"/>
  <c r="AO52" i="11"/>
  <c r="AO101" i="11"/>
  <c r="AO93" i="11"/>
  <c r="AO62" i="11"/>
  <c r="AO44" i="11"/>
  <c r="AO129" i="11"/>
  <c r="AO110" i="11"/>
  <c r="AO70" i="11"/>
  <c r="AO43" i="11"/>
  <c r="AO123" i="11"/>
  <c r="AO104" i="11"/>
  <c r="AO75" i="11"/>
  <c r="AO42" i="11"/>
  <c r="AO117" i="11"/>
  <c r="AO85" i="11"/>
  <c r="AO87" i="11"/>
  <c r="AO35" i="11"/>
  <c r="AO116" i="11"/>
  <c r="AO89" i="11"/>
  <c r="AO64" i="11"/>
  <c r="AO27" i="11"/>
  <c r="AO132" i="11"/>
  <c r="AO69" i="11"/>
  <c r="AO36" i="11"/>
  <c r="AO51" i="11"/>
  <c r="AO120" i="11"/>
  <c r="AO99" i="11"/>
  <c r="AO28" i="11"/>
  <c r="AO50" i="11"/>
  <c r="AO137" i="11"/>
  <c r="AO128" i="11"/>
  <c r="AO20" i="11"/>
  <c r="AO46" i="11"/>
  <c r="AO96" i="11"/>
  <c r="AO66" i="11"/>
  <c r="AO48" i="11"/>
  <c r="AO60" i="11"/>
  <c r="AO88" i="11"/>
  <c r="AO114" i="11"/>
  <c r="AO54" i="11"/>
  <c r="AO80" i="11"/>
  <c r="AO21" i="11"/>
  <c r="AO121" i="11"/>
  <c r="AO94" i="11"/>
  <c r="AO58" i="11"/>
  <c r="AO92" i="11"/>
  <c r="AO59" i="11"/>
  <c r="AO26" i="11"/>
  <c r="AO53" i="11"/>
  <c r="AO24" i="11"/>
  <c r="AO33" i="11"/>
  <c r="AO34" i="11"/>
  <c r="AO31" i="11"/>
  <c r="AN12" i="11"/>
  <c r="AN14" i="11" s="1"/>
  <c r="AH21" i="15" s="1"/>
  <c r="AH5" i="9" s="1"/>
  <c r="Q74" i="11"/>
  <c r="Q124" i="11"/>
  <c r="Q126" i="11"/>
  <c r="Q69" i="11"/>
  <c r="Q90" i="11"/>
  <c r="Q58" i="11"/>
  <c r="AT19" i="11"/>
  <c r="AT88" i="11"/>
  <c r="AT26" i="11"/>
  <c r="AT109" i="11"/>
  <c r="AT131" i="11"/>
  <c r="AT52" i="11"/>
  <c r="AT120" i="11"/>
  <c r="AT38" i="11"/>
  <c r="Q23" i="11"/>
  <c r="W130" i="10"/>
  <c r="AN13" i="11"/>
  <c r="AN15" i="11" s="1"/>
  <c r="AH22" i="15" s="1"/>
  <c r="AH43" i="15" s="1"/>
  <c r="Q103" i="11"/>
  <c r="Q109" i="11"/>
  <c r="Q50" i="11"/>
  <c r="Q97" i="11"/>
  <c r="Q136" i="11"/>
  <c r="Q68" i="11"/>
  <c r="Q37" i="11"/>
  <c r="AT81" i="11"/>
  <c r="AT66" i="11"/>
  <c r="AT43" i="11"/>
  <c r="AT115" i="11"/>
  <c r="AT44" i="11"/>
  <c r="AT41" i="11"/>
  <c r="AT138" i="11"/>
  <c r="AP316" i="7"/>
  <c r="AP317" i="7" s="1"/>
  <c r="AP328" i="7" s="1"/>
  <c r="W155" i="10"/>
  <c r="AD13" i="11"/>
  <c r="AD15" i="11" s="1"/>
  <c r="X22" i="15" s="1"/>
  <c r="X43" i="15" s="1"/>
  <c r="AI12" i="11"/>
  <c r="AI14" i="11" s="1"/>
  <c r="AC21" i="15" s="1"/>
  <c r="AC5" i="9" s="1"/>
  <c r="AE13" i="11"/>
  <c r="AE15" i="11" s="1"/>
  <c r="Y22" i="15" s="1"/>
  <c r="Y43" i="15" s="1"/>
  <c r="Q43" i="11"/>
  <c r="Q60" i="11"/>
  <c r="Q67" i="11"/>
  <c r="Q117" i="11"/>
  <c r="Q130" i="11"/>
  <c r="Q71" i="11"/>
  <c r="Q22" i="11"/>
  <c r="AT102" i="11"/>
  <c r="AT71" i="11"/>
  <c r="AT48" i="11"/>
  <c r="AT37" i="11"/>
  <c r="AT62" i="11"/>
  <c r="AT77" i="11"/>
  <c r="AT93" i="11"/>
  <c r="M12" i="11"/>
  <c r="M14" i="11" s="1"/>
  <c r="G21" i="15" s="1"/>
  <c r="G5" i="9" s="1"/>
  <c r="M13" i="11"/>
  <c r="M15" i="11" s="1"/>
  <c r="G22" i="15" s="1"/>
  <c r="G43" i="15" s="1"/>
  <c r="AP306" i="7"/>
  <c r="AP307" i="7" s="1"/>
  <c r="AP345" i="7" s="1"/>
  <c r="W50" i="10"/>
  <c r="Q104" i="11"/>
  <c r="Q85" i="11"/>
  <c r="Q93" i="11"/>
  <c r="Q114" i="11"/>
  <c r="Q49" i="11"/>
  <c r="Q72" i="11"/>
  <c r="Q35" i="11"/>
  <c r="AK12" i="11"/>
  <c r="AK14" i="11" s="1"/>
  <c r="AE21" i="15" s="1"/>
  <c r="AE5" i="9" s="1"/>
  <c r="AT111" i="11"/>
  <c r="AT124" i="11"/>
  <c r="AT57" i="11"/>
  <c r="AT50" i="11"/>
  <c r="AT92" i="11"/>
  <c r="AT94" i="11"/>
  <c r="AT21" i="11"/>
  <c r="AP320" i="7"/>
  <c r="AP321" i="7" s="1"/>
  <c r="AP339" i="7" s="1"/>
  <c r="AC13" i="11"/>
  <c r="AC15" i="11" s="1"/>
  <c r="W22" i="15" s="1"/>
  <c r="W43" i="15" s="1"/>
  <c r="N13" i="11"/>
  <c r="N15" i="11" s="1"/>
  <c r="H22" i="15" s="1"/>
  <c r="H43" i="15" s="1"/>
  <c r="AH60" i="11"/>
  <c r="AH136" i="11"/>
  <c r="AH107" i="11"/>
  <c r="AH88" i="11"/>
  <c r="AH64" i="11"/>
  <c r="AH109" i="11"/>
  <c r="AH54" i="11"/>
  <c r="AH112" i="11"/>
  <c r="AH91" i="11"/>
  <c r="AH82" i="11"/>
  <c r="AH61" i="11"/>
  <c r="AH67" i="11"/>
  <c r="AH53" i="11"/>
  <c r="AH132" i="11"/>
  <c r="AH120" i="11"/>
  <c r="AH98" i="11"/>
  <c r="AH106" i="11"/>
  <c r="AH63" i="11"/>
  <c r="AH48" i="11"/>
  <c r="AH128" i="11"/>
  <c r="AH111" i="11"/>
  <c r="AH92" i="11"/>
  <c r="AH93" i="11"/>
  <c r="AH85" i="11"/>
  <c r="AH42" i="11"/>
  <c r="AH123" i="11"/>
  <c r="AH102" i="11"/>
  <c r="AH113" i="11"/>
  <c r="AH72" i="11"/>
  <c r="AH47" i="11"/>
  <c r="AH41" i="11"/>
  <c r="AH40" i="11"/>
  <c r="AH133" i="11"/>
  <c r="AH101" i="11"/>
  <c r="AH74" i="11"/>
  <c r="AH69" i="11"/>
  <c r="AH37" i="11"/>
  <c r="AH56" i="11"/>
  <c r="AH118" i="11"/>
  <c r="AH94" i="11"/>
  <c r="AH59" i="11"/>
  <c r="AH108" i="11"/>
  <c r="AH29" i="11"/>
  <c r="AH81" i="11"/>
  <c r="AH135" i="11"/>
  <c r="AH117" i="11"/>
  <c r="AH76" i="11"/>
  <c r="AH51" i="11"/>
  <c r="AH80" i="11"/>
  <c r="AH21" i="11"/>
  <c r="AH50" i="11"/>
  <c r="AH34" i="11"/>
  <c r="AH127" i="11"/>
  <c r="AH138" i="11"/>
  <c r="AH73" i="11"/>
  <c r="AH103" i="11"/>
  <c r="AH97" i="11"/>
  <c r="AH62" i="11"/>
  <c r="AH45" i="11"/>
  <c r="AH137" i="11"/>
  <c r="AH100" i="11"/>
  <c r="AH65" i="11"/>
  <c r="AH87" i="11"/>
  <c r="AH57" i="11"/>
  <c r="AH39" i="11"/>
  <c r="AH44" i="11"/>
  <c r="AH129" i="11"/>
  <c r="AH130" i="11"/>
  <c r="AH99" i="11"/>
  <c r="AH86" i="11"/>
  <c r="AH83" i="11"/>
  <c r="AH31" i="11"/>
  <c r="AH35" i="11"/>
  <c r="AH121" i="11"/>
  <c r="AH125" i="11"/>
  <c r="AH89" i="11"/>
  <c r="AH110" i="11"/>
  <c r="AH58" i="11"/>
  <c r="AH77" i="11"/>
  <c r="AH49" i="11"/>
  <c r="AH134" i="11"/>
  <c r="AH116" i="11"/>
  <c r="AH75" i="11"/>
  <c r="AH104" i="11"/>
  <c r="AH96" i="11"/>
  <c r="AH66" i="11"/>
  <c r="AH26" i="11"/>
  <c r="AH126" i="11"/>
  <c r="AH122" i="11"/>
  <c r="AH95" i="11"/>
  <c r="AH105" i="11"/>
  <c r="AH84" i="11"/>
  <c r="AH55" i="11"/>
  <c r="AH90" i="11"/>
  <c r="AH119" i="11"/>
  <c r="AH71" i="11"/>
  <c r="AH38" i="11"/>
  <c r="AH70" i="11"/>
  <c r="AH68" i="11"/>
  <c r="AH43" i="11"/>
  <c r="AH36" i="11"/>
  <c r="AH28" i="11"/>
  <c r="AH27" i="11"/>
  <c r="AH24" i="11"/>
  <c r="AH124" i="11"/>
  <c r="AH114" i="11"/>
  <c r="AH131" i="11"/>
  <c r="AH115" i="11"/>
  <c r="AH20" i="11"/>
  <c r="AH33" i="11"/>
  <c r="AH32" i="11"/>
  <c r="AH23" i="11"/>
  <c r="AH30" i="11"/>
  <c r="AH52" i="11"/>
  <c r="AH19" i="11"/>
  <c r="AH22" i="11"/>
  <c r="AH25" i="11"/>
  <c r="Q134" i="11"/>
  <c r="Q84" i="11"/>
  <c r="Q70" i="11"/>
  <c r="Q44" i="11"/>
  <c r="Q89" i="11"/>
  <c r="Q102" i="11"/>
  <c r="Q33" i="11"/>
  <c r="AT59" i="11"/>
  <c r="AT58" i="11"/>
  <c r="AT97" i="11"/>
  <c r="AT100" i="11"/>
  <c r="AT122" i="11"/>
  <c r="AT134" i="11"/>
  <c r="AT98" i="11"/>
  <c r="AP350" i="7"/>
  <c r="AP365" i="7" s="1"/>
  <c r="AP380" i="7" s="1"/>
  <c r="V13" i="11"/>
  <c r="V15" i="11" s="1"/>
  <c r="P22" i="15" s="1"/>
  <c r="P43" i="15" s="1"/>
  <c r="Q129" i="11"/>
  <c r="Q63" i="11"/>
  <c r="Q110" i="11"/>
  <c r="Q34" i="11"/>
  <c r="Q95" i="11"/>
  <c r="Q123" i="11"/>
  <c r="Q21" i="11"/>
  <c r="AA13" i="11"/>
  <c r="AA15" i="11" s="1"/>
  <c r="U22" i="15" s="1"/>
  <c r="U43" i="15" s="1"/>
  <c r="AT96" i="11"/>
  <c r="AT35" i="11"/>
  <c r="AT125" i="11"/>
  <c r="AT123" i="11"/>
  <c r="AT114" i="11"/>
  <c r="AT75" i="11"/>
  <c r="AT22" i="11"/>
  <c r="AP311" i="7"/>
  <c r="AP312" i="7" s="1"/>
  <c r="AP327" i="7" s="1"/>
  <c r="W197" i="10"/>
  <c r="AM12" i="11"/>
  <c r="AM14" i="11" s="1"/>
  <c r="AG21" i="15" s="1"/>
  <c r="AG5" i="9" s="1"/>
  <c r="Z12" i="11"/>
  <c r="Z14" i="11" s="1"/>
  <c r="N12" i="11"/>
  <c r="N14" i="11" s="1"/>
  <c r="H21" i="15" s="1"/>
  <c r="H5" i="9" s="1"/>
  <c r="AE12" i="11"/>
  <c r="AE14" i="11" s="1"/>
  <c r="Y21" i="15" s="1"/>
  <c r="Y5" i="9" s="1"/>
  <c r="AJ12" i="11"/>
  <c r="AJ14" i="11" s="1"/>
  <c r="AD21" i="15" s="1"/>
  <c r="AD5" i="9" s="1"/>
  <c r="AJ13" i="11"/>
  <c r="AJ15" i="11" s="1"/>
  <c r="AD22" i="15" s="1"/>
  <c r="AD43" i="15" s="1"/>
  <c r="AH4" i="22" s="1"/>
  <c r="Q59" i="11"/>
  <c r="Q65" i="11"/>
  <c r="Q99" i="11"/>
  <c r="Q113" i="11"/>
  <c r="Q62" i="11"/>
  <c r="Q101" i="11"/>
  <c r="Q57" i="11"/>
  <c r="Q30" i="11"/>
  <c r="AT103" i="11"/>
  <c r="AT60" i="11"/>
  <c r="AT36" i="11"/>
  <c r="AT89" i="11"/>
  <c r="AT45" i="11"/>
  <c r="AT74" i="11"/>
  <c r="AT28" i="11"/>
  <c r="AP303" i="7"/>
  <c r="W74" i="10"/>
  <c r="I163" i="10"/>
  <c r="W13" i="11"/>
  <c r="W15" i="11" s="1"/>
  <c r="Q22" i="15" s="1"/>
  <c r="Q43" i="15" s="1"/>
  <c r="Q82" i="11"/>
  <c r="Q121" i="11"/>
  <c r="Q133" i="11"/>
  <c r="Q48" i="11"/>
  <c r="Q100" i="11"/>
  <c r="Q91" i="11"/>
  <c r="Q40" i="11"/>
  <c r="Q29" i="11"/>
  <c r="R13" i="11"/>
  <c r="R15" i="11" s="1"/>
  <c r="L22" i="15" s="1"/>
  <c r="L43" i="15" s="1"/>
  <c r="AT128" i="11"/>
  <c r="AT113" i="11"/>
  <c r="AT34" i="11"/>
  <c r="AT72" i="11"/>
  <c r="AT63" i="11"/>
  <c r="AT105" i="11"/>
  <c r="AT25" i="11"/>
  <c r="AB19" i="10"/>
  <c r="AG29" i="11"/>
  <c r="Q53" i="11"/>
  <c r="AH46" i="11"/>
  <c r="W63" i="10"/>
  <c r="I131" i="10"/>
  <c r="AD12" i="11"/>
  <c r="AD14" i="11" s="1"/>
  <c r="X21" i="15" s="1"/>
  <c r="X5" i="9" s="1"/>
  <c r="X6" i="9" s="1"/>
  <c r="V12" i="11"/>
  <c r="V14" i="11" s="1"/>
  <c r="P21" i="15" s="1"/>
  <c r="P5" i="9" s="1"/>
  <c r="S13" i="11"/>
  <c r="S15" i="11" s="1"/>
  <c r="M22" i="15" s="1"/>
  <c r="M43" i="15" s="1"/>
  <c r="Q137" i="11"/>
  <c r="Q66" i="11"/>
  <c r="Q98" i="11"/>
  <c r="Q116" i="11"/>
  <c r="Q131" i="11"/>
  <c r="Q119" i="11"/>
  <c r="Q77" i="11"/>
  <c r="Q41" i="11"/>
  <c r="AK13" i="11"/>
  <c r="AK15" i="11" s="1"/>
  <c r="AE22" i="15" s="1"/>
  <c r="AE43" i="15" s="1"/>
  <c r="R12" i="11"/>
  <c r="R14" i="11" s="1"/>
  <c r="L21" i="15" s="1"/>
  <c r="L5" i="9" s="1"/>
  <c r="AG37" i="11"/>
  <c r="AG21" i="11"/>
  <c r="AG60" i="11"/>
  <c r="AG49" i="11"/>
  <c r="AG53" i="11"/>
  <c r="AG33" i="11"/>
  <c r="AG45" i="11"/>
  <c r="AG20" i="11"/>
  <c r="AG48" i="11"/>
  <c r="AG19" i="11"/>
  <c r="AG57" i="11"/>
  <c r="AG22" i="11"/>
  <c r="AG81" i="11"/>
  <c r="AG23" i="11"/>
  <c r="AG134" i="11"/>
  <c r="AG92" i="11"/>
  <c r="AG119" i="11"/>
  <c r="AG61" i="11"/>
  <c r="AG94" i="11"/>
  <c r="AG55" i="11"/>
  <c r="AG105" i="11"/>
  <c r="AG107" i="11"/>
  <c r="AG82" i="11"/>
  <c r="AG118" i="11"/>
  <c r="AG62" i="11"/>
  <c r="AG54" i="11"/>
  <c r="AG131" i="11"/>
  <c r="AG120" i="11"/>
  <c r="AG98" i="11"/>
  <c r="AG72" i="11"/>
  <c r="AG63" i="11"/>
  <c r="AG52" i="11"/>
  <c r="AG136" i="11"/>
  <c r="AG111" i="11"/>
  <c r="AG124" i="11"/>
  <c r="AG69" i="11"/>
  <c r="AG46" i="11"/>
  <c r="AG76" i="11"/>
  <c r="AG132" i="11"/>
  <c r="AG96" i="11"/>
  <c r="AG104" i="11"/>
  <c r="AG108" i="11"/>
  <c r="AG40" i="11"/>
  <c r="AG42" i="11"/>
  <c r="AG128" i="11"/>
  <c r="AG110" i="11"/>
  <c r="AG117" i="11"/>
  <c r="AG73" i="11"/>
  <c r="AG32" i="11"/>
  <c r="AG41" i="11"/>
  <c r="AG123" i="11"/>
  <c r="AG100" i="11"/>
  <c r="AG109" i="11"/>
  <c r="AG51" i="11"/>
  <c r="AG24" i="11"/>
  <c r="AG38" i="11"/>
  <c r="AG138" i="11"/>
  <c r="AG133" i="11"/>
  <c r="AG83" i="11"/>
  <c r="AG66" i="11"/>
  <c r="AG87" i="11"/>
  <c r="AG58" i="11"/>
  <c r="AG86" i="11"/>
  <c r="AG25" i="11"/>
  <c r="AG30" i="11"/>
  <c r="AG129" i="11"/>
  <c r="AG99" i="11"/>
  <c r="AG90" i="11"/>
  <c r="AG64" i="11"/>
  <c r="AG65" i="11"/>
  <c r="AG59" i="11"/>
  <c r="AG121" i="11"/>
  <c r="AG70" i="11"/>
  <c r="AG28" i="11"/>
  <c r="AG116" i="11"/>
  <c r="AG106" i="11"/>
  <c r="AG56" i="11"/>
  <c r="AG71" i="11"/>
  <c r="AG112" i="11"/>
  <c r="AG93" i="11"/>
  <c r="AG115" i="11"/>
  <c r="AG84" i="11"/>
  <c r="AG50" i="11"/>
  <c r="AG44" i="11"/>
  <c r="AG97" i="11"/>
  <c r="AG47" i="11"/>
  <c r="AG101" i="11"/>
  <c r="AG68" i="11"/>
  <c r="AG89" i="11"/>
  <c r="AG43" i="11"/>
  <c r="AG130" i="11"/>
  <c r="AG75" i="11"/>
  <c r="AG85" i="11"/>
  <c r="AG35" i="11"/>
  <c r="AG122" i="11"/>
  <c r="AG95" i="11"/>
  <c r="AG80" i="11"/>
  <c r="AG36" i="11"/>
  <c r="AG114" i="11"/>
  <c r="AG91" i="11"/>
  <c r="AG67" i="11"/>
  <c r="AG77" i="11"/>
  <c r="AG135" i="11"/>
  <c r="AG102" i="11"/>
  <c r="AG34" i="11"/>
  <c r="AG137" i="11"/>
  <c r="AG88" i="11"/>
  <c r="AG26" i="11"/>
  <c r="AG126" i="11"/>
  <c r="AG74" i="11"/>
  <c r="AG39" i="11"/>
  <c r="AG125" i="11"/>
  <c r="AG113" i="11"/>
  <c r="AG103" i="11"/>
  <c r="AG31" i="11"/>
  <c r="AG127" i="11"/>
  <c r="AT137" i="11"/>
  <c r="AT80" i="11"/>
  <c r="AT54" i="11"/>
  <c r="AT67" i="11"/>
  <c r="AT82" i="11"/>
  <c r="AT112" i="11"/>
  <c r="AT51" i="11"/>
  <c r="W40" i="10"/>
  <c r="I61" i="10"/>
  <c r="AB12" i="11"/>
  <c r="AB14" i="11" s="1"/>
  <c r="V21" i="15" s="1"/>
  <c r="V5" i="9" s="1"/>
  <c r="Q120" i="11"/>
  <c r="Q108" i="11"/>
  <c r="Q106" i="11"/>
  <c r="Q111" i="11"/>
  <c r="Q127" i="11"/>
  <c r="Q138" i="11"/>
  <c r="Q64" i="11"/>
  <c r="Q47" i="11"/>
  <c r="AT61" i="11"/>
  <c r="AT119" i="11"/>
  <c r="AT87" i="11"/>
  <c r="AT101" i="11"/>
  <c r="AT116" i="11"/>
  <c r="AT132" i="11"/>
  <c r="AT39" i="11"/>
  <c r="W180" i="10"/>
  <c r="Y12" i="11"/>
  <c r="Y14" i="11" s="1"/>
  <c r="S21" i="15" s="1"/>
  <c r="S5" i="9" s="1"/>
  <c r="Z13" i="11"/>
  <c r="Z15" i="11" s="1"/>
  <c r="AI13" i="11"/>
  <c r="AI15" i="11" s="1"/>
  <c r="AC22" i="15" s="1"/>
  <c r="AC43" i="15" s="1"/>
  <c r="AG4" i="22" s="1"/>
  <c r="AB13" i="11"/>
  <c r="AB15" i="11" s="1"/>
  <c r="V22" i="15" s="1"/>
  <c r="V43" i="15" s="1"/>
  <c r="Z4" i="22" s="1"/>
  <c r="X33" i="11"/>
  <c r="Q73" i="11"/>
  <c r="Q28" i="11"/>
  <c r="Q128" i="11"/>
  <c r="Q75" i="11"/>
  <c r="Q122" i="11"/>
  <c r="Q42" i="11"/>
  <c r="Q96" i="11"/>
  <c r="AT53" i="11"/>
  <c r="AT47" i="11"/>
  <c r="AT99" i="11"/>
  <c r="AT129" i="11"/>
  <c r="AT110" i="11"/>
  <c r="AT65" i="11"/>
  <c r="AT40" i="11"/>
  <c r="T19" i="10"/>
  <c r="T34" i="10"/>
  <c r="T21" i="10"/>
  <c r="T17" i="10"/>
  <c r="T31" i="10"/>
  <c r="T16" i="10"/>
  <c r="T179" i="10"/>
  <c r="T137" i="10"/>
  <c r="T87" i="10"/>
  <c r="T51" i="10"/>
  <c r="T98" i="10"/>
  <c r="T86" i="10"/>
  <c r="T37" i="10"/>
  <c r="T29" i="10"/>
  <c r="T169" i="10"/>
  <c r="T111" i="10"/>
  <c r="T85" i="10"/>
  <c r="T62" i="10"/>
  <c r="T40" i="10"/>
  <c r="T178" i="10"/>
  <c r="T161" i="10"/>
  <c r="T82" i="10"/>
  <c r="T102" i="10"/>
  <c r="T69" i="10"/>
  <c r="T55" i="10"/>
  <c r="T44" i="10"/>
  <c r="T32" i="10"/>
  <c r="T201" i="10"/>
  <c r="T189" i="10"/>
  <c r="T149" i="10"/>
  <c r="T154" i="10"/>
  <c r="T133" i="10"/>
  <c r="T70" i="10"/>
  <c r="T196" i="10"/>
  <c r="T168" i="10"/>
  <c r="T157" i="10"/>
  <c r="T117" i="10"/>
  <c r="T118" i="10"/>
  <c r="T46" i="10"/>
  <c r="T194" i="10"/>
  <c r="T158" i="10"/>
  <c r="T173" i="10"/>
  <c r="T107" i="10"/>
  <c r="T116" i="10"/>
  <c r="T89" i="10"/>
  <c r="T52" i="10"/>
  <c r="T42" i="10"/>
  <c r="T143" i="10"/>
  <c r="T106" i="10"/>
  <c r="T88" i="10"/>
  <c r="T84" i="10"/>
  <c r="T41" i="10"/>
  <c r="T190" i="10"/>
  <c r="T156" i="10"/>
  <c r="T121" i="10"/>
  <c r="T130" i="10"/>
  <c r="T100" i="10"/>
  <c r="T112" i="10"/>
  <c r="T74" i="10"/>
  <c r="T182" i="10"/>
  <c r="T113" i="10"/>
  <c r="T146" i="10"/>
  <c r="T92" i="10"/>
  <c r="T65" i="10"/>
  <c r="T30" i="10"/>
  <c r="T202" i="10"/>
  <c r="T164" i="10"/>
  <c r="T159" i="10"/>
  <c r="T145" i="10"/>
  <c r="T110" i="10"/>
  <c r="T75" i="10"/>
  <c r="T81" i="10"/>
  <c r="T63" i="10"/>
  <c r="T160" i="10"/>
  <c r="T171" i="10"/>
  <c r="T109" i="10"/>
  <c r="T67" i="10"/>
  <c r="T135" i="10"/>
  <c r="T167" i="10"/>
  <c r="T108" i="10"/>
  <c r="T83" i="10"/>
  <c r="T192" i="10"/>
  <c r="T181" i="10"/>
  <c r="T115" i="10"/>
  <c r="T151" i="10"/>
  <c r="T80" i="10"/>
  <c r="T197" i="10"/>
  <c r="T91" i="10"/>
  <c r="T54" i="10"/>
  <c r="T27" i="10"/>
  <c r="T148" i="10"/>
  <c r="T136" i="10"/>
  <c r="T144" i="10"/>
  <c r="T124" i="10"/>
  <c r="T33" i="10"/>
  <c r="T22" i="10"/>
  <c r="T18" i="10"/>
  <c r="T24" i="10"/>
  <c r="AC42" i="10"/>
  <c r="AC202" i="10"/>
  <c r="AC182" i="10"/>
  <c r="AC196" i="10"/>
  <c r="AC158" i="10"/>
  <c r="AC168" i="10"/>
  <c r="AC130" i="10"/>
  <c r="AC201" i="10"/>
  <c r="AC151" i="10"/>
  <c r="AC197" i="10"/>
  <c r="AC173" i="10"/>
  <c r="AC157" i="10"/>
  <c r="AC91" i="10"/>
  <c r="AC189" i="10"/>
  <c r="AC159" i="10"/>
  <c r="AC148" i="10"/>
  <c r="AC118" i="10"/>
  <c r="AC81" i="10"/>
  <c r="AC106" i="10"/>
  <c r="AC109" i="10"/>
  <c r="AC85" i="10"/>
  <c r="AC167" i="10"/>
  <c r="AC178" i="10"/>
  <c r="AC74" i="10"/>
  <c r="AC18" i="10"/>
  <c r="AC192" i="10"/>
  <c r="AC100" i="10"/>
  <c r="AC65" i="10"/>
  <c r="AC51" i="10"/>
  <c r="AC179" i="10"/>
  <c r="AC149" i="10"/>
  <c r="AC169" i="10"/>
  <c r="AC98" i="10"/>
  <c r="AC70" i="10"/>
  <c r="AC54" i="10"/>
  <c r="AC137" i="10"/>
  <c r="AC62" i="10"/>
  <c r="AC46" i="10"/>
  <c r="AC31" i="10"/>
  <c r="AC171" i="10"/>
  <c r="AC135" i="10"/>
  <c r="AC112" i="10"/>
  <c r="AC75" i="10"/>
  <c r="AC89" i="10"/>
  <c r="AC55" i="10"/>
  <c r="AC145" i="10"/>
  <c r="AC124" i="10"/>
  <c r="AC117" i="10"/>
  <c r="AC84" i="10"/>
  <c r="AC82" i="10"/>
  <c r="AC41" i="10"/>
  <c r="AC136" i="10"/>
  <c r="AC116" i="10"/>
  <c r="AC63" i="10"/>
  <c r="AC92" i="10"/>
  <c r="AC181" i="10"/>
  <c r="AC154" i="10"/>
  <c r="AC133" i="10"/>
  <c r="AC83" i="10"/>
  <c r="AC67" i="10"/>
  <c r="AC194" i="10"/>
  <c r="AC144" i="10"/>
  <c r="AC108" i="10"/>
  <c r="AC110" i="10"/>
  <c r="AC40" i="10"/>
  <c r="AC190" i="10"/>
  <c r="AC143" i="10"/>
  <c r="AC107" i="10"/>
  <c r="AC115" i="10"/>
  <c r="AC52" i="10"/>
  <c r="AC160" i="10"/>
  <c r="AC156" i="10"/>
  <c r="AC88" i="10"/>
  <c r="AC32" i="10"/>
  <c r="AC22" i="10"/>
  <c r="AC161" i="10"/>
  <c r="AC102" i="10"/>
  <c r="AC87" i="10"/>
  <c r="AC24" i="10"/>
  <c r="AC34" i="10"/>
  <c r="AC146" i="10"/>
  <c r="AC121" i="10"/>
  <c r="AC86" i="10"/>
  <c r="AC16" i="10"/>
  <c r="AC33" i="10"/>
  <c r="AC111" i="10"/>
  <c r="AC80" i="10"/>
  <c r="AC30" i="10"/>
  <c r="AC164" i="10"/>
  <c r="AC113" i="10"/>
  <c r="AC44" i="10"/>
  <c r="AC69" i="10"/>
  <c r="AC27" i="10"/>
  <c r="AC17" i="10"/>
  <c r="AC21" i="10"/>
  <c r="AC37" i="10"/>
  <c r="AC29" i="10"/>
  <c r="I52" i="10"/>
  <c r="I159" i="10"/>
  <c r="I143" i="10"/>
  <c r="I124" i="10"/>
  <c r="I108" i="10"/>
  <c r="I92" i="10"/>
  <c r="I67" i="10"/>
  <c r="I51" i="10"/>
  <c r="I19" i="10"/>
  <c r="I190" i="10"/>
  <c r="I158" i="10"/>
  <c r="I107" i="10"/>
  <c r="I91" i="10"/>
  <c r="I34" i="10"/>
  <c r="I18" i="10"/>
  <c r="I189" i="10"/>
  <c r="I173" i="10"/>
  <c r="I157" i="10"/>
  <c r="I106" i="10"/>
  <c r="I65" i="10"/>
  <c r="I33" i="10"/>
  <c r="I17" i="10"/>
  <c r="I156" i="10"/>
  <c r="I137" i="10"/>
  <c r="I121" i="10"/>
  <c r="I89" i="10"/>
  <c r="I54" i="10"/>
  <c r="I32" i="10"/>
  <c r="I16" i="10"/>
  <c r="I171" i="10"/>
  <c r="I136" i="10"/>
  <c r="I88" i="10"/>
  <c r="I63" i="10"/>
  <c r="I31" i="10"/>
  <c r="I202" i="10"/>
  <c r="I154" i="10"/>
  <c r="I135" i="10"/>
  <c r="I87" i="10"/>
  <c r="I62" i="10"/>
  <c r="I46" i="10"/>
  <c r="I30" i="10"/>
  <c r="I201" i="10"/>
  <c r="I169" i="10"/>
  <c r="I118" i="10"/>
  <c r="I102" i="10"/>
  <c r="I86" i="10"/>
  <c r="I70" i="10"/>
  <c r="I29" i="10"/>
  <c r="I168" i="10"/>
  <c r="I133" i="10"/>
  <c r="I117" i="10"/>
  <c r="I85" i="10"/>
  <c r="I110" i="10"/>
  <c r="I44" i="10"/>
  <c r="I167" i="10"/>
  <c r="I151" i="10"/>
  <c r="I116" i="10"/>
  <c r="I100" i="10"/>
  <c r="I84" i="10"/>
  <c r="I75" i="10"/>
  <c r="I27" i="10"/>
  <c r="I182" i="10"/>
  <c r="I115" i="10"/>
  <c r="I83" i="10"/>
  <c r="I145" i="10"/>
  <c r="I74" i="10"/>
  <c r="I42" i="10"/>
  <c r="I197" i="10"/>
  <c r="I181" i="10"/>
  <c r="I149" i="10"/>
  <c r="I130" i="10"/>
  <c r="I98" i="10"/>
  <c r="I82" i="10"/>
  <c r="I161" i="10"/>
  <c r="I41" i="10"/>
  <c r="I196" i="10"/>
  <c r="I164" i="10"/>
  <c r="I148" i="10"/>
  <c r="I113" i="10"/>
  <c r="I81" i="10"/>
  <c r="I40" i="10"/>
  <c r="I24" i="10"/>
  <c r="I179" i="10"/>
  <c r="I112" i="10"/>
  <c r="I80" i="10"/>
  <c r="I55" i="10"/>
  <c r="I194" i="10"/>
  <c r="I178" i="10"/>
  <c r="I146" i="10"/>
  <c r="I111" i="10"/>
  <c r="I69" i="10"/>
  <c r="I37" i="10"/>
  <c r="I21" i="10"/>
  <c r="I192" i="10"/>
  <c r="I160" i="10"/>
  <c r="I144" i="10"/>
  <c r="I109" i="10"/>
  <c r="I22" i="10"/>
  <c r="BK17" i="10"/>
  <c r="BK18" i="10"/>
  <c r="BK30" i="10"/>
  <c r="BK151" i="10"/>
  <c r="BK154" i="10"/>
  <c r="BK100" i="10"/>
  <c r="BK106" i="10"/>
  <c r="BK51" i="10"/>
  <c r="BK31" i="10"/>
  <c r="BK171" i="10"/>
  <c r="BK137" i="10"/>
  <c r="BK144" i="10"/>
  <c r="BK135" i="10"/>
  <c r="BK118" i="10"/>
  <c r="BK87" i="10"/>
  <c r="BK182" i="10"/>
  <c r="BK133" i="10"/>
  <c r="BK107" i="10"/>
  <c r="BK55" i="10"/>
  <c r="BK145" i="10"/>
  <c r="BK111" i="10"/>
  <c r="BK110" i="10"/>
  <c r="BK116" i="10"/>
  <c r="BK108" i="10"/>
  <c r="BK40" i="10"/>
  <c r="BK167" i="10"/>
  <c r="BK189" i="10"/>
  <c r="BK136" i="10"/>
  <c r="BK130" i="10"/>
  <c r="BK109" i="10"/>
  <c r="BK75" i="10"/>
  <c r="BK89" i="10"/>
  <c r="BK74" i="10"/>
  <c r="BK149" i="10"/>
  <c r="BK143" i="10"/>
  <c r="BK102" i="10"/>
  <c r="BK67" i="10"/>
  <c r="BK69" i="10"/>
  <c r="BK46" i="10"/>
  <c r="BK190" i="10"/>
  <c r="BK159" i="10"/>
  <c r="BK37" i="10"/>
  <c r="BK91" i="10"/>
  <c r="BK202" i="10"/>
  <c r="BK192" i="10"/>
  <c r="BK168" i="10"/>
  <c r="BK88" i="10"/>
  <c r="BK92" i="10"/>
  <c r="BK194" i="10"/>
  <c r="BK197" i="10"/>
  <c r="BK161" i="10"/>
  <c r="BK86" i="10"/>
  <c r="BK29" i="10"/>
  <c r="BK52" i="10"/>
  <c r="BK121" i="10"/>
  <c r="BK81" i="10"/>
  <c r="BK21" i="10"/>
  <c r="BK178" i="10"/>
  <c r="BK179" i="10"/>
  <c r="BK113" i="10"/>
  <c r="BK124" i="10"/>
  <c r="BK85" i="10"/>
  <c r="BK173" i="10"/>
  <c r="BK146" i="10"/>
  <c r="BK117" i="10"/>
  <c r="BK84" i="10"/>
  <c r="BK54" i="10"/>
  <c r="BK181" i="10"/>
  <c r="BK156" i="10"/>
  <c r="BK115" i="10"/>
  <c r="BK65" i="10"/>
  <c r="BK83" i="10"/>
  <c r="BK196" i="10"/>
  <c r="BK169" i="10"/>
  <c r="BK164" i="10"/>
  <c r="BK98" i="10"/>
  <c r="BK82" i="10"/>
  <c r="BK80" i="10"/>
  <c r="BK158" i="10"/>
  <c r="BK70" i="10"/>
  <c r="BK63" i="10"/>
  <c r="BK44" i="10"/>
  <c r="BK201" i="10"/>
  <c r="BK160" i="10"/>
  <c r="BK148" i="10"/>
  <c r="BK157" i="10"/>
  <c r="BK112" i="10"/>
  <c r="BK62" i="10"/>
  <c r="BK42" i="10"/>
  <c r="BK16" i="10"/>
  <c r="BK33" i="10"/>
  <c r="BK32" i="10"/>
  <c r="BK24" i="10"/>
  <c r="BK27" i="10"/>
  <c r="BK41" i="10"/>
  <c r="BK22" i="10"/>
  <c r="BK34" i="10"/>
  <c r="Z23" i="10"/>
  <c r="Z170" i="10"/>
  <c r="Z174" i="10"/>
  <c r="Z163" i="10"/>
  <c r="Z119" i="10"/>
  <c r="Z103" i="10"/>
  <c r="Z47" i="10"/>
  <c r="Z177" i="10"/>
  <c r="Z153" i="10"/>
  <c r="Z38" i="10"/>
  <c r="Z95" i="10"/>
  <c r="Z183" i="10"/>
  <c r="Z93" i="10"/>
  <c r="Z186" i="10"/>
  <c r="Z71" i="10"/>
  <c r="Z199" i="10"/>
  <c r="Z120" i="10"/>
  <c r="Z126" i="10"/>
  <c r="Z50" i="10"/>
  <c r="Z191" i="10"/>
  <c r="Z134" i="10"/>
  <c r="Z155" i="10"/>
  <c r="Z99" i="10"/>
  <c r="Z66" i="10"/>
  <c r="Z57" i="10"/>
  <c r="Z188" i="10"/>
  <c r="Z162" i="10"/>
  <c r="Z147" i="10"/>
  <c r="Z58" i="10"/>
  <c r="Z39" i="10"/>
  <c r="Z180" i="10"/>
  <c r="Z187" i="10"/>
  <c r="Z131" i="10"/>
  <c r="Z104" i="10"/>
  <c r="Z36" i="10"/>
  <c r="Z60" i="10"/>
  <c r="Z49" i="10"/>
  <c r="Z176" i="10"/>
  <c r="Z175" i="10"/>
  <c r="Z138" i="10"/>
  <c r="Z96" i="10"/>
  <c r="Z59" i="10"/>
  <c r="Z193" i="10"/>
  <c r="Z129" i="10"/>
  <c r="Z94" i="10"/>
  <c r="Z48" i="10"/>
  <c r="Z45" i="10"/>
  <c r="Z152" i="10"/>
  <c r="Z122" i="10"/>
  <c r="Z68" i="10"/>
  <c r="Z61" i="10"/>
  <c r="Z43" i="10"/>
  <c r="Z200" i="10"/>
  <c r="Z198" i="10"/>
  <c r="Z166" i="10"/>
  <c r="Z114" i="10"/>
  <c r="Z101" i="10"/>
  <c r="Z56" i="10"/>
  <c r="Z26" i="10"/>
  <c r="Z185" i="10"/>
  <c r="Z172" i="10"/>
  <c r="Z165" i="10"/>
  <c r="Z132" i="10"/>
  <c r="Z105" i="10"/>
  <c r="Z128" i="10"/>
  <c r="Z90" i="10"/>
  <c r="Z53" i="10"/>
  <c r="Z184" i="10"/>
  <c r="Z150" i="10"/>
  <c r="Z97" i="10"/>
  <c r="Z123" i="10"/>
  <c r="Z64" i="10"/>
  <c r="Z35" i="10"/>
  <c r="Z195" i="10"/>
  <c r="Z139" i="10"/>
  <c r="Z127" i="10"/>
  <c r="Z125" i="10"/>
  <c r="Z73" i="10"/>
  <c r="Z72" i="10"/>
  <c r="Z28" i="10"/>
  <c r="Z25" i="10"/>
  <c r="Z20" i="10"/>
  <c r="I147" i="10"/>
  <c r="I99" i="10"/>
  <c r="I45" i="10"/>
  <c r="I64" i="10"/>
  <c r="I175" i="10"/>
  <c r="Q9" i="10"/>
  <c r="AI22" i="9"/>
  <c r="AI23" i="9" s="1"/>
  <c r="AM6" i="10"/>
  <c r="I195" i="10"/>
  <c r="I150" i="10"/>
  <c r="I134" i="10"/>
  <c r="I172" i="10"/>
  <c r="I20" i="10"/>
  <c r="U9" i="10"/>
  <c r="AB186" i="10"/>
  <c r="AB175" i="10"/>
  <c r="AB150" i="10"/>
  <c r="AB138" i="10"/>
  <c r="AB94" i="10"/>
  <c r="AB105" i="10"/>
  <c r="AB93" i="10"/>
  <c r="AB57" i="10"/>
  <c r="AB39" i="10"/>
  <c r="AB193" i="10"/>
  <c r="AB97" i="10"/>
  <c r="AB60" i="10"/>
  <c r="AB199" i="10"/>
  <c r="AB185" i="10"/>
  <c r="AB104" i="10"/>
  <c r="AB59" i="10"/>
  <c r="AB191" i="10"/>
  <c r="AB166" i="10"/>
  <c r="AB153" i="10"/>
  <c r="AB96" i="10"/>
  <c r="AB71" i="10"/>
  <c r="AB58" i="10"/>
  <c r="AB183" i="10"/>
  <c r="AB188" i="10"/>
  <c r="AB134" i="10"/>
  <c r="AB122" i="10"/>
  <c r="AB49" i="10"/>
  <c r="AB48" i="10"/>
  <c r="AB45" i="10"/>
  <c r="AB163" i="10"/>
  <c r="AB177" i="10"/>
  <c r="AB128" i="10"/>
  <c r="AB26" i="10"/>
  <c r="AB172" i="10"/>
  <c r="AB170" i="10"/>
  <c r="AB125" i="10"/>
  <c r="AB152" i="10"/>
  <c r="AB99" i="10"/>
  <c r="AB68" i="10"/>
  <c r="AB184" i="10"/>
  <c r="AB101" i="10"/>
  <c r="AB61" i="10"/>
  <c r="AB198" i="10"/>
  <c r="AB176" i="10"/>
  <c r="AB126" i="10"/>
  <c r="AB120" i="10"/>
  <c r="AB90" i="10"/>
  <c r="AB72" i="10"/>
  <c r="AB56" i="10"/>
  <c r="AB28" i="10"/>
  <c r="AB187" i="10"/>
  <c r="AB114" i="10"/>
  <c r="AB73" i="10"/>
  <c r="AB53" i="10"/>
  <c r="AB47" i="10"/>
  <c r="AB195" i="10"/>
  <c r="AB180" i="10"/>
  <c r="AB129" i="10"/>
  <c r="AB66" i="10"/>
  <c r="AB131" i="10"/>
  <c r="AB132" i="10"/>
  <c r="AB139" i="10"/>
  <c r="AB123" i="10"/>
  <c r="AB103" i="10"/>
  <c r="AB64" i="10"/>
  <c r="AB35" i="10"/>
  <c r="AB200" i="10"/>
  <c r="AB165" i="10"/>
  <c r="AB127" i="10"/>
  <c r="AB174" i="10"/>
  <c r="AB162" i="10"/>
  <c r="AB119" i="10"/>
  <c r="AB43" i="10"/>
  <c r="AB155" i="10"/>
  <c r="AB50" i="10"/>
  <c r="AB147" i="10"/>
  <c r="AB95" i="10"/>
  <c r="AB38" i="10"/>
  <c r="AB25" i="10"/>
  <c r="AB20" i="10"/>
  <c r="AB23" i="10"/>
  <c r="AB36" i="10"/>
  <c r="BK25" i="10"/>
  <c r="BK193" i="10"/>
  <c r="BK184" i="10"/>
  <c r="BK138" i="10"/>
  <c r="BK60" i="10"/>
  <c r="BK198" i="10"/>
  <c r="BK127" i="10"/>
  <c r="BK43" i="10"/>
  <c r="BK23" i="10"/>
  <c r="BK187" i="10"/>
  <c r="BK119" i="10"/>
  <c r="BK147" i="10"/>
  <c r="BK125" i="10"/>
  <c r="BK35" i="10"/>
  <c r="BK64" i="10"/>
  <c r="BK175" i="10"/>
  <c r="BK180" i="10"/>
  <c r="BK114" i="10"/>
  <c r="BK72" i="10"/>
  <c r="BK105" i="10"/>
  <c r="BK28" i="10"/>
  <c r="BK172" i="10"/>
  <c r="BK185" i="10"/>
  <c r="BK104" i="10"/>
  <c r="BK48" i="10"/>
  <c r="BK195" i="10"/>
  <c r="BK131" i="10"/>
  <c r="BK96" i="10"/>
  <c r="BK120" i="10"/>
  <c r="BK94" i="10"/>
  <c r="BK53" i="10"/>
  <c r="BK177" i="10"/>
  <c r="BK134" i="10"/>
  <c r="BK95" i="10"/>
  <c r="BK45" i="10"/>
  <c r="BK36" i="10"/>
  <c r="BK66" i="10"/>
  <c r="BK166" i="10"/>
  <c r="BK132" i="10"/>
  <c r="BK122" i="10"/>
  <c r="BK93" i="10"/>
  <c r="BK101" i="10"/>
  <c r="BK186" i="10"/>
  <c r="BK200" i="10"/>
  <c r="BK153" i="10"/>
  <c r="BK155" i="10"/>
  <c r="BK129" i="10"/>
  <c r="BK97" i="10"/>
  <c r="BK59" i="10"/>
  <c r="BK183" i="10"/>
  <c r="BK152" i="10"/>
  <c r="BK99" i="10"/>
  <c r="BK58" i="10"/>
  <c r="BK68" i="10"/>
  <c r="BK199" i="10"/>
  <c r="BK165" i="10"/>
  <c r="BK126" i="10"/>
  <c r="BK73" i="10"/>
  <c r="BK56" i="10"/>
  <c r="BK191" i="10"/>
  <c r="BK174" i="10"/>
  <c r="BK162" i="10"/>
  <c r="BK50" i="10"/>
  <c r="BK47" i="10"/>
  <c r="BK163" i="10"/>
  <c r="BK139" i="10"/>
  <c r="BK57" i="10"/>
  <c r="BK71" i="10"/>
  <c r="BK188" i="10"/>
  <c r="BK170" i="10"/>
  <c r="BK150" i="10"/>
  <c r="BK123" i="10"/>
  <c r="BK90" i="10"/>
  <c r="BK128" i="10"/>
  <c r="BK176" i="10"/>
  <c r="BK103" i="10"/>
  <c r="BK61" i="10"/>
  <c r="BK39" i="10"/>
  <c r="BK20" i="10"/>
  <c r="BK49" i="10"/>
  <c r="BK38" i="10"/>
  <c r="BK26" i="10"/>
  <c r="I93" i="10"/>
  <c r="I56" i="10"/>
  <c r="I166" i="10"/>
  <c r="I153" i="10"/>
  <c r="I188" i="10"/>
  <c r="I36" i="10"/>
  <c r="Q10" i="10"/>
  <c r="AC19" i="10"/>
  <c r="Z18" i="10"/>
  <c r="K81" i="21"/>
  <c r="K12" i="8" s="1"/>
  <c r="K13" i="8" s="1"/>
  <c r="I125" i="10"/>
  <c r="I72" i="10"/>
  <c r="I198" i="10"/>
  <c r="I185" i="10"/>
  <c r="I49" i="10"/>
  <c r="I68" i="10"/>
  <c r="T60" i="10"/>
  <c r="T25" i="10"/>
  <c r="T66" i="10"/>
  <c r="T23" i="10"/>
  <c r="T26" i="10"/>
  <c r="T170" i="10"/>
  <c r="T139" i="10"/>
  <c r="T120" i="10"/>
  <c r="T122" i="10"/>
  <c r="T45" i="10"/>
  <c r="T57" i="10"/>
  <c r="T177" i="10"/>
  <c r="T183" i="10"/>
  <c r="T155" i="10"/>
  <c r="T129" i="10"/>
  <c r="T126" i="10"/>
  <c r="T28" i="10"/>
  <c r="T56" i="10"/>
  <c r="T186" i="10"/>
  <c r="T172" i="10"/>
  <c r="T128" i="10"/>
  <c r="T90" i="10"/>
  <c r="T20" i="10"/>
  <c r="T199" i="10"/>
  <c r="T125" i="10"/>
  <c r="T175" i="10"/>
  <c r="T119" i="10"/>
  <c r="T127" i="10"/>
  <c r="T47" i="10"/>
  <c r="T68" i="10"/>
  <c r="T193" i="10"/>
  <c r="T138" i="10"/>
  <c r="T99" i="10"/>
  <c r="T73" i="10"/>
  <c r="T48" i="10"/>
  <c r="T185" i="10"/>
  <c r="T132" i="10"/>
  <c r="T43" i="10"/>
  <c r="T198" i="10"/>
  <c r="T188" i="10"/>
  <c r="T147" i="10"/>
  <c r="T131" i="10"/>
  <c r="T114" i="10"/>
  <c r="T36" i="10"/>
  <c r="T180" i="10"/>
  <c r="T72" i="10"/>
  <c r="T35" i="10"/>
  <c r="T191" i="10"/>
  <c r="T165" i="10"/>
  <c r="T101" i="10"/>
  <c r="T94" i="10"/>
  <c r="T195" i="10"/>
  <c r="T95" i="10"/>
  <c r="T187" i="10"/>
  <c r="T134" i="10"/>
  <c r="T153" i="10"/>
  <c r="T71" i="10"/>
  <c r="T49" i="10"/>
  <c r="T50" i="10"/>
  <c r="T200" i="10"/>
  <c r="T152" i="10"/>
  <c r="T123" i="10"/>
  <c r="T59" i="10"/>
  <c r="T96" i="10"/>
  <c r="T39" i="10"/>
  <c r="T176" i="10"/>
  <c r="T105" i="10"/>
  <c r="T93" i="10"/>
  <c r="T103" i="10"/>
  <c r="T38" i="10"/>
  <c r="T162" i="10"/>
  <c r="T166" i="10"/>
  <c r="T163" i="10"/>
  <c r="T150" i="10"/>
  <c r="T97" i="10"/>
  <c r="T64" i="10"/>
  <c r="T184" i="10"/>
  <c r="T174" i="10"/>
  <c r="T104" i="10"/>
  <c r="T53" i="10"/>
  <c r="T58" i="10"/>
  <c r="T61" i="10"/>
  <c r="AH7" i="8"/>
  <c r="AL2" i="10"/>
  <c r="I176" i="10"/>
  <c r="I193" i="10"/>
  <c r="I43" i="10"/>
  <c r="I103" i="10"/>
  <c r="I90" i="10"/>
  <c r="U10" i="10"/>
  <c r="Z8" i="8"/>
  <c r="AD3" i="10"/>
  <c r="AP61" i="7"/>
  <c r="I53" i="10"/>
  <c r="I97" i="10"/>
  <c r="I59" i="10"/>
  <c r="I119" i="10"/>
  <c r="I122" i="10"/>
  <c r="U8" i="10"/>
  <c r="AH9" i="8"/>
  <c r="AL4" i="10"/>
  <c r="I177" i="10"/>
  <c r="I129" i="10"/>
  <c r="I132" i="10"/>
  <c r="I170" i="10"/>
  <c r="I138" i="10"/>
  <c r="AC126" i="10"/>
  <c r="AC103" i="10"/>
  <c r="AC188" i="10"/>
  <c r="AC155" i="10"/>
  <c r="AC129" i="10"/>
  <c r="AC139" i="10"/>
  <c r="AC187" i="10"/>
  <c r="AC172" i="10"/>
  <c r="AC195" i="10"/>
  <c r="AC150" i="10"/>
  <c r="AC104" i="10"/>
  <c r="AC200" i="10"/>
  <c r="AC153" i="10"/>
  <c r="AC175" i="10"/>
  <c r="AC183" i="10"/>
  <c r="AC101" i="10"/>
  <c r="AC56" i="10"/>
  <c r="AC26" i="10"/>
  <c r="AC132" i="10"/>
  <c r="AC93" i="10"/>
  <c r="AC96" i="10"/>
  <c r="AC53" i="10"/>
  <c r="AC152" i="10"/>
  <c r="AC131" i="10"/>
  <c r="AC120" i="10"/>
  <c r="AC66" i="10"/>
  <c r="AC64" i="10"/>
  <c r="AC43" i="10"/>
  <c r="AC193" i="10"/>
  <c r="AC138" i="10"/>
  <c r="AC123" i="10"/>
  <c r="AC97" i="10"/>
  <c r="AC174" i="10"/>
  <c r="AC38" i="10"/>
  <c r="AC166" i="10"/>
  <c r="AC125" i="10"/>
  <c r="AC163" i="10"/>
  <c r="AC127" i="10"/>
  <c r="AC95" i="10"/>
  <c r="AC28" i="10"/>
  <c r="AC184" i="10"/>
  <c r="AC119" i="10"/>
  <c r="AC71" i="10"/>
  <c r="AC50" i="10"/>
  <c r="AC176" i="10"/>
  <c r="AC165" i="10"/>
  <c r="AC57" i="10"/>
  <c r="AC47" i="10"/>
  <c r="AC186" i="10"/>
  <c r="AC147" i="10"/>
  <c r="AC59" i="10"/>
  <c r="AC39" i="10"/>
  <c r="AC199" i="10"/>
  <c r="AC134" i="10"/>
  <c r="AC105" i="10"/>
  <c r="AC58" i="10"/>
  <c r="AC35" i="10"/>
  <c r="AC191" i="10"/>
  <c r="AC180" i="10"/>
  <c r="AC128" i="10"/>
  <c r="AC48" i="10"/>
  <c r="AC198" i="10"/>
  <c r="AC162" i="10"/>
  <c r="AC68" i="10"/>
  <c r="AC94" i="10"/>
  <c r="AC170" i="10"/>
  <c r="AC177" i="10"/>
  <c r="AC122" i="10"/>
  <c r="AC60" i="10"/>
  <c r="AC73" i="10"/>
  <c r="AC49" i="10"/>
  <c r="AC185" i="10"/>
  <c r="AC114" i="10"/>
  <c r="AC99" i="10"/>
  <c r="AC72" i="10"/>
  <c r="AC61" i="10"/>
  <c r="AC45" i="10"/>
  <c r="AC90" i="10"/>
  <c r="AC25" i="10"/>
  <c r="AC20" i="10"/>
  <c r="AC23" i="10"/>
  <c r="AC36" i="10"/>
  <c r="I95" i="10"/>
  <c r="I180" i="10"/>
  <c r="I183" i="10"/>
  <c r="I186" i="10"/>
  <c r="I50" i="10"/>
  <c r="AC8" i="8"/>
  <c r="AG3" i="10"/>
  <c r="I127" i="10"/>
  <c r="I25" i="10"/>
  <c r="I199" i="10"/>
  <c r="I47" i="10"/>
  <c r="I66" i="10"/>
  <c r="AH8" i="8"/>
  <c r="AL3" i="10"/>
  <c r="AB27" i="9"/>
  <c r="AB28" i="9" s="1"/>
  <c r="AF6" i="10"/>
  <c r="I162" i="10"/>
  <c r="I57" i="10"/>
  <c r="I28" i="10"/>
  <c r="I38" i="10"/>
  <c r="I94" i="10"/>
  <c r="P10" i="10"/>
  <c r="P8" i="10"/>
  <c r="Z7" i="8"/>
  <c r="AD2" i="10"/>
  <c r="AB22" i="10"/>
  <c r="AB42" i="10"/>
  <c r="AB136" i="10"/>
  <c r="AB178" i="10"/>
  <c r="AB149" i="10"/>
  <c r="AB159" i="10"/>
  <c r="AB135" i="10"/>
  <c r="AB86" i="10"/>
  <c r="AB91" i="10"/>
  <c r="AB32" i="10"/>
  <c r="AB171" i="10"/>
  <c r="AB154" i="10"/>
  <c r="AB124" i="10"/>
  <c r="AB89" i="10"/>
  <c r="AB69" i="10"/>
  <c r="AB24" i="10"/>
  <c r="AB160" i="10"/>
  <c r="AB144" i="10"/>
  <c r="AB67" i="10"/>
  <c r="AB16" i="10"/>
  <c r="AB161" i="10"/>
  <c r="AB121" i="10"/>
  <c r="AB63" i="10"/>
  <c r="AB196" i="10"/>
  <c r="AB179" i="10"/>
  <c r="AB118" i="10"/>
  <c r="AB81" i="10"/>
  <c r="AB41" i="10"/>
  <c r="AB80" i="10"/>
  <c r="AB201" i="10"/>
  <c r="AB116" i="10"/>
  <c r="AB33" i="10"/>
  <c r="AB31" i="10"/>
  <c r="AB173" i="10"/>
  <c r="AB167" i="10"/>
  <c r="AB117" i="10"/>
  <c r="AB137" i="10"/>
  <c r="AB92" i="10"/>
  <c r="AB87" i="10"/>
  <c r="AB55" i="10"/>
  <c r="AB169" i="10"/>
  <c r="AB109" i="10"/>
  <c r="AB190" i="10"/>
  <c r="AB168" i="10"/>
  <c r="AB130" i="10"/>
  <c r="AB151" i="10"/>
  <c r="AB85" i="10"/>
  <c r="AB158" i="10"/>
  <c r="AB143" i="10"/>
  <c r="AB98" i="10"/>
  <c r="AB65" i="10"/>
  <c r="AB74" i="10"/>
  <c r="AB52" i="10"/>
  <c r="AB197" i="10"/>
  <c r="AB192" i="10"/>
  <c r="AB182" i="10"/>
  <c r="AB84" i="10"/>
  <c r="AB189" i="10"/>
  <c r="AB157" i="10"/>
  <c r="AB115" i="10"/>
  <c r="AB112" i="10"/>
  <c r="AB100" i="10"/>
  <c r="AB51" i="10"/>
  <c r="AB62" i="10"/>
  <c r="AB34" i="10"/>
  <c r="AB181" i="10"/>
  <c r="AB146" i="10"/>
  <c r="AB113" i="10"/>
  <c r="AB106" i="10"/>
  <c r="AB70" i="10"/>
  <c r="AB82" i="10"/>
  <c r="AB30" i="10"/>
  <c r="AB202" i="10"/>
  <c r="AB164" i="10"/>
  <c r="AB133" i="10"/>
  <c r="AB111" i="10"/>
  <c r="AB110" i="10"/>
  <c r="AB108" i="10"/>
  <c r="AB75" i="10"/>
  <c r="AB88" i="10"/>
  <c r="AB194" i="10"/>
  <c r="AB156" i="10"/>
  <c r="AB145" i="10"/>
  <c r="AB148" i="10"/>
  <c r="AB102" i="10"/>
  <c r="AB107" i="10"/>
  <c r="AB83" i="10"/>
  <c r="AB40" i="10"/>
  <c r="AB44" i="10"/>
  <c r="AB18" i="10"/>
  <c r="AB27" i="10"/>
  <c r="AB54" i="10"/>
  <c r="AB37" i="10"/>
  <c r="AB17" i="10"/>
  <c r="AB46" i="10"/>
  <c r="AB21" i="10"/>
  <c r="AB29" i="10"/>
  <c r="AF9" i="8"/>
  <c r="AJ4" i="10"/>
  <c r="AC9" i="8"/>
  <c r="AG4" i="10"/>
  <c r="Z9" i="8"/>
  <c r="AD4" i="10"/>
  <c r="I23" i="10"/>
  <c r="I73" i="10"/>
  <c r="I60" i="10"/>
  <c r="I104" i="10"/>
  <c r="I123" i="10"/>
  <c r="Q8" i="10"/>
  <c r="AC7" i="8"/>
  <c r="AG2" i="10"/>
  <c r="BK19" i="10"/>
  <c r="I39" i="10"/>
  <c r="I114" i="10"/>
  <c r="I101" i="10"/>
  <c r="I120" i="10"/>
  <c r="I139" i="10"/>
  <c r="W170" i="10"/>
  <c r="P9" i="10"/>
  <c r="AF7" i="8"/>
  <c r="AJ2" i="10"/>
  <c r="Z16" i="10"/>
  <c r="Z189" i="10"/>
  <c r="Z148" i="10"/>
  <c r="Z81" i="10"/>
  <c r="Z63" i="10"/>
  <c r="Z42" i="10"/>
  <c r="Z181" i="10"/>
  <c r="Z159" i="10"/>
  <c r="Z173" i="10"/>
  <c r="Z115" i="10"/>
  <c r="Z106" i="10"/>
  <c r="Z100" i="10"/>
  <c r="Z54" i="10"/>
  <c r="Z33" i="10"/>
  <c r="Z202" i="10"/>
  <c r="Z151" i="10"/>
  <c r="Z154" i="10"/>
  <c r="Z160" i="10"/>
  <c r="Z135" i="10"/>
  <c r="Z113" i="10"/>
  <c r="Z88" i="10"/>
  <c r="Z46" i="10"/>
  <c r="Z37" i="10"/>
  <c r="Z194" i="10"/>
  <c r="Z196" i="10"/>
  <c r="Z156" i="10"/>
  <c r="Z133" i="10"/>
  <c r="Z111" i="10"/>
  <c r="Z87" i="10"/>
  <c r="Z84" i="10"/>
  <c r="Z27" i="10"/>
  <c r="Z182" i="10"/>
  <c r="Z161" i="10"/>
  <c r="Z136" i="10"/>
  <c r="Z124" i="10"/>
  <c r="Z121" i="10"/>
  <c r="Z82" i="10"/>
  <c r="Z110" i="10"/>
  <c r="Z19" i="10"/>
  <c r="Z179" i="10"/>
  <c r="Z164" i="10"/>
  <c r="Z144" i="10"/>
  <c r="Z74" i="10"/>
  <c r="Z83" i="10"/>
  <c r="Z51" i="10"/>
  <c r="Z178" i="10"/>
  <c r="Z112" i="10"/>
  <c r="Z52" i="10"/>
  <c r="Z40" i="10"/>
  <c r="Z167" i="10"/>
  <c r="Z149" i="10"/>
  <c r="Z91" i="10"/>
  <c r="Z44" i="10"/>
  <c r="Z70" i="10"/>
  <c r="Z158" i="10"/>
  <c r="Z143" i="10"/>
  <c r="Z98" i="10"/>
  <c r="Z130" i="10"/>
  <c r="Z117" i="10"/>
  <c r="Z102" i="10"/>
  <c r="Z86" i="10"/>
  <c r="Z29" i="10"/>
  <c r="Z22" i="10"/>
  <c r="Z168" i="10"/>
  <c r="Z169" i="10"/>
  <c r="Z109" i="10"/>
  <c r="Z118" i="10"/>
  <c r="Z69" i="10"/>
  <c r="Z190" i="10"/>
  <c r="Z171" i="10"/>
  <c r="Z108" i="10"/>
  <c r="Z116" i="10"/>
  <c r="Z67" i="10"/>
  <c r="Z137" i="10"/>
  <c r="Z107" i="10"/>
  <c r="Z92" i="10"/>
  <c r="Z65" i="10"/>
  <c r="Z192" i="10"/>
  <c r="Z85" i="10"/>
  <c r="Z41" i="10"/>
  <c r="Z34" i="10"/>
  <c r="Z201" i="10"/>
  <c r="Z157" i="10"/>
  <c r="Z145" i="10"/>
  <c r="Z80" i="10"/>
  <c r="Z75" i="10"/>
  <c r="Z31" i="10"/>
  <c r="Z24" i="10"/>
  <c r="Z197" i="10"/>
  <c r="Z146" i="10"/>
  <c r="Z89" i="10"/>
  <c r="Z62" i="10"/>
  <c r="Z55" i="10"/>
  <c r="Z30" i="10"/>
  <c r="Z17" i="10"/>
  <c r="Z21" i="10"/>
  <c r="Z32" i="10"/>
  <c r="I71" i="10"/>
  <c r="I165" i="10"/>
  <c r="I152" i="10"/>
  <c r="I155" i="10"/>
  <c r="I174" i="10"/>
  <c r="W184" i="10"/>
  <c r="AF8" i="8"/>
  <c r="AJ3" i="10"/>
  <c r="AB25" i="15"/>
  <c r="I96" i="10"/>
  <c r="I26" i="10"/>
  <c r="I184" i="10"/>
  <c r="I187" i="10"/>
  <c r="I35" i="10"/>
  <c r="I128" i="10"/>
  <c r="I58" i="10"/>
  <c r="I200" i="10"/>
  <c r="I48" i="10"/>
  <c r="I126" i="10"/>
  <c r="J81" i="21"/>
  <c r="J12" i="8" s="1"/>
  <c r="J13" i="8" s="1"/>
  <c r="J66" i="21"/>
  <c r="J68" i="21" s="1"/>
  <c r="K66" i="21"/>
  <c r="K68" i="21" s="1"/>
  <c r="R81" i="21"/>
  <c r="R12" i="8" s="1"/>
  <c r="R13" i="8" s="1"/>
  <c r="V26" i="21"/>
  <c r="AB81" i="21"/>
  <c r="AB12" i="8" s="1"/>
  <c r="AB13" i="8" s="1"/>
  <c r="J26" i="15"/>
  <c r="J25" i="15"/>
  <c r="AA3" i="8"/>
  <c r="AA3" i="9"/>
  <c r="AE6" i="10" s="1"/>
  <c r="AA32" i="15"/>
  <c r="AA33" i="15" s="1"/>
  <c r="J32" i="15"/>
  <c r="J33" i="15" s="1"/>
  <c r="J3" i="9"/>
  <c r="N6" i="10" s="1"/>
  <c r="J3" i="8"/>
  <c r="K26" i="15"/>
  <c r="K25" i="15"/>
  <c r="R26" i="15"/>
  <c r="R25" i="15"/>
  <c r="AE11" i="9"/>
  <c r="AE12" i="9" s="1"/>
  <c r="AE38" i="9"/>
  <c r="AE39" i="9" s="1"/>
  <c r="AE41" i="9"/>
  <c r="AE42" i="9" s="1"/>
  <c r="AE50" i="9" s="1"/>
  <c r="AE33" i="9"/>
  <c r="AE34" i="9" s="1"/>
  <c r="AI5" i="10" s="1"/>
  <c r="AE36" i="9"/>
  <c r="AI7" i="10" s="1"/>
  <c r="AE44" i="9"/>
  <c r="AE45" i="9" s="1"/>
  <c r="AE55" i="9" s="1"/>
  <c r="AE17" i="9"/>
  <c r="AE18" i="9" s="1"/>
  <c r="AI2" i="10" s="1"/>
  <c r="AE27" i="9"/>
  <c r="AE28" i="9" s="1"/>
  <c r="AI4" i="10" s="1"/>
  <c r="AE22" i="9"/>
  <c r="AE23" i="9" s="1"/>
  <c r="AI3" i="10" s="1"/>
  <c r="K3" i="9"/>
  <c r="O6" i="10" s="1"/>
  <c r="K3" i="8"/>
  <c r="U22" i="9"/>
  <c r="U23" i="9" s="1"/>
  <c r="Y3" i="10" s="1"/>
  <c r="U41" i="9"/>
  <c r="U42" i="9" s="1"/>
  <c r="U50" i="9" s="1"/>
  <c r="U44" i="9"/>
  <c r="U45" i="9" s="1"/>
  <c r="U55" i="9" s="1"/>
  <c r="U11" i="9"/>
  <c r="U12" i="9" s="1"/>
  <c r="U36" i="9"/>
  <c r="Y7" i="10" s="1"/>
  <c r="U17" i="9"/>
  <c r="U18" i="9" s="1"/>
  <c r="Y2" i="10" s="1"/>
  <c r="U38" i="9"/>
  <c r="U39" i="9" s="1"/>
  <c r="U27" i="9"/>
  <c r="U28" i="9" s="1"/>
  <c r="Y4" i="10" s="1"/>
  <c r="U33" i="9"/>
  <c r="U34" i="9" s="1"/>
  <c r="Y5" i="10" s="1"/>
  <c r="AI34" i="15"/>
  <c r="V56" i="9"/>
  <c r="AB36" i="9"/>
  <c r="AF7" i="10" s="1"/>
  <c r="AB33" i="9"/>
  <c r="AB34" i="9" s="1"/>
  <c r="AF5" i="10" s="1"/>
  <c r="V57" i="9"/>
  <c r="V48" i="9"/>
  <c r="V59" i="9"/>
  <c r="AP59" i="7"/>
  <c r="AP46" i="7"/>
  <c r="AP51" i="7"/>
  <c r="AP49" i="7"/>
  <c r="AP60" i="7"/>
  <c r="AR69" i="7"/>
  <c r="AR84" i="7" s="1"/>
  <c r="AP43" i="7"/>
  <c r="AP48" i="7"/>
  <c r="AP54" i="7"/>
  <c r="AP47" i="7"/>
  <c r="R66" i="21"/>
  <c r="R68" i="21" s="1"/>
  <c r="AP65" i="7"/>
  <c r="AP158" i="7"/>
  <c r="AP173" i="7" s="1"/>
  <c r="AP188" i="7" s="1"/>
  <c r="AP114" i="7"/>
  <c r="AP115" i="7" s="1"/>
  <c r="AP153" i="7" s="1"/>
  <c r="AP119" i="7"/>
  <c r="AP120" i="7" s="1"/>
  <c r="AP132" i="7" s="1"/>
  <c r="AP124" i="7"/>
  <c r="AP125" i="7" s="1"/>
  <c r="AP110" i="7"/>
  <c r="AP128" i="7"/>
  <c r="AP129" i="7" s="1"/>
  <c r="AP147" i="7" s="1"/>
  <c r="AP55" i="7"/>
  <c r="V54" i="9"/>
  <c r="V58" i="9"/>
  <c r="V49" i="9"/>
  <c r="AQ362" i="7"/>
  <c r="AQ377" i="7" s="1"/>
  <c r="AP63" i="7"/>
  <c r="AR72" i="7"/>
  <c r="AR87" i="7" s="1"/>
  <c r="AR71" i="7"/>
  <c r="AR86" i="7" s="1"/>
  <c r="AQ35" i="7"/>
  <c r="AQ45" i="7" s="1"/>
  <c r="AR74" i="7"/>
  <c r="AR89" i="7" s="1"/>
  <c r="AQ25" i="7"/>
  <c r="AQ21" i="7"/>
  <c r="AP53" i="7"/>
  <c r="AP58" i="7"/>
  <c r="AP50" i="7"/>
  <c r="AP62" i="7"/>
  <c r="AQ168" i="7"/>
  <c r="AQ183" i="7" s="1"/>
  <c r="AP64" i="7"/>
  <c r="AR75" i="7"/>
  <c r="AR90" i="7" s="1"/>
  <c r="AR80" i="7"/>
  <c r="AR95" i="7" s="1"/>
  <c r="AR81" i="7"/>
  <c r="AR96" i="7" s="1"/>
  <c r="AP45" i="7"/>
  <c r="AP57" i="7"/>
  <c r="AP36" i="7"/>
  <c r="AR17" i="7"/>
  <c r="K64" i="14"/>
  <c r="K65" i="14" s="1"/>
  <c r="AQ68" i="7"/>
  <c r="AQ83" i="7" s="1"/>
  <c r="AQ98" i="7" s="1"/>
  <c r="V9" i="8"/>
  <c r="AR103" i="7"/>
  <c r="AR106" i="7" s="1"/>
  <c r="AR164" i="7" s="1"/>
  <c r="AR179" i="7" s="1"/>
  <c r="AA201" i="14"/>
  <c r="AA205" i="14" s="1"/>
  <c r="AA208" i="14" s="1"/>
  <c r="E61" i="14"/>
  <c r="E64" i="14" s="1"/>
  <c r="E65" i="14" s="1"/>
  <c r="AQ260" i="7"/>
  <c r="AQ275" i="7" s="1"/>
  <c r="AR77" i="7"/>
  <c r="AR92" i="7" s="1"/>
  <c r="AQ266" i="7"/>
  <c r="AQ281" i="7" s="1"/>
  <c r="AR79" i="7"/>
  <c r="AR94" i="7" s="1"/>
  <c r="AQ257" i="7"/>
  <c r="AQ272" i="7" s="1"/>
  <c r="AR73" i="7"/>
  <c r="AR88" i="7" s="1"/>
  <c r="AR295" i="7"/>
  <c r="AR296" i="7" s="1"/>
  <c r="AR354" i="7" s="1"/>
  <c r="AR369" i="7" s="1"/>
  <c r="AR70" i="7"/>
  <c r="AR85" i="7" s="1"/>
  <c r="AR78" i="7"/>
  <c r="AR93" i="7" s="1"/>
  <c r="AB66" i="21"/>
  <c r="AB68" i="21" s="1"/>
  <c r="AR76" i="7"/>
  <c r="AR91" i="7" s="1"/>
  <c r="AQ360" i="7"/>
  <c r="AQ375" i="7" s="1"/>
  <c r="Z201" i="14"/>
  <c r="Z205" i="14" s="1"/>
  <c r="Z199" i="14"/>
  <c r="Z202" i="14" s="1"/>
  <c r="Z206" i="14" s="1"/>
  <c r="G199" i="14"/>
  <c r="G202" i="14" s="1"/>
  <c r="G206" i="14" s="1"/>
  <c r="G208" i="14" s="1"/>
  <c r="J201" i="14"/>
  <c r="J205" i="14" s="1"/>
  <c r="J208" i="14" s="1"/>
  <c r="J210" i="14" s="1"/>
  <c r="J211" i="14" s="1"/>
  <c r="J213" i="14" s="1"/>
  <c r="AQ357" i="7"/>
  <c r="AQ372" i="7" s="1"/>
  <c r="AQ355" i="7"/>
  <c r="AQ370" i="7" s="1"/>
  <c r="AQ352" i="7"/>
  <c r="AQ367" i="7" s="1"/>
  <c r="AQ351" i="7"/>
  <c r="AQ366" i="7" s="1"/>
  <c r="T61" i="14"/>
  <c r="T64" i="14" s="1"/>
  <c r="AT12" i="14"/>
  <c r="O199" i="14"/>
  <c r="O202" i="14" s="1"/>
  <c r="O206" i="14" s="1"/>
  <c r="O208" i="14" s="1"/>
  <c r="AO61" i="14"/>
  <c r="AO64" i="14" s="1"/>
  <c r="AQ52" i="14"/>
  <c r="AQ53" i="14" s="1"/>
  <c r="AP4" i="13"/>
  <c r="AP52" i="14"/>
  <c r="AP53" i="14" s="1"/>
  <c r="AN61" i="14"/>
  <c r="AN64" i="14" s="1"/>
  <c r="AN65" i="14" s="1"/>
  <c r="AM208" i="14"/>
  <c r="AM210" i="14" s="1"/>
  <c r="AM211" i="14" s="1"/>
  <c r="AM213" i="14" s="1"/>
  <c r="AM215" i="14" s="1"/>
  <c r="AE208" i="14"/>
  <c r="AE210" i="14" s="1"/>
  <c r="AE211" i="14" s="1"/>
  <c r="AE213" i="14" s="1"/>
  <c r="AE215" i="14" s="1"/>
  <c r="AB196" i="14"/>
  <c r="AB197" i="14" s="1"/>
  <c r="Y208" i="14"/>
  <c r="Y210" i="14" s="1"/>
  <c r="Y211" i="14" s="1"/>
  <c r="Y213" i="14" s="1"/>
  <c r="BG208" i="14"/>
  <c r="V199" i="14"/>
  <c r="V202" i="14" s="1"/>
  <c r="V206" i="14" s="1"/>
  <c r="V208" i="14" s="1"/>
  <c r="AF199" i="14"/>
  <c r="AF202" i="14" s="1"/>
  <c r="AF206" i="14" s="1"/>
  <c r="AO210" i="14"/>
  <c r="AO211" i="14" s="1"/>
  <c r="AO213" i="14" s="1"/>
  <c r="AO215" i="14" s="1"/>
  <c r="H199" i="14"/>
  <c r="H202" i="14" s="1"/>
  <c r="H206" i="14" s="1"/>
  <c r="H208" i="14" s="1"/>
  <c r="L201" i="14"/>
  <c r="L205" i="14" s="1"/>
  <c r="AD201" i="14"/>
  <c r="AD205" i="14" s="1"/>
  <c r="AI199" i="14"/>
  <c r="AI202" i="14" s="1"/>
  <c r="AI206" i="14" s="1"/>
  <c r="AI208" i="14" s="1"/>
  <c r="AK210" i="14"/>
  <c r="AK211" i="14" s="1"/>
  <c r="AK213" i="14" s="1"/>
  <c r="AK215" i="14" s="1"/>
  <c r="AQ187" i="14"/>
  <c r="AQ188" i="14" s="1"/>
  <c r="AQ189" i="14" s="1"/>
  <c r="AQ214" i="14"/>
  <c r="S201" i="14"/>
  <c r="S205" i="14" s="1"/>
  <c r="S199" i="14"/>
  <c r="S202" i="14" s="1"/>
  <c r="S206" i="14" s="1"/>
  <c r="AB11" i="9"/>
  <c r="AB12" i="9" s="1"/>
  <c r="AB54" i="9" s="1"/>
  <c r="AP214" i="14"/>
  <c r="AP187" i="14"/>
  <c r="AP188" i="14" s="1"/>
  <c r="R199" i="14"/>
  <c r="R202" i="14" s="1"/>
  <c r="R206" i="14" s="1"/>
  <c r="R201" i="14"/>
  <c r="R205" i="14" s="1"/>
  <c r="M199" i="14"/>
  <c r="M202" i="14" s="1"/>
  <c r="M206" i="14" s="1"/>
  <c r="M201" i="14"/>
  <c r="M205" i="14" s="1"/>
  <c r="AB38" i="9"/>
  <c r="AB39" i="9" s="1"/>
  <c r="AF201" i="14"/>
  <c r="AF205" i="14" s="1"/>
  <c r="AB17" i="9"/>
  <c r="AB18" i="9" s="1"/>
  <c r="AB41" i="9"/>
  <c r="AB42" i="9" s="1"/>
  <c r="AB50" i="9" s="1"/>
  <c r="L199" i="14"/>
  <c r="L202" i="14" s="1"/>
  <c r="L206" i="14" s="1"/>
  <c r="AD199" i="14"/>
  <c r="AD202" i="14" s="1"/>
  <c r="AD206" i="14" s="1"/>
  <c r="AB44" i="9"/>
  <c r="AB45" i="9" s="1"/>
  <c r="AB55" i="9" s="1"/>
  <c r="AB22" i="9"/>
  <c r="AB23" i="9" s="1"/>
  <c r="K199" i="14"/>
  <c r="K202" i="14" s="1"/>
  <c r="K206" i="14" s="1"/>
  <c r="K201" i="14"/>
  <c r="K205" i="14" s="1"/>
  <c r="W196" i="14"/>
  <c r="W197" i="14" s="1"/>
  <c r="I199" i="14"/>
  <c r="I202" i="14" s="1"/>
  <c r="I206" i="14" s="1"/>
  <c r="I201" i="14"/>
  <c r="I205" i="14" s="1"/>
  <c r="AG201" i="14"/>
  <c r="AG205" i="14" s="1"/>
  <c r="AG199" i="14"/>
  <c r="AG202" i="14" s="1"/>
  <c r="AG206" i="14" s="1"/>
  <c r="P208" i="14"/>
  <c r="AC208" i="14"/>
  <c r="X196" i="14"/>
  <c r="X197" i="14" s="1"/>
  <c r="T199" i="14"/>
  <c r="T202" i="14" s="1"/>
  <c r="T206" i="14" s="1"/>
  <c r="T201" i="14"/>
  <c r="T205" i="14" s="1"/>
  <c r="AL208" i="14"/>
  <c r="AH208" i="14"/>
  <c r="AN201" i="14"/>
  <c r="AN205" i="14" s="1"/>
  <c r="AN199" i="14"/>
  <c r="AN202" i="14" s="1"/>
  <c r="AN206" i="14" s="1"/>
  <c r="U210" i="14"/>
  <c r="U211" i="14" s="1"/>
  <c r="U213" i="14" s="1"/>
  <c r="U215" i="14" s="1"/>
  <c r="E201" i="14"/>
  <c r="E205" i="14" s="1"/>
  <c r="E199" i="14"/>
  <c r="E202" i="14" s="1"/>
  <c r="E206" i="14" s="1"/>
  <c r="AE26" i="21"/>
  <c r="T73" i="21"/>
  <c r="AS176" i="14"/>
  <c r="AS179" i="14" s="1"/>
  <c r="AS181" i="14" s="1"/>
  <c r="AS178" i="14"/>
  <c r="AS177" i="14"/>
  <c r="AS10" i="14"/>
  <c r="AP28" i="14"/>
  <c r="AP29" i="14" s="1"/>
  <c r="AP30" i="14" s="1"/>
  <c r="AP31" i="14" s="1"/>
  <c r="AP18" i="13" s="1"/>
  <c r="T66" i="21"/>
  <c r="T68" i="21" s="1"/>
  <c r="X74" i="21"/>
  <c r="T81" i="21"/>
  <c r="T12" i="8" s="1"/>
  <c r="T13" i="8" s="1"/>
  <c r="AT11" i="14"/>
  <c r="AT169" i="14"/>
  <c r="T41" i="9"/>
  <c r="T42" i="9" s="1"/>
  <c r="T50" i="9" s="1"/>
  <c r="T27" i="9"/>
  <c r="T28" i="9" s="1"/>
  <c r="X4" i="10" s="1"/>
  <c r="T38" i="9"/>
  <c r="T39" i="9" s="1"/>
  <c r="T44" i="9"/>
  <c r="T45" i="9" s="1"/>
  <c r="T55" i="9" s="1"/>
  <c r="T36" i="9"/>
  <c r="X7" i="10" s="1"/>
  <c r="T17" i="9"/>
  <c r="T18" i="9" s="1"/>
  <c r="X2" i="10" s="1"/>
  <c r="T22" i="9"/>
  <c r="T23" i="9" s="1"/>
  <c r="X3" i="10" s="1"/>
  <c r="T11" i="9"/>
  <c r="T12" i="9" s="1"/>
  <c r="T33" i="9"/>
  <c r="T34" i="9" s="1"/>
  <c r="X5" i="10" s="1"/>
  <c r="T20" i="21"/>
  <c r="T28" i="21" s="1"/>
  <c r="T31" i="21" s="1"/>
  <c r="G26" i="21"/>
  <c r="AQ170" i="14"/>
  <c r="AQ185" i="14" s="1"/>
  <c r="AP170" i="14"/>
  <c r="AP185" i="14" s="1"/>
  <c r="Z58" i="9"/>
  <c r="Z54" i="9"/>
  <c r="Z49" i="9"/>
  <c r="AQ356" i="7"/>
  <c r="AQ371" i="7" s="1"/>
  <c r="AQ261" i="7"/>
  <c r="AQ276" i="7" s="1"/>
  <c r="AQ353" i="7"/>
  <c r="AQ368" i="7" s="1"/>
  <c r="AQ264" i="7"/>
  <c r="AQ279" i="7" s="1"/>
  <c r="AQ359" i="7"/>
  <c r="AQ374" i="7" s="1"/>
  <c r="AQ159" i="7"/>
  <c r="AQ174" i="7" s="1"/>
  <c r="AQ161" i="7"/>
  <c r="AQ176" i="7" s="1"/>
  <c r="AQ108" i="7"/>
  <c r="AQ111" i="7" s="1"/>
  <c r="AQ165" i="7"/>
  <c r="AQ180" i="7" s="1"/>
  <c r="AQ162" i="7"/>
  <c r="AQ177" i="7" s="1"/>
  <c r="AQ164" i="7"/>
  <c r="AQ179" i="7" s="1"/>
  <c r="AQ167" i="7"/>
  <c r="AQ182" i="7" s="1"/>
  <c r="AQ363" i="7"/>
  <c r="AQ378" i="7" s="1"/>
  <c r="AQ166" i="7"/>
  <c r="AQ181" i="7" s="1"/>
  <c r="AQ361" i="7"/>
  <c r="AQ376" i="7" s="1"/>
  <c r="AQ169" i="7"/>
  <c r="AQ184" i="7" s="1"/>
  <c r="AQ358" i="7"/>
  <c r="AQ373" i="7" s="1"/>
  <c r="AQ163" i="7"/>
  <c r="AQ178" i="7" s="1"/>
  <c r="AQ298" i="7"/>
  <c r="AQ303" i="7" s="1"/>
  <c r="AQ170" i="7"/>
  <c r="AQ185" i="7" s="1"/>
  <c r="AS17" i="14"/>
  <c r="AS16" i="14"/>
  <c r="AS18" i="14" s="1"/>
  <c r="AS19" i="14" s="1"/>
  <c r="AS21" i="14" s="1"/>
  <c r="AT5" i="14"/>
  <c r="AT172" i="14" s="1"/>
  <c r="AT7" i="14"/>
  <c r="AT9" i="14"/>
  <c r="AT6" i="14"/>
  <c r="AT173" i="14" s="1"/>
  <c r="AT8" i="14"/>
  <c r="AQ30" i="7"/>
  <c r="AQ52" i="7" s="1"/>
  <c r="AQ160" i="7"/>
  <c r="AQ175" i="7" s="1"/>
  <c r="AQ39" i="7"/>
  <c r="AQ56" i="7" s="1"/>
  <c r="AQ259" i="7"/>
  <c r="AQ274" i="7" s="1"/>
  <c r="AR44" i="14"/>
  <c r="AR19" i="13" s="1"/>
  <c r="AQ204" i="7"/>
  <c r="AQ268" i="7"/>
  <c r="AQ283" i="7" s="1"/>
  <c r="AQ265" i="7"/>
  <c r="AQ280" i="7" s="1"/>
  <c r="AQ262" i="7"/>
  <c r="AQ277" i="7" s="1"/>
  <c r="AQ263" i="7"/>
  <c r="AQ278" i="7" s="1"/>
  <c r="AQ269" i="7"/>
  <c r="AQ284" i="7" s="1"/>
  <c r="AQ258" i="7"/>
  <c r="AQ273" i="7" s="1"/>
  <c r="AS13" i="7"/>
  <c r="AS14" i="7" s="1"/>
  <c r="AS15" i="7" s="1"/>
  <c r="AN131" i="7"/>
  <c r="AN194" i="7" s="1"/>
  <c r="AN92" i="14" s="1"/>
  <c r="AN93" i="14" s="1"/>
  <c r="AN97" i="14" s="1"/>
  <c r="AN98" i="14" s="1"/>
  <c r="AN99" i="14" s="1"/>
  <c r="AN229" i="7"/>
  <c r="AN288" i="7" s="1"/>
  <c r="AN117" i="14" s="1"/>
  <c r="AN118" i="14" s="1"/>
  <c r="AN119" i="14" s="1"/>
  <c r="Y26" i="21"/>
  <c r="J139" i="14"/>
  <c r="J138" i="14"/>
  <c r="G88" i="14"/>
  <c r="AQ59" i="7"/>
  <c r="AP138" i="7"/>
  <c r="AQ28" i="14"/>
  <c r="AQ29" i="14" s="1"/>
  <c r="AQ30" i="14" s="1"/>
  <c r="AQ31" i="14" s="1"/>
  <c r="AQ18" i="13" s="1"/>
  <c r="AQ4" i="13"/>
  <c r="AP251" i="7"/>
  <c r="AP245" i="7"/>
  <c r="AP252" i="7"/>
  <c r="AP218" i="7"/>
  <c r="AP240" i="7"/>
  <c r="AP249" i="7"/>
  <c r="AP237" i="7"/>
  <c r="AP248" i="7"/>
  <c r="AP254" i="7"/>
  <c r="AP253" i="7"/>
  <c r="AP232" i="7"/>
  <c r="AP230" i="7"/>
  <c r="AP246" i="7"/>
  <c r="AP250" i="7"/>
  <c r="AP238" i="7"/>
  <c r="AS42" i="14"/>
  <c r="AS36" i="14"/>
  <c r="AP233" i="7"/>
  <c r="AP223" i="7"/>
  <c r="AS47" i="14"/>
  <c r="AR264" i="7"/>
  <c r="AR279" i="7" s="1"/>
  <c r="AR259" i="7"/>
  <c r="AR274" i="7" s="1"/>
  <c r="AP231" i="7"/>
  <c r="AP234" i="7"/>
  <c r="AP243" i="7"/>
  <c r="AP235" i="7"/>
  <c r="AP242" i="7"/>
  <c r="AP239" i="7"/>
  <c r="AP241" i="7"/>
  <c r="AP236" i="7"/>
  <c r="AS48" i="14"/>
  <c r="AP227" i="7"/>
  <c r="AP244" i="7"/>
  <c r="AT12" i="7"/>
  <c r="AT9" i="7"/>
  <c r="AT10" i="7"/>
  <c r="AU3" i="7"/>
  <c r="AU3" i="17"/>
  <c r="AU5" i="17" s="1"/>
  <c r="AU3" i="14"/>
  <c r="AR49" i="14"/>
  <c r="AR50" i="14" s="1"/>
  <c r="Z59" i="9"/>
  <c r="W26" i="21"/>
  <c r="Z113" i="14"/>
  <c r="Z114" i="14"/>
  <c r="W104" i="14"/>
  <c r="W115" i="14" s="1"/>
  <c r="AC164" i="14"/>
  <c r="I26" i="21"/>
  <c r="AA154" i="14"/>
  <c r="AA165" i="14" s="1"/>
  <c r="L89" i="14"/>
  <c r="G104" i="14"/>
  <c r="G115" i="14" s="1"/>
  <c r="AC35" i="21"/>
  <c r="AC36" i="21" s="1"/>
  <c r="H163" i="14"/>
  <c r="AG113" i="14"/>
  <c r="W138" i="14"/>
  <c r="AE139" i="14"/>
  <c r="AF129" i="14"/>
  <c r="AF140" i="14" s="1"/>
  <c r="AB154" i="14"/>
  <c r="AB165" i="14" s="1"/>
  <c r="AH79" i="14"/>
  <c r="AH90" i="14" s="1"/>
  <c r="W82" i="14"/>
  <c r="W85" i="14" s="1"/>
  <c r="W79" i="14"/>
  <c r="AC113" i="14"/>
  <c r="AC114" i="14"/>
  <c r="L35" i="21"/>
  <c r="L36" i="21" s="1"/>
  <c r="K26" i="21"/>
  <c r="AD154" i="14"/>
  <c r="AD165" i="14" s="1"/>
  <c r="W139" i="14"/>
  <c r="X139" i="14"/>
  <c r="AF163" i="14"/>
  <c r="J79" i="14"/>
  <c r="J90" i="14" s="1"/>
  <c r="E113" i="14"/>
  <c r="K138" i="14"/>
  <c r="M89" i="14"/>
  <c r="W89" i="14"/>
  <c r="Z56" i="9"/>
  <c r="M26" i="21"/>
  <c r="Z57" i="9"/>
  <c r="O26" i="21"/>
  <c r="E119" i="14"/>
  <c r="E136" i="14" s="1"/>
  <c r="E137" i="14" s="1"/>
  <c r="E139" i="14" s="1"/>
  <c r="BG154" i="14"/>
  <c r="BG165" i="14" s="1"/>
  <c r="X113" i="14"/>
  <c r="AA102" i="14"/>
  <c r="AA107" i="14" s="1"/>
  <c r="AA110" i="14" s="1"/>
  <c r="AH150" i="14"/>
  <c r="AH151" i="14" s="1"/>
  <c r="AH152" i="14" s="1"/>
  <c r="AH157" i="14" s="1"/>
  <c r="AH160" i="14" s="1"/>
  <c r="J100" i="14"/>
  <c r="J101" i="14" s="1"/>
  <c r="J102" i="14" s="1"/>
  <c r="J107" i="14" s="1"/>
  <c r="J110" i="14" s="1"/>
  <c r="AH113" i="14"/>
  <c r="AH114" i="14"/>
  <c r="J163" i="14"/>
  <c r="J164" i="14"/>
  <c r="AC125" i="14"/>
  <c r="AC126" i="14" s="1"/>
  <c r="AG100" i="14"/>
  <c r="AG101" i="14" s="1"/>
  <c r="AG102" i="14" s="1"/>
  <c r="AE100" i="14"/>
  <c r="AE101" i="14" s="1"/>
  <c r="AE102" i="14" s="1"/>
  <c r="AE107" i="14" s="1"/>
  <c r="AE110" i="14" s="1"/>
  <c r="Y111" i="14"/>
  <c r="Y112" i="14" s="1"/>
  <c r="X125" i="14"/>
  <c r="X126" i="14" s="1"/>
  <c r="X127" i="14" s="1"/>
  <c r="X132" i="14" s="1"/>
  <c r="X135" i="14" s="1"/>
  <c r="P136" i="14"/>
  <c r="P137" i="14" s="1"/>
  <c r="X100" i="14"/>
  <c r="X101" i="14" s="1"/>
  <c r="X102" i="14" s="1"/>
  <c r="X107" i="14" s="1"/>
  <c r="X110" i="14" s="1"/>
  <c r="AD132" i="14"/>
  <c r="AD135" i="14" s="1"/>
  <c r="AD129" i="14"/>
  <c r="L100" i="14"/>
  <c r="L101" i="14" s="1"/>
  <c r="L102" i="14" s="1"/>
  <c r="L107" i="14" s="1"/>
  <c r="L110" i="14" s="1"/>
  <c r="Z100" i="14"/>
  <c r="Z101" i="14" s="1"/>
  <c r="Z102" i="14" s="1"/>
  <c r="Z107" i="14" s="1"/>
  <c r="Z110" i="14" s="1"/>
  <c r="AE82" i="14"/>
  <c r="AE85" i="14" s="1"/>
  <c r="AE79" i="14"/>
  <c r="Z150" i="14"/>
  <c r="Z151" i="14" s="1"/>
  <c r="Z152" i="14" s="1"/>
  <c r="Z157" i="14" s="1"/>
  <c r="Z160" i="14" s="1"/>
  <c r="L125" i="14"/>
  <c r="L126" i="14" s="1"/>
  <c r="L127" i="14" s="1"/>
  <c r="L132" i="14" s="1"/>
  <c r="L135" i="14" s="1"/>
  <c r="BG113" i="14"/>
  <c r="BG114" i="14"/>
  <c r="M132" i="14"/>
  <c r="M135" i="14" s="1"/>
  <c r="M129" i="14"/>
  <c r="AC100" i="14"/>
  <c r="AC101" i="14" s="1"/>
  <c r="AC102" i="14" s="1"/>
  <c r="AC107" i="14" s="1"/>
  <c r="AC110" i="14" s="1"/>
  <c r="H150" i="14"/>
  <c r="H151" i="14" s="1"/>
  <c r="H152" i="14" s="1"/>
  <c r="H157" i="14" s="1"/>
  <c r="H160" i="14" s="1"/>
  <c r="AG150" i="14"/>
  <c r="AG151" i="14" s="1"/>
  <c r="AG152" i="14" s="1"/>
  <c r="AG157" i="14" s="1"/>
  <c r="AG160" i="14" s="1"/>
  <c r="AE111" i="14"/>
  <c r="AE112" i="14" s="1"/>
  <c r="AE114" i="14" s="1"/>
  <c r="AG139" i="14"/>
  <c r="H164" i="14"/>
  <c r="Y119" i="14"/>
  <c r="M150" i="14"/>
  <c r="M151" i="14" s="1"/>
  <c r="M152" i="14" s="1"/>
  <c r="M157" i="14" s="1"/>
  <c r="M160" i="14" s="1"/>
  <c r="W113" i="14"/>
  <c r="W88" i="14"/>
  <c r="K113" i="14"/>
  <c r="M136" i="14"/>
  <c r="M137" i="14" s="1"/>
  <c r="M138" i="14" s="1"/>
  <c r="AH125" i="14"/>
  <c r="AH126" i="14" s="1"/>
  <c r="AH127" i="14" s="1"/>
  <c r="AC152" i="14"/>
  <c r="AC157" i="14" s="1"/>
  <c r="AC160" i="14" s="1"/>
  <c r="Y125" i="14"/>
  <c r="Y126" i="14" s="1"/>
  <c r="Y127" i="14" s="1"/>
  <c r="Y132" i="14" s="1"/>
  <c r="Y135" i="14" s="1"/>
  <c r="Z125" i="14"/>
  <c r="Z126" i="14" s="1"/>
  <c r="Z127" i="14" s="1"/>
  <c r="Z132" i="14" s="1"/>
  <c r="Z135" i="14" s="1"/>
  <c r="L139" i="14"/>
  <c r="K161" i="14"/>
  <c r="AE125" i="14"/>
  <c r="AE126" i="14" s="1"/>
  <c r="AE127" i="14" s="1"/>
  <c r="AE132" i="14" s="1"/>
  <c r="AE135" i="14" s="1"/>
  <c r="P123" i="14"/>
  <c r="P124" i="14" s="1"/>
  <c r="P122" i="14"/>
  <c r="X161" i="14"/>
  <c r="X162" i="14" s="1"/>
  <c r="AH136" i="14"/>
  <c r="AG79" i="14"/>
  <c r="AG90" i="14" s="1"/>
  <c r="AD163" i="14"/>
  <c r="G163" i="14"/>
  <c r="Q123" i="14"/>
  <c r="Q124" i="14" s="1"/>
  <c r="Q122" i="14"/>
  <c r="Y97" i="14"/>
  <c r="Y98" i="14" s="1"/>
  <c r="Y99" i="14" s="1"/>
  <c r="BG104" i="14"/>
  <c r="BG115" i="14" s="1"/>
  <c r="P75" i="14"/>
  <c r="P76" i="14" s="1"/>
  <c r="P77" i="14" s="1"/>
  <c r="Y87" i="14"/>
  <c r="Y88" i="14" s="1"/>
  <c r="AA111" i="14"/>
  <c r="AA112" i="14" s="1"/>
  <c r="BG139" i="14"/>
  <c r="G114" i="14"/>
  <c r="Q119" i="14"/>
  <c r="AE154" i="14"/>
  <c r="AE165" i="14" s="1"/>
  <c r="M111" i="14"/>
  <c r="M112" i="14" s="1"/>
  <c r="M113" i="14" s="1"/>
  <c r="K100" i="14"/>
  <c r="K101" i="14" s="1"/>
  <c r="K102" i="14" s="1"/>
  <c r="K107" i="14" s="1"/>
  <c r="K110" i="14" s="1"/>
  <c r="G136" i="14"/>
  <c r="G137" i="14" s="1"/>
  <c r="G138" i="14" s="1"/>
  <c r="L114" i="14"/>
  <c r="H125" i="14"/>
  <c r="H126" i="14" s="1"/>
  <c r="H127" i="14" s="1"/>
  <c r="H132" i="14" s="1"/>
  <c r="H135" i="14" s="1"/>
  <c r="W129" i="14"/>
  <c r="W140" i="14" s="1"/>
  <c r="AH164" i="14"/>
  <c r="AE138" i="14"/>
  <c r="AF164" i="14"/>
  <c r="L154" i="14"/>
  <c r="L165" i="14" s="1"/>
  <c r="M162" i="14"/>
  <c r="M163" i="14" s="1"/>
  <c r="Q98" i="14"/>
  <c r="Q99" i="14" s="1"/>
  <c r="Q148" i="14"/>
  <c r="Q149" i="14" s="1"/>
  <c r="N79" i="14"/>
  <c r="E161" i="14"/>
  <c r="E162" i="14" s="1"/>
  <c r="P87" i="14"/>
  <c r="P89" i="14" s="1"/>
  <c r="AC138" i="14"/>
  <c r="AE161" i="14"/>
  <c r="AE162" i="14" s="1"/>
  <c r="E147" i="14"/>
  <c r="E148" i="14" s="1"/>
  <c r="E149" i="14" s="1"/>
  <c r="X154" i="14"/>
  <c r="X165" i="14" s="1"/>
  <c r="BG129" i="14"/>
  <c r="BG140" i="14" s="1"/>
  <c r="BG6" i="7" s="1"/>
  <c r="BG15" i="13" s="1"/>
  <c r="G150" i="14"/>
  <c r="G151" i="14" s="1"/>
  <c r="G152" i="14" s="1"/>
  <c r="G157" i="14" s="1"/>
  <c r="G160" i="14" s="1"/>
  <c r="W150" i="14"/>
  <c r="W151" i="14" s="1"/>
  <c r="W152" i="14" s="1"/>
  <c r="W157" i="14" s="1"/>
  <c r="W160" i="14" s="1"/>
  <c r="Q89" i="14"/>
  <c r="Y75" i="14"/>
  <c r="Y76" i="14" s="1"/>
  <c r="Y77" i="14" s="1"/>
  <c r="Y82" i="14" s="1"/>
  <c r="Y85" i="14" s="1"/>
  <c r="K125" i="14"/>
  <c r="K126" i="14" s="1"/>
  <c r="K127" i="14" s="1"/>
  <c r="K132" i="14" s="1"/>
  <c r="K135" i="14" s="1"/>
  <c r="J154" i="14"/>
  <c r="J165" i="14" s="1"/>
  <c r="W164" i="14"/>
  <c r="J114" i="14"/>
  <c r="I154" i="14"/>
  <c r="I165" i="14" s="1"/>
  <c r="J125" i="14"/>
  <c r="J126" i="14" s="1"/>
  <c r="J127" i="14" s="1"/>
  <c r="J132" i="14" s="1"/>
  <c r="J135" i="14" s="1"/>
  <c r="H111" i="14"/>
  <c r="H112" i="14" s="1"/>
  <c r="H114" i="14" s="1"/>
  <c r="AH100" i="14"/>
  <c r="AH101" i="14" s="1"/>
  <c r="AH102" i="14" s="1"/>
  <c r="AH107" i="14" s="1"/>
  <c r="AH110" i="14" s="1"/>
  <c r="M104" i="14"/>
  <c r="M115" i="14" s="1"/>
  <c r="K154" i="14"/>
  <c r="K165" i="14" s="1"/>
  <c r="AG163" i="14"/>
  <c r="AF165" i="14"/>
  <c r="AD104" i="14"/>
  <c r="AD115" i="14" s="1"/>
  <c r="AB104" i="14"/>
  <c r="AB115" i="14" s="1"/>
  <c r="I114" i="14"/>
  <c r="Z138" i="14"/>
  <c r="L163" i="14"/>
  <c r="G129" i="14"/>
  <c r="G140" i="14" s="1"/>
  <c r="H79" i="14"/>
  <c r="H90" i="14" s="1"/>
  <c r="K139" i="14"/>
  <c r="T138" i="14"/>
  <c r="Y143" i="14"/>
  <c r="Y144" i="14" s="1"/>
  <c r="Q75" i="14"/>
  <c r="Q76" i="14" s="1"/>
  <c r="Q77" i="14" s="1"/>
  <c r="H104" i="14"/>
  <c r="H115" i="14" s="1"/>
  <c r="AD139" i="14"/>
  <c r="Z164" i="14"/>
  <c r="H137" i="14"/>
  <c r="H138" i="14" s="1"/>
  <c r="AA138" i="14"/>
  <c r="AO34" i="21"/>
  <c r="AO14" i="21"/>
  <c r="AO20" i="21" s="1"/>
  <c r="AO11" i="21"/>
  <c r="AO79" i="21"/>
  <c r="AI136" i="14"/>
  <c r="AI137" i="14" s="1"/>
  <c r="AI111" i="14"/>
  <c r="AI112" i="14" s="1"/>
  <c r="AI113" i="14" s="1"/>
  <c r="AI75" i="14"/>
  <c r="AI76" i="14" s="1"/>
  <c r="AI77" i="14" s="1"/>
  <c r="AI97" i="14"/>
  <c r="AI98" i="14" s="1"/>
  <c r="AI99" i="14" s="1"/>
  <c r="AI161" i="14"/>
  <c r="AI162" i="14" s="1"/>
  <c r="AI164" i="14" s="1"/>
  <c r="AI147" i="14"/>
  <c r="AI148" i="14" s="1"/>
  <c r="AI149" i="14" s="1"/>
  <c r="AI86" i="14"/>
  <c r="AI87" i="14" s="1"/>
  <c r="AI89" i="14" s="1"/>
  <c r="AI122" i="14"/>
  <c r="AI123" i="14" s="1"/>
  <c r="AI124" i="14" s="1"/>
  <c r="AN86" i="14"/>
  <c r="AN87" i="14" s="1"/>
  <c r="AN72" i="14"/>
  <c r="AN73" i="14" s="1"/>
  <c r="AN74" i="14" s="1"/>
  <c r="AN143" i="14"/>
  <c r="AN144" i="14" s="1"/>
  <c r="AO71" i="21"/>
  <c r="E125" i="14"/>
  <c r="E126" i="14" s="1"/>
  <c r="AO64" i="21"/>
  <c r="E100" i="14"/>
  <c r="E101" i="14" s="1"/>
  <c r="AF4" i="7"/>
  <c r="AF13" i="13" s="1"/>
  <c r="AF100" i="7"/>
  <c r="AF3" i="23" s="1"/>
  <c r="AO78" i="21"/>
  <c r="BG21" i="15"/>
  <c r="BG5" i="9" s="1"/>
  <c r="E75" i="14"/>
  <c r="E76" i="14" s="1"/>
  <c r="E77" i="14" s="1"/>
  <c r="AI36" i="9"/>
  <c r="AM7" i="10" s="1"/>
  <c r="AO62" i="21"/>
  <c r="AO77" i="21"/>
  <c r="AO72" i="21"/>
  <c r="AO63" i="21"/>
  <c r="AO61" i="21"/>
  <c r="AO76" i="21"/>
  <c r="AO60" i="21"/>
  <c r="AN61" i="21"/>
  <c r="AN72" i="21"/>
  <c r="AN77" i="21"/>
  <c r="AN63" i="21"/>
  <c r="AN78" i="21"/>
  <c r="AN64" i="21"/>
  <c r="AN62" i="21"/>
  <c r="AN25" i="15"/>
  <c r="AN26" i="15"/>
  <c r="AN60" i="21"/>
  <c r="AN17" i="17"/>
  <c r="AN14" i="17"/>
  <c r="AN28" i="13" s="1"/>
  <c r="AN71" i="21"/>
  <c r="AN79" i="21"/>
  <c r="AN76" i="21"/>
  <c r="AN17" i="21"/>
  <c r="AN11" i="21"/>
  <c r="AN14" i="21"/>
  <c r="AN20" i="21" s="1"/>
  <c r="AN34" i="21"/>
  <c r="AN3" i="8"/>
  <c r="AN3" i="9"/>
  <c r="AR6" i="10" s="1"/>
  <c r="AI41" i="9"/>
  <c r="AI42" i="9" s="1"/>
  <c r="AI50" i="9" s="1"/>
  <c r="AI33" i="9"/>
  <c r="AI34" i="9" s="1"/>
  <c r="AM5" i="10" s="1"/>
  <c r="AI44" i="9"/>
  <c r="AI45" i="9" s="1"/>
  <c r="AI55" i="9" s="1"/>
  <c r="AI17" i="9"/>
  <c r="AI18" i="9" s="1"/>
  <c r="AI38" i="9"/>
  <c r="AI39" i="9" s="1"/>
  <c r="AI48" i="9" s="1"/>
  <c r="AI11" i="9"/>
  <c r="AI12" i="9" s="1"/>
  <c r="AI54" i="9" s="1"/>
  <c r="AI27" i="9"/>
  <c r="AI28" i="9" s="1"/>
  <c r="R26" i="21"/>
  <c r="BG22" i="15"/>
  <c r="BG43" i="15" s="1"/>
  <c r="X9" i="8"/>
  <c r="J26" i="21"/>
  <c r="J35" i="21"/>
  <c r="J36" i="21" s="1"/>
  <c r="BG56" i="9"/>
  <c r="BG48" i="9"/>
  <c r="BG57" i="9"/>
  <c r="BG9" i="8"/>
  <c r="BG7" i="8"/>
  <c r="BG58" i="9"/>
  <c r="BG49" i="9"/>
  <c r="BG59" i="9"/>
  <c r="BG54" i="9"/>
  <c r="AD28" i="21"/>
  <c r="AD31" i="21" s="1"/>
  <c r="AF195" i="7"/>
  <c r="BG35" i="21"/>
  <c r="BG36" i="21" s="1"/>
  <c r="BG26" i="21"/>
  <c r="BG8" i="8"/>
  <c r="BG4" i="7"/>
  <c r="BG13" i="13" s="1"/>
  <c r="BG100" i="7"/>
  <c r="BG3" i="23" s="1"/>
  <c r="AD35" i="21"/>
  <c r="AD36" i="21" s="1"/>
  <c r="AD26" i="21"/>
  <c r="AH48" i="9"/>
  <c r="AH57" i="9"/>
  <c r="AH56" i="9"/>
  <c r="P28" i="21"/>
  <c r="P31" i="21" s="1"/>
  <c r="AF54" i="9"/>
  <c r="AF49" i="9"/>
  <c r="AF58" i="9"/>
  <c r="AF59" i="9"/>
  <c r="N26" i="21"/>
  <c r="N35" i="21"/>
  <c r="N36" i="21" s="1"/>
  <c r="X26" i="21"/>
  <c r="X35" i="21"/>
  <c r="X36" i="21" s="1"/>
  <c r="P35" i="21"/>
  <c r="P36" i="21" s="1"/>
  <c r="P26" i="21"/>
  <c r="E26" i="21"/>
  <c r="E35" i="21"/>
  <c r="E36" i="21" s="1"/>
  <c r="AC48" i="9"/>
  <c r="AC56" i="9"/>
  <c r="AC57" i="9"/>
  <c r="AC59" i="9"/>
  <c r="AC58" i="9"/>
  <c r="AC54" i="9"/>
  <c r="AC49" i="9"/>
  <c r="N28" i="21"/>
  <c r="N31" i="21" s="1"/>
  <c r="AA35" i="21"/>
  <c r="AA36" i="21" s="1"/>
  <c r="AA26" i="21"/>
  <c r="AH59" i="9"/>
  <c r="AH58" i="9"/>
  <c r="AH54" i="9"/>
  <c r="AH49" i="9"/>
  <c r="AF57" i="9"/>
  <c r="AF48" i="9"/>
  <c r="AF56" i="9"/>
  <c r="AI66" i="21"/>
  <c r="AI68" i="21" s="1"/>
  <c r="AI81" i="21"/>
  <c r="AI12" i="8" s="1"/>
  <c r="AI13" i="8" s="1"/>
  <c r="AI25" i="21"/>
  <c r="AI35" i="21" s="1"/>
  <c r="AI73" i="21"/>
  <c r="AH35" i="21"/>
  <c r="AH26" i="21"/>
  <c r="AG35" i="21"/>
  <c r="AG26" i="21"/>
  <c r="AE36" i="21"/>
  <c r="AF25" i="21"/>
  <c r="AI28" i="21"/>
  <c r="AI31" i="21" s="1"/>
  <c r="AH28" i="21"/>
  <c r="AH31" i="21" s="1"/>
  <c r="AG28" i="21"/>
  <c r="AG31" i="21" s="1"/>
  <c r="F5" i="20"/>
  <c r="X56" i="9"/>
  <c r="X57" i="9"/>
  <c r="X48" i="9"/>
  <c r="AL75" i="9"/>
  <c r="AM75" i="9" s="1"/>
  <c r="F74" i="9"/>
  <c r="F3" i="20" s="1"/>
  <c r="F4" i="8"/>
  <c r="Q36" i="8"/>
  <c r="Q39" i="8" s="1"/>
  <c r="E36" i="8"/>
  <c r="E39" i="8" s="1"/>
  <c r="E41" i="8" s="1"/>
  <c r="Y56" i="9"/>
  <c r="X58" i="9"/>
  <c r="X54" i="9"/>
  <c r="X49" i="9"/>
  <c r="Y9" i="8"/>
  <c r="X59" i="9"/>
  <c r="P9" i="8"/>
  <c r="X7" i="8"/>
  <c r="L36" i="8"/>
  <c r="L39" i="8" s="1"/>
  <c r="P8" i="8"/>
  <c r="Y48" i="9"/>
  <c r="Y7" i="8"/>
  <c r="P7" i="8"/>
  <c r="Y8" i="8"/>
  <c r="X8" i="8"/>
  <c r="M36" i="8"/>
  <c r="M39" i="8" s="1"/>
  <c r="Y57" i="9"/>
  <c r="Y49" i="9"/>
  <c r="Y58" i="9"/>
  <c r="E89" i="14"/>
  <c r="Y59" i="9"/>
  <c r="Y54" i="9"/>
  <c r="O54" i="9"/>
  <c r="P57" i="9"/>
  <c r="P56" i="9"/>
  <c r="P48" i="9"/>
  <c r="P54" i="9"/>
  <c r="P59" i="9"/>
  <c r="P49" i="9"/>
  <c r="P58" i="9"/>
  <c r="K12" i="11"/>
  <c r="I21" i="15"/>
  <c r="I5" i="9" s="1"/>
  <c r="I22" i="15"/>
  <c r="I43" i="15" s="1"/>
  <c r="W103" i="10" l="1"/>
  <c r="W25" i="10"/>
  <c r="W30" i="10"/>
  <c r="F49" i="21"/>
  <c r="F50" i="21" s="1"/>
  <c r="Q97" i="14"/>
  <c r="W139" i="10"/>
  <c r="W188" i="10"/>
  <c r="W163" i="10"/>
  <c r="W158" i="10"/>
  <c r="W157" i="10"/>
  <c r="W32" i="10"/>
  <c r="W100" i="10"/>
  <c r="W195" i="10"/>
  <c r="W186" i="10"/>
  <c r="W98" i="10"/>
  <c r="W72" i="10"/>
  <c r="W17" i="10"/>
  <c r="W21" i="10"/>
  <c r="W47" i="10"/>
  <c r="W110" i="10"/>
  <c r="W200" i="10"/>
  <c r="W89" i="10"/>
  <c r="W52" i="10"/>
  <c r="W83" i="10"/>
  <c r="W22" i="10"/>
  <c r="W147" i="10"/>
  <c r="W118" i="10"/>
  <c r="W201" i="10"/>
  <c r="W67" i="10"/>
  <c r="W114" i="10"/>
  <c r="W41" i="10"/>
  <c r="W99" i="10"/>
  <c r="W35" i="10"/>
  <c r="W192" i="10"/>
  <c r="W28" i="10"/>
  <c r="W23" i="10"/>
  <c r="W109" i="10"/>
  <c r="W102" i="10"/>
  <c r="W54" i="10"/>
  <c r="W44" i="10"/>
  <c r="W85" i="10"/>
  <c r="W115" i="10"/>
  <c r="W91" i="10"/>
  <c r="W150" i="10"/>
  <c r="W177" i="10"/>
  <c r="W60" i="10"/>
  <c r="W168" i="10"/>
  <c r="W97" i="10"/>
  <c r="W39" i="10"/>
  <c r="W107" i="10"/>
  <c r="W92" i="10"/>
  <c r="W135" i="10"/>
  <c r="W31" i="10"/>
  <c r="W121" i="10"/>
  <c r="W123" i="10"/>
  <c r="W86" i="10"/>
  <c r="W185" i="10"/>
  <c r="W125" i="10"/>
  <c r="W189" i="10"/>
  <c r="W160" i="10"/>
  <c r="W159" i="10"/>
  <c r="W171" i="10"/>
  <c r="W113" i="10"/>
  <c r="W101" i="10"/>
  <c r="W133" i="10"/>
  <c r="W66" i="10"/>
  <c r="W96" i="10"/>
  <c r="W193" i="10"/>
  <c r="W172" i="10"/>
  <c r="W132" i="10"/>
  <c r="W33" i="10"/>
  <c r="W161" i="10"/>
  <c r="W148" i="10"/>
  <c r="W124" i="10"/>
  <c r="W46" i="10"/>
  <c r="W165" i="10"/>
  <c r="W156" i="10"/>
  <c r="W38" i="10"/>
  <c r="W59" i="10"/>
  <c r="W71" i="10"/>
  <c r="W166" i="10"/>
  <c r="W82" i="10"/>
  <c r="W26" i="10"/>
  <c r="W169" i="10"/>
  <c r="W90" i="10"/>
  <c r="W108" i="10"/>
  <c r="W187" i="10"/>
  <c r="W145" i="10"/>
  <c r="W137" i="10"/>
  <c r="W70" i="10"/>
  <c r="W81" i="10"/>
  <c r="W45" i="10"/>
  <c r="W129" i="10"/>
  <c r="W199" i="10"/>
  <c r="W43" i="10"/>
  <c r="W94" i="10"/>
  <c r="W179" i="10"/>
  <c r="W181" i="10"/>
  <c r="W75" i="10"/>
  <c r="W152" i="10"/>
  <c r="W198" i="10"/>
  <c r="W27" i="10"/>
  <c r="W64" i="10"/>
  <c r="W131" i="10"/>
  <c r="W68" i="10"/>
  <c r="W95" i="10"/>
  <c r="W93" i="10"/>
  <c r="W119" i="10"/>
  <c r="W87" i="10"/>
  <c r="W10" i="10" s="1"/>
  <c r="S53" i="9" s="1"/>
  <c r="S60" i="9" s="1"/>
  <c r="S66" i="9" s="1"/>
  <c r="S5" i="20" s="1"/>
  <c r="W167" i="10"/>
  <c r="W126" i="10"/>
  <c r="W56" i="10"/>
  <c r="W154" i="10"/>
  <c r="W144" i="10"/>
  <c r="W138" i="10"/>
  <c r="W105" i="10"/>
  <c r="W146" i="10"/>
  <c r="W120" i="10"/>
  <c r="W176" i="10"/>
  <c r="W117" i="10"/>
  <c r="W29" i="10"/>
  <c r="W49" i="10"/>
  <c r="W24" i="10"/>
  <c r="W173" i="10"/>
  <c r="W116" i="10"/>
  <c r="AG48" i="9"/>
  <c r="W127" i="10"/>
  <c r="W20" i="10"/>
  <c r="W8" i="10" s="1"/>
  <c r="S47" i="9" s="1"/>
  <c r="S51" i="9" s="1"/>
  <c r="S64" i="9" s="1"/>
  <c r="S74" i="9" s="1"/>
  <c r="S3" i="20" s="1"/>
  <c r="W69" i="10"/>
  <c r="W112" i="10"/>
  <c r="W34" i="10"/>
  <c r="W37" i="10"/>
  <c r="W194" i="10"/>
  <c r="W18" i="10"/>
  <c r="W42" i="10"/>
  <c r="W153" i="10"/>
  <c r="W61" i="10"/>
  <c r="W122" i="10"/>
  <c r="W164" i="10"/>
  <c r="W191" i="10"/>
  <c r="W174" i="10"/>
  <c r="W36" i="10"/>
  <c r="W48" i="10"/>
  <c r="U79" i="14"/>
  <c r="W73" i="10"/>
  <c r="W182" i="10"/>
  <c r="W84" i="10"/>
  <c r="W19" i="10"/>
  <c r="W62" i="10"/>
  <c r="W106" i="10"/>
  <c r="W143" i="10"/>
  <c r="W80" i="10"/>
  <c r="W51" i="10"/>
  <c r="W57" i="10"/>
  <c r="W16" i="10"/>
  <c r="W136" i="10"/>
  <c r="W134" i="10"/>
  <c r="W183" i="10"/>
  <c r="W128" i="10"/>
  <c r="W53" i="10"/>
  <c r="W111" i="10"/>
  <c r="W55" i="10"/>
  <c r="W178" i="10"/>
  <c r="W196" i="10"/>
  <c r="W88" i="10"/>
  <c r="W162" i="10"/>
  <c r="W151" i="10"/>
  <c r="W190" i="10"/>
  <c r="AT149" i="23"/>
  <c r="AT153" i="23"/>
  <c r="AT151" i="23"/>
  <c r="AT148" i="23"/>
  <c r="AT152" i="23"/>
  <c r="AT147" i="23"/>
  <c r="E260" i="23"/>
  <c r="E172" i="23" s="1"/>
  <c r="E170" i="23" s="1"/>
  <c r="E159" i="23"/>
  <c r="E160" i="23" s="1"/>
  <c r="E25" i="23"/>
  <c r="E23" i="23"/>
  <c r="E24" i="23"/>
  <c r="E22" i="23"/>
  <c r="E208" i="23"/>
  <c r="E210" i="23" s="1"/>
  <c r="E212" i="23" s="1"/>
  <c r="E213" i="23" s="1"/>
  <c r="E214" i="23" s="1"/>
  <c r="E215" i="23" s="1"/>
  <c r="E270" i="23"/>
  <c r="E44" i="23"/>
  <c r="E258" i="23"/>
  <c r="E171" i="23" s="1"/>
  <c r="E269" i="23"/>
  <c r="E268" i="23"/>
  <c r="E197" i="23"/>
  <c r="E198" i="23" s="1"/>
  <c r="E199" i="23" s="1"/>
  <c r="E200" i="23" s="1"/>
  <c r="E196" i="23"/>
  <c r="E72" i="23"/>
  <c r="E80" i="23" s="1"/>
  <c r="E83" i="23" s="1"/>
  <c r="E86" i="23"/>
  <c r="E87" i="23" s="1"/>
  <c r="I36" i="8"/>
  <c r="I39" i="8" s="1"/>
  <c r="I40" i="8" s="1"/>
  <c r="O69" i="14"/>
  <c r="O86" i="14" s="1"/>
  <c r="O87" i="14" s="1"/>
  <c r="O88" i="14" s="1"/>
  <c r="AQ43" i="7"/>
  <c r="AO350" i="7"/>
  <c r="AO365" i="7" s="1"/>
  <c r="AO306" i="7"/>
  <c r="AO307" i="7" s="1"/>
  <c r="AO345" i="7" s="1"/>
  <c r="O119" i="14"/>
  <c r="T123" i="14"/>
  <c r="T124" i="14" s="1"/>
  <c r="T125" i="14" s="1"/>
  <c r="T126" i="14" s="1"/>
  <c r="T127" i="14" s="1"/>
  <c r="T132" i="14" s="1"/>
  <c r="T135" i="14" s="1"/>
  <c r="AR265" i="7"/>
  <c r="AR280" i="7" s="1"/>
  <c r="AR261" i="7"/>
  <c r="AR276" i="7" s="1"/>
  <c r="AP143" i="7"/>
  <c r="L10" i="10"/>
  <c r="AR269" i="7"/>
  <c r="AR284" i="7" s="1"/>
  <c r="AP133" i="7"/>
  <c r="AR267" i="7"/>
  <c r="AR282" i="7" s="1"/>
  <c r="AP144" i="7"/>
  <c r="AO226" i="7"/>
  <c r="AR258" i="7"/>
  <c r="AR273" i="7" s="1"/>
  <c r="AR257" i="7"/>
  <c r="AR272" i="7" s="1"/>
  <c r="AR262" i="7"/>
  <c r="AR277" i="7" s="1"/>
  <c r="AR268" i="7"/>
  <c r="AR283" i="7" s="1"/>
  <c r="AR204" i="7"/>
  <c r="Q144" i="14"/>
  <c r="AR260" i="7"/>
  <c r="AR275" i="7" s="1"/>
  <c r="L9" i="10"/>
  <c r="AP136" i="7"/>
  <c r="AR266" i="7"/>
  <c r="AR281" i="7" s="1"/>
  <c r="L8" i="10"/>
  <c r="AR263" i="7"/>
  <c r="AR278" i="7" s="1"/>
  <c r="O144" i="14"/>
  <c r="S86" i="14"/>
  <c r="S87" i="14" s="1"/>
  <c r="S89" i="14" s="1"/>
  <c r="P147" i="14"/>
  <c r="P148" i="14"/>
  <c r="P149" i="14" s="1"/>
  <c r="R119" i="14"/>
  <c r="R123" i="14"/>
  <c r="R124" i="14" s="1"/>
  <c r="R122" i="14"/>
  <c r="AO56" i="7"/>
  <c r="AO40" i="7"/>
  <c r="V144" i="14"/>
  <c r="V148" i="14"/>
  <c r="V149" i="14" s="1"/>
  <c r="V150" i="14" s="1"/>
  <c r="V151" i="14" s="1"/>
  <c r="V152" i="14" s="1"/>
  <c r="V157" i="14" s="1"/>
  <c r="V160" i="14" s="1"/>
  <c r="V147" i="14"/>
  <c r="AO114" i="7"/>
  <c r="AO115" i="7" s="1"/>
  <c r="AO153" i="7" s="1"/>
  <c r="S119" i="14"/>
  <c r="S122" i="14"/>
  <c r="S123" i="14"/>
  <c r="S124" i="14" s="1"/>
  <c r="S125" i="14" s="1"/>
  <c r="S126" i="14" s="1"/>
  <c r="S127" i="14" s="1"/>
  <c r="S132" i="14" s="1"/>
  <c r="S135" i="14" s="1"/>
  <c r="AO217" i="7"/>
  <c r="AO209" i="7"/>
  <c r="V86" i="14"/>
  <c r="V87" i="14" s="1"/>
  <c r="V88" i="14" s="1"/>
  <c r="R144" i="14"/>
  <c r="R147" i="14"/>
  <c r="R148" i="14"/>
  <c r="R149" i="14" s="1"/>
  <c r="AO124" i="7"/>
  <c r="AO139" i="7" s="1"/>
  <c r="F86" i="14"/>
  <c r="F87" i="14" s="1"/>
  <c r="F88" i="14" s="1"/>
  <c r="AO325" i="7"/>
  <c r="AO330" i="7"/>
  <c r="T93" i="14"/>
  <c r="T94" i="14" s="1"/>
  <c r="AO188" i="7"/>
  <c r="V79" i="14"/>
  <c r="U94" i="14"/>
  <c r="U104" i="14" s="1"/>
  <c r="U98" i="14"/>
  <c r="U99" i="14" s="1"/>
  <c r="U100" i="14" s="1"/>
  <c r="U101" i="14" s="1"/>
  <c r="U102" i="14" s="1"/>
  <c r="U97" i="14"/>
  <c r="T144" i="14"/>
  <c r="T147" i="14"/>
  <c r="T148" i="14"/>
  <c r="T149" i="14" s="1"/>
  <c r="T150" i="14" s="1"/>
  <c r="T151" i="14" s="1"/>
  <c r="T152" i="14" s="1"/>
  <c r="T157" i="14" s="1"/>
  <c r="T160" i="14" s="1"/>
  <c r="N119" i="14"/>
  <c r="N122" i="14"/>
  <c r="N123" i="14" s="1"/>
  <c r="N124" i="14" s="1"/>
  <c r="N125" i="14" s="1"/>
  <c r="N126" i="14" s="1"/>
  <c r="N127" i="14" s="1"/>
  <c r="N132" i="14" s="1"/>
  <c r="N135" i="14" s="1"/>
  <c r="N93" i="14"/>
  <c r="N97" i="14" s="1"/>
  <c r="N98" i="14" s="1"/>
  <c r="N99" i="14" s="1"/>
  <c r="AR20" i="13"/>
  <c r="AR6" i="24"/>
  <c r="AR11" i="7"/>
  <c r="AS73" i="7"/>
  <c r="AS88" i="7" s="1"/>
  <c r="U118" i="14"/>
  <c r="U119" i="14" s="1"/>
  <c r="R75" i="14"/>
  <c r="R76" i="14" s="1"/>
  <c r="R77" i="14" s="1"/>
  <c r="R82" i="14" s="1"/>
  <c r="R85" i="14" s="1"/>
  <c r="O93" i="14"/>
  <c r="O97" i="14" s="1"/>
  <c r="O98" i="14" s="1"/>
  <c r="O99" i="14" s="1"/>
  <c r="O75" i="14"/>
  <c r="O76" i="14" s="1"/>
  <c r="O77" i="14" s="1"/>
  <c r="O82" i="14" s="1"/>
  <c r="O85" i="14" s="1"/>
  <c r="S93" i="14"/>
  <c r="S94" i="14" s="1"/>
  <c r="AO135" i="7"/>
  <c r="AO154" i="7"/>
  <c r="AO140" i="7"/>
  <c r="AO141" i="7"/>
  <c r="AO132" i="7"/>
  <c r="AW3" i="11"/>
  <c r="AU3" i="22"/>
  <c r="F144" i="14"/>
  <c r="F147" i="14"/>
  <c r="F148" i="14"/>
  <c r="F149" i="14" s="1"/>
  <c r="F150" i="14" s="1"/>
  <c r="F151" i="14" s="1"/>
  <c r="F152" i="14" s="1"/>
  <c r="F157" i="14" s="1"/>
  <c r="F160" i="14" s="1"/>
  <c r="AO133" i="7"/>
  <c r="R86" i="14"/>
  <c r="R87" i="14" s="1"/>
  <c r="R88" i="14" s="1"/>
  <c r="F94" i="14"/>
  <c r="F98" i="14"/>
  <c r="F99" i="14" s="1"/>
  <c r="F100" i="14" s="1"/>
  <c r="F101" i="14" s="1"/>
  <c r="F102" i="14" s="1"/>
  <c r="F107" i="14" s="1"/>
  <c r="F110" i="14" s="1"/>
  <c r="F97" i="14"/>
  <c r="V94" i="14"/>
  <c r="V98" i="14"/>
  <c r="V99" i="14" s="1"/>
  <c r="V100" i="14" s="1"/>
  <c r="V101" i="14" s="1"/>
  <c r="V102" i="14" s="1"/>
  <c r="V107" i="14" s="1"/>
  <c r="V110" i="14" s="1"/>
  <c r="V97" i="14"/>
  <c r="U86" i="14"/>
  <c r="U87" i="14"/>
  <c r="U88" i="14" s="1"/>
  <c r="AO311" i="7"/>
  <c r="AO312" i="7" s="1"/>
  <c r="AO338" i="7" s="1"/>
  <c r="AO208" i="7"/>
  <c r="T86" i="14"/>
  <c r="T87" i="14" s="1"/>
  <c r="T89" i="14" s="1"/>
  <c r="V119" i="14"/>
  <c r="V123" i="14"/>
  <c r="V124" i="14" s="1"/>
  <c r="V125" i="14" s="1"/>
  <c r="V126" i="14" s="1"/>
  <c r="V127" i="14" s="1"/>
  <c r="V132" i="14" s="1"/>
  <c r="V135" i="14" s="1"/>
  <c r="V122" i="14"/>
  <c r="AO302" i="7"/>
  <c r="F79" i="14"/>
  <c r="AO222" i="7"/>
  <c r="T72" i="14"/>
  <c r="T73" i="14"/>
  <c r="T74" i="14" s="1"/>
  <c r="AO316" i="7"/>
  <c r="AO317" i="7" s="1"/>
  <c r="AO328" i="7" s="1"/>
  <c r="S72" i="14"/>
  <c r="S73" i="14"/>
  <c r="S74" i="14" s="1"/>
  <c r="N143" i="14"/>
  <c r="N147" i="14" s="1"/>
  <c r="N148" i="14" s="1"/>
  <c r="N149" i="14" s="1"/>
  <c r="N144" i="14"/>
  <c r="N161" i="14" s="1"/>
  <c r="N162" i="14" s="1"/>
  <c r="AO227" i="7"/>
  <c r="AO244" i="7"/>
  <c r="AO55" i="7"/>
  <c r="AO47" i="7"/>
  <c r="AO43" i="7"/>
  <c r="AO46" i="7"/>
  <c r="AO54" i="7"/>
  <c r="AO53" i="7"/>
  <c r="AO48" i="7"/>
  <c r="AO51" i="7"/>
  <c r="AO380" i="7"/>
  <c r="AO212" i="7"/>
  <c r="AO213" i="7" s="1"/>
  <c r="R94" i="14"/>
  <c r="R97" i="14"/>
  <c r="R98" i="14"/>
  <c r="R99" i="14" s="1"/>
  <c r="N86" i="14"/>
  <c r="N87" i="14" s="1"/>
  <c r="N89" i="14" s="1"/>
  <c r="P93" i="14"/>
  <c r="P94" i="14" s="1"/>
  <c r="AO320" i="7"/>
  <c r="AO321" i="7" s="1"/>
  <c r="AO339" i="7" s="1"/>
  <c r="AQ209" i="7"/>
  <c r="AO286" i="7"/>
  <c r="U143" i="14"/>
  <c r="U144" i="14" s="1"/>
  <c r="AO52" i="7"/>
  <c r="AO44" i="7"/>
  <c r="AO31" i="7"/>
  <c r="AO42" i="7"/>
  <c r="AO66" i="7"/>
  <c r="AO60" i="7"/>
  <c r="AO57" i="7"/>
  <c r="AO63" i="7"/>
  <c r="AO62" i="7"/>
  <c r="AO64" i="7"/>
  <c r="AO65" i="7"/>
  <c r="AO58" i="7"/>
  <c r="AO61" i="7"/>
  <c r="AO50" i="7"/>
  <c r="AR209" i="7"/>
  <c r="AO49" i="7"/>
  <c r="AO45" i="7"/>
  <c r="AO36" i="7"/>
  <c r="AO110" i="7"/>
  <c r="AP3" i="15"/>
  <c r="AP5" i="15" s="1"/>
  <c r="AV4" i="11" s="1"/>
  <c r="AV3" i="11"/>
  <c r="AT3" i="22"/>
  <c r="AR22" i="7"/>
  <c r="S144" i="14"/>
  <c r="S148" i="14"/>
  <c r="S149" i="14" s="1"/>
  <c r="S150" i="14" s="1"/>
  <c r="S151" i="14" s="1"/>
  <c r="S152" i="14" s="1"/>
  <c r="S157" i="14" s="1"/>
  <c r="S160" i="14" s="1"/>
  <c r="S147" i="14"/>
  <c r="F119" i="14"/>
  <c r="F122" i="14"/>
  <c r="F123" i="14"/>
  <c r="F124" i="14" s="1"/>
  <c r="F125" i="14" s="1"/>
  <c r="F126" i="14" s="1"/>
  <c r="F127" i="14" s="1"/>
  <c r="F132" i="14" s="1"/>
  <c r="F135" i="14" s="1"/>
  <c r="AG57" i="9"/>
  <c r="N36" i="8"/>
  <c r="N39" i="8" s="1"/>
  <c r="N40" i="8" s="1"/>
  <c r="F86" i="9"/>
  <c r="F87" i="9" s="1"/>
  <c r="F88" i="9" s="1"/>
  <c r="F89" i="9" s="1"/>
  <c r="G36" i="8"/>
  <c r="G39" i="8" s="1"/>
  <c r="AK3" i="10"/>
  <c r="M9" i="10"/>
  <c r="M10" i="10"/>
  <c r="M8" i="10"/>
  <c r="I47" i="9" s="1"/>
  <c r="I51" i="9" s="1"/>
  <c r="I64" i="9" s="1"/>
  <c r="I74" i="9" s="1"/>
  <c r="I3" i="20" s="1"/>
  <c r="K8" i="10"/>
  <c r="G47" i="9" s="1"/>
  <c r="G51" i="9" s="1"/>
  <c r="G64" i="9" s="1"/>
  <c r="AH4" i="10"/>
  <c r="AH2" i="10"/>
  <c r="K9" i="10"/>
  <c r="G62" i="9" s="1"/>
  <c r="G68" i="9" s="1"/>
  <c r="G71" i="9" s="1"/>
  <c r="K10" i="10"/>
  <c r="G53" i="9" s="1"/>
  <c r="G60" i="9" s="1"/>
  <c r="G66" i="9" s="1"/>
  <c r="AK2" i="10"/>
  <c r="AK4" i="10"/>
  <c r="AG49" i="9"/>
  <c r="AG59" i="9"/>
  <c r="AG58" i="9"/>
  <c r="O58" i="9"/>
  <c r="O9" i="8"/>
  <c r="W4" i="22"/>
  <c r="W36" i="8"/>
  <c r="W39" i="8" s="1"/>
  <c r="W40" i="8" s="1"/>
  <c r="O49" i="9"/>
  <c r="AB35" i="21"/>
  <c r="AB36" i="21" s="1"/>
  <c r="AD58" i="9"/>
  <c r="O8" i="8"/>
  <c r="O59" i="9"/>
  <c r="AD54" i="9"/>
  <c r="AD59" i="9"/>
  <c r="S36" i="8"/>
  <c r="S39" i="8" s="1"/>
  <c r="S40" i="8" s="1"/>
  <c r="AH3" i="10"/>
  <c r="AD8" i="8"/>
  <c r="AD36" i="8" s="1"/>
  <c r="AD39" i="8" s="1"/>
  <c r="AD40" i="8" s="1"/>
  <c r="AO22" i="9"/>
  <c r="AO23" i="9" s="1"/>
  <c r="AS3" i="10" s="1"/>
  <c r="V36" i="8"/>
  <c r="V39" i="8" s="1"/>
  <c r="V40" i="8" s="1"/>
  <c r="F10" i="8"/>
  <c r="S185" i="10"/>
  <c r="S163" i="10"/>
  <c r="S37" i="10"/>
  <c r="S87" i="10"/>
  <c r="AD49" i="9"/>
  <c r="S62" i="10"/>
  <c r="S80" i="10"/>
  <c r="S130" i="10"/>
  <c r="AO26" i="15"/>
  <c r="AO25" i="15"/>
  <c r="S88" i="10"/>
  <c r="S43" i="10"/>
  <c r="AD56" i="9"/>
  <c r="O57" i="9"/>
  <c r="AD57" i="9"/>
  <c r="AC36" i="8"/>
  <c r="AC39" i="8" s="1"/>
  <c r="AC40" i="8" s="1"/>
  <c r="S58" i="10"/>
  <c r="S90" i="10"/>
  <c r="S103" i="10"/>
  <c r="S143" i="10"/>
  <c r="O56" i="9"/>
  <c r="S51" i="10"/>
  <c r="S86" i="10"/>
  <c r="S44" i="10"/>
  <c r="S30" i="10"/>
  <c r="S109" i="10"/>
  <c r="S40" i="10"/>
  <c r="S104" i="10"/>
  <c r="S123" i="10"/>
  <c r="S93" i="10"/>
  <c r="S36" i="10"/>
  <c r="S193" i="10"/>
  <c r="S112" i="10"/>
  <c r="S191" i="10"/>
  <c r="S92" i="10"/>
  <c r="S150" i="10"/>
  <c r="S46" i="10"/>
  <c r="S29" i="10"/>
  <c r="S136" i="10"/>
  <c r="S168" i="10"/>
  <c r="S116" i="10"/>
  <c r="S156" i="10"/>
  <c r="S45" i="10"/>
  <c r="S48" i="10"/>
  <c r="S186" i="10"/>
  <c r="S71" i="10"/>
  <c r="S73" i="10"/>
  <c r="S134" i="10"/>
  <c r="S199" i="10"/>
  <c r="S81" i="10"/>
  <c r="S84" i="10"/>
  <c r="S158" i="10"/>
  <c r="S145" i="10"/>
  <c r="S67" i="10"/>
  <c r="S194" i="10"/>
  <c r="S126" i="10"/>
  <c r="S101" i="10"/>
  <c r="S183" i="10"/>
  <c r="S96" i="10"/>
  <c r="S114" i="10"/>
  <c r="S195" i="10"/>
  <c r="S100" i="10"/>
  <c r="S75" i="10"/>
  <c r="S189" i="10"/>
  <c r="S113" i="10"/>
  <c r="S110" i="10"/>
  <c r="S117" i="10"/>
  <c r="S50" i="10"/>
  <c r="S139" i="10"/>
  <c r="S177" i="10"/>
  <c r="S59" i="10"/>
  <c r="S125" i="10"/>
  <c r="S190" i="10"/>
  <c r="S25" i="10"/>
  <c r="S98" i="10"/>
  <c r="S151" i="10"/>
  <c r="S69" i="10"/>
  <c r="S135" i="10"/>
  <c r="S137" i="10"/>
  <c r="S161" i="10"/>
  <c r="S53" i="10"/>
  <c r="S61" i="10"/>
  <c r="S122" i="10"/>
  <c r="S147" i="10"/>
  <c r="S180" i="10"/>
  <c r="S111" i="10"/>
  <c r="S97" i="10"/>
  <c r="S149" i="10"/>
  <c r="S17" i="10"/>
  <c r="S52" i="10"/>
  <c r="S102" i="10"/>
  <c r="S182" i="10"/>
  <c r="S160" i="10"/>
  <c r="S159" i="10"/>
  <c r="S105" i="10"/>
  <c r="S99" i="10"/>
  <c r="S166" i="10"/>
  <c r="S165" i="10"/>
  <c r="S128" i="10"/>
  <c r="S107" i="10"/>
  <c r="S167" i="10"/>
  <c r="S74" i="10"/>
  <c r="S34" i="10"/>
  <c r="S115" i="10"/>
  <c r="S65" i="10"/>
  <c r="S173" i="10"/>
  <c r="S21" i="10"/>
  <c r="S35" i="10"/>
  <c r="S119" i="10"/>
  <c r="S170" i="10"/>
  <c r="S57" i="10"/>
  <c r="S187" i="10"/>
  <c r="S18" i="10"/>
  <c r="R10" i="10"/>
  <c r="N53" i="9" s="1"/>
  <c r="N60" i="9" s="1"/>
  <c r="N66" i="9" s="1"/>
  <c r="R9" i="10"/>
  <c r="N62" i="9" s="1"/>
  <c r="N68" i="9" s="1"/>
  <c r="N71" i="9" s="1"/>
  <c r="R8" i="10"/>
  <c r="N47" i="9" s="1"/>
  <c r="N51" i="9" s="1"/>
  <c r="N64" i="9" s="1"/>
  <c r="N74" i="9" s="1"/>
  <c r="N3" i="20" s="1"/>
  <c r="S82" i="10"/>
  <c r="S124" i="10"/>
  <c r="S33" i="10"/>
  <c r="S55" i="10"/>
  <c r="S171" i="10"/>
  <c r="S108" i="10"/>
  <c r="S178" i="10"/>
  <c r="S16" i="10"/>
  <c r="S56" i="10"/>
  <c r="S129" i="10"/>
  <c r="S64" i="10"/>
  <c r="S72" i="10"/>
  <c r="S188" i="10"/>
  <c r="AH36" i="8"/>
  <c r="AH39" i="8" s="1"/>
  <c r="AH40" i="8" s="1"/>
  <c r="S49" i="10"/>
  <c r="O7" i="8"/>
  <c r="S89" i="10"/>
  <c r="S118" i="10"/>
  <c r="S169" i="10"/>
  <c r="S146" i="10"/>
  <c r="S202" i="10"/>
  <c r="S41" i="10"/>
  <c r="S68" i="10"/>
  <c r="S174" i="10"/>
  <c r="S153" i="10"/>
  <c r="S131" i="10"/>
  <c r="S66" i="10"/>
  <c r="S63" i="10"/>
  <c r="S24" i="10"/>
  <c r="S31" i="10"/>
  <c r="S164" i="10"/>
  <c r="S148" i="10"/>
  <c r="S121" i="10"/>
  <c r="S106" i="10"/>
  <c r="S19" i="10"/>
  <c r="S94" i="10"/>
  <c r="S120" i="10"/>
  <c r="S175" i="10"/>
  <c r="S198" i="10"/>
  <c r="S26" i="10"/>
  <c r="R7" i="8"/>
  <c r="S155" i="10"/>
  <c r="S83" i="10"/>
  <c r="S22" i="10"/>
  <c r="S85" i="10"/>
  <c r="S192" i="10"/>
  <c r="S133" i="10"/>
  <c r="S144" i="10"/>
  <c r="S154" i="10"/>
  <c r="S28" i="10"/>
  <c r="S127" i="10"/>
  <c r="S152" i="10"/>
  <c r="S162" i="10"/>
  <c r="S176" i="10"/>
  <c r="S20" i="10"/>
  <c r="S70" i="10"/>
  <c r="S32" i="10"/>
  <c r="S196" i="10"/>
  <c r="S157" i="10"/>
  <c r="S181" i="10"/>
  <c r="S197" i="10"/>
  <c r="S95" i="10"/>
  <c r="S132" i="10"/>
  <c r="S38" i="10"/>
  <c r="S184" i="10"/>
  <c r="S172" i="10"/>
  <c r="S60" i="10"/>
  <c r="S39" i="10"/>
  <c r="S91" i="10"/>
  <c r="S54" i="10"/>
  <c r="S27" i="10"/>
  <c r="S179" i="10"/>
  <c r="S42" i="10"/>
  <c r="S201" i="10"/>
  <c r="S47" i="10"/>
  <c r="S138" i="10"/>
  <c r="S23" i="10"/>
  <c r="S200" i="10"/>
  <c r="AO41" i="9"/>
  <c r="AO42" i="9" s="1"/>
  <c r="AO50" i="9" s="1"/>
  <c r="AA10" i="10"/>
  <c r="W53" i="9" s="1"/>
  <c r="W60" i="9" s="1"/>
  <c r="W66" i="9" s="1"/>
  <c r="AO44" i="9"/>
  <c r="AO45" i="9" s="1"/>
  <c r="AO55" i="9" s="1"/>
  <c r="AO27" i="9"/>
  <c r="AO28" i="9" s="1"/>
  <c r="AS4" i="10" s="1"/>
  <c r="AA8" i="10"/>
  <c r="W47" i="9" s="1"/>
  <c r="W51" i="9" s="1"/>
  <c r="W64" i="9" s="1"/>
  <c r="AO11" i="9"/>
  <c r="AO12" i="9" s="1"/>
  <c r="AO54" i="9" s="1"/>
  <c r="AO17" i="9"/>
  <c r="AO18" i="9" s="1"/>
  <c r="AS2" i="10" s="1"/>
  <c r="AO3" i="8"/>
  <c r="AA9" i="10"/>
  <c r="W62" i="9" s="1"/>
  <c r="W68" i="9" s="1"/>
  <c r="W71" i="9" s="1"/>
  <c r="AO33" i="9"/>
  <c r="AO34" i="9" s="1"/>
  <c r="AS5" i="10" s="1"/>
  <c r="AO36" i="9"/>
  <c r="AS7" i="10" s="1"/>
  <c r="AO38" i="9"/>
  <c r="AO39" i="9" s="1"/>
  <c r="AG36" i="8"/>
  <c r="AG39" i="8" s="1"/>
  <c r="AG22" i="13" s="1"/>
  <c r="R49" i="9"/>
  <c r="R58" i="9"/>
  <c r="R9" i="8"/>
  <c r="R57" i="9"/>
  <c r="R56" i="9"/>
  <c r="AF36" i="8"/>
  <c r="AF39" i="8" s="1"/>
  <c r="AF22" i="13" s="1"/>
  <c r="AP346" i="7"/>
  <c r="R59" i="9"/>
  <c r="AD150" i="10"/>
  <c r="V4" i="21"/>
  <c r="V4" i="20"/>
  <c r="AB57" i="9"/>
  <c r="S4" i="21"/>
  <c r="V4" i="9"/>
  <c r="S4" i="20"/>
  <c r="S44" i="15"/>
  <c r="S45" i="15" s="1"/>
  <c r="S46" i="15" s="1"/>
  <c r="AP343" i="7"/>
  <c r="AP329" i="7"/>
  <c r="Z36" i="8"/>
  <c r="Z39" i="8" s="1"/>
  <c r="Z22" i="13" s="1"/>
  <c r="V3" i="10"/>
  <c r="R8" i="8"/>
  <c r="R34" i="15"/>
  <c r="AP333" i="7"/>
  <c r="AP325" i="7"/>
  <c r="AP332" i="7"/>
  <c r="AP326" i="7"/>
  <c r="AP348" i="7"/>
  <c r="AP338" i="7"/>
  <c r="AP324" i="7"/>
  <c r="AP337" i="7"/>
  <c r="AP347" i="7"/>
  <c r="AP330" i="7"/>
  <c r="AP342" i="7"/>
  <c r="AP336" i="7"/>
  <c r="AP331" i="7"/>
  <c r="AP386" i="7"/>
  <c r="AP341" i="7"/>
  <c r="AP334" i="7"/>
  <c r="AP335" i="7"/>
  <c r="AD28" i="10"/>
  <c r="AP344" i="7"/>
  <c r="AP340" i="7"/>
  <c r="AL56" i="10"/>
  <c r="Q13" i="11"/>
  <c r="Q15" i="11" s="1"/>
  <c r="AG127" i="10"/>
  <c r="AD180" i="10"/>
  <c r="AD94" i="10"/>
  <c r="AD123" i="10"/>
  <c r="AG13" i="11"/>
  <c r="AG15" i="11" s="1"/>
  <c r="AA22" i="15" s="1"/>
  <c r="AA43" i="15" s="1"/>
  <c r="U44" i="15"/>
  <c r="U45" i="15" s="1"/>
  <c r="U46" i="15" s="1"/>
  <c r="U4" i="20"/>
  <c r="U4" i="9"/>
  <c r="AP152" i="7"/>
  <c r="AT12" i="11"/>
  <c r="AT14" i="11" s="1"/>
  <c r="X12" i="11"/>
  <c r="X14" i="11" s="1"/>
  <c r="AD103" i="10"/>
  <c r="AL18" i="10"/>
  <c r="AD200" i="10"/>
  <c r="AO13" i="11"/>
  <c r="AO15" i="11" s="1"/>
  <c r="AI22" i="15" s="1"/>
  <c r="AI43" i="15" s="1"/>
  <c r="AM4" i="22" s="1"/>
  <c r="AG104" i="10"/>
  <c r="AD95" i="10"/>
  <c r="AH12" i="11"/>
  <c r="AH14" i="11" s="1"/>
  <c r="AB21" i="15" s="1"/>
  <c r="AB5" i="9" s="1"/>
  <c r="AG198" i="10"/>
  <c r="P12" i="11"/>
  <c r="P14" i="11" s="1"/>
  <c r="J21" i="15" s="1"/>
  <c r="J5" i="9" s="1"/>
  <c r="AA34" i="15"/>
  <c r="AG38" i="10"/>
  <c r="AH13" i="11"/>
  <c r="AH15" i="11" s="1"/>
  <c r="AB22" i="15" s="1"/>
  <c r="AB43" i="15" s="1"/>
  <c r="AF4" i="22" s="1"/>
  <c r="Q12" i="11"/>
  <c r="Q14" i="11" s="1"/>
  <c r="K14" i="11"/>
  <c r="E21" i="15" s="1"/>
  <c r="E5" i="9" s="1"/>
  <c r="AD71" i="10"/>
  <c r="AG123" i="10"/>
  <c r="AD68" i="10"/>
  <c r="AG12" i="11"/>
  <c r="AG14" i="11" s="1"/>
  <c r="AA21" i="15" s="1"/>
  <c r="AA5" i="9" s="1"/>
  <c r="W9" i="10"/>
  <c r="S62" i="9" s="1"/>
  <c r="S68" i="9" s="1"/>
  <c r="S71" i="9" s="1"/>
  <c r="AG120" i="10"/>
  <c r="AD43" i="10"/>
  <c r="AL59" i="10"/>
  <c r="X13" i="11"/>
  <c r="X15" i="11" s="1"/>
  <c r="AG186" i="10"/>
  <c r="AD61" i="10"/>
  <c r="AL50" i="10"/>
  <c r="AD165" i="10"/>
  <c r="AL72" i="10"/>
  <c r="AO12" i="11"/>
  <c r="AO14" i="11" s="1"/>
  <c r="AI21" i="15" s="1"/>
  <c r="AI5" i="9" s="1"/>
  <c r="AU54" i="11"/>
  <c r="AU32" i="11"/>
  <c r="AU20" i="11"/>
  <c r="AU30" i="11"/>
  <c r="AU24" i="11"/>
  <c r="AU23" i="11"/>
  <c r="AU33" i="11"/>
  <c r="AU53" i="11"/>
  <c r="AU40" i="11"/>
  <c r="AU28" i="11"/>
  <c r="AU45" i="11"/>
  <c r="AU22" i="11"/>
  <c r="AU25" i="11"/>
  <c r="AU120" i="11"/>
  <c r="AU97" i="11"/>
  <c r="AU103" i="11"/>
  <c r="AU96" i="11"/>
  <c r="AU69" i="11"/>
  <c r="AU26" i="11"/>
  <c r="AU134" i="11"/>
  <c r="AU123" i="11"/>
  <c r="AU99" i="11"/>
  <c r="AU72" i="11"/>
  <c r="AU90" i="11"/>
  <c r="AU47" i="11"/>
  <c r="AU124" i="11"/>
  <c r="AU114" i="11"/>
  <c r="AU67" i="11"/>
  <c r="AU88" i="11"/>
  <c r="AU43" i="11"/>
  <c r="AU57" i="11"/>
  <c r="AU133" i="11"/>
  <c r="AU122" i="11"/>
  <c r="AU111" i="11"/>
  <c r="AU93" i="11"/>
  <c r="AU51" i="11"/>
  <c r="AU42" i="11"/>
  <c r="AU39" i="11"/>
  <c r="AU117" i="11"/>
  <c r="AU131" i="11"/>
  <c r="AU38" i="11"/>
  <c r="AU125" i="11"/>
  <c r="AU119" i="11"/>
  <c r="AU101" i="11"/>
  <c r="AU81" i="11"/>
  <c r="AU66" i="11"/>
  <c r="AU138" i="11"/>
  <c r="AU98" i="11"/>
  <c r="AU92" i="11"/>
  <c r="AU89" i="11"/>
  <c r="AU50" i="11"/>
  <c r="AU130" i="11"/>
  <c r="AU94" i="11"/>
  <c r="AU80" i="11"/>
  <c r="AU85" i="11"/>
  <c r="AU37" i="11"/>
  <c r="AU132" i="11"/>
  <c r="AU115" i="11"/>
  <c r="AU128" i="11"/>
  <c r="AU63" i="11"/>
  <c r="AU29" i="11"/>
  <c r="AU137" i="11"/>
  <c r="AU112" i="11"/>
  <c r="AU91" i="11"/>
  <c r="AU62" i="11"/>
  <c r="AU21" i="11"/>
  <c r="AU129" i="11"/>
  <c r="AU106" i="11"/>
  <c r="AU107" i="11"/>
  <c r="AU60" i="11"/>
  <c r="AU34" i="11"/>
  <c r="AU36" i="11"/>
  <c r="AU136" i="11"/>
  <c r="AU102" i="11"/>
  <c r="AU65" i="11"/>
  <c r="AU49" i="11"/>
  <c r="AU31" i="11"/>
  <c r="AU108" i="11"/>
  <c r="AU121" i="11"/>
  <c r="AU56" i="11"/>
  <c r="AU48" i="11"/>
  <c r="AU58" i="11"/>
  <c r="AU100" i="11"/>
  <c r="AU84" i="11"/>
  <c r="AU118" i="11"/>
  <c r="AU46" i="11"/>
  <c r="AU86" i="11"/>
  <c r="AU127" i="11"/>
  <c r="AU76" i="11"/>
  <c r="AU74" i="11"/>
  <c r="AU59" i="11"/>
  <c r="AU68" i="11"/>
  <c r="AU126" i="11"/>
  <c r="AU116" i="11"/>
  <c r="AU82" i="11"/>
  <c r="AU41" i="11"/>
  <c r="AU135" i="11"/>
  <c r="AU104" i="11"/>
  <c r="AU70" i="11"/>
  <c r="AU35" i="11"/>
  <c r="AU44" i="11"/>
  <c r="AU95" i="11"/>
  <c r="AU110" i="11"/>
  <c r="AU64" i="11"/>
  <c r="AU27" i="11"/>
  <c r="AU113" i="11"/>
  <c r="AU109" i="11"/>
  <c r="AU71" i="11"/>
  <c r="AU61" i="11"/>
  <c r="AU52" i="11"/>
  <c r="AU55" i="11"/>
  <c r="AU87" i="11"/>
  <c r="AU77" i="11"/>
  <c r="AU105" i="11"/>
  <c r="AU19" i="11"/>
  <c r="AU83" i="11"/>
  <c r="AU75" i="11"/>
  <c r="AU73" i="11"/>
  <c r="AD147" i="10"/>
  <c r="AL166" i="10"/>
  <c r="AT13" i="11"/>
  <c r="AT15" i="11" s="1"/>
  <c r="AD129" i="10"/>
  <c r="AL60" i="10"/>
  <c r="AD50" i="10"/>
  <c r="P13" i="11"/>
  <c r="P15" i="11" s="1"/>
  <c r="J22" i="15" s="1"/>
  <c r="J43" i="15" s="1"/>
  <c r="J4" i="20" s="1"/>
  <c r="AJ25" i="10"/>
  <c r="AJ17" i="10"/>
  <c r="AJ40" i="10"/>
  <c r="AJ29" i="10"/>
  <c r="AJ16" i="10"/>
  <c r="AJ19" i="10"/>
  <c r="AJ24" i="10"/>
  <c r="AJ31" i="10"/>
  <c r="AJ18" i="10"/>
  <c r="AJ148" i="10"/>
  <c r="AJ102" i="10"/>
  <c r="AJ85" i="10"/>
  <c r="AJ51" i="10"/>
  <c r="AJ46" i="10"/>
  <c r="AJ196" i="10"/>
  <c r="AJ159" i="10"/>
  <c r="AJ116" i="10"/>
  <c r="AJ111" i="10"/>
  <c r="AJ74" i="10"/>
  <c r="AJ42" i="10"/>
  <c r="AJ121" i="10"/>
  <c r="AJ136" i="10"/>
  <c r="AJ92" i="10"/>
  <c r="AJ67" i="10"/>
  <c r="AJ154" i="10"/>
  <c r="AJ113" i="10"/>
  <c r="AJ107" i="10"/>
  <c r="AJ81" i="10"/>
  <c r="AJ55" i="10"/>
  <c r="AJ192" i="10"/>
  <c r="AJ144" i="10"/>
  <c r="AJ145" i="10"/>
  <c r="AJ106" i="10"/>
  <c r="AJ34" i="10"/>
  <c r="AJ197" i="10"/>
  <c r="AJ135" i="10"/>
  <c r="AJ133" i="10"/>
  <c r="AJ130" i="10"/>
  <c r="AJ62" i="10"/>
  <c r="AJ33" i="10"/>
  <c r="AJ169" i="10"/>
  <c r="AJ115" i="10"/>
  <c r="AJ118" i="10"/>
  <c r="AJ117" i="10"/>
  <c r="AJ179" i="10"/>
  <c r="AJ143" i="10"/>
  <c r="AJ98" i="10"/>
  <c r="AJ110" i="10"/>
  <c r="AJ91" i="10"/>
  <c r="AJ65" i="10"/>
  <c r="AJ201" i="10"/>
  <c r="AJ202" i="10"/>
  <c r="AJ167" i="10"/>
  <c r="AJ151" i="10"/>
  <c r="AJ109" i="10"/>
  <c r="AJ87" i="10"/>
  <c r="AJ63" i="10"/>
  <c r="AJ27" i="10"/>
  <c r="AJ189" i="10"/>
  <c r="AJ82" i="10"/>
  <c r="AJ108" i="10"/>
  <c r="AJ86" i="10"/>
  <c r="AJ37" i="10"/>
  <c r="AJ194" i="10"/>
  <c r="AJ22" i="10"/>
  <c r="AJ164" i="10"/>
  <c r="AJ89" i="10"/>
  <c r="AJ44" i="10"/>
  <c r="AJ156" i="10"/>
  <c r="AJ149" i="10"/>
  <c r="AJ88" i="10"/>
  <c r="AJ181" i="10"/>
  <c r="AJ124" i="10"/>
  <c r="AJ21" i="10"/>
  <c r="AJ32" i="10"/>
  <c r="AJ112" i="10"/>
  <c r="AJ190" i="10"/>
  <c r="AJ100" i="10"/>
  <c r="AJ41" i="10"/>
  <c r="AJ182" i="10"/>
  <c r="AJ161" i="10"/>
  <c r="AJ80" i="10"/>
  <c r="AJ70" i="10"/>
  <c r="AJ83" i="10"/>
  <c r="AJ158" i="10"/>
  <c r="AJ52" i="10"/>
  <c r="AJ178" i="10"/>
  <c r="AJ157" i="10"/>
  <c r="AJ160" i="10"/>
  <c r="AJ146" i="10"/>
  <c r="AJ54" i="10"/>
  <c r="AJ137" i="10"/>
  <c r="AJ75" i="10"/>
  <c r="AJ168" i="10"/>
  <c r="AJ84" i="10"/>
  <c r="AJ173" i="10"/>
  <c r="AJ171" i="10"/>
  <c r="AJ69" i="10"/>
  <c r="AJ30" i="10"/>
  <c r="AG4" i="20"/>
  <c r="AK4" i="22"/>
  <c r="AI18" i="10"/>
  <c r="AI29" i="10"/>
  <c r="AI16" i="10"/>
  <c r="AI32" i="10"/>
  <c r="AI19" i="10"/>
  <c r="AI41" i="10"/>
  <c r="AI24" i="10"/>
  <c r="AI157" i="10"/>
  <c r="AI156" i="10"/>
  <c r="AI108" i="10"/>
  <c r="AI87" i="10"/>
  <c r="AI42" i="10"/>
  <c r="AI202" i="10"/>
  <c r="AI151" i="10"/>
  <c r="AI102" i="10"/>
  <c r="AI86" i="10"/>
  <c r="AI201" i="10"/>
  <c r="AI182" i="10"/>
  <c r="AI116" i="10"/>
  <c r="AI111" i="10"/>
  <c r="AI85" i="10"/>
  <c r="AI80" i="10"/>
  <c r="AI133" i="10"/>
  <c r="AI130" i="10"/>
  <c r="AI178" i="10"/>
  <c r="AI173" i="10"/>
  <c r="AI171" i="10"/>
  <c r="AI137" i="10"/>
  <c r="AI65" i="10"/>
  <c r="AI135" i="10"/>
  <c r="AI117" i="10"/>
  <c r="AI74" i="10"/>
  <c r="AI52" i="10"/>
  <c r="AI196" i="10"/>
  <c r="AI194" i="10"/>
  <c r="AI110" i="10"/>
  <c r="AI54" i="10"/>
  <c r="AI179" i="10"/>
  <c r="AI148" i="10"/>
  <c r="AI109" i="10"/>
  <c r="AI89" i="10"/>
  <c r="AI63" i="10"/>
  <c r="AI46" i="10"/>
  <c r="AI164" i="10"/>
  <c r="AI160" i="10"/>
  <c r="AI88" i="10"/>
  <c r="AI161" i="10"/>
  <c r="AI121" i="10"/>
  <c r="AI124" i="10"/>
  <c r="AI149" i="10"/>
  <c r="AI81" i="10"/>
  <c r="AI31" i="10"/>
  <c r="AI40" i="10"/>
  <c r="AI22" i="10"/>
  <c r="AI190" i="10"/>
  <c r="AI158" i="10"/>
  <c r="AI113" i="10"/>
  <c r="AI118" i="10"/>
  <c r="AI167" i="10"/>
  <c r="AI145" i="10"/>
  <c r="AI98" i="10"/>
  <c r="AI75" i="10"/>
  <c r="AI51" i="10"/>
  <c r="AI67" i="10"/>
  <c r="AI169" i="10"/>
  <c r="AI115" i="10"/>
  <c r="AI112" i="10"/>
  <c r="AI197" i="10"/>
  <c r="AI159" i="10"/>
  <c r="AI100" i="10"/>
  <c r="AI37" i="10"/>
  <c r="AI17" i="10"/>
  <c r="AI192" i="10"/>
  <c r="AI181" i="10"/>
  <c r="AI143" i="10"/>
  <c r="AI92" i="10"/>
  <c r="AI84" i="10"/>
  <c r="AI34" i="10"/>
  <c r="AI168" i="10"/>
  <c r="AI107" i="10"/>
  <c r="AI83" i="10"/>
  <c r="AI70" i="10"/>
  <c r="AI33" i="10"/>
  <c r="AI106" i="10"/>
  <c r="AI69" i="10"/>
  <c r="AI30" i="10"/>
  <c r="AI146" i="10"/>
  <c r="AI55" i="10"/>
  <c r="AI44" i="10"/>
  <c r="AI189" i="10"/>
  <c r="AI154" i="10"/>
  <c r="AI91" i="10"/>
  <c r="AI144" i="10"/>
  <c r="AI136" i="10"/>
  <c r="AI82" i="10"/>
  <c r="AI62" i="10"/>
  <c r="AI27" i="10"/>
  <c r="AI21" i="10"/>
  <c r="Z8" i="10"/>
  <c r="V47" i="9" s="1"/>
  <c r="V51" i="9" s="1"/>
  <c r="V64" i="9" s="1"/>
  <c r="AG150" i="10"/>
  <c r="AG175" i="10"/>
  <c r="AG103" i="10"/>
  <c r="AG60" i="10"/>
  <c r="AG165" i="10"/>
  <c r="AD128" i="10"/>
  <c r="AD177" i="10"/>
  <c r="AD72" i="10"/>
  <c r="AD53" i="10"/>
  <c r="AD101" i="10"/>
  <c r="AJ48" i="10"/>
  <c r="AJ176" i="10"/>
  <c r="AJ45" i="10"/>
  <c r="AJ186" i="10"/>
  <c r="AJ187" i="10"/>
  <c r="AL187" i="10"/>
  <c r="AL57" i="10"/>
  <c r="AL39" i="10"/>
  <c r="AL127" i="10"/>
  <c r="AL128" i="10"/>
  <c r="T9" i="10"/>
  <c r="AJ57" i="10"/>
  <c r="BG4" i="9"/>
  <c r="BK4" i="22"/>
  <c r="AI26" i="10"/>
  <c r="AI20" i="10"/>
  <c r="AI28" i="10"/>
  <c r="AI188" i="10"/>
  <c r="AI184" i="10"/>
  <c r="AI147" i="10"/>
  <c r="AI90" i="10"/>
  <c r="AI66" i="10"/>
  <c r="AI99" i="10"/>
  <c r="AI49" i="10"/>
  <c r="AI180" i="10"/>
  <c r="AI139" i="10"/>
  <c r="AI134" i="10"/>
  <c r="AI126" i="10"/>
  <c r="AI94" i="10"/>
  <c r="AI57" i="10"/>
  <c r="AI39" i="10"/>
  <c r="AI183" i="10"/>
  <c r="AI170" i="10"/>
  <c r="AI125" i="10"/>
  <c r="AI48" i="10"/>
  <c r="AI200" i="10"/>
  <c r="AI162" i="10"/>
  <c r="AI191" i="10"/>
  <c r="AI186" i="10"/>
  <c r="AI176" i="10"/>
  <c r="AI138" i="10"/>
  <c r="AI97" i="10"/>
  <c r="AI95" i="10"/>
  <c r="AI60" i="10"/>
  <c r="AI36" i="10"/>
  <c r="AI165" i="10"/>
  <c r="AI132" i="10"/>
  <c r="AI58" i="10"/>
  <c r="AI153" i="10"/>
  <c r="AI131" i="10"/>
  <c r="AI101" i="10"/>
  <c r="AI73" i="10"/>
  <c r="AI193" i="10"/>
  <c r="AI122" i="10"/>
  <c r="AI185" i="10"/>
  <c r="AI120" i="10"/>
  <c r="AI104" i="10"/>
  <c r="AI72" i="10"/>
  <c r="AI38" i="10"/>
  <c r="AI198" i="10"/>
  <c r="AI96" i="10"/>
  <c r="AI61" i="10"/>
  <c r="AI23" i="10"/>
  <c r="AI195" i="10"/>
  <c r="AI56" i="10"/>
  <c r="AI177" i="10"/>
  <c r="AI166" i="10"/>
  <c r="AI123" i="10"/>
  <c r="AI114" i="10"/>
  <c r="AI53" i="10"/>
  <c r="AI71" i="10"/>
  <c r="AI163" i="10"/>
  <c r="AI59" i="10"/>
  <c r="AI45" i="10"/>
  <c r="AI25" i="10"/>
  <c r="AI43" i="10"/>
  <c r="AI152" i="10"/>
  <c r="AI103" i="10"/>
  <c r="AI68" i="10"/>
  <c r="AI174" i="10"/>
  <c r="AI155" i="10"/>
  <c r="AI199" i="10"/>
  <c r="AI175" i="10"/>
  <c r="AI129" i="10"/>
  <c r="AI64" i="10"/>
  <c r="AI187" i="10"/>
  <c r="AI128" i="10"/>
  <c r="AI105" i="10"/>
  <c r="AI93" i="10"/>
  <c r="AI150" i="10"/>
  <c r="AI127" i="10"/>
  <c r="AI47" i="10"/>
  <c r="AI35" i="10"/>
  <c r="AI172" i="10"/>
  <c r="AI119" i="10"/>
  <c r="AG20" i="10"/>
  <c r="AG43" i="10"/>
  <c r="AG183" i="10"/>
  <c r="AG170" i="10"/>
  <c r="AD99" i="10"/>
  <c r="AD57" i="10"/>
  <c r="AD186" i="10"/>
  <c r="AD132" i="10"/>
  <c r="AD122" i="10"/>
  <c r="AJ138" i="10"/>
  <c r="AJ114" i="10"/>
  <c r="AJ147" i="10"/>
  <c r="AJ94" i="10"/>
  <c r="AJ68" i="10"/>
  <c r="AL139" i="10"/>
  <c r="AL162" i="10"/>
  <c r="AL114" i="10"/>
  <c r="AL36" i="10"/>
  <c r="AH4" i="20"/>
  <c r="AL4" i="22"/>
  <c r="AG24" i="10"/>
  <c r="AG21" i="10"/>
  <c r="AG29" i="10"/>
  <c r="AG16" i="10"/>
  <c r="AG19" i="10"/>
  <c r="AG194" i="10"/>
  <c r="AG164" i="10"/>
  <c r="AG135" i="10"/>
  <c r="AG84" i="10"/>
  <c r="AG40" i="10"/>
  <c r="AG67" i="10"/>
  <c r="AG33" i="10"/>
  <c r="AG83" i="10"/>
  <c r="AG98" i="10"/>
  <c r="AG54" i="10"/>
  <c r="AG30" i="10"/>
  <c r="AG181" i="10"/>
  <c r="AG173" i="10"/>
  <c r="AG143" i="10"/>
  <c r="AG133" i="10"/>
  <c r="AG85" i="10"/>
  <c r="AG117" i="10"/>
  <c r="AG91" i="10"/>
  <c r="AG44" i="10"/>
  <c r="AG156" i="10"/>
  <c r="AG115" i="10"/>
  <c r="AG87" i="10"/>
  <c r="AG37" i="10"/>
  <c r="AG151" i="10"/>
  <c r="AG118" i="10"/>
  <c r="AG110" i="10"/>
  <c r="AG86" i="10"/>
  <c r="AG178" i="10"/>
  <c r="AG148" i="10"/>
  <c r="AG182" i="10"/>
  <c r="AG144" i="10"/>
  <c r="AG82" i="10"/>
  <c r="AG18" i="10"/>
  <c r="AG158" i="10"/>
  <c r="AG137" i="10"/>
  <c r="AG112" i="10"/>
  <c r="AG113" i="10"/>
  <c r="AG65" i="10"/>
  <c r="AG169" i="10"/>
  <c r="AG157" i="10"/>
  <c r="AG171" i="10"/>
  <c r="AG89" i="10"/>
  <c r="AG46" i="10"/>
  <c r="AG196" i="10"/>
  <c r="AG197" i="10"/>
  <c r="AG88" i="10"/>
  <c r="AG51" i="10"/>
  <c r="AG192" i="10"/>
  <c r="AG149" i="10"/>
  <c r="AG154" i="10"/>
  <c r="AG109" i="10"/>
  <c r="AG102" i="10"/>
  <c r="AG42" i="10"/>
  <c r="AG201" i="10"/>
  <c r="AG202" i="10"/>
  <c r="AG145" i="10"/>
  <c r="AG100" i="10"/>
  <c r="AG70" i="10"/>
  <c r="AG80" i="10"/>
  <c r="AG41" i="10"/>
  <c r="AG32" i="10"/>
  <c r="AG167" i="10"/>
  <c r="AG136" i="10"/>
  <c r="AG161" i="10"/>
  <c r="AG62" i="10"/>
  <c r="AG75" i="10"/>
  <c r="AG55" i="10"/>
  <c r="AG63" i="10"/>
  <c r="AG179" i="10"/>
  <c r="AG92" i="10"/>
  <c r="AG168" i="10"/>
  <c r="AG124" i="10"/>
  <c r="AG107" i="10"/>
  <c r="AG52" i="10"/>
  <c r="AG190" i="10"/>
  <c r="AG160" i="10"/>
  <c r="AG146" i="10"/>
  <c r="AG116" i="10"/>
  <c r="AG159" i="10"/>
  <c r="AG106" i="10"/>
  <c r="AG69" i="10"/>
  <c r="AG22" i="10"/>
  <c r="AG189" i="10"/>
  <c r="AG130" i="10"/>
  <c r="AG108" i="10"/>
  <c r="AG121" i="10"/>
  <c r="AG111" i="10"/>
  <c r="AG74" i="10"/>
  <c r="AG34" i="10"/>
  <c r="AG31" i="10"/>
  <c r="AG27" i="10"/>
  <c r="AG17" i="10"/>
  <c r="AG81" i="10"/>
  <c r="AG25" i="10"/>
  <c r="AB9" i="8"/>
  <c r="AF4" i="10"/>
  <c r="AG59" i="10"/>
  <c r="AG128" i="10"/>
  <c r="AG73" i="10"/>
  <c r="AG195" i="10"/>
  <c r="AG101" i="10"/>
  <c r="AD64" i="10"/>
  <c r="AD176" i="10"/>
  <c r="AD73" i="10"/>
  <c r="AD166" i="10"/>
  <c r="AD163" i="10"/>
  <c r="AJ177" i="10"/>
  <c r="AJ172" i="10"/>
  <c r="AJ35" i="10"/>
  <c r="AJ103" i="10"/>
  <c r="AJ129" i="10"/>
  <c r="AL41" i="10"/>
  <c r="AL33" i="10"/>
  <c r="AL21" i="10"/>
  <c r="AL16" i="10"/>
  <c r="AL30" i="10"/>
  <c r="AL19" i="10"/>
  <c r="AL151" i="10"/>
  <c r="AL154" i="10"/>
  <c r="AL121" i="10"/>
  <c r="AL81" i="10"/>
  <c r="AL52" i="10"/>
  <c r="AL192" i="10"/>
  <c r="AL173" i="10"/>
  <c r="AL159" i="10"/>
  <c r="AL149" i="10"/>
  <c r="AL100" i="10"/>
  <c r="AL92" i="10"/>
  <c r="AL54" i="10"/>
  <c r="AL169" i="10"/>
  <c r="AL158" i="10"/>
  <c r="AL197" i="10"/>
  <c r="AL164" i="10"/>
  <c r="AL133" i="10"/>
  <c r="AL109" i="10"/>
  <c r="AL196" i="10"/>
  <c r="AL137" i="10"/>
  <c r="AL190" i="10"/>
  <c r="AL179" i="10"/>
  <c r="AL148" i="10"/>
  <c r="AL136" i="10"/>
  <c r="AL89" i="10"/>
  <c r="AL62" i="10"/>
  <c r="AL75" i="10"/>
  <c r="AL167" i="10"/>
  <c r="AL130" i="10"/>
  <c r="AL115" i="10"/>
  <c r="AL88" i="10"/>
  <c r="AL44" i="10"/>
  <c r="AL202" i="10"/>
  <c r="AL161" i="10"/>
  <c r="AL27" i="10"/>
  <c r="AL156" i="10"/>
  <c r="AL135" i="10"/>
  <c r="AL113" i="10"/>
  <c r="AL69" i="10"/>
  <c r="AL189" i="10"/>
  <c r="AL145" i="10"/>
  <c r="AL111" i="10"/>
  <c r="AL80" i="10"/>
  <c r="AL55" i="10"/>
  <c r="AL201" i="10"/>
  <c r="AL118" i="10"/>
  <c r="AL116" i="10"/>
  <c r="AL124" i="10"/>
  <c r="AL67" i="10"/>
  <c r="AL46" i="10"/>
  <c r="AL168" i="10"/>
  <c r="AL110" i="10"/>
  <c r="AL98" i="10"/>
  <c r="AL65" i="10"/>
  <c r="AL178" i="10"/>
  <c r="AL146" i="10"/>
  <c r="AL63" i="10"/>
  <c r="AL171" i="10"/>
  <c r="AL144" i="10"/>
  <c r="AL87" i="10"/>
  <c r="AL51" i="10"/>
  <c r="AL37" i="10"/>
  <c r="AL157" i="10"/>
  <c r="AL107" i="10"/>
  <c r="AL91" i="10"/>
  <c r="AL32" i="10"/>
  <c r="AL112" i="10"/>
  <c r="AL106" i="10"/>
  <c r="AL86" i="10"/>
  <c r="AL24" i="10"/>
  <c r="AL160" i="10"/>
  <c r="AL85" i="10"/>
  <c r="AL42" i="10"/>
  <c r="AL40" i="10"/>
  <c r="AL194" i="10"/>
  <c r="AL74" i="10"/>
  <c r="AL34" i="10"/>
  <c r="AL29" i="10"/>
  <c r="AL117" i="10"/>
  <c r="AL84" i="10"/>
  <c r="AL17" i="10"/>
  <c r="AL31" i="10"/>
  <c r="AL182" i="10"/>
  <c r="AL143" i="10"/>
  <c r="AL108" i="10"/>
  <c r="AL82" i="10"/>
  <c r="AL70" i="10"/>
  <c r="AL181" i="10"/>
  <c r="AL102" i="10"/>
  <c r="AL83" i="10"/>
  <c r="AL180" i="10"/>
  <c r="AL186" i="10"/>
  <c r="AL199" i="10"/>
  <c r="AL155" i="10"/>
  <c r="AL95" i="10"/>
  <c r="L4" i="21"/>
  <c r="L39" i="21" s="1"/>
  <c r="P4" i="22"/>
  <c r="AB8" i="10"/>
  <c r="AG131" i="10"/>
  <c r="AG187" i="10"/>
  <c r="AG68" i="10"/>
  <c r="AG49" i="10"/>
  <c r="AG176" i="10"/>
  <c r="AD90" i="10"/>
  <c r="AD105" i="10"/>
  <c r="AD96" i="10"/>
  <c r="AD120" i="10"/>
  <c r="AD199" i="10"/>
  <c r="AJ49" i="10"/>
  <c r="AJ38" i="10"/>
  <c r="AJ53" i="10"/>
  <c r="AJ131" i="10"/>
  <c r="AJ175" i="10"/>
  <c r="AL66" i="10"/>
  <c r="AL58" i="10"/>
  <c r="AL104" i="10"/>
  <c r="AL200" i="10"/>
  <c r="AL163" i="10"/>
  <c r="AE4" i="20"/>
  <c r="AI4" i="22"/>
  <c r="Q4" i="21"/>
  <c r="Q39" i="21" s="1"/>
  <c r="U4" i="22"/>
  <c r="AG129" i="10"/>
  <c r="AG188" i="10"/>
  <c r="AG97" i="10"/>
  <c r="AG61" i="10"/>
  <c r="AG45" i="10"/>
  <c r="AD139" i="10"/>
  <c r="AD153" i="10"/>
  <c r="AD119" i="10"/>
  <c r="AD126" i="10"/>
  <c r="AD185" i="10"/>
  <c r="AJ104" i="10"/>
  <c r="AJ99" i="10"/>
  <c r="AJ120" i="10"/>
  <c r="AJ162" i="10"/>
  <c r="AJ198" i="10"/>
  <c r="AL129" i="10"/>
  <c r="AL68" i="10"/>
  <c r="AL183" i="10"/>
  <c r="AL123" i="10"/>
  <c r="AL172" i="10"/>
  <c r="G4" i="21"/>
  <c r="G53" i="21" s="1"/>
  <c r="G54" i="21" s="1"/>
  <c r="K4" i="22"/>
  <c r="X190" i="10"/>
  <c r="X106" i="10"/>
  <c r="X75" i="10"/>
  <c r="X82" i="10"/>
  <c r="X157" i="10"/>
  <c r="X130" i="10"/>
  <c r="X100" i="10"/>
  <c r="X151" i="10"/>
  <c r="X44" i="10"/>
  <c r="X179" i="10"/>
  <c r="X146" i="10"/>
  <c r="X92" i="10"/>
  <c r="X112" i="10"/>
  <c r="X54" i="10"/>
  <c r="X29" i="10"/>
  <c r="X201" i="10"/>
  <c r="X84" i="10"/>
  <c r="X108" i="10"/>
  <c r="X46" i="10"/>
  <c r="X192" i="10"/>
  <c r="X160" i="10"/>
  <c r="X159" i="10"/>
  <c r="X113" i="10"/>
  <c r="X86" i="10"/>
  <c r="X88" i="10"/>
  <c r="X34" i="10"/>
  <c r="X111" i="10"/>
  <c r="X85" i="10"/>
  <c r="X83" i="10"/>
  <c r="X30" i="10"/>
  <c r="X197" i="10"/>
  <c r="X154" i="10"/>
  <c r="X173" i="10"/>
  <c r="X156" i="10"/>
  <c r="X158" i="10"/>
  <c r="X110" i="10"/>
  <c r="X69" i="10"/>
  <c r="X91" i="10"/>
  <c r="X22" i="10"/>
  <c r="X189" i="10"/>
  <c r="X196" i="10"/>
  <c r="X102" i="10"/>
  <c r="X55" i="10"/>
  <c r="X51" i="10"/>
  <c r="X62" i="10"/>
  <c r="X181" i="10"/>
  <c r="X161" i="10"/>
  <c r="X115" i="10"/>
  <c r="X135" i="10"/>
  <c r="X109" i="10"/>
  <c r="X42" i="10"/>
  <c r="X202" i="10"/>
  <c r="X164" i="10"/>
  <c r="X168" i="10"/>
  <c r="X107" i="10"/>
  <c r="X133" i="10"/>
  <c r="X121" i="10"/>
  <c r="X98" i="10"/>
  <c r="X70" i="10"/>
  <c r="X194" i="10"/>
  <c r="X178" i="10"/>
  <c r="X136" i="10"/>
  <c r="X124" i="10"/>
  <c r="X81" i="10"/>
  <c r="X87" i="10"/>
  <c r="X37" i="10"/>
  <c r="X167" i="10"/>
  <c r="X144" i="10"/>
  <c r="X74" i="10"/>
  <c r="X137" i="10"/>
  <c r="X63" i="10"/>
  <c r="X67" i="10"/>
  <c r="X182" i="10"/>
  <c r="X148" i="10"/>
  <c r="X65" i="10"/>
  <c r="X40" i="10"/>
  <c r="X171" i="10"/>
  <c r="X149" i="10"/>
  <c r="X143" i="10"/>
  <c r="X118" i="10"/>
  <c r="X89" i="10"/>
  <c r="X32" i="10"/>
  <c r="X145" i="10"/>
  <c r="X169" i="10"/>
  <c r="X117" i="10"/>
  <c r="X116" i="10"/>
  <c r="X80" i="10"/>
  <c r="X41" i="10"/>
  <c r="X24" i="10"/>
  <c r="X18" i="10"/>
  <c r="X52" i="10"/>
  <c r="X17" i="10"/>
  <c r="X27" i="10"/>
  <c r="X21" i="10"/>
  <c r="X33" i="10"/>
  <c r="X31" i="10"/>
  <c r="X16" i="10"/>
  <c r="X19" i="10"/>
  <c r="AG48" i="10"/>
  <c r="AG139" i="10"/>
  <c r="AG39" i="10"/>
  <c r="AG153" i="10"/>
  <c r="AG122" i="10"/>
  <c r="AG23" i="10"/>
  <c r="AD36" i="10"/>
  <c r="AD125" i="10"/>
  <c r="AD170" i="10"/>
  <c r="AD175" i="10"/>
  <c r="AD104" i="10"/>
  <c r="AJ119" i="10"/>
  <c r="AJ39" i="10"/>
  <c r="AJ170" i="10"/>
  <c r="AJ20" i="10"/>
  <c r="AJ96" i="10"/>
  <c r="AL132" i="10"/>
  <c r="AL120" i="10"/>
  <c r="AL73" i="10"/>
  <c r="AL153" i="10"/>
  <c r="AL195" i="10"/>
  <c r="BK9" i="10"/>
  <c r="AI9" i="8"/>
  <c r="AM4" i="10"/>
  <c r="O4" i="21"/>
  <c r="O46" i="21" s="1"/>
  <c r="O47" i="21" s="1"/>
  <c r="O48" i="21" s="1"/>
  <c r="S4" i="22"/>
  <c r="P4" i="21"/>
  <c r="P39" i="21" s="1"/>
  <c r="T4" i="22"/>
  <c r="AI7" i="8"/>
  <c r="AM2" i="10"/>
  <c r="X195" i="10"/>
  <c r="X180" i="10"/>
  <c r="X152" i="10"/>
  <c r="X131" i="10"/>
  <c r="X114" i="10"/>
  <c r="X73" i="10"/>
  <c r="X56" i="10"/>
  <c r="X187" i="10"/>
  <c r="X198" i="10"/>
  <c r="X165" i="10"/>
  <c r="X103" i="10"/>
  <c r="X72" i="10"/>
  <c r="X48" i="10"/>
  <c r="X183" i="10"/>
  <c r="X155" i="10"/>
  <c r="X122" i="10"/>
  <c r="X101" i="10"/>
  <c r="X36" i="10"/>
  <c r="X200" i="10"/>
  <c r="X147" i="10"/>
  <c r="X170" i="10"/>
  <c r="X138" i="10"/>
  <c r="X105" i="10"/>
  <c r="X35" i="10"/>
  <c r="X64" i="10"/>
  <c r="X177" i="10"/>
  <c r="X132" i="10"/>
  <c r="X95" i="10"/>
  <c r="X45" i="10"/>
  <c r="X184" i="10"/>
  <c r="X162" i="10"/>
  <c r="X185" i="10"/>
  <c r="X150" i="10"/>
  <c r="X127" i="10"/>
  <c r="X93" i="10"/>
  <c r="X43" i="10"/>
  <c r="X58" i="10"/>
  <c r="X28" i="10"/>
  <c r="X172" i="10"/>
  <c r="X123" i="10"/>
  <c r="X153" i="10"/>
  <c r="X61" i="10"/>
  <c r="X174" i="10"/>
  <c r="X94" i="10"/>
  <c r="X47" i="10"/>
  <c r="X57" i="10"/>
  <c r="X39" i="10"/>
  <c r="X38" i="10"/>
  <c r="X166" i="10"/>
  <c r="X126" i="10"/>
  <c r="X68" i="10"/>
  <c r="X199" i="10"/>
  <c r="X139" i="10"/>
  <c r="X134" i="10"/>
  <c r="X99" i="10"/>
  <c r="X71" i="10"/>
  <c r="X60" i="10"/>
  <c r="X53" i="10"/>
  <c r="X193" i="10"/>
  <c r="X186" i="10"/>
  <c r="X129" i="10"/>
  <c r="X163" i="10"/>
  <c r="X104" i="10"/>
  <c r="X59" i="10"/>
  <c r="X50" i="10"/>
  <c r="X175" i="10"/>
  <c r="X128" i="10"/>
  <c r="X176" i="10"/>
  <c r="X120" i="10"/>
  <c r="X96" i="10"/>
  <c r="X97" i="10"/>
  <c r="X191" i="10"/>
  <c r="X125" i="10"/>
  <c r="X90" i="10"/>
  <c r="X49" i="10"/>
  <c r="X188" i="10"/>
  <c r="X119" i="10"/>
  <c r="X66" i="10"/>
  <c r="X25" i="10"/>
  <c r="X23" i="10"/>
  <c r="X20" i="10"/>
  <c r="X26" i="10"/>
  <c r="Z9" i="10"/>
  <c r="V62" i="9" s="1"/>
  <c r="V68" i="9" s="1"/>
  <c r="V71" i="9" s="1"/>
  <c r="AB9" i="10"/>
  <c r="AG105" i="10"/>
  <c r="AG138" i="10"/>
  <c r="AG50" i="10"/>
  <c r="AG177" i="10"/>
  <c r="AG126" i="10"/>
  <c r="AD66" i="10"/>
  <c r="AD138" i="10"/>
  <c r="AD38" i="10"/>
  <c r="AD184" i="10"/>
  <c r="AJ191" i="10"/>
  <c r="AJ174" i="10"/>
  <c r="AJ36" i="10"/>
  <c r="AJ59" i="10"/>
  <c r="AJ126" i="10"/>
  <c r="AL170" i="10"/>
  <c r="AL175" i="10"/>
  <c r="AL126" i="10"/>
  <c r="AL193" i="10"/>
  <c r="AL28" i="10"/>
  <c r="AC10" i="10"/>
  <c r="AD35" i="10"/>
  <c r="AD19" i="10"/>
  <c r="AD33" i="10"/>
  <c r="AD34" i="10"/>
  <c r="AD179" i="10"/>
  <c r="AD154" i="10"/>
  <c r="AD116" i="10"/>
  <c r="AD108" i="10"/>
  <c r="AD100" i="10"/>
  <c r="AD197" i="10"/>
  <c r="AD144" i="10"/>
  <c r="AD111" i="10"/>
  <c r="AD107" i="10"/>
  <c r="AD70" i="10"/>
  <c r="AD42" i="10"/>
  <c r="AD202" i="10"/>
  <c r="AD192" i="10"/>
  <c r="AD156" i="10"/>
  <c r="AD194" i="10"/>
  <c r="AD181" i="10"/>
  <c r="AD110" i="10"/>
  <c r="AD85" i="10"/>
  <c r="AD51" i="10"/>
  <c r="AD169" i="10"/>
  <c r="AD160" i="10"/>
  <c r="AD109" i="10"/>
  <c r="AD84" i="10"/>
  <c r="AD106" i="10"/>
  <c r="AD102" i="10"/>
  <c r="AD87" i="10"/>
  <c r="AD196" i="10"/>
  <c r="AD168" i="10"/>
  <c r="AD143" i="10"/>
  <c r="AD98" i="10"/>
  <c r="AD86" i="10"/>
  <c r="AD189" i="10"/>
  <c r="AD201" i="10"/>
  <c r="AD135" i="10"/>
  <c r="AD136" i="10"/>
  <c r="AD80" i="10"/>
  <c r="AD89" i="10"/>
  <c r="AD52" i="10"/>
  <c r="AD182" i="10"/>
  <c r="AD159" i="10"/>
  <c r="AD124" i="10"/>
  <c r="AD130" i="10"/>
  <c r="AD81" i="10"/>
  <c r="AD82" i="10"/>
  <c r="AD151" i="10"/>
  <c r="AD83" i="10"/>
  <c r="AD55" i="10"/>
  <c r="AD178" i="10"/>
  <c r="AD167" i="10"/>
  <c r="AD118" i="10"/>
  <c r="AD29" i="10"/>
  <c r="AD74" i="10"/>
  <c r="AD21" i="10"/>
  <c r="AD157" i="10"/>
  <c r="AD112" i="10"/>
  <c r="AD65" i="10"/>
  <c r="AD148" i="10"/>
  <c r="AD54" i="10"/>
  <c r="AD161" i="10"/>
  <c r="AD46" i="10"/>
  <c r="AD31" i="10"/>
  <c r="AD145" i="10"/>
  <c r="AD63" i="10"/>
  <c r="AD41" i="10"/>
  <c r="AD30" i="10"/>
  <c r="AD133" i="10"/>
  <c r="AD117" i="10"/>
  <c r="AD22" i="10"/>
  <c r="AD190" i="10"/>
  <c r="AD121" i="10"/>
  <c r="AD115" i="10"/>
  <c r="AD88" i="10"/>
  <c r="AD67" i="10"/>
  <c r="AD173" i="10"/>
  <c r="AD113" i="10"/>
  <c r="AD146" i="10"/>
  <c r="AD44" i="10"/>
  <c r="AD164" i="10"/>
  <c r="AD37" i="10"/>
  <c r="AD158" i="10"/>
  <c r="AD171" i="10"/>
  <c r="AD92" i="10"/>
  <c r="AD149" i="10"/>
  <c r="AD137" i="10"/>
  <c r="AD62" i="10"/>
  <c r="AD91" i="10"/>
  <c r="AD75" i="10"/>
  <c r="AD18" i="10"/>
  <c r="AD69" i="10"/>
  <c r="AD27" i="10"/>
  <c r="AD17" i="10"/>
  <c r="AD32" i="10"/>
  <c r="AD40" i="10"/>
  <c r="AD16" i="10"/>
  <c r="AG200" i="10"/>
  <c r="AG184" i="10"/>
  <c r="AG90" i="10"/>
  <c r="AG191" i="10"/>
  <c r="AG180" i="10"/>
  <c r="AD56" i="10"/>
  <c r="AD45" i="10"/>
  <c r="AD127" i="10"/>
  <c r="AD183" i="10"/>
  <c r="AD174" i="10"/>
  <c r="AJ127" i="10"/>
  <c r="AJ101" i="10"/>
  <c r="AJ73" i="10"/>
  <c r="AJ132" i="10"/>
  <c r="AJ125" i="10"/>
  <c r="AD24" i="10"/>
  <c r="AL25" i="10"/>
  <c r="AL90" i="10"/>
  <c r="AL150" i="10"/>
  <c r="AL198" i="10"/>
  <c r="AL23" i="10"/>
  <c r="AJ47" i="10"/>
  <c r="AB8" i="8"/>
  <c r="AF3" i="10"/>
  <c r="AG47" i="10"/>
  <c r="AG185" i="10"/>
  <c r="AG95" i="10"/>
  <c r="AG35" i="10"/>
  <c r="AG172" i="10"/>
  <c r="AJ155" i="10"/>
  <c r="AJ150" i="10"/>
  <c r="AJ56" i="10"/>
  <c r="AJ188" i="10"/>
  <c r="AJ163" i="10"/>
  <c r="AL119" i="10"/>
  <c r="AL93" i="10"/>
  <c r="AL61" i="10"/>
  <c r="AL131" i="10"/>
  <c r="AL20" i="10"/>
  <c r="AJ183" i="10"/>
  <c r="Z10" i="10"/>
  <c r="V53" i="9" s="1"/>
  <c r="V60" i="9" s="1"/>
  <c r="V66" i="9" s="1"/>
  <c r="AG57" i="10"/>
  <c r="AG28" i="10"/>
  <c r="AG162" i="10"/>
  <c r="AG94" i="10"/>
  <c r="AJ195" i="10"/>
  <c r="AJ58" i="10"/>
  <c r="AJ93" i="10"/>
  <c r="AJ200" i="10"/>
  <c r="AJ199" i="10"/>
  <c r="AL125" i="10"/>
  <c r="AL165" i="10"/>
  <c r="AL94" i="10"/>
  <c r="AL176" i="10"/>
  <c r="AL48" i="10"/>
  <c r="AC8" i="10"/>
  <c r="T10" i="10"/>
  <c r="T8" i="10"/>
  <c r="M4" i="21"/>
  <c r="M46" i="21" s="1"/>
  <c r="M47" i="21" s="1"/>
  <c r="M48" i="21" s="1"/>
  <c r="Q4" i="22"/>
  <c r="W4" i="21"/>
  <c r="W43" i="21" s="1"/>
  <c r="AA4" i="22"/>
  <c r="Z4" i="21"/>
  <c r="Z53" i="21" s="1"/>
  <c r="Z54" i="21" s="1"/>
  <c r="Z10" i="8" s="1"/>
  <c r="AD4" i="22"/>
  <c r="I4" i="21"/>
  <c r="I46" i="21" s="1"/>
  <c r="I47" i="21" s="1"/>
  <c r="I48" i="21" s="1"/>
  <c r="M4" i="22"/>
  <c r="AB10" i="10"/>
  <c r="AG64" i="10"/>
  <c r="AG125" i="10"/>
  <c r="AG166" i="10"/>
  <c r="AG132" i="10"/>
  <c r="AG96" i="10"/>
  <c r="U4" i="21"/>
  <c r="Y4" i="22"/>
  <c r="AD58" i="10"/>
  <c r="AD49" i="10"/>
  <c r="AD187" i="10"/>
  <c r="AD93" i="10"/>
  <c r="AD195" i="10"/>
  <c r="AJ128" i="10"/>
  <c r="AJ72" i="10"/>
  <c r="AJ139" i="10"/>
  <c r="AJ28" i="10"/>
  <c r="AJ185" i="10"/>
  <c r="AL43" i="10"/>
  <c r="AL147" i="10"/>
  <c r="AL38" i="10"/>
  <c r="AL138" i="10"/>
  <c r="AL185" i="10"/>
  <c r="AL26" i="10"/>
  <c r="AI8" i="8"/>
  <c r="AM3" i="10"/>
  <c r="BK10" i="10"/>
  <c r="AC9" i="10"/>
  <c r="N4" i="21"/>
  <c r="N39" i="21" s="1"/>
  <c r="R4" i="22"/>
  <c r="H4" i="21"/>
  <c r="H46" i="21" s="1"/>
  <c r="H47" i="21" s="1"/>
  <c r="H48" i="21" s="1"/>
  <c r="L4" i="22"/>
  <c r="AG56" i="10"/>
  <c r="AG155" i="10"/>
  <c r="AG163" i="10"/>
  <c r="AG114" i="10"/>
  <c r="AG119" i="10"/>
  <c r="AD20" i="10"/>
  <c r="AD60" i="10"/>
  <c r="AD198" i="10"/>
  <c r="AD131" i="10"/>
  <c r="AD114" i="10"/>
  <c r="AD39" i="10"/>
  <c r="AJ97" i="10"/>
  <c r="AJ134" i="10"/>
  <c r="AJ180" i="10"/>
  <c r="AJ64" i="10"/>
  <c r="AJ50" i="10"/>
  <c r="AL47" i="10"/>
  <c r="AL53" i="10"/>
  <c r="AL96" i="10"/>
  <c r="AL174" i="10"/>
  <c r="AL191" i="10"/>
  <c r="AL45" i="10"/>
  <c r="AJ61" i="10"/>
  <c r="X4" i="21"/>
  <c r="X46" i="21" s="1"/>
  <c r="X47" i="21" s="1"/>
  <c r="X48" i="21" s="1"/>
  <c r="AB4" i="22"/>
  <c r="Y27" i="10"/>
  <c r="Y18" i="10"/>
  <c r="Y189" i="10"/>
  <c r="Y196" i="10"/>
  <c r="Y154" i="10"/>
  <c r="Y112" i="10"/>
  <c r="Y202" i="10"/>
  <c r="Y149" i="10"/>
  <c r="Y144" i="10"/>
  <c r="Y121" i="10"/>
  <c r="Y74" i="10"/>
  <c r="Y52" i="10"/>
  <c r="Y83" i="10"/>
  <c r="Y40" i="10"/>
  <c r="Y21" i="10"/>
  <c r="Y161" i="10"/>
  <c r="Y169" i="10"/>
  <c r="Y117" i="10"/>
  <c r="Y143" i="10"/>
  <c r="Y102" i="10"/>
  <c r="Y69" i="10"/>
  <c r="Y33" i="10"/>
  <c r="Y168" i="10"/>
  <c r="Y146" i="10"/>
  <c r="Y109" i="10"/>
  <c r="Y118" i="10"/>
  <c r="Y67" i="10"/>
  <c r="Y42" i="10"/>
  <c r="Y190" i="10"/>
  <c r="Y137" i="10"/>
  <c r="Y171" i="10"/>
  <c r="Y107" i="10"/>
  <c r="Y85" i="10"/>
  <c r="Y29" i="10"/>
  <c r="Y17" i="10"/>
  <c r="Y192" i="10"/>
  <c r="Y181" i="10"/>
  <c r="Y156" i="10"/>
  <c r="Y136" i="10"/>
  <c r="Y135" i="10"/>
  <c r="Y113" i="10"/>
  <c r="Y88" i="10"/>
  <c r="Y106" i="10"/>
  <c r="Y46" i="10"/>
  <c r="Y22" i="10"/>
  <c r="Y55" i="10"/>
  <c r="Y197" i="10"/>
  <c r="Y201" i="10"/>
  <c r="Y160" i="10"/>
  <c r="Y133" i="10"/>
  <c r="Y111" i="10"/>
  <c r="Y87" i="10"/>
  <c r="Y84" i="10"/>
  <c r="Y108" i="10"/>
  <c r="Y24" i="10"/>
  <c r="Y63" i="10"/>
  <c r="Y16" i="10"/>
  <c r="Y164" i="10"/>
  <c r="Y98" i="10"/>
  <c r="Y54" i="10"/>
  <c r="Y182" i="10"/>
  <c r="Y130" i="10"/>
  <c r="Y89" i="10"/>
  <c r="Y178" i="10"/>
  <c r="Y115" i="10"/>
  <c r="Y51" i="10"/>
  <c r="Y167" i="10"/>
  <c r="Y110" i="10"/>
  <c r="Y92" i="10"/>
  <c r="Y70" i="10"/>
  <c r="Y41" i="10"/>
  <c r="Y145" i="10"/>
  <c r="Y80" i="10"/>
  <c r="Y91" i="10"/>
  <c r="Y100" i="10"/>
  <c r="Y179" i="10"/>
  <c r="Y159" i="10"/>
  <c r="Y158" i="10"/>
  <c r="Y62" i="10"/>
  <c r="Y194" i="10"/>
  <c r="Y116" i="10"/>
  <c r="Y44" i="10"/>
  <c r="Y148" i="10"/>
  <c r="Y124" i="10"/>
  <c r="Y34" i="10"/>
  <c r="Y86" i="10"/>
  <c r="Y30" i="10"/>
  <c r="Y81" i="10"/>
  <c r="Y157" i="10"/>
  <c r="Y151" i="10"/>
  <c r="Y65" i="10"/>
  <c r="Y31" i="10"/>
  <c r="Y173" i="10"/>
  <c r="Y82" i="10"/>
  <c r="Y75" i="10"/>
  <c r="Y32" i="10"/>
  <c r="Y37" i="10"/>
  <c r="Y19" i="10"/>
  <c r="AG58" i="10"/>
  <c r="AG193" i="10"/>
  <c r="AG53" i="10"/>
  <c r="AG199" i="10"/>
  <c r="AG93" i="10"/>
  <c r="AD25" i="10"/>
  <c r="AD162" i="10"/>
  <c r="AD134" i="10"/>
  <c r="AD152" i="10"/>
  <c r="AD172" i="10"/>
  <c r="AL22" i="10"/>
  <c r="AJ66" i="10"/>
  <c r="AJ153" i="10"/>
  <c r="AJ122" i="10"/>
  <c r="AJ71" i="10"/>
  <c r="AJ26" i="10"/>
  <c r="AL101" i="10"/>
  <c r="AL97" i="10"/>
  <c r="AL64" i="10"/>
  <c r="AL49" i="10"/>
  <c r="AL184" i="10"/>
  <c r="AJ90" i="10"/>
  <c r="AF4" i="20"/>
  <c r="AJ4" i="22"/>
  <c r="AQ48" i="7"/>
  <c r="AB7" i="8"/>
  <c r="AF2" i="10"/>
  <c r="Y28" i="10"/>
  <c r="Y38" i="10"/>
  <c r="Y174" i="10"/>
  <c r="Y170" i="10"/>
  <c r="Y176" i="10"/>
  <c r="Y114" i="10"/>
  <c r="Y59" i="10"/>
  <c r="Y56" i="10"/>
  <c r="Y175" i="10"/>
  <c r="Y152" i="10"/>
  <c r="Y94" i="10"/>
  <c r="Y61" i="10"/>
  <c r="Y49" i="10"/>
  <c r="Y193" i="10"/>
  <c r="Y191" i="10"/>
  <c r="Y165" i="10"/>
  <c r="Y132" i="10"/>
  <c r="Y101" i="10"/>
  <c r="Y68" i="10"/>
  <c r="Y64" i="10"/>
  <c r="Y25" i="10"/>
  <c r="Y200" i="10"/>
  <c r="Y120" i="10"/>
  <c r="Y93" i="10"/>
  <c r="Y53" i="10"/>
  <c r="Y47" i="10"/>
  <c r="Y198" i="10"/>
  <c r="Y163" i="10"/>
  <c r="Y66" i="10"/>
  <c r="Y72" i="10"/>
  <c r="Y183" i="10"/>
  <c r="Y139" i="10"/>
  <c r="Y105" i="10"/>
  <c r="Y58" i="10"/>
  <c r="Y131" i="10"/>
  <c r="Y97" i="10"/>
  <c r="Y48" i="10"/>
  <c r="Y119" i="10"/>
  <c r="Y71" i="10"/>
  <c r="Y45" i="10"/>
  <c r="Y129" i="10"/>
  <c r="Y96" i="10"/>
  <c r="Y43" i="10"/>
  <c r="Y122" i="10"/>
  <c r="Y57" i="10"/>
  <c r="Y26" i="10"/>
  <c r="Y184" i="10"/>
  <c r="Y138" i="10"/>
  <c r="Y126" i="10"/>
  <c r="Y90" i="10"/>
  <c r="Y195" i="10"/>
  <c r="Y172" i="10"/>
  <c r="Y99" i="10"/>
  <c r="Y60" i="10"/>
  <c r="Y187" i="10"/>
  <c r="Y185" i="10"/>
  <c r="Y127" i="10"/>
  <c r="Y95" i="10"/>
  <c r="Y104" i="10"/>
  <c r="Y73" i="10"/>
  <c r="Y177" i="10"/>
  <c r="Y153" i="10"/>
  <c r="Y35" i="10"/>
  <c r="Y199" i="10"/>
  <c r="Y128" i="10"/>
  <c r="Y36" i="10"/>
  <c r="Y188" i="10"/>
  <c r="Y166" i="10"/>
  <c r="Y162" i="10"/>
  <c r="Y123" i="10"/>
  <c r="Y180" i="10"/>
  <c r="Y134" i="10"/>
  <c r="Y155" i="10"/>
  <c r="Y103" i="10"/>
  <c r="Y50" i="10"/>
  <c r="Y186" i="10"/>
  <c r="Y125" i="10"/>
  <c r="Y39" i="10"/>
  <c r="Y150" i="10"/>
  <c r="Y147" i="10"/>
  <c r="Y20" i="10"/>
  <c r="Y23" i="10"/>
  <c r="AI50" i="10"/>
  <c r="AG72" i="10"/>
  <c r="AG71" i="10"/>
  <c r="AG66" i="10"/>
  <c r="AG36" i="10"/>
  <c r="AG174" i="10"/>
  <c r="AD26" i="10"/>
  <c r="AD47" i="10"/>
  <c r="AD155" i="10"/>
  <c r="AD188" i="10"/>
  <c r="AD191" i="10"/>
  <c r="AJ43" i="10"/>
  <c r="AJ165" i="10"/>
  <c r="AJ166" i="10"/>
  <c r="AJ95" i="10"/>
  <c r="AJ184" i="10"/>
  <c r="AJ23" i="10"/>
  <c r="AL122" i="10"/>
  <c r="AL152" i="10"/>
  <c r="AL103" i="10"/>
  <c r="AL71" i="10"/>
  <c r="AL35" i="10"/>
  <c r="Y4" i="21"/>
  <c r="Y46" i="21" s="1"/>
  <c r="Y47" i="21" s="1"/>
  <c r="Y48" i="21" s="1"/>
  <c r="AC4" i="22"/>
  <c r="AQ26" i="7"/>
  <c r="AG134" i="10"/>
  <c r="AG152" i="10"/>
  <c r="AG99" i="10"/>
  <c r="AG26" i="10"/>
  <c r="AG147" i="10"/>
  <c r="AD97" i="10"/>
  <c r="AD59" i="10"/>
  <c r="AD193" i="10"/>
  <c r="AD23" i="10"/>
  <c r="AD48" i="10"/>
  <c r="AJ123" i="10"/>
  <c r="AJ60" i="10"/>
  <c r="AJ193" i="10"/>
  <c r="AJ105" i="10"/>
  <c r="AJ152" i="10"/>
  <c r="AL134" i="10"/>
  <c r="AL177" i="10"/>
  <c r="AL188" i="10"/>
  <c r="AL99" i="10"/>
  <c r="AL105" i="10"/>
  <c r="BK8" i="10"/>
  <c r="AE7" i="8"/>
  <c r="U8" i="8"/>
  <c r="J36" i="9"/>
  <c r="N7" i="10" s="1"/>
  <c r="J44" i="9"/>
  <c r="J45" i="9" s="1"/>
  <c r="J55" i="9" s="1"/>
  <c r="J22" i="9"/>
  <c r="J23" i="9" s="1"/>
  <c r="N3" i="10" s="1"/>
  <c r="J17" i="9"/>
  <c r="J18" i="9" s="1"/>
  <c r="N2" i="10" s="1"/>
  <c r="J38" i="9"/>
  <c r="J39" i="9" s="1"/>
  <c r="J11" i="9"/>
  <c r="J12" i="9" s="1"/>
  <c r="J41" i="9"/>
  <c r="J42" i="9" s="1"/>
  <c r="J50" i="9" s="1"/>
  <c r="J27" i="9"/>
  <c r="J28" i="9" s="1"/>
  <c r="N4" i="10" s="1"/>
  <c r="J33" i="9"/>
  <c r="J34" i="9" s="1"/>
  <c r="N5" i="10" s="1"/>
  <c r="AE57" i="9"/>
  <c r="AE56" i="9"/>
  <c r="AE48" i="9"/>
  <c r="J34" i="15"/>
  <c r="AE54" i="9"/>
  <c r="AE58" i="9"/>
  <c r="AE49" i="9"/>
  <c r="AE59" i="9"/>
  <c r="U9" i="8"/>
  <c r="U57" i="9"/>
  <c r="U48" i="9"/>
  <c r="U56" i="9"/>
  <c r="U7" i="8"/>
  <c r="K17" i="9"/>
  <c r="K18" i="9" s="1"/>
  <c r="O2" i="10" s="1"/>
  <c r="K11" i="9"/>
  <c r="K12" i="9" s="1"/>
  <c r="K38" i="9"/>
  <c r="K39" i="9" s="1"/>
  <c r="K41" i="9"/>
  <c r="K42" i="9" s="1"/>
  <c r="K50" i="9" s="1"/>
  <c r="K44" i="9"/>
  <c r="K45" i="9" s="1"/>
  <c r="K55" i="9" s="1"/>
  <c r="K22" i="9"/>
  <c r="K23" i="9" s="1"/>
  <c r="O3" i="10" s="1"/>
  <c r="K27" i="9"/>
  <c r="K28" i="9" s="1"/>
  <c r="O4" i="10" s="1"/>
  <c r="K33" i="9"/>
  <c r="K34" i="9" s="1"/>
  <c r="O5" i="10" s="1"/>
  <c r="K36" i="9"/>
  <c r="O7" i="10" s="1"/>
  <c r="AE8" i="8"/>
  <c r="AA17" i="9"/>
  <c r="AA18" i="9" s="1"/>
  <c r="AE2" i="10" s="1"/>
  <c r="AA44" i="9"/>
  <c r="AA45" i="9" s="1"/>
  <c r="AA55" i="9" s="1"/>
  <c r="AA22" i="9"/>
  <c r="AA23" i="9" s="1"/>
  <c r="AE3" i="10" s="1"/>
  <c r="AA41" i="9"/>
  <c r="AA42" i="9" s="1"/>
  <c r="AA50" i="9" s="1"/>
  <c r="AA11" i="9"/>
  <c r="AA12" i="9" s="1"/>
  <c r="AA27" i="9"/>
  <c r="AA28" i="9" s="1"/>
  <c r="AE4" i="10" s="1"/>
  <c r="AA36" i="9"/>
  <c r="AE7" i="10" s="1"/>
  <c r="AA38" i="9"/>
  <c r="AA39" i="9" s="1"/>
  <c r="AA33" i="9"/>
  <c r="AA34" i="9" s="1"/>
  <c r="AE5" i="10" s="1"/>
  <c r="U49" i="9"/>
  <c r="U54" i="9"/>
  <c r="U59" i="9"/>
  <c r="U58" i="9"/>
  <c r="AE9" i="8"/>
  <c r="AP154" i="7"/>
  <c r="AP192" i="7"/>
  <c r="AP137" i="7"/>
  <c r="AP141" i="7"/>
  <c r="AP140" i="7"/>
  <c r="AP146" i="7"/>
  <c r="AP148" i="7"/>
  <c r="AP150" i="7"/>
  <c r="AP142" i="7"/>
  <c r="AP155" i="7"/>
  <c r="AP145" i="7"/>
  <c r="AP149" i="7"/>
  <c r="AP139" i="7"/>
  <c r="AP134" i="7"/>
  <c r="AP156" i="7"/>
  <c r="AP151" i="7"/>
  <c r="AP135" i="7"/>
  <c r="AQ53" i="7"/>
  <c r="AQ54" i="7"/>
  <c r="AR30" i="7"/>
  <c r="AR66" i="7" s="1"/>
  <c r="AR68" i="7"/>
  <c r="AR83" i="7" s="1"/>
  <c r="AR98" i="7" s="1"/>
  <c r="AQ36" i="7"/>
  <c r="AP41" i="7"/>
  <c r="AP99" i="7" s="1"/>
  <c r="AP67" i="14" s="1"/>
  <c r="AP68" i="14" s="1"/>
  <c r="AP72" i="14" s="1"/>
  <c r="AP73" i="14" s="1"/>
  <c r="AP74" i="14" s="1"/>
  <c r="AP75" i="14" s="1"/>
  <c r="AP76" i="14" s="1"/>
  <c r="AP77" i="14" s="1"/>
  <c r="AB49" i="9"/>
  <c r="AB58" i="9"/>
  <c r="Z208" i="14"/>
  <c r="Z210" i="14" s="1"/>
  <c r="Z211" i="14" s="1"/>
  <c r="Z213" i="14" s="1"/>
  <c r="Z215" i="14" s="1"/>
  <c r="AQ128" i="7"/>
  <c r="AQ129" i="7" s="1"/>
  <c r="AQ147" i="7" s="1"/>
  <c r="AQ49" i="7"/>
  <c r="AQ311" i="7"/>
  <c r="AQ312" i="7" s="1"/>
  <c r="AQ333" i="7" s="1"/>
  <c r="AQ58" i="7"/>
  <c r="AR352" i="7"/>
  <c r="AR367" i="7" s="1"/>
  <c r="AR359" i="7"/>
  <c r="AR374" i="7" s="1"/>
  <c r="AR355" i="7"/>
  <c r="AR370" i="7" s="1"/>
  <c r="AR361" i="7"/>
  <c r="AR376" i="7" s="1"/>
  <c r="AR356" i="7"/>
  <c r="AR371" i="7" s="1"/>
  <c r="AR298" i="7"/>
  <c r="AR303" i="7" s="1"/>
  <c r="AR363" i="7"/>
  <c r="AR378" i="7" s="1"/>
  <c r="AR362" i="7"/>
  <c r="AR377" i="7" s="1"/>
  <c r="AR360" i="7"/>
  <c r="AR375" i="7" s="1"/>
  <c r="AR351" i="7"/>
  <c r="AR366" i="7" s="1"/>
  <c r="AQ44" i="7"/>
  <c r="AR35" i="7"/>
  <c r="AR25" i="7"/>
  <c r="AR59" i="7" s="1"/>
  <c r="AR39" i="7"/>
  <c r="AR40" i="7" s="1"/>
  <c r="AR21" i="7"/>
  <c r="AQ50" i="7"/>
  <c r="AB56" i="9"/>
  <c r="AR358" i="7"/>
  <c r="AR373" i="7" s="1"/>
  <c r="AR353" i="7"/>
  <c r="AR368" i="7" s="1"/>
  <c r="AR357" i="7"/>
  <c r="AR372" i="7" s="1"/>
  <c r="AP3" i="21"/>
  <c r="AP7" i="21" s="1"/>
  <c r="AP4" i="17"/>
  <c r="AP7" i="17" s="1"/>
  <c r="AP8" i="17" s="1"/>
  <c r="AP9" i="17" s="1"/>
  <c r="AP11" i="17" s="1"/>
  <c r="AP12" i="17" s="1"/>
  <c r="AQ42" i="7"/>
  <c r="AQ212" i="7"/>
  <c r="AQ213" i="7" s="1"/>
  <c r="AQ256" i="7"/>
  <c r="AQ271" i="7" s="1"/>
  <c r="AQ286" i="7" s="1"/>
  <c r="AQ350" i="7"/>
  <c r="AQ365" i="7" s="1"/>
  <c r="AQ380" i="7" s="1"/>
  <c r="AQ63" i="7"/>
  <c r="AQ64" i="7"/>
  <c r="AR170" i="7"/>
  <c r="AR185" i="7" s="1"/>
  <c r="AR163" i="7"/>
  <c r="AR178" i="7" s="1"/>
  <c r="AR160" i="7"/>
  <c r="AR175" i="7" s="1"/>
  <c r="AR171" i="7"/>
  <c r="AR186" i="7" s="1"/>
  <c r="AR108" i="7"/>
  <c r="AR111" i="7" s="1"/>
  <c r="AR166" i="7"/>
  <c r="AR181" i="7" s="1"/>
  <c r="AR159" i="7"/>
  <c r="AR174" i="7" s="1"/>
  <c r="AQ110" i="7"/>
  <c r="AR162" i="7"/>
  <c r="AR177" i="7" s="1"/>
  <c r="AR161" i="7"/>
  <c r="AR176" i="7" s="1"/>
  <c r="AR169" i="7"/>
  <c r="AR184" i="7" s="1"/>
  <c r="AR168" i="7"/>
  <c r="AR183" i="7" s="1"/>
  <c r="AR167" i="7"/>
  <c r="AR182" i="7" s="1"/>
  <c r="AR165" i="7"/>
  <c r="AR180" i="7" s="1"/>
  <c r="AQ124" i="7"/>
  <c r="AQ125" i="7" s="1"/>
  <c r="AQ158" i="7"/>
  <c r="AQ173" i="7" s="1"/>
  <c r="AQ188" i="7" s="1"/>
  <c r="AQ114" i="7"/>
  <c r="AQ115" i="7" s="1"/>
  <c r="AQ153" i="7" s="1"/>
  <c r="AQ119" i="7"/>
  <c r="AQ120" i="7" s="1"/>
  <c r="AQ320" i="7"/>
  <c r="AQ321" i="7" s="1"/>
  <c r="AQ339" i="7" s="1"/>
  <c r="AQ302" i="7"/>
  <c r="AQ316" i="7"/>
  <c r="AQ317" i="7" s="1"/>
  <c r="AQ328" i="7" s="1"/>
  <c r="AB59" i="9"/>
  <c r="AU12" i="14"/>
  <c r="AQ190" i="14"/>
  <c r="AQ191" i="14" s="1"/>
  <c r="AP54" i="14"/>
  <c r="AP55" i="14" s="1"/>
  <c r="AP56" i="14" s="1"/>
  <c r="AP57" i="14" s="1"/>
  <c r="AQ54" i="14"/>
  <c r="AQ55" i="14" s="1"/>
  <c r="AQ56" i="14" s="1"/>
  <c r="AQ57" i="14" s="1"/>
  <c r="AD208" i="14"/>
  <c r="AD210" i="14" s="1"/>
  <c r="AB48" i="9"/>
  <c r="AF208" i="14"/>
  <c r="AF210" i="14" s="1"/>
  <c r="AF211" i="14" s="1"/>
  <c r="AF213" i="14" s="1"/>
  <c r="AF215" i="14" s="1"/>
  <c r="Y215" i="14"/>
  <c r="L208" i="14"/>
  <c r="L210" i="14" s="1"/>
  <c r="L211" i="14" s="1"/>
  <c r="L213" i="14" s="1"/>
  <c r="L215" i="14" s="1"/>
  <c r="S208" i="14"/>
  <c r="S210" i="14" s="1"/>
  <c r="S211" i="14" s="1"/>
  <c r="S213" i="14" s="1"/>
  <c r="S215" i="14" s="1"/>
  <c r="AI210" i="14"/>
  <c r="AI211" i="14" s="1"/>
  <c r="AI213" i="14" s="1"/>
  <c r="AI215" i="14" s="1"/>
  <c r="H210" i="14"/>
  <c r="H211" i="14" s="1"/>
  <c r="H213" i="14" s="1"/>
  <c r="H215" i="14" s="1"/>
  <c r="AA210" i="14"/>
  <c r="AA211" i="14" s="1"/>
  <c r="AA213" i="14" s="1"/>
  <c r="AA215" i="14" s="1"/>
  <c r="M208" i="14"/>
  <c r="J215" i="14"/>
  <c r="BG210" i="14"/>
  <c r="BG211" i="14" s="1"/>
  <c r="BG213" i="14" s="1"/>
  <c r="BG215" i="14" s="1"/>
  <c r="I208" i="14"/>
  <c r="K208" i="14"/>
  <c r="W201" i="14"/>
  <c r="W205" i="14" s="1"/>
  <c r="W199" i="14"/>
  <c r="W202" i="14" s="1"/>
  <c r="W206" i="14" s="1"/>
  <c r="R208" i="14"/>
  <c r="AP189" i="14"/>
  <c r="AP190" i="14"/>
  <c r="G210" i="14"/>
  <c r="G211" i="14" s="1"/>
  <c r="G213" i="14" s="1"/>
  <c r="G215" i="14" s="1"/>
  <c r="AB199" i="14"/>
  <c r="AB202" i="14" s="1"/>
  <c r="AB206" i="14" s="1"/>
  <c r="AB201" i="14"/>
  <c r="AB205" i="14" s="1"/>
  <c r="V210" i="14"/>
  <c r="V211" i="14" s="1"/>
  <c r="V213" i="14" s="1"/>
  <c r="V215" i="14" s="1"/>
  <c r="X201" i="14"/>
  <c r="X205" i="14" s="1"/>
  <c r="X199" i="14"/>
  <c r="X202" i="14" s="1"/>
  <c r="X206" i="14" s="1"/>
  <c r="AN208" i="14"/>
  <c r="AH210" i="14"/>
  <c r="AH211" i="14" s="1"/>
  <c r="AH213" i="14" s="1"/>
  <c r="AH215" i="14" s="1"/>
  <c r="AC210" i="14"/>
  <c r="AC211" i="14" s="1"/>
  <c r="AC213" i="14" s="1"/>
  <c r="AC215" i="14" s="1"/>
  <c r="P210" i="14"/>
  <c r="P211" i="14" s="1"/>
  <c r="P213" i="14" s="1"/>
  <c r="P215" i="14" s="1"/>
  <c r="AL210" i="14"/>
  <c r="AL211" i="14" s="1"/>
  <c r="AL213" i="14" s="1"/>
  <c r="AL215" i="14" s="1"/>
  <c r="AG208" i="14"/>
  <c r="O210" i="14"/>
  <c r="O211" i="14" s="1"/>
  <c r="O213" i="14" s="1"/>
  <c r="O215" i="14" s="1"/>
  <c r="T208" i="14"/>
  <c r="E208" i="14"/>
  <c r="AT10" i="14"/>
  <c r="AT176" i="14"/>
  <c r="AT179" i="14" s="1"/>
  <c r="AT181" i="14" s="1"/>
  <c r="AT178" i="14"/>
  <c r="AT177" i="14"/>
  <c r="T21" i="15"/>
  <c r="T5" i="9" s="1"/>
  <c r="T25" i="21"/>
  <c r="T22" i="15"/>
  <c r="T43" i="15" s="1"/>
  <c r="T8" i="8"/>
  <c r="T7" i="8"/>
  <c r="T56" i="9"/>
  <c r="T48" i="9"/>
  <c r="T57" i="9"/>
  <c r="AT174" i="14"/>
  <c r="T9" i="8"/>
  <c r="AU11" i="14"/>
  <c r="AU169" i="14"/>
  <c r="T54" i="9"/>
  <c r="T59" i="9"/>
  <c r="T49" i="9"/>
  <c r="T58" i="9"/>
  <c r="AS14" i="14"/>
  <c r="AS25" i="14" s="1"/>
  <c r="AS52" i="14" s="1"/>
  <c r="AS171" i="14"/>
  <c r="AS184" i="14" s="1"/>
  <c r="AR14" i="14"/>
  <c r="AR25" i="14" s="1"/>
  <c r="AR171" i="14"/>
  <c r="AR184" i="14" s="1"/>
  <c r="AQ51" i="7"/>
  <c r="AQ66" i="7"/>
  <c r="AQ57" i="7"/>
  <c r="AQ306" i="7"/>
  <c r="AQ307" i="7" s="1"/>
  <c r="AQ345" i="7" s="1"/>
  <c r="AQ47" i="7"/>
  <c r="AQ60" i="7"/>
  <c r="AQ46" i="7"/>
  <c r="AQ62" i="7"/>
  <c r="AQ61" i="7"/>
  <c r="AQ55" i="7"/>
  <c r="AQ31" i="7"/>
  <c r="AQ65" i="7"/>
  <c r="AQ40" i="7"/>
  <c r="AQ226" i="7"/>
  <c r="AQ227" i="7" s="1"/>
  <c r="AU5" i="14"/>
  <c r="AU172" i="14" s="1"/>
  <c r="AU7" i="14"/>
  <c r="AU174" i="14" s="1"/>
  <c r="AU6" i="14"/>
  <c r="AU173" i="14" s="1"/>
  <c r="AU9" i="14"/>
  <c r="AU8" i="14"/>
  <c r="AT16" i="14"/>
  <c r="AT18" i="14" s="1"/>
  <c r="AT19" i="14" s="1"/>
  <c r="AT21" i="14" s="1"/>
  <c r="AT17" i="14"/>
  <c r="AT13" i="7"/>
  <c r="AT14" i="7" s="1"/>
  <c r="AT15" i="7" s="1"/>
  <c r="AS295" i="7"/>
  <c r="AS296" i="7" s="1"/>
  <c r="AS356" i="7" s="1"/>
  <c r="AS371" i="7" s="1"/>
  <c r="AS75" i="7"/>
  <c r="AS90" i="7" s="1"/>
  <c r="AS72" i="7"/>
  <c r="AS87" i="7" s="1"/>
  <c r="AS71" i="7"/>
  <c r="AS86" i="7" s="1"/>
  <c r="AS80" i="7"/>
  <c r="AS95" i="7" s="1"/>
  <c r="AS76" i="7"/>
  <c r="AS91" i="7" s="1"/>
  <c r="AS103" i="7"/>
  <c r="AS106" i="7" s="1"/>
  <c r="AS169" i="7" s="1"/>
  <c r="AS184" i="7" s="1"/>
  <c r="AS17" i="7"/>
  <c r="AS70" i="7"/>
  <c r="AS85" i="7" s="1"/>
  <c r="AS74" i="7"/>
  <c r="AS89" i="7" s="1"/>
  <c r="AQ217" i="7"/>
  <c r="AQ230" i="7" s="1"/>
  <c r="AQ208" i="7"/>
  <c r="AS78" i="7"/>
  <c r="AS93" i="7" s="1"/>
  <c r="AS77" i="7"/>
  <c r="AS92" i="7" s="1"/>
  <c r="AS69" i="7"/>
  <c r="AS84" i="7" s="1"/>
  <c r="AS81" i="7"/>
  <c r="AS96" i="7" s="1"/>
  <c r="AS79" i="7"/>
  <c r="AS94" i="7" s="1"/>
  <c r="AS201" i="7"/>
  <c r="AS202" i="7" s="1"/>
  <c r="AQ222" i="7"/>
  <c r="AQ223" i="7" s="1"/>
  <c r="AS49" i="14"/>
  <c r="AS50" i="14" s="1"/>
  <c r="AR212" i="7"/>
  <c r="AR213" i="7" s="1"/>
  <c r="AR222" i="7"/>
  <c r="AR208" i="7"/>
  <c r="W90" i="14"/>
  <c r="AR256" i="7"/>
  <c r="AR271" i="7" s="1"/>
  <c r="AR226" i="7"/>
  <c r="AR244" i="7" s="1"/>
  <c r="AP15" i="15"/>
  <c r="AV9" i="11" s="1"/>
  <c r="AP11" i="15"/>
  <c r="AV7" i="11" s="1"/>
  <c r="AP7" i="15"/>
  <c r="AV5" i="11" s="1"/>
  <c r="AP29" i="15"/>
  <c r="AP37" i="15" s="1"/>
  <c r="AP38" i="15" s="1"/>
  <c r="AP39" i="15" s="1"/>
  <c r="AP40" i="15" s="1"/>
  <c r="AP17" i="15"/>
  <c r="AV10" i="11" s="1"/>
  <c r="AP13" i="15"/>
  <c r="AV8" i="11" s="1"/>
  <c r="AP9" i="15"/>
  <c r="AV6" i="11" s="1"/>
  <c r="AP10" i="13"/>
  <c r="AP31" i="15"/>
  <c r="AP32" i="15" s="1"/>
  <c r="AP33" i="15" s="1"/>
  <c r="AP34" i="15" s="1"/>
  <c r="AP19" i="15"/>
  <c r="AV11" i="11" s="1"/>
  <c r="AS44" i="14"/>
  <c r="AS19" i="13" s="1"/>
  <c r="AQ4" i="17"/>
  <c r="AQ7" i="17" s="1"/>
  <c r="AQ8" i="17" s="1"/>
  <c r="AQ9" i="17" s="1"/>
  <c r="AQ11" i="17" s="1"/>
  <c r="AQ12" i="17" s="1"/>
  <c r="AQ3" i="21"/>
  <c r="AQ7" i="21" s="1"/>
  <c r="AQ3" i="15"/>
  <c r="AQ5" i="15" s="1"/>
  <c r="AW4" i="11" s="1"/>
  <c r="AP229" i="7"/>
  <c r="AP288" i="7" s="1"/>
  <c r="AP117" i="14" s="1"/>
  <c r="AU12" i="7"/>
  <c r="AU10" i="7"/>
  <c r="AU9" i="7"/>
  <c r="AT42" i="14"/>
  <c r="AT36" i="14"/>
  <c r="AV3" i="14"/>
  <c r="AV3" i="7"/>
  <c r="AV3" i="17"/>
  <c r="AV5" i="17" s="1"/>
  <c r="AT47" i="14"/>
  <c r="AT48" i="14"/>
  <c r="AR217" i="7"/>
  <c r="AR124" i="7"/>
  <c r="AO28" i="21"/>
  <c r="AO31" i="21" s="1"/>
  <c r="AO25" i="21"/>
  <c r="AO35" i="21" s="1"/>
  <c r="AO36" i="21" s="1"/>
  <c r="X104" i="14"/>
  <c r="X115" i="14" s="1"/>
  <c r="W154" i="14"/>
  <c r="W165" i="14" s="1"/>
  <c r="X129" i="14"/>
  <c r="X140" i="14" s="1"/>
  <c r="G154" i="14"/>
  <c r="G165" i="14" s="1"/>
  <c r="AE129" i="14"/>
  <c r="AE140" i="14" s="1"/>
  <c r="Z154" i="14"/>
  <c r="Z165" i="14" s="1"/>
  <c r="O129" i="14"/>
  <c r="M164" i="14"/>
  <c r="J104" i="14"/>
  <c r="J115" i="14" s="1"/>
  <c r="J195" i="7" s="1"/>
  <c r="P88" i="14"/>
  <c r="BG4" i="20"/>
  <c r="BG44" i="15"/>
  <c r="BG45" i="15" s="1"/>
  <c r="BG46" i="15" s="1"/>
  <c r="BG4" i="21"/>
  <c r="BG39" i="21" s="1"/>
  <c r="Y79" i="14"/>
  <c r="Y90" i="14" s="1"/>
  <c r="Y100" i="7" s="1"/>
  <c r="Y3" i="23" s="1"/>
  <c r="AE90" i="14"/>
  <c r="U107" i="14"/>
  <c r="U110" i="14" s="1"/>
  <c r="E164" i="14"/>
  <c r="E163" i="14"/>
  <c r="AE113" i="14"/>
  <c r="P138" i="14"/>
  <c r="AE104" i="14"/>
  <c r="AE115" i="14" s="1"/>
  <c r="V154" i="14"/>
  <c r="AG154" i="14"/>
  <c r="AG165" i="14" s="1"/>
  <c r="K104" i="14"/>
  <c r="K115" i="14" s="1"/>
  <c r="Z104" i="14"/>
  <c r="Z115" i="14" s="1"/>
  <c r="T129" i="14"/>
  <c r="T140" i="14" s="1"/>
  <c r="H154" i="14"/>
  <c r="H165" i="14" s="1"/>
  <c r="H389" i="7" s="1"/>
  <c r="J129" i="14"/>
  <c r="J140" i="14" s="1"/>
  <c r="Y89" i="14"/>
  <c r="AA104" i="14"/>
  <c r="AA115" i="14" s="1"/>
  <c r="AC104" i="14"/>
  <c r="AC115" i="14" s="1"/>
  <c r="K129" i="14"/>
  <c r="K140" i="14" s="1"/>
  <c r="K289" i="7" s="1"/>
  <c r="K13" i="23" s="1"/>
  <c r="M140" i="14"/>
  <c r="BG5" i="7"/>
  <c r="BG14" i="13" s="1"/>
  <c r="BG195" i="7"/>
  <c r="AG107" i="14"/>
  <c r="AG110" i="14" s="1"/>
  <c r="AG104" i="14"/>
  <c r="Q82" i="14"/>
  <c r="Q85" i="14" s="1"/>
  <c r="Q79" i="14"/>
  <c r="Y161" i="14"/>
  <c r="Y162" i="14" s="1"/>
  <c r="Y164" i="14" s="1"/>
  <c r="E82" i="14"/>
  <c r="E85" i="14" s="1"/>
  <c r="E79" i="14"/>
  <c r="AH132" i="14"/>
  <c r="AH135" i="14" s="1"/>
  <c r="AH129" i="14"/>
  <c r="AA113" i="14"/>
  <c r="AA114" i="14"/>
  <c r="E150" i="14"/>
  <c r="E151" i="14" s="1"/>
  <c r="E152" i="14" s="1"/>
  <c r="AE164" i="14"/>
  <c r="AE163" i="14"/>
  <c r="P82" i="14"/>
  <c r="P85" i="14" s="1"/>
  <c r="P79" i="14"/>
  <c r="Y113" i="14"/>
  <c r="Y114" i="14"/>
  <c r="H113" i="14"/>
  <c r="Q150" i="14"/>
  <c r="Q151" i="14" s="1"/>
  <c r="Q152" i="14" s="1"/>
  <c r="Q157" i="14" s="1"/>
  <c r="Q160" i="14" s="1"/>
  <c r="K162" i="14"/>
  <c r="K163" i="14" s="1"/>
  <c r="S154" i="14"/>
  <c r="Q100" i="14"/>
  <c r="Q101" i="14" s="1"/>
  <c r="G139" i="14"/>
  <c r="AH137" i="14"/>
  <c r="AH139" i="14" s="1"/>
  <c r="Z129" i="14"/>
  <c r="Z140" i="14" s="1"/>
  <c r="H139" i="14"/>
  <c r="L104" i="14"/>
  <c r="L115" i="14" s="1"/>
  <c r="E23" i="13"/>
  <c r="Y147" i="14"/>
  <c r="Y148" i="14" s="1"/>
  <c r="Y149" i="14" s="1"/>
  <c r="P150" i="14"/>
  <c r="P151" i="14" s="1"/>
  <c r="P152" i="14" s="1"/>
  <c r="P157" i="14" s="1"/>
  <c r="P160" i="14" s="1"/>
  <c r="Q136" i="14"/>
  <c r="Q137" i="14" s="1"/>
  <c r="Y100" i="14"/>
  <c r="Y101" i="14" s="1"/>
  <c r="Y102" i="14" s="1"/>
  <c r="Y107" i="14" s="1"/>
  <c r="Y110" i="14" s="1"/>
  <c r="P162" i="14"/>
  <c r="P164" i="14" s="1"/>
  <c r="H129" i="14"/>
  <c r="H140" i="14" s="1"/>
  <c r="F154" i="14"/>
  <c r="X163" i="14"/>
  <c r="Y129" i="14"/>
  <c r="Y140" i="14" s="1"/>
  <c r="AD140" i="14"/>
  <c r="AD289" i="7" s="1"/>
  <c r="AD13" i="23" s="1"/>
  <c r="Q125" i="14"/>
  <c r="Q126" i="14" s="1"/>
  <c r="Q127" i="14" s="1"/>
  <c r="Q132" i="14" s="1"/>
  <c r="Q135" i="14" s="1"/>
  <c r="X164" i="14"/>
  <c r="L129" i="14"/>
  <c r="L140" i="14" s="1"/>
  <c r="Q161" i="14"/>
  <c r="Q162" i="14" s="1"/>
  <c r="Q164" i="14" s="1"/>
  <c r="M114" i="14"/>
  <c r="AC154" i="14"/>
  <c r="AC165" i="14" s="1"/>
  <c r="P125" i="14"/>
  <c r="P126" i="14" s="1"/>
  <c r="P127" i="14" s="1"/>
  <c r="P132" i="14" s="1"/>
  <c r="P135" i="14" s="1"/>
  <c r="M154" i="14"/>
  <c r="M165" i="14" s="1"/>
  <c r="AH154" i="14"/>
  <c r="AH165" i="14" s="1"/>
  <c r="AH389" i="7" s="1"/>
  <c r="Y136" i="14"/>
  <c r="Y137" i="14" s="1"/>
  <c r="Y138" i="14" s="1"/>
  <c r="E138" i="14"/>
  <c r="P139" i="14"/>
  <c r="AH104" i="14"/>
  <c r="AH115" i="14" s="1"/>
  <c r="M139" i="14"/>
  <c r="AC127" i="14"/>
  <c r="AC132" i="14" s="1"/>
  <c r="AC135" i="14" s="1"/>
  <c r="Q112" i="14"/>
  <c r="Q114" i="14" s="1"/>
  <c r="AI139" i="14"/>
  <c r="AN94" i="14"/>
  <c r="AN111" i="14" s="1"/>
  <c r="AN112" i="14" s="1"/>
  <c r="AI114" i="14"/>
  <c r="AI88" i="14"/>
  <c r="AI150" i="14"/>
  <c r="AI151" i="14" s="1"/>
  <c r="AI152" i="14" s="1"/>
  <c r="AI157" i="14" s="1"/>
  <c r="AI160" i="14" s="1"/>
  <c r="AI100" i="14"/>
  <c r="AI101" i="14" s="1"/>
  <c r="AI102" i="14" s="1"/>
  <c r="AI107" i="14" s="1"/>
  <c r="AI110" i="14" s="1"/>
  <c r="AI82" i="14"/>
  <c r="AI85" i="14" s="1"/>
  <c r="AI79" i="14"/>
  <c r="AI163" i="14"/>
  <c r="AN89" i="14"/>
  <c r="AI125" i="14"/>
  <c r="AI126" i="14" s="1"/>
  <c r="AI127" i="14" s="1"/>
  <c r="AI132" i="14" s="1"/>
  <c r="AI135" i="14" s="1"/>
  <c r="AI138" i="14"/>
  <c r="AN161" i="14"/>
  <c r="AN162" i="14" s="1"/>
  <c r="AN164" i="14" s="1"/>
  <c r="AN100" i="14"/>
  <c r="AN101" i="14" s="1"/>
  <c r="AN102" i="14" s="1"/>
  <c r="AN147" i="14"/>
  <c r="AN148" i="14" s="1"/>
  <c r="AN149" i="14" s="1"/>
  <c r="AO73" i="21"/>
  <c r="AN88" i="14"/>
  <c r="AN136" i="14"/>
  <c r="AN137" i="14" s="1"/>
  <c r="AN138" i="14" s="1"/>
  <c r="AN122" i="14"/>
  <c r="AN123" i="14" s="1"/>
  <c r="AN124" i="14" s="1"/>
  <c r="AN75" i="14"/>
  <c r="AN76" i="14" s="1"/>
  <c r="AN77" i="14" s="1"/>
  <c r="AN82" i="14" s="1"/>
  <c r="AN85" i="14" s="1"/>
  <c r="E127" i="14"/>
  <c r="E132" i="14" s="1"/>
  <c r="E135" i="14" s="1"/>
  <c r="E102" i="14"/>
  <c r="E107" i="14" s="1"/>
  <c r="E110" i="14" s="1"/>
  <c r="AO81" i="21"/>
  <c r="AO12" i="8" s="1"/>
  <c r="AO13" i="8" s="1"/>
  <c r="BG289" i="7"/>
  <c r="BG13" i="23" s="1"/>
  <c r="AN25" i="21"/>
  <c r="AN26" i="21" s="1"/>
  <c r="AO66" i="21"/>
  <c r="AO68" i="21" s="1"/>
  <c r="AI59" i="9"/>
  <c r="AN73" i="21"/>
  <c r="AN66" i="21"/>
  <c r="AN68" i="21" s="1"/>
  <c r="AN81" i="21"/>
  <c r="AN12" i="8" s="1"/>
  <c r="AN13" i="8" s="1"/>
  <c r="AN28" i="21"/>
  <c r="AN31" i="21" s="1"/>
  <c r="AN44" i="9"/>
  <c r="AN45" i="9" s="1"/>
  <c r="AN55" i="9" s="1"/>
  <c r="AN38" i="9"/>
  <c r="AN39" i="9" s="1"/>
  <c r="AN33" i="9"/>
  <c r="AN34" i="9" s="1"/>
  <c r="AR5" i="10" s="1"/>
  <c r="AN11" i="9"/>
  <c r="AN12" i="9" s="1"/>
  <c r="AN17" i="9"/>
  <c r="AN18" i="9" s="1"/>
  <c r="AR2" i="10" s="1"/>
  <c r="AN41" i="9"/>
  <c r="AN42" i="9" s="1"/>
  <c r="AN50" i="9" s="1"/>
  <c r="AN27" i="9"/>
  <c r="AN28" i="9" s="1"/>
  <c r="AR4" i="10" s="1"/>
  <c r="AN36" i="9"/>
  <c r="AR7" i="10" s="1"/>
  <c r="AN22" i="9"/>
  <c r="AN23" i="9" s="1"/>
  <c r="AR3" i="10" s="1"/>
  <c r="AI58" i="9"/>
  <c r="AI57" i="9"/>
  <c r="AI56" i="9"/>
  <c r="AI49" i="9"/>
  <c r="F57" i="21"/>
  <c r="AG289" i="7"/>
  <c r="AG13" i="23" s="1"/>
  <c r="AF5" i="7"/>
  <c r="AF14" i="13" s="1"/>
  <c r="F51" i="21"/>
  <c r="I22" i="13"/>
  <c r="M40" i="8"/>
  <c r="M22" i="13"/>
  <c r="M41" i="8"/>
  <c r="G40" i="8"/>
  <c r="G41" i="8"/>
  <c r="G22" i="13"/>
  <c r="H40" i="8"/>
  <c r="H41" i="8"/>
  <c r="H22" i="13"/>
  <c r="L40" i="8"/>
  <c r="L22" i="13"/>
  <c r="L41" i="8"/>
  <c r="Q40" i="8"/>
  <c r="Q41" i="8"/>
  <c r="Q22" i="13"/>
  <c r="BG36" i="8"/>
  <c r="BG39" i="8" s="1"/>
  <c r="E40" i="8"/>
  <c r="E22" i="13"/>
  <c r="BG389" i="7"/>
  <c r="BG7" i="7"/>
  <c r="BG16" i="13" s="1"/>
  <c r="AF289" i="7"/>
  <c r="AF13" i="23" s="1"/>
  <c r="AF6" i="7"/>
  <c r="AF15" i="13" s="1"/>
  <c r="AG100" i="7"/>
  <c r="AG3" i="23" s="1"/>
  <c r="AG4" i="7"/>
  <c r="AG13" i="13" s="1"/>
  <c r="AF389" i="7"/>
  <c r="AF7" i="7"/>
  <c r="AF16" i="13" s="1"/>
  <c r="AH100" i="7"/>
  <c r="AH3" i="23" s="1"/>
  <c r="AH4" i="7"/>
  <c r="AH13" i="13" s="1"/>
  <c r="AE4" i="21"/>
  <c r="AE4" i="9"/>
  <c r="AG4" i="21"/>
  <c r="AG53" i="21" s="1"/>
  <c r="AG54" i="21" s="1"/>
  <c r="AG10" i="8" s="1"/>
  <c r="AG4" i="9"/>
  <c r="AH4" i="21"/>
  <c r="AH47" i="21" s="1"/>
  <c r="AH48" i="21" s="1"/>
  <c r="AH11" i="8" s="1"/>
  <c r="AH4" i="9"/>
  <c r="AF4" i="21"/>
  <c r="AF39" i="21" s="1"/>
  <c r="AF4" i="9"/>
  <c r="AC4" i="20"/>
  <c r="AC4" i="9"/>
  <c r="AC4" i="21"/>
  <c r="AD4" i="20"/>
  <c r="AD4" i="21"/>
  <c r="AD4" i="9"/>
  <c r="AI26" i="21"/>
  <c r="AF35" i="21"/>
  <c r="AF26" i="21"/>
  <c r="AG36" i="21"/>
  <c r="AH36" i="21"/>
  <c r="AI36" i="21"/>
  <c r="F7" i="20"/>
  <c r="F8" i="20" s="1"/>
  <c r="F81" i="9"/>
  <c r="F83" i="9" s="1"/>
  <c r="AN75" i="9"/>
  <c r="L53" i="9"/>
  <c r="L60" i="9" s="1"/>
  <c r="L66" i="9" s="1"/>
  <c r="L47" i="9"/>
  <c r="L51" i="9" s="1"/>
  <c r="L64" i="9" s="1"/>
  <c r="L62" i="9"/>
  <c r="L68" i="9" s="1"/>
  <c r="L71" i="9" s="1"/>
  <c r="H62" i="9"/>
  <c r="H68" i="9" s="1"/>
  <c r="H71" i="9" s="1"/>
  <c r="H47" i="9"/>
  <c r="H51" i="9" s="1"/>
  <c r="H64" i="9" s="1"/>
  <c r="H74" i="9" s="1"/>
  <c r="H3" i="20" s="1"/>
  <c r="H53" i="9"/>
  <c r="H60" i="9" s="1"/>
  <c r="H66" i="9" s="1"/>
  <c r="F12" i="20"/>
  <c r="M62" i="9"/>
  <c r="M68" i="9" s="1"/>
  <c r="M71" i="9" s="1"/>
  <c r="M53" i="9"/>
  <c r="M60" i="9" s="1"/>
  <c r="M66" i="9" s="1"/>
  <c r="M47" i="9"/>
  <c r="M51" i="9" s="1"/>
  <c r="M64" i="9" s="1"/>
  <c r="I53" i="9"/>
  <c r="I60" i="9" s="1"/>
  <c r="I66" i="9" s="1"/>
  <c r="I62" i="9"/>
  <c r="I68" i="9" s="1"/>
  <c r="I71" i="9" s="1"/>
  <c r="I8" i="10"/>
  <c r="E47" i="9" s="1"/>
  <c r="E51" i="9" s="1"/>
  <c r="E64" i="9" s="1"/>
  <c r="Q47" i="9"/>
  <c r="Q51" i="9" s="1"/>
  <c r="Q64" i="9" s="1"/>
  <c r="Q62" i="9"/>
  <c r="Q68" i="9" s="1"/>
  <c r="Q71" i="9" s="1"/>
  <c r="I9" i="10"/>
  <c r="E62" i="9" s="1"/>
  <c r="E68" i="9" s="1"/>
  <c r="E71" i="9" s="1"/>
  <c r="I10" i="10"/>
  <c r="E53" i="9" s="1"/>
  <c r="E60" i="9" s="1"/>
  <c r="E66" i="9" s="1"/>
  <c r="Q53" i="9"/>
  <c r="Q60" i="9" s="1"/>
  <c r="Q66" i="9" s="1"/>
  <c r="W4" i="20"/>
  <c r="W4" i="9"/>
  <c r="Y4" i="20"/>
  <c r="Y4" i="9"/>
  <c r="I4" i="20"/>
  <c r="I4" i="9"/>
  <c r="H4" i="20"/>
  <c r="H4" i="9"/>
  <c r="Q4" i="9"/>
  <c r="Q4" i="20"/>
  <c r="X4" i="20"/>
  <c r="X4" i="9"/>
  <c r="X36" i="8"/>
  <c r="P4" i="9"/>
  <c r="P4" i="20"/>
  <c r="M4" i="20"/>
  <c r="M4" i="9"/>
  <c r="N4" i="9"/>
  <c r="N4" i="20"/>
  <c r="Z4" i="20"/>
  <c r="Z4" i="9"/>
  <c r="L4" i="9"/>
  <c r="L4" i="20"/>
  <c r="P36" i="8"/>
  <c r="P39" i="8" s="1"/>
  <c r="O4" i="9"/>
  <c r="O4" i="20"/>
  <c r="G4" i="20"/>
  <c r="G4" i="9"/>
  <c r="Y36" i="8"/>
  <c r="Y39" i="8" s="1"/>
  <c r="AB389" i="7"/>
  <c r="AB7" i="7"/>
  <c r="AB16" i="13" s="1"/>
  <c r="AB100" i="7"/>
  <c r="AB3" i="23" s="1"/>
  <c r="AB4" i="7"/>
  <c r="AB13" i="13" s="1"/>
  <c r="W195" i="7"/>
  <c r="W5" i="7"/>
  <c r="W14" i="13" s="1"/>
  <c r="I44" i="15"/>
  <c r="I45" i="15" s="1"/>
  <c r="AF44" i="15"/>
  <c r="AF45" i="15" s="1"/>
  <c r="AF46" i="15" s="1"/>
  <c r="X44" i="15"/>
  <c r="X45" i="15" s="1"/>
  <c r="X46" i="15" s="1"/>
  <c r="AD44" i="15"/>
  <c r="AD45" i="15" s="1"/>
  <c r="AD46" i="15" s="1"/>
  <c r="M44" i="15"/>
  <c r="M45" i="15" s="1"/>
  <c r="M46" i="15" s="1"/>
  <c r="Y44" i="15"/>
  <c r="Y45" i="15" s="1"/>
  <c r="Y46" i="15" s="1"/>
  <c r="AH44" i="15"/>
  <c r="AH45" i="15" s="1"/>
  <c r="AH46" i="15" s="1"/>
  <c r="AG44" i="15"/>
  <c r="AG45" i="15" s="1"/>
  <c r="L44" i="15"/>
  <c r="L45" i="15" s="1"/>
  <c r="L46" i="15" s="1"/>
  <c r="N44" i="15"/>
  <c r="N45" i="15" s="1"/>
  <c r="N46" i="15" s="1"/>
  <c r="O44" i="15"/>
  <c r="O45" i="15" s="1"/>
  <c r="O46" i="15" s="1"/>
  <c r="AE44" i="15"/>
  <c r="AE45" i="15" s="1"/>
  <c r="AE46" i="15" s="1"/>
  <c r="G44" i="15"/>
  <c r="G45" i="15" s="1"/>
  <c r="G46" i="15" s="1"/>
  <c r="Z44" i="15"/>
  <c r="Z45" i="15" s="1"/>
  <c r="H44" i="15"/>
  <c r="H45" i="15" s="1"/>
  <c r="H46" i="15" s="1"/>
  <c r="Q44" i="15"/>
  <c r="Q45" i="15" s="1"/>
  <c r="Q46" i="15" s="1"/>
  <c r="AC44" i="15"/>
  <c r="AC45" i="15" s="1"/>
  <c r="P44" i="15"/>
  <c r="P45" i="15" s="1"/>
  <c r="P46" i="15" s="1"/>
  <c r="W44" i="15"/>
  <c r="W45" i="15" s="1"/>
  <c r="W46" i="15" s="1"/>
  <c r="I41" i="8" l="1"/>
  <c r="S129" i="14"/>
  <c r="F129" i="14"/>
  <c r="N129" i="14"/>
  <c r="E168" i="23"/>
  <c r="E155" i="23"/>
  <c r="E211" i="23"/>
  <c r="E201" i="23"/>
  <c r="E202" i="23" s="1"/>
  <c r="E203" i="23" s="1"/>
  <c r="E205" i="23" s="1"/>
  <c r="E206" i="23" s="1"/>
  <c r="E216" i="23"/>
  <c r="E217" i="23" s="1"/>
  <c r="E218" i="23" s="1"/>
  <c r="E220" i="23" s="1"/>
  <c r="E221" i="23" s="1"/>
  <c r="E88" i="23"/>
  <c r="E89" i="23" s="1"/>
  <c r="E90" i="23" s="1"/>
  <c r="E91" i="23" s="1"/>
  <c r="AQ324" i="7"/>
  <c r="AO149" i="7"/>
  <c r="V129" i="14"/>
  <c r="O136" i="14"/>
  <c r="O137" i="14" s="1"/>
  <c r="O138" i="14" s="1"/>
  <c r="N41" i="8"/>
  <c r="N50" i="8" s="1"/>
  <c r="N25" i="13" s="1"/>
  <c r="N22" i="13"/>
  <c r="AQ332" i="7"/>
  <c r="AQ346" i="7"/>
  <c r="AH152" i="10"/>
  <c r="AK75" i="10"/>
  <c r="AO145" i="7"/>
  <c r="AO146" i="7"/>
  <c r="AO148" i="7"/>
  <c r="V104" i="14"/>
  <c r="S88" i="14"/>
  <c r="N88" i="14"/>
  <c r="N90" i="14" s="1"/>
  <c r="F104" i="14"/>
  <c r="AO152" i="7"/>
  <c r="O161" i="14"/>
  <c r="O154" i="14"/>
  <c r="R89" i="14"/>
  <c r="AO156" i="7"/>
  <c r="AO151" i="7"/>
  <c r="AR286" i="7"/>
  <c r="AO138" i="7"/>
  <c r="AO155" i="7"/>
  <c r="AO334" i="7"/>
  <c r="AO143" i="7"/>
  <c r="AO337" i="7"/>
  <c r="AO142" i="7"/>
  <c r="AO144" i="7"/>
  <c r="U161" i="14"/>
  <c r="U162" i="14" s="1"/>
  <c r="U163" i="14" s="1"/>
  <c r="P111" i="14"/>
  <c r="P112" i="14" s="1"/>
  <c r="P113" i="14" s="1"/>
  <c r="T111" i="14"/>
  <c r="T112" i="14" s="1"/>
  <c r="T113" i="14" s="1"/>
  <c r="S111" i="14"/>
  <c r="S112" i="14" s="1"/>
  <c r="N163" i="14"/>
  <c r="R79" i="14"/>
  <c r="AO329" i="7"/>
  <c r="R161" i="14"/>
  <c r="R162" i="14" s="1"/>
  <c r="R163" i="14" s="1"/>
  <c r="AQ231" i="7"/>
  <c r="N150" i="14"/>
  <c r="N151" i="14" s="1"/>
  <c r="N152" i="14" s="1"/>
  <c r="N157" i="14" s="1"/>
  <c r="N160" i="14" s="1"/>
  <c r="F161" i="14"/>
  <c r="F162" i="14" s="1"/>
  <c r="F163" i="14" s="1"/>
  <c r="AO336" i="7"/>
  <c r="AO41" i="7"/>
  <c r="AO99" i="7" s="1"/>
  <c r="AO67" i="14" s="1"/>
  <c r="R100" i="14"/>
  <c r="R101" i="14" s="1"/>
  <c r="R102" i="14" s="1"/>
  <c r="R107" i="14" s="1"/>
  <c r="R110" i="14" s="1"/>
  <c r="S75" i="14"/>
  <c r="S76" i="14" s="1"/>
  <c r="S77" i="14" s="1"/>
  <c r="S82" i="14" s="1"/>
  <c r="S85" i="14" s="1"/>
  <c r="T161" i="14"/>
  <c r="T162" i="14" s="1"/>
  <c r="T164" i="14" s="1"/>
  <c r="V161" i="14"/>
  <c r="V162" i="14" s="1"/>
  <c r="U136" i="14"/>
  <c r="U137" i="14" s="1"/>
  <c r="T97" i="14"/>
  <c r="T98" i="14"/>
  <c r="T99" i="14" s="1"/>
  <c r="T154" i="14"/>
  <c r="AQ327" i="7"/>
  <c r="R111" i="14"/>
  <c r="R112" i="14" s="1"/>
  <c r="R114" i="14" s="1"/>
  <c r="U122" i="14"/>
  <c r="U123" i="14"/>
  <c r="U124" i="14" s="1"/>
  <c r="AS268" i="7"/>
  <c r="AS283" i="7" s="1"/>
  <c r="AO247" i="7"/>
  <c r="U111" i="14"/>
  <c r="U112" i="14" s="1"/>
  <c r="U113" i="14" s="1"/>
  <c r="V136" i="14"/>
  <c r="V137" i="14" s="1"/>
  <c r="V138" i="14" s="1"/>
  <c r="S98" i="14"/>
  <c r="S99" i="14" s="1"/>
  <c r="S97" i="14"/>
  <c r="AO242" i="7"/>
  <c r="AO241" i="7"/>
  <c r="AO231" i="7"/>
  <c r="AO243" i="7"/>
  <c r="AO239" i="7"/>
  <c r="AO235" i="7"/>
  <c r="AO236" i="7"/>
  <c r="AO234" i="7"/>
  <c r="V89" i="14"/>
  <c r="V90" i="14" s="1"/>
  <c r="V100" i="7" s="1"/>
  <c r="V3" i="23" s="1"/>
  <c r="F136" i="14"/>
  <c r="F137" i="14" s="1"/>
  <c r="F139" i="14" s="1"/>
  <c r="U89" i="14"/>
  <c r="U90" i="14" s="1"/>
  <c r="O79" i="14"/>
  <c r="O89" i="14"/>
  <c r="O90" i="14" s="1"/>
  <c r="U147" i="14"/>
  <c r="U148" i="14"/>
  <c r="U149" i="14" s="1"/>
  <c r="AO333" i="7"/>
  <c r="AO348" i="7"/>
  <c r="AO346" i="7"/>
  <c r="AO340" i="7"/>
  <c r="AO343" i="7"/>
  <c r="AO342" i="7"/>
  <c r="AO327" i="7"/>
  <c r="AO324" i="7"/>
  <c r="AO347" i="7"/>
  <c r="AO331" i="7"/>
  <c r="AO344" i="7"/>
  <c r="AO341" i="7"/>
  <c r="AO332" i="7"/>
  <c r="AO125" i="7"/>
  <c r="AO136" i="7"/>
  <c r="AO232" i="7"/>
  <c r="AO218" i="7"/>
  <c r="AO230" i="7"/>
  <c r="AO240" i="7"/>
  <c r="AO254" i="7"/>
  <c r="AO250" i="7"/>
  <c r="AO252" i="7"/>
  <c r="AO249" i="7"/>
  <c r="AO238" i="7"/>
  <c r="AO253" i="7"/>
  <c r="AO251" i="7"/>
  <c r="AO248" i="7"/>
  <c r="AO245" i="7"/>
  <c r="AO246" i="7"/>
  <c r="AO237" i="7"/>
  <c r="R125" i="14"/>
  <c r="R126" i="14" s="1"/>
  <c r="R127" i="14" s="1"/>
  <c r="R132" i="14" s="1"/>
  <c r="R135" i="14" s="1"/>
  <c r="AO137" i="7"/>
  <c r="R136" i="14"/>
  <c r="R137" i="14"/>
  <c r="R139" i="14" s="1"/>
  <c r="AS22" i="7"/>
  <c r="S161" i="14"/>
  <c r="S162" i="14" s="1"/>
  <c r="S163" i="14" s="1"/>
  <c r="V111" i="14"/>
  <c r="V112" i="14" s="1"/>
  <c r="V113" i="14" s="1"/>
  <c r="T88" i="14"/>
  <c r="F111" i="14"/>
  <c r="F112" i="14" s="1"/>
  <c r="AO192" i="7"/>
  <c r="O94" i="14"/>
  <c r="N94" i="14"/>
  <c r="AO386" i="7"/>
  <c r="T75" i="14"/>
  <c r="T76" i="14" s="1"/>
  <c r="T77" i="14" s="1"/>
  <c r="T82" i="14" s="1"/>
  <c r="T85" i="14" s="1"/>
  <c r="O100" i="14"/>
  <c r="O101" i="14" s="1"/>
  <c r="O102" i="14" s="1"/>
  <c r="O107" i="14" s="1"/>
  <c r="O110" i="14" s="1"/>
  <c r="N100" i="14"/>
  <c r="N101" i="14" s="1"/>
  <c r="N102" i="14" s="1"/>
  <c r="N107" i="14" s="1"/>
  <c r="N110" i="14" s="1"/>
  <c r="AO326" i="7"/>
  <c r="AR247" i="7"/>
  <c r="AO134" i="7"/>
  <c r="AO150" i="7"/>
  <c r="F89" i="14"/>
  <c r="F90" i="14" s="1"/>
  <c r="R150" i="14"/>
  <c r="R151" i="14" s="1"/>
  <c r="R152" i="14" s="1"/>
  <c r="R157" i="14" s="1"/>
  <c r="R160" i="14" s="1"/>
  <c r="S136" i="14"/>
  <c r="S137" i="14" s="1"/>
  <c r="N164" i="14"/>
  <c r="AS20" i="13"/>
  <c r="AS6" i="24"/>
  <c r="AS11" i="7"/>
  <c r="P97" i="14"/>
  <c r="P98" i="14"/>
  <c r="P99" i="14" s="1"/>
  <c r="AO233" i="7"/>
  <c r="AO223" i="7"/>
  <c r="N136" i="14"/>
  <c r="N137" i="14" s="1"/>
  <c r="N138" i="14" s="1"/>
  <c r="AO335" i="7"/>
  <c r="AT72" i="7"/>
  <c r="AT87" i="7" s="1"/>
  <c r="AK183" i="10"/>
  <c r="AK105" i="10"/>
  <c r="S41" i="8"/>
  <c r="S23" i="13" s="1"/>
  <c r="AH189" i="10"/>
  <c r="AK28" i="10"/>
  <c r="AH143" i="10"/>
  <c r="AH98" i="10"/>
  <c r="AH83" i="10"/>
  <c r="AK119" i="10"/>
  <c r="AH187" i="10"/>
  <c r="AH52" i="10"/>
  <c r="AH70" i="10"/>
  <c r="AK41" i="10"/>
  <c r="AK92" i="10"/>
  <c r="AK157" i="10"/>
  <c r="AK91" i="10"/>
  <c r="AK143" i="10"/>
  <c r="AK21" i="10"/>
  <c r="AH48" i="10"/>
  <c r="AH185" i="10"/>
  <c r="AH168" i="10"/>
  <c r="AH114" i="10"/>
  <c r="AK168" i="10"/>
  <c r="AH154" i="10"/>
  <c r="AK190" i="10"/>
  <c r="AK139" i="10"/>
  <c r="AH26" i="10"/>
  <c r="AH184" i="10"/>
  <c r="AH153" i="10"/>
  <c r="AH139" i="10"/>
  <c r="AH148" i="10"/>
  <c r="AH137" i="10"/>
  <c r="AH31" i="10"/>
  <c r="AH81" i="10"/>
  <c r="AH167" i="10"/>
  <c r="AH80" i="10"/>
  <c r="AH25" i="10"/>
  <c r="AK148" i="10"/>
  <c r="AK37" i="10"/>
  <c r="AK70" i="10"/>
  <c r="AK65" i="10"/>
  <c r="AK107" i="10"/>
  <c r="AK18" i="10"/>
  <c r="AK153" i="10"/>
  <c r="AK95" i="10"/>
  <c r="AK180" i="10"/>
  <c r="AH35" i="10"/>
  <c r="AK152" i="10"/>
  <c r="AH159" i="10"/>
  <c r="AK169" i="10"/>
  <c r="AH181" i="10"/>
  <c r="AK192" i="10"/>
  <c r="AH21" i="10"/>
  <c r="AH172" i="10"/>
  <c r="AH94" i="10"/>
  <c r="AH146" i="10"/>
  <c r="AH65" i="10"/>
  <c r="AH37" i="10"/>
  <c r="AH33" i="10"/>
  <c r="AH182" i="10"/>
  <c r="AH24" i="10"/>
  <c r="AH175" i="10"/>
  <c r="AK133" i="10"/>
  <c r="AK151" i="10"/>
  <c r="AK52" i="10"/>
  <c r="AK82" i="10"/>
  <c r="AK24" i="10"/>
  <c r="AK46" i="10"/>
  <c r="AH176" i="10"/>
  <c r="AH147" i="10"/>
  <c r="AH60" i="10"/>
  <c r="AK73" i="10"/>
  <c r="AK94" i="10"/>
  <c r="AK131" i="10"/>
  <c r="AH192" i="10"/>
  <c r="AK112" i="10"/>
  <c r="AH158" i="10"/>
  <c r="AK27" i="10"/>
  <c r="AH123" i="10"/>
  <c r="AH103" i="10"/>
  <c r="AH72" i="10"/>
  <c r="AH202" i="10"/>
  <c r="AH74" i="10"/>
  <c r="AH40" i="10"/>
  <c r="AH67" i="10"/>
  <c r="AH22" i="10"/>
  <c r="AH19" i="10"/>
  <c r="AH195" i="10"/>
  <c r="AK179" i="10"/>
  <c r="AK74" i="10"/>
  <c r="AK111" i="10"/>
  <c r="AK102" i="10"/>
  <c r="AK98" i="10"/>
  <c r="AK62" i="10"/>
  <c r="AH183" i="10"/>
  <c r="AH90" i="10"/>
  <c r="AH193" i="10"/>
  <c r="AK72" i="10"/>
  <c r="AK50" i="10"/>
  <c r="AH27" i="10"/>
  <c r="AH129" i="10"/>
  <c r="AH97" i="10"/>
  <c r="AH201" i="10"/>
  <c r="AH115" i="10"/>
  <c r="AH87" i="10"/>
  <c r="AH84" i="10"/>
  <c r="AH121" i="10"/>
  <c r="AH16" i="10"/>
  <c r="AH73" i="10"/>
  <c r="AK22" i="10"/>
  <c r="AK161" i="10"/>
  <c r="AK144" i="10"/>
  <c r="AK164" i="10"/>
  <c r="AK100" i="10"/>
  <c r="AK88" i="10"/>
  <c r="AH174" i="10"/>
  <c r="AK103" i="10"/>
  <c r="AK104" i="10"/>
  <c r="AH75" i="10"/>
  <c r="AK189" i="10"/>
  <c r="AH100" i="10"/>
  <c r="AK42" i="10"/>
  <c r="AH120" i="10"/>
  <c r="AH162" i="10"/>
  <c r="AH131" i="10"/>
  <c r="AH23" i="10"/>
  <c r="AH46" i="10"/>
  <c r="AH85" i="10"/>
  <c r="AH149" i="10"/>
  <c r="AH106" i="10"/>
  <c r="AH151" i="10"/>
  <c r="AH29" i="10"/>
  <c r="AH191" i="10"/>
  <c r="AK135" i="10"/>
  <c r="AK85" i="10"/>
  <c r="AK167" i="10"/>
  <c r="AK110" i="10"/>
  <c r="AK158" i="10"/>
  <c r="AK113" i="10"/>
  <c r="AH99" i="10"/>
  <c r="AH138" i="10"/>
  <c r="AK134" i="10"/>
  <c r="AK126" i="10"/>
  <c r="AK172" i="10"/>
  <c r="AH135" i="10"/>
  <c r="AK145" i="10"/>
  <c r="AH56" i="10"/>
  <c r="AK116" i="10"/>
  <c r="AH28" i="10"/>
  <c r="AH61" i="10"/>
  <c r="AH170" i="10"/>
  <c r="AH51" i="10"/>
  <c r="AH144" i="10"/>
  <c r="AH133" i="10"/>
  <c r="AH136" i="10"/>
  <c r="AH190" i="10"/>
  <c r="AH32" i="10"/>
  <c r="AH50" i="10"/>
  <c r="AK33" i="10"/>
  <c r="AK136" i="10"/>
  <c r="AK55" i="10"/>
  <c r="AK178" i="10"/>
  <c r="AK149" i="10"/>
  <c r="AK137" i="10"/>
  <c r="AH20" i="10"/>
  <c r="AH199" i="10"/>
  <c r="AK60" i="10"/>
  <c r="AK20" i="10"/>
  <c r="AK17" i="10"/>
  <c r="AK56" i="10"/>
  <c r="AH155" i="10"/>
  <c r="AH113" i="10"/>
  <c r="AK44" i="10"/>
  <c r="AK61" i="10"/>
  <c r="AH124" i="10"/>
  <c r="AH96" i="10"/>
  <c r="AH66" i="10"/>
  <c r="AH17" i="10"/>
  <c r="AH88" i="10"/>
  <c r="AH196" i="10"/>
  <c r="AH44" i="10"/>
  <c r="AH108" i="10"/>
  <c r="AH55" i="10"/>
  <c r="AH18" i="10"/>
  <c r="AK154" i="10"/>
  <c r="AK202" i="10"/>
  <c r="AK83" i="10"/>
  <c r="AK171" i="10"/>
  <c r="AK40" i="10"/>
  <c r="AK196" i="10"/>
  <c r="AH125" i="10"/>
  <c r="AH45" i="10"/>
  <c r="AK123" i="10"/>
  <c r="AK97" i="10"/>
  <c r="AK81" i="10"/>
  <c r="AK117" i="10"/>
  <c r="AH39" i="10"/>
  <c r="AH165" i="10"/>
  <c r="AH63" i="10"/>
  <c r="AH109" i="10"/>
  <c r="AH82" i="10"/>
  <c r="AH91" i="10"/>
  <c r="AH34" i="10"/>
  <c r="AH92" i="10"/>
  <c r="AK194" i="10"/>
  <c r="AK63" i="10"/>
  <c r="AK115" i="10"/>
  <c r="AK84" i="10"/>
  <c r="AK54" i="10"/>
  <c r="AK201" i="10"/>
  <c r="AH163" i="10"/>
  <c r="AH166" i="10"/>
  <c r="AK125" i="10"/>
  <c r="AK200" i="10"/>
  <c r="AK195" i="10"/>
  <c r="AH86" i="10"/>
  <c r="AH95" i="10"/>
  <c r="AH64" i="10"/>
  <c r="AH57" i="10"/>
  <c r="AK121" i="10"/>
  <c r="AH150" i="10"/>
  <c r="AH128" i="10"/>
  <c r="AH101" i="10"/>
  <c r="AH38" i="10"/>
  <c r="AH49" i="10"/>
  <c r="AH42" i="10"/>
  <c r="AH156" i="10"/>
  <c r="AH117" i="10"/>
  <c r="AH145" i="10"/>
  <c r="AH69" i="10"/>
  <c r="AH62" i="10"/>
  <c r="AK87" i="10"/>
  <c r="AK86" i="10"/>
  <c r="AK146" i="10"/>
  <c r="AK108" i="10"/>
  <c r="AK106" i="10"/>
  <c r="AK19" i="10"/>
  <c r="AH200" i="10"/>
  <c r="AH177" i="10"/>
  <c r="AK99" i="10"/>
  <c r="AK57" i="10"/>
  <c r="AK186" i="10"/>
  <c r="AK156" i="10"/>
  <c r="AK96" i="10"/>
  <c r="AH93" i="10"/>
  <c r="AH197" i="10"/>
  <c r="AK89" i="10"/>
  <c r="AK58" i="10"/>
  <c r="AH134" i="10"/>
  <c r="AH58" i="10"/>
  <c r="AH180" i="10"/>
  <c r="AH47" i="10"/>
  <c r="AH71" i="10"/>
  <c r="AH111" i="10"/>
  <c r="AH54" i="10"/>
  <c r="AH118" i="10"/>
  <c r="AH179" i="10"/>
  <c r="AH107" i="10"/>
  <c r="AH161" i="10"/>
  <c r="AK160" i="10"/>
  <c r="AK182" i="10"/>
  <c r="AK34" i="10"/>
  <c r="AK130" i="10"/>
  <c r="AK159" i="10"/>
  <c r="AK16" i="10"/>
  <c r="AH127" i="10"/>
  <c r="AH68" i="10"/>
  <c r="AH122" i="10"/>
  <c r="AK23" i="10"/>
  <c r="AK38" i="10"/>
  <c r="AK43" i="10"/>
  <c r="AK188" i="10"/>
  <c r="AK127" i="10"/>
  <c r="AH130" i="10"/>
  <c r="AH194" i="10"/>
  <c r="AK80" i="10"/>
  <c r="AK93" i="10"/>
  <c r="AH126" i="10"/>
  <c r="AH132" i="10"/>
  <c r="AH105" i="10"/>
  <c r="AH112" i="10"/>
  <c r="AH89" i="10"/>
  <c r="AH164" i="10"/>
  <c r="AH169" i="10"/>
  <c r="AH171" i="10"/>
  <c r="AH157" i="10"/>
  <c r="AK173" i="10"/>
  <c r="AK197" i="10"/>
  <c r="AK109" i="10"/>
  <c r="AK118" i="10"/>
  <c r="AK32" i="10"/>
  <c r="AK29" i="10"/>
  <c r="AH188" i="10"/>
  <c r="AH43" i="10"/>
  <c r="AH198" i="10"/>
  <c r="AK187" i="10"/>
  <c r="AK45" i="10"/>
  <c r="AK101" i="10"/>
  <c r="AK165" i="10"/>
  <c r="AH186" i="10"/>
  <c r="AH102" i="10"/>
  <c r="AK31" i="10"/>
  <c r="AH59" i="10"/>
  <c r="AK162" i="10"/>
  <c r="AH178" i="10"/>
  <c r="AK185" i="10"/>
  <c r="AH53" i="10"/>
  <c r="AH119" i="10"/>
  <c r="AH36" i="10"/>
  <c r="AH160" i="10"/>
  <c r="AH110" i="10"/>
  <c r="AH173" i="10"/>
  <c r="AH30" i="10"/>
  <c r="AH116" i="10"/>
  <c r="AH41" i="10"/>
  <c r="AK124" i="10"/>
  <c r="AK67" i="10"/>
  <c r="AK181" i="10"/>
  <c r="AK30" i="10"/>
  <c r="AK69" i="10"/>
  <c r="AK51" i="10"/>
  <c r="AK114" i="10"/>
  <c r="AK26" i="10"/>
  <c r="AK191" i="10"/>
  <c r="AK174" i="10"/>
  <c r="AK150" i="10"/>
  <c r="AK198" i="10"/>
  <c r="AK64" i="10"/>
  <c r="AK193" i="10"/>
  <c r="AK132" i="10"/>
  <c r="V22" i="13"/>
  <c r="V41" i="8"/>
  <c r="V23" i="13" s="1"/>
  <c r="AH104" i="10"/>
  <c r="AK35" i="10"/>
  <c r="AK177" i="10"/>
  <c r="AK166" i="10"/>
  <c r="AK71" i="10"/>
  <c r="AK199" i="10"/>
  <c r="AK59" i="10"/>
  <c r="AK170" i="10"/>
  <c r="AK68" i="10"/>
  <c r="AK147" i="10"/>
  <c r="AK49" i="10"/>
  <c r="AK90" i="10"/>
  <c r="W22" i="13"/>
  <c r="AK163" i="10"/>
  <c r="AK175" i="10"/>
  <c r="AK53" i="10"/>
  <c r="AK155" i="10"/>
  <c r="W41" i="8"/>
  <c r="W23" i="13" s="1"/>
  <c r="AK176" i="10"/>
  <c r="AK128" i="10"/>
  <c r="AK184" i="10"/>
  <c r="AK66" i="10"/>
  <c r="AK120" i="10"/>
  <c r="AK47" i="10"/>
  <c r="AK48" i="10"/>
  <c r="AK36" i="10"/>
  <c r="AK39" i="10"/>
  <c r="AK25" i="10"/>
  <c r="AK138" i="10"/>
  <c r="AK129" i="10"/>
  <c r="AK122" i="10"/>
  <c r="AG40" i="8"/>
  <c r="S22" i="13"/>
  <c r="O36" i="8"/>
  <c r="O39" i="8" s="1"/>
  <c r="O22" i="13" s="1"/>
  <c r="AI4" i="20"/>
  <c r="AD41" i="8"/>
  <c r="AD23" i="13" s="1"/>
  <c r="AD22" i="13"/>
  <c r="AO9" i="8"/>
  <c r="AF40" i="8"/>
  <c r="AF41" i="8"/>
  <c r="AF23" i="13" s="1"/>
  <c r="Z40" i="8"/>
  <c r="Z41" i="8"/>
  <c r="Z23" i="13" s="1"/>
  <c r="AS190" i="10"/>
  <c r="AO7" i="8"/>
  <c r="AS63" i="10"/>
  <c r="AS139" i="10"/>
  <c r="H43" i="21"/>
  <c r="H53" i="21"/>
  <c r="H54" i="21" s="1"/>
  <c r="H55" i="21" s="1"/>
  <c r="H57" i="21" s="1"/>
  <c r="AS133" i="10"/>
  <c r="AS40" i="10"/>
  <c r="AO59" i="9"/>
  <c r="AO58" i="9"/>
  <c r="AS20" i="10"/>
  <c r="AO8" i="8"/>
  <c r="AS90" i="10"/>
  <c r="AS180" i="10"/>
  <c r="AS138" i="10"/>
  <c r="AS82" i="10"/>
  <c r="AS177" i="10"/>
  <c r="AS120" i="10"/>
  <c r="AS130" i="10"/>
  <c r="AS159" i="10"/>
  <c r="AS86" i="10"/>
  <c r="AS171" i="10"/>
  <c r="AS201" i="10"/>
  <c r="AS168" i="10"/>
  <c r="AS117" i="10"/>
  <c r="AS65" i="10"/>
  <c r="AS35" i="10"/>
  <c r="AS128" i="10"/>
  <c r="AS53" i="10"/>
  <c r="AS184" i="10"/>
  <c r="AS183" i="10"/>
  <c r="AS67" i="10"/>
  <c r="AS31" i="10"/>
  <c r="AS52" i="10"/>
  <c r="AS24" i="10"/>
  <c r="AS124" i="10"/>
  <c r="AS102" i="10"/>
  <c r="AS49" i="10"/>
  <c r="AS193" i="10"/>
  <c r="AS93" i="10"/>
  <c r="AS199" i="10"/>
  <c r="AS39" i="10"/>
  <c r="AS75" i="10"/>
  <c r="AS121" i="10"/>
  <c r="AS80" i="10"/>
  <c r="AS81" i="10"/>
  <c r="AS202" i="10"/>
  <c r="AS91" i="10"/>
  <c r="AS66" i="10"/>
  <c r="AS50" i="10"/>
  <c r="AS122" i="10"/>
  <c r="AS73" i="10"/>
  <c r="AS48" i="10"/>
  <c r="AS107" i="10"/>
  <c r="AS47" i="10"/>
  <c r="AO49" i="9"/>
  <c r="AS118" i="10"/>
  <c r="AS148" i="10"/>
  <c r="AS70" i="10"/>
  <c r="AS113" i="10"/>
  <c r="AS30" i="10"/>
  <c r="AS145" i="10"/>
  <c r="AS103" i="10"/>
  <c r="AS61" i="10"/>
  <c r="AS185" i="10"/>
  <c r="AS95" i="10"/>
  <c r="AS105" i="10"/>
  <c r="AS26" i="10"/>
  <c r="AS109" i="10"/>
  <c r="AS106" i="10"/>
  <c r="AS143" i="10"/>
  <c r="AS151" i="10"/>
  <c r="AS37" i="10"/>
  <c r="AS173" i="10"/>
  <c r="AS99" i="10"/>
  <c r="AS119" i="10"/>
  <c r="AS58" i="10"/>
  <c r="AS150" i="10"/>
  <c r="AS123" i="10"/>
  <c r="AS149" i="10"/>
  <c r="AS179" i="10"/>
  <c r="AS158" i="10"/>
  <c r="AS42" i="10"/>
  <c r="AS108" i="10"/>
  <c r="AS167" i="10"/>
  <c r="AS147" i="10"/>
  <c r="AS170" i="10"/>
  <c r="AS101" i="10"/>
  <c r="AS162" i="10"/>
  <c r="AS131" i="10"/>
  <c r="AS178" i="10"/>
  <c r="AS192" i="10"/>
  <c r="AS196" i="10"/>
  <c r="AS32" i="10"/>
  <c r="AS160" i="10"/>
  <c r="AS197" i="10"/>
  <c r="AS152" i="10"/>
  <c r="AS56" i="10"/>
  <c r="AS126" i="10"/>
  <c r="AS198" i="10"/>
  <c r="AS155" i="10"/>
  <c r="AS164" i="10"/>
  <c r="AS19" i="10"/>
  <c r="AS69" i="10"/>
  <c r="AS18" i="10"/>
  <c r="AS55" i="10"/>
  <c r="AS100" i="10"/>
  <c r="AS181" i="10"/>
  <c r="AS27" i="10"/>
  <c r="AS172" i="10"/>
  <c r="AS38" i="10"/>
  <c r="AS195" i="10"/>
  <c r="AS186" i="10"/>
  <c r="AS200" i="10"/>
  <c r="AS137" i="10"/>
  <c r="AS34" i="10"/>
  <c r="AS110" i="10"/>
  <c r="AS74" i="10"/>
  <c r="AS84" i="10"/>
  <c r="AS89" i="10"/>
  <c r="AS41" i="10"/>
  <c r="AS175" i="10"/>
  <c r="AS94" i="10"/>
  <c r="AS59" i="10"/>
  <c r="AS72" i="10"/>
  <c r="AS57" i="10"/>
  <c r="AS85" i="10"/>
  <c r="AS23" i="10"/>
  <c r="AS44" i="10"/>
  <c r="AS154" i="10"/>
  <c r="AS46" i="10"/>
  <c r="AS111" i="10"/>
  <c r="AS115" i="10"/>
  <c r="AS87" i="10"/>
  <c r="AS28" i="10"/>
  <c r="AS174" i="10"/>
  <c r="AS60" i="10"/>
  <c r="AS165" i="10"/>
  <c r="AS96" i="10"/>
  <c r="AS33" i="10"/>
  <c r="AS182" i="10"/>
  <c r="AS144" i="10"/>
  <c r="AS135" i="10"/>
  <c r="AS116" i="10"/>
  <c r="AS112" i="10"/>
  <c r="AS134" i="10"/>
  <c r="AS97" i="10"/>
  <c r="AS166" i="10"/>
  <c r="AS187" i="10"/>
  <c r="AS132" i="10"/>
  <c r="AS169" i="10"/>
  <c r="AS176" i="10"/>
  <c r="AS17" i="10"/>
  <c r="AS88" i="10"/>
  <c r="AS161" i="10"/>
  <c r="AS156" i="10"/>
  <c r="AS157" i="10"/>
  <c r="AS83" i="10"/>
  <c r="AS188" i="10"/>
  <c r="AS127" i="10"/>
  <c r="AS191" i="10"/>
  <c r="AS25" i="10"/>
  <c r="AS43" i="10"/>
  <c r="AS189" i="10"/>
  <c r="AS153" i="10"/>
  <c r="AS21" i="10"/>
  <c r="AS92" i="10"/>
  <c r="AS54" i="10"/>
  <c r="AS146" i="10"/>
  <c r="AS194" i="10"/>
  <c r="AS136" i="10"/>
  <c r="AS45" i="10"/>
  <c r="AS114" i="10"/>
  <c r="AS68" i="10"/>
  <c r="AS36" i="10"/>
  <c r="AS64" i="10"/>
  <c r="AS129" i="10"/>
  <c r="AS29" i="10"/>
  <c r="AS98" i="10"/>
  <c r="AS62" i="10"/>
  <c r="AS16" i="10"/>
  <c r="AS51" i="10"/>
  <c r="AS71" i="10"/>
  <c r="AS163" i="10"/>
  <c r="AS125" i="10"/>
  <c r="AS104" i="10"/>
  <c r="AO56" i="9"/>
  <c r="L53" i="21"/>
  <c r="L54" i="21" s="1"/>
  <c r="L10" i="8" s="1"/>
  <c r="L43" i="21"/>
  <c r="Z46" i="21"/>
  <c r="Z47" i="21" s="1"/>
  <c r="Z48" i="21" s="1"/>
  <c r="Z11" i="8" s="1"/>
  <c r="Z39" i="21"/>
  <c r="Z43" i="21"/>
  <c r="AS22" i="10"/>
  <c r="AO57" i="9"/>
  <c r="AO48" i="9"/>
  <c r="AG41" i="8"/>
  <c r="AG23" i="13" s="1"/>
  <c r="W39" i="21"/>
  <c r="AC41" i="8"/>
  <c r="AC23" i="13" s="1"/>
  <c r="AC22" i="13"/>
  <c r="AB4" i="20"/>
  <c r="S9" i="10"/>
  <c r="O62" i="9" s="1"/>
  <c r="O68" i="9" s="1"/>
  <c r="O71" i="9" s="1"/>
  <c r="S8" i="10"/>
  <c r="O47" i="9" s="1"/>
  <c r="O51" i="9" s="1"/>
  <c r="O64" i="9" s="1"/>
  <c r="S10" i="10"/>
  <c r="O53" i="9" s="1"/>
  <c r="O60" i="9" s="1"/>
  <c r="O66" i="9" s="1"/>
  <c r="P53" i="21"/>
  <c r="P54" i="21" s="1"/>
  <c r="P10" i="8" s="1"/>
  <c r="AH22" i="13"/>
  <c r="AH41" i="8"/>
  <c r="AH23" i="13" s="1"/>
  <c r="L46" i="21"/>
  <c r="L47" i="21" s="1"/>
  <c r="L48" i="21" s="1"/>
  <c r="L11" i="8" s="1"/>
  <c r="N4" i="22"/>
  <c r="J4" i="21"/>
  <c r="J43" i="21" s="1"/>
  <c r="R36" i="8"/>
  <c r="R39" i="8" s="1"/>
  <c r="R40" i="8" s="1"/>
  <c r="J44" i="15"/>
  <c r="J45" i="15" s="1"/>
  <c r="J46" i="15" s="1"/>
  <c r="M53" i="21"/>
  <c r="M54" i="21" s="1"/>
  <c r="M10" i="8" s="1"/>
  <c r="J4" i="9"/>
  <c r="AR52" i="7"/>
  <c r="AR42" i="7"/>
  <c r="AR31" i="7"/>
  <c r="AR311" i="7"/>
  <c r="AR312" i="7" s="1"/>
  <c r="AR324" i="7" s="1"/>
  <c r="AQ331" i="7"/>
  <c r="AR320" i="7"/>
  <c r="AR321" i="7" s="1"/>
  <c r="AR339" i="7" s="1"/>
  <c r="AI4" i="9"/>
  <c r="AI4" i="21"/>
  <c r="AI53" i="21" s="1"/>
  <c r="AI54" i="21" s="1"/>
  <c r="AI10" i="8" s="1"/>
  <c r="AR44" i="7"/>
  <c r="AR58" i="7"/>
  <c r="AI44" i="15"/>
  <c r="AI45" i="15" s="1"/>
  <c r="AR302" i="7"/>
  <c r="AR56" i="7"/>
  <c r="AR36" i="7"/>
  <c r="S39" i="21"/>
  <c r="S53" i="21"/>
  <c r="S54" i="21" s="1"/>
  <c r="S46" i="21"/>
  <c r="S47" i="21" s="1"/>
  <c r="S48" i="21" s="1"/>
  <c r="S43" i="21"/>
  <c r="V39" i="21"/>
  <c r="V53" i="21"/>
  <c r="V54" i="21" s="1"/>
  <c r="V46" i="21"/>
  <c r="V47" i="21" s="1"/>
  <c r="V48" i="21" s="1"/>
  <c r="V43" i="21"/>
  <c r="AA44" i="15"/>
  <c r="AA45" i="15" s="1"/>
  <c r="AA4" i="9"/>
  <c r="AA4" i="20"/>
  <c r="W46" i="21"/>
  <c r="W47" i="21" s="1"/>
  <c r="W48" i="21" s="1"/>
  <c r="W11" i="8" s="1"/>
  <c r="W53" i="21"/>
  <c r="W54" i="21" s="1"/>
  <c r="W55" i="21" s="1"/>
  <c r="W56" i="21" s="1"/>
  <c r="AQ341" i="7"/>
  <c r="AR128" i="7"/>
  <c r="AR129" i="7" s="1"/>
  <c r="AR147" i="7" s="1"/>
  <c r="AR110" i="7"/>
  <c r="AR114" i="7"/>
  <c r="AR115" i="7" s="1"/>
  <c r="AR153" i="7" s="1"/>
  <c r="P46" i="21"/>
  <c r="P47" i="21" s="1"/>
  <c r="P48" i="21" s="1"/>
  <c r="P11" i="8" s="1"/>
  <c r="AP323" i="7"/>
  <c r="AP388" i="7" s="1"/>
  <c r="AP142" i="14" s="1"/>
  <c r="AP143" i="14" s="1"/>
  <c r="AP144" i="14" s="1"/>
  <c r="AP161" i="14" s="1"/>
  <c r="AP162" i="14" s="1"/>
  <c r="AP164" i="14" s="1"/>
  <c r="V16" i="10"/>
  <c r="V70" i="10"/>
  <c r="V154" i="10"/>
  <c r="V118" i="10"/>
  <c r="V67" i="10"/>
  <c r="V82" i="10"/>
  <c r="V139" i="10"/>
  <c r="V187" i="10"/>
  <c r="V152" i="10"/>
  <c r="V114" i="10"/>
  <c r="V134" i="10"/>
  <c r="V22" i="10"/>
  <c r="V46" i="10"/>
  <c r="V40" i="10"/>
  <c r="V117" i="10"/>
  <c r="V124" i="10"/>
  <c r="V27" i="10"/>
  <c r="V54" i="10"/>
  <c r="V66" i="10"/>
  <c r="V180" i="10"/>
  <c r="V119" i="10"/>
  <c r="V73" i="10"/>
  <c r="V103" i="10"/>
  <c r="V56" i="10"/>
  <c r="V181" i="10"/>
  <c r="V196" i="10"/>
  <c r="V179" i="10"/>
  <c r="V42" i="10"/>
  <c r="V192" i="10"/>
  <c r="V55" i="10"/>
  <c r="V19" i="10"/>
  <c r="V53" i="10"/>
  <c r="V131" i="10"/>
  <c r="V96" i="10"/>
  <c r="V38" i="10"/>
  <c r="V186" i="10"/>
  <c r="V84" i="10"/>
  <c r="V193" i="10"/>
  <c r="V89" i="10"/>
  <c r="V194" i="10"/>
  <c r="V159" i="10"/>
  <c r="V178" i="10"/>
  <c r="V160" i="10"/>
  <c r="V74" i="10"/>
  <c r="V174" i="10"/>
  <c r="V43" i="10"/>
  <c r="V61" i="10"/>
  <c r="V128" i="10"/>
  <c r="V138" i="10"/>
  <c r="V39" i="10"/>
  <c r="V34" i="10"/>
  <c r="V167" i="10"/>
  <c r="V130" i="10"/>
  <c r="V110" i="10"/>
  <c r="V146" i="10"/>
  <c r="V80" i="10"/>
  <c r="V175" i="10"/>
  <c r="V165" i="10"/>
  <c r="V170" i="10"/>
  <c r="V123" i="10"/>
  <c r="V147" i="10"/>
  <c r="V135" i="10"/>
  <c r="V107" i="10"/>
  <c r="V136" i="10"/>
  <c r="V115" i="10"/>
  <c r="V113" i="10"/>
  <c r="V65" i="10"/>
  <c r="V31" i="10"/>
  <c r="V132" i="10"/>
  <c r="V162" i="10"/>
  <c r="V90" i="10"/>
  <c r="V195" i="10"/>
  <c r="V58" i="10"/>
  <c r="V189" i="10"/>
  <c r="V144" i="10"/>
  <c r="V62" i="10"/>
  <c r="V17" i="10"/>
  <c r="V24" i="10"/>
  <c r="V87" i="10"/>
  <c r="V166" i="10"/>
  <c r="V64" i="10"/>
  <c r="V59" i="10"/>
  <c r="V150" i="10"/>
  <c r="V47" i="10"/>
  <c r="V173" i="10"/>
  <c r="V171" i="10"/>
  <c r="V121" i="10"/>
  <c r="V75" i="10"/>
  <c r="V151" i="10"/>
  <c r="V197" i="10"/>
  <c r="V81" i="10"/>
  <c r="V45" i="10"/>
  <c r="V177" i="10"/>
  <c r="V36" i="10"/>
  <c r="V126" i="10"/>
  <c r="V125" i="10"/>
  <c r="V52" i="10"/>
  <c r="V143" i="10"/>
  <c r="V44" i="10"/>
  <c r="V157" i="10"/>
  <c r="V86" i="10"/>
  <c r="V145" i="10"/>
  <c r="V106" i="10"/>
  <c r="V20" i="10"/>
  <c r="V94" i="10"/>
  <c r="V200" i="10"/>
  <c r="V97" i="10"/>
  <c r="V72" i="10"/>
  <c r="V185" i="10"/>
  <c r="V133" i="10"/>
  <c r="V32" i="10"/>
  <c r="V168" i="10"/>
  <c r="V190" i="10"/>
  <c r="V83" i="10"/>
  <c r="V201" i="10"/>
  <c r="V23" i="10"/>
  <c r="V68" i="10"/>
  <c r="V155" i="10"/>
  <c r="V188" i="10"/>
  <c r="V172" i="10"/>
  <c r="V33" i="10"/>
  <c r="V26" i="10"/>
  <c r="V111" i="10"/>
  <c r="V148" i="10"/>
  <c r="V109" i="10"/>
  <c r="V137" i="10"/>
  <c r="V63" i="10"/>
  <c r="V149" i="10"/>
  <c r="V28" i="10"/>
  <c r="V184" i="10"/>
  <c r="V198" i="10"/>
  <c r="V163" i="10"/>
  <c r="V25" i="10"/>
  <c r="V48" i="10"/>
  <c r="V30" i="10"/>
  <c r="V69" i="10"/>
  <c r="V158" i="10"/>
  <c r="V156" i="10"/>
  <c r="V182" i="10"/>
  <c r="V202" i="10"/>
  <c r="V92" i="10"/>
  <c r="V183" i="10"/>
  <c r="V191" i="10"/>
  <c r="V104" i="10"/>
  <c r="V93" i="10"/>
  <c r="V127" i="10"/>
  <c r="V129" i="10"/>
  <c r="V18" i="10"/>
  <c r="V51" i="10"/>
  <c r="V112" i="10"/>
  <c r="V108" i="10"/>
  <c r="V169" i="10"/>
  <c r="V161" i="10"/>
  <c r="V176" i="10"/>
  <c r="V95" i="10"/>
  <c r="V50" i="10"/>
  <c r="V120" i="10"/>
  <c r="V49" i="10"/>
  <c r="V21" i="10"/>
  <c r="V102" i="10"/>
  <c r="V116" i="10"/>
  <c r="V164" i="10"/>
  <c r="V85" i="10"/>
  <c r="V88" i="10"/>
  <c r="V122" i="10"/>
  <c r="V71" i="10"/>
  <c r="V101" i="10"/>
  <c r="V99" i="10"/>
  <c r="V199" i="10"/>
  <c r="V41" i="10"/>
  <c r="V98" i="10"/>
  <c r="V91" i="10"/>
  <c r="V100" i="10"/>
  <c r="V37" i="10"/>
  <c r="V29" i="10"/>
  <c r="V105" i="10"/>
  <c r="V60" i="10"/>
  <c r="V35" i="10"/>
  <c r="V57" i="10"/>
  <c r="V153" i="10"/>
  <c r="P43" i="21"/>
  <c r="AB36" i="8"/>
  <c r="AB39" i="8" s="1"/>
  <c r="AB40" i="8" s="1"/>
  <c r="AM24" i="10"/>
  <c r="AV29" i="11"/>
  <c r="AB44" i="15"/>
  <c r="AB45" i="15" s="1"/>
  <c r="AF36" i="10"/>
  <c r="AB4" i="21"/>
  <c r="AB39" i="21" s="1"/>
  <c r="AB4" i="9"/>
  <c r="AQ343" i="7"/>
  <c r="AV35" i="11"/>
  <c r="AI36" i="8"/>
  <c r="AI39" i="8" s="1"/>
  <c r="AI41" i="8" s="1"/>
  <c r="AI23" i="13" s="1"/>
  <c r="AV131" i="11"/>
  <c r="AQ329" i="7"/>
  <c r="AV45" i="11"/>
  <c r="AV75" i="11"/>
  <c r="AV50" i="11"/>
  <c r="AR49" i="7"/>
  <c r="AV104" i="11"/>
  <c r="AM22" i="10"/>
  <c r="AV86" i="11"/>
  <c r="AU12" i="11"/>
  <c r="AU14" i="11" s="1"/>
  <c r="AO21" i="15" s="1"/>
  <c r="AO5" i="9" s="1"/>
  <c r="AV99" i="11"/>
  <c r="AV31" i="11"/>
  <c r="AV87" i="11"/>
  <c r="AV137" i="11"/>
  <c r="AV74" i="11"/>
  <c r="AV138" i="11"/>
  <c r="AV42" i="11"/>
  <c r="AV109" i="11"/>
  <c r="AV32" i="11"/>
  <c r="AV102" i="11"/>
  <c r="AV89" i="11"/>
  <c r="AV71" i="11"/>
  <c r="AV108" i="11"/>
  <c r="AV44" i="11"/>
  <c r="AV30" i="11"/>
  <c r="AQ192" i="7"/>
  <c r="AV60" i="11"/>
  <c r="AV111" i="11"/>
  <c r="AV62" i="11"/>
  <c r="AV94" i="11"/>
  <c r="AV82" i="11"/>
  <c r="AV132" i="11"/>
  <c r="AV90" i="11"/>
  <c r="AV20" i="11"/>
  <c r="Y39" i="21"/>
  <c r="AV96" i="11"/>
  <c r="AV40" i="11"/>
  <c r="AV121" i="11"/>
  <c r="AV134" i="11"/>
  <c r="AV105" i="11"/>
  <c r="AV63" i="11"/>
  <c r="AV54" i="11"/>
  <c r="AV37" i="11"/>
  <c r="Y43" i="21"/>
  <c r="AQ144" i="7"/>
  <c r="AV67" i="11"/>
  <c r="AV123" i="11"/>
  <c r="AV135" i="11"/>
  <c r="AV34" i="11"/>
  <c r="AV117" i="11"/>
  <c r="AV24" i="11"/>
  <c r="AV93" i="11"/>
  <c r="AV43" i="11"/>
  <c r="Y53" i="21"/>
  <c r="Y54" i="21" s="1"/>
  <c r="Y10" i="8" s="1"/>
  <c r="AV88" i="11"/>
  <c r="AV52" i="11"/>
  <c r="AV81" i="11"/>
  <c r="AV46" i="11"/>
  <c r="AV116" i="11"/>
  <c r="AV84" i="11"/>
  <c r="AV101" i="11"/>
  <c r="AV33" i="11"/>
  <c r="AV58" i="11"/>
  <c r="AV51" i="11"/>
  <c r="AV95" i="11"/>
  <c r="AV70" i="11"/>
  <c r="AV66" i="11"/>
  <c r="AV56" i="11"/>
  <c r="AV48" i="11"/>
  <c r="AV36" i="11"/>
  <c r="AQ133" i="7"/>
  <c r="AM64" i="10"/>
  <c r="AV39" i="11"/>
  <c r="AV106" i="11"/>
  <c r="AV97" i="11"/>
  <c r="AV114" i="11"/>
  <c r="AV73" i="11"/>
  <c r="AV119" i="11"/>
  <c r="AV27" i="11"/>
  <c r="AV65" i="11"/>
  <c r="AV21" i="11"/>
  <c r="AV120" i="11"/>
  <c r="AV98" i="11"/>
  <c r="AV61" i="11"/>
  <c r="AV113" i="11"/>
  <c r="AV41" i="11"/>
  <c r="AE25" i="10"/>
  <c r="AV57" i="11"/>
  <c r="AV53" i="11"/>
  <c r="AV126" i="11"/>
  <c r="AV129" i="11"/>
  <c r="AV110" i="11"/>
  <c r="AV122" i="11"/>
  <c r="AV25" i="11"/>
  <c r="AV76" i="11"/>
  <c r="AV125" i="11"/>
  <c r="AV92" i="11"/>
  <c r="AV72" i="11"/>
  <c r="AV100" i="11"/>
  <c r="AV130" i="11"/>
  <c r="AV22" i="11"/>
  <c r="AP131" i="7"/>
  <c r="AP194" i="7" s="1"/>
  <c r="AP92" i="14" s="1"/>
  <c r="AP93" i="14" s="1"/>
  <c r="AP97" i="14" s="1"/>
  <c r="AP98" i="14" s="1"/>
  <c r="AP99" i="14" s="1"/>
  <c r="AP100" i="14" s="1"/>
  <c r="AP101" i="14" s="1"/>
  <c r="AP102" i="14" s="1"/>
  <c r="AP107" i="14" s="1"/>
  <c r="AP110" i="14" s="1"/>
  <c r="AV47" i="11"/>
  <c r="AV55" i="11"/>
  <c r="AV128" i="11"/>
  <c r="AV85" i="11"/>
  <c r="AV124" i="11"/>
  <c r="AV69" i="11"/>
  <c r="AV28" i="11"/>
  <c r="AU13" i="11"/>
  <c r="AU15" i="11" s="1"/>
  <c r="AO22" i="15" s="1"/>
  <c r="AO43" i="15" s="1"/>
  <c r="AS4" i="22" s="1"/>
  <c r="AV80" i="11"/>
  <c r="AV107" i="11"/>
  <c r="AV112" i="11"/>
  <c r="AV77" i="11"/>
  <c r="AV38" i="11"/>
  <c r="AV91" i="11"/>
  <c r="AV23" i="11"/>
  <c r="AV49" i="11"/>
  <c r="AV64" i="11"/>
  <c r="AV127" i="11"/>
  <c r="AV83" i="11"/>
  <c r="AV59" i="11"/>
  <c r="AV68" i="11"/>
  <c r="AV19" i="11"/>
  <c r="AV118" i="11"/>
  <c r="AV133" i="11"/>
  <c r="AV26" i="11"/>
  <c r="AV136" i="11"/>
  <c r="AV103" i="11"/>
  <c r="AV115" i="11"/>
  <c r="I39" i="21"/>
  <c r="I43" i="21"/>
  <c r="I53" i="21"/>
  <c r="I54" i="21" s="1"/>
  <c r="I55" i="21" s="1"/>
  <c r="I56" i="21" s="1"/>
  <c r="H39" i="21"/>
  <c r="M39" i="21"/>
  <c r="M43" i="21"/>
  <c r="O39" i="21"/>
  <c r="O43" i="21"/>
  <c r="O53" i="21"/>
  <c r="O54" i="21" s="1"/>
  <c r="O55" i="21" s="1"/>
  <c r="O57" i="21" s="1"/>
  <c r="Q43" i="21"/>
  <c r="N43" i="21"/>
  <c r="N53" i="21"/>
  <c r="N54" i="21" s="1"/>
  <c r="N55" i="21" s="1"/>
  <c r="N57" i="21" s="1"/>
  <c r="Q46" i="21"/>
  <c r="Q47" i="21" s="1"/>
  <c r="Q48" i="21" s="1"/>
  <c r="Q49" i="21" s="1"/>
  <c r="Q51" i="21" s="1"/>
  <c r="N46" i="21"/>
  <c r="N47" i="21" s="1"/>
  <c r="N48" i="21" s="1"/>
  <c r="N11" i="8" s="1"/>
  <c r="Q53" i="21"/>
  <c r="Q54" i="21" s="1"/>
  <c r="Q10" i="8" s="1"/>
  <c r="X39" i="21"/>
  <c r="X43" i="21"/>
  <c r="X53" i="21"/>
  <c r="X54" i="21" s="1"/>
  <c r="X55" i="21" s="1"/>
  <c r="X57" i="21" s="1"/>
  <c r="G39" i="21"/>
  <c r="G43" i="21"/>
  <c r="G46" i="21"/>
  <c r="G47" i="21" s="1"/>
  <c r="G48" i="21" s="1"/>
  <c r="G49" i="21" s="1"/>
  <c r="G51" i="21" s="1"/>
  <c r="AM95" i="10"/>
  <c r="AM58" i="10"/>
  <c r="AM127" i="10"/>
  <c r="AM134" i="10"/>
  <c r="AM25" i="10"/>
  <c r="AF127" i="10"/>
  <c r="AF64" i="10"/>
  <c r="AF48" i="10"/>
  <c r="AF26" i="10"/>
  <c r="AF125" i="10"/>
  <c r="AM125" i="10"/>
  <c r="AM120" i="10"/>
  <c r="AM174" i="10"/>
  <c r="AM163" i="10"/>
  <c r="AF97" i="10"/>
  <c r="AF134" i="10"/>
  <c r="AF94" i="10"/>
  <c r="AF53" i="10"/>
  <c r="AF104" i="10"/>
  <c r="AR25" i="10"/>
  <c r="AR35" i="10"/>
  <c r="AR191" i="10"/>
  <c r="AR176" i="10"/>
  <c r="AR132" i="10"/>
  <c r="AR103" i="10"/>
  <c r="AR183" i="10"/>
  <c r="AR174" i="10"/>
  <c r="AR165" i="10"/>
  <c r="AR150" i="10"/>
  <c r="AR104" i="10"/>
  <c r="AR56" i="10"/>
  <c r="AR166" i="10"/>
  <c r="AR162" i="10"/>
  <c r="AR96" i="10"/>
  <c r="AR73" i="10"/>
  <c r="AR39" i="10"/>
  <c r="AR185" i="10"/>
  <c r="AR153" i="10"/>
  <c r="AR101" i="10"/>
  <c r="AR61" i="10"/>
  <c r="AR195" i="10"/>
  <c r="AR125" i="10"/>
  <c r="AR184" i="10"/>
  <c r="AR175" i="10"/>
  <c r="AR193" i="10"/>
  <c r="AR126" i="10"/>
  <c r="AR97" i="10"/>
  <c r="AR43" i="10"/>
  <c r="AR68" i="10"/>
  <c r="AR26" i="10"/>
  <c r="AR163" i="10"/>
  <c r="AR64" i="10"/>
  <c r="AR120" i="10"/>
  <c r="AR90" i="10"/>
  <c r="AR57" i="10"/>
  <c r="AR180" i="10"/>
  <c r="AR138" i="10"/>
  <c r="AR128" i="10"/>
  <c r="AR114" i="10"/>
  <c r="AR48" i="10"/>
  <c r="AR38" i="10"/>
  <c r="AR172" i="10"/>
  <c r="AR131" i="10"/>
  <c r="AR122" i="10"/>
  <c r="AR170" i="10"/>
  <c r="AR129" i="10"/>
  <c r="AR99" i="10"/>
  <c r="AR72" i="10"/>
  <c r="AR36" i="10"/>
  <c r="AR50" i="10"/>
  <c r="AR200" i="10"/>
  <c r="AR147" i="10"/>
  <c r="AR155" i="10"/>
  <c r="AR134" i="10"/>
  <c r="AR93" i="10"/>
  <c r="AR60" i="10"/>
  <c r="AR45" i="10"/>
  <c r="AR187" i="10"/>
  <c r="AR152" i="10"/>
  <c r="AR127" i="10"/>
  <c r="AR94" i="10"/>
  <c r="AR105" i="10"/>
  <c r="AR59" i="10"/>
  <c r="AR28" i="10"/>
  <c r="AR20" i="10"/>
  <c r="AR186" i="10"/>
  <c r="AR198" i="10"/>
  <c r="AR119" i="10"/>
  <c r="AR49" i="10"/>
  <c r="AR58" i="10"/>
  <c r="AR66" i="10"/>
  <c r="AR188" i="10"/>
  <c r="AR177" i="10"/>
  <c r="AR123" i="10"/>
  <c r="AR53" i="10"/>
  <c r="AR199" i="10"/>
  <c r="AR139" i="10"/>
  <c r="AR71" i="10"/>
  <c r="AR95" i="10"/>
  <c r="AR47" i="10"/>
  <c r="Y10" i="10"/>
  <c r="Y8" i="10"/>
  <c r="AM18" i="10"/>
  <c r="AM21" i="10"/>
  <c r="AM33" i="10"/>
  <c r="AM16" i="10"/>
  <c r="AM51" i="10"/>
  <c r="AM30" i="10"/>
  <c r="AM173" i="10"/>
  <c r="AM112" i="10"/>
  <c r="AM121" i="10"/>
  <c r="AM81" i="10"/>
  <c r="AM42" i="10"/>
  <c r="AM201" i="10"/>
  <c r="AM158" i="10"/>
  <c r="AM157" i="10"/>
  <c r="AM100" i="10"/>
  <c r="AM124" i="10"/>
  <c r="AM159" i="10"/>
  <c r="AM115" i="10"/>
  <c r="AM136" i="10"/>
  <c r="AM194" i="10"/>
  <c r="AM143" i="10"/>
  <c r="AM192" i="10"/>
  <c r="AM164" i="10"/>
  <c r="AM144" i="10"/>
  <c r="AM169" i="10"/>
  <c r="AM108" i="10"/>
  <c r="AM29" i="10"/>
  <c r="AM160" i="10"/>
  <c r="AM102" i="10"/>
  <c r="AM89" i="10"/>
  <c r="AM17" i="10"/>
  <c r="AM88" i="10"/>
  <c r="AM91" i="10"/>
  <c r="AM86" i="10"/>
  <c r="AM31" i="10"/>
  <c r="AM181" i="10"/>
  <c r="AM149" i="10"/>
  <c r="AM130" i="10"/>
  <c r="AM156" i="10"/>
  <c r="AM87" i="10"/>
  <c r="AM62" i="10"/>
  <c r="AM146" i="10"/>
  <c r="AM110" i="10"/>
  <c r="AM145" i="10"/>
  <c r="AM75" i="10"/>
  <c r="AM190" i="10"/>
  <c r="AM63" i="10"/>
  <c r="AM41" i="10"/>
  <c r="AM148" i="10"/>
  <c r="AM182" i="10"/>
  <c r="AM113" i="10"/>
  <c r="AM80" i="10"/>
  <c r="AM54" i="10"/>
  <c r="AM34" i="10"/>
  <c r="AM197" i="10"/>
  <c r="AM107" i="10"/>
  <c r="AM167" i="10"/>
  <c r="AM111" i="10"/>
  <c r="AM116" i="10"/>
  <c r="AM67" i="10"/>
  <c r="AM27" i="10"/>
  <c r="AM189" i="10"/>
  <c r="AM178" i="10"/>
  <c r="AM137" i="10"/>
  <c r="AM161" i="10"/>
  <c r="AM106" i="10"/>
  <c r="AM65" i="10"/>
  <c r="AM19" i="10"/>
  <c r="AM202" i="10"/>
  <c r="AM151" i="10"/>
  <c r="AM135" i="10"/>
  <c r="AM98" i="10"/>
  <c r="AM46" i="10"/>
  <c r="AM179" i="10"/>
  <c r="AM133" i="10"/>
  <c r="AM83" i="10"/>
  <c r="AM44" i="10"/>
  <c r="AM171" i="10"/>
  <c r="AM154" i="10"/>
  <c r="AM69" i="10"/>
  <c r="AM85" i="10"/>
  <c r="AM92" i="10"/>
  <c r="AM70" i="10"/>
  <c r="AM74" i="10"/>
  <c r="AM37" i="10"/>
  <c r="AM82" i="10"/>
  <c r="AM52" i="10"/>
  <c r="AM168" i="10"/>
  <c r="AM84" i="10"/>
  <c r="AM32" i="10"/>
  <c r="AM117" i="10"/>
  <c r="AM55" i="10"/>
  <c r="AM196" i="10"/>
  <c r="AM109" i="10"/>
  <c r="AM118" i="10"/>
  <c r="AM40" i="10"/>
  <c r="AM153" i="10"/>
  <c r="AM186" i="10"/>
  <c r="AM198" i="10"/>
  <c r="AM129" i="10"/>
  <c r="AM162" i="10"/>
  <c r="AL10" i="10"/>
  <c r="AH53" i="9" s="1"/>
  <c r="AH60" i="9" s="1"/>
  <c r="AH66" i="9" s="1"/>
  <c r="AF17" i="10"/>
  <c r="AF35" i="10"/>
  <c r="AF153" i="10"/>
  <c r="AF122" i="10"/>
  <c r="AF126" i="10"/>
  <c r="AF131" i="10"/>
  <c r="AJ9" i="10"/>
  <c r="AF62" i="9" s="1"/>
  <c r="AF68" i="9" s="1"/>
  <c r="AF4" i="8" s="1"/>
  <c r="AR27" i="10"/>
  <c r="X10" i="10"/>
  <c r="AM199" i="10"/>
  <c r="AM104" i="10"/>
  <c r="AM56" i="10"/>
  <c r="AM188" i="10"/>
  <c r="AM193" i="10"/>
  <c r="AI10" i="10"/>
  <c r="AF93" i="10"/>
  <c r="AF174" i="10"/>
  <c r="AF123" i="10"/>
  <c r="AF147" i="10"/>
  <c r="AF58" i="10"/>
  <c r="AE20" i="10"/>
  <c r="AE39" i="10"/>
  <c r="AE172" i="10"/>
  <c r="AE174" i="10"/>
  <c r="AE153" i="10"/>
  <c r="AE36" i="10"/>
  <c r="AE195" i="10"/>
  <c r="AE126" i="10"/>
  <c r="AE122" i="10"/>
  <c r="AE105" i="10"/>
  <c r="AE61" i="10"/>
  <c r="AE186" i="10"/>
  <c r="AE120" i="10"/>
  <c r="AE94" i="10"/>
  <c r="AE101" i="10"/>
  <c r="AE60" i="10"/>
  <c r="AE72" i="10"/>
  <c r="AE162" i="10"/>
  <c r="AE180" i="10"/>
  <c r="AE56" i="10"/>
  <c r="AE49" i="10"/>
  <c r="AE199" i="10"/>
  <c r="AE200" i="10"/>
  <c r="AE152" i="10"/>
  <c r="AE132" i="10"/>
  <c r="AE53" i="10"/>
  <c r="AE191" i="10"/>
  <c r="AE163" i="10"/>
  <c r="AE170" i="10"/>
  <c r="AE131" i="10"/>
  <c r="AE123" i="10"/>
  <c r="AE90" i="10"/>
  <c r="AE73" i="10"/>
  <c r="AE45" i="10"/>
  <c r="AE48" i="10"/>
  <c r="AE187" i="10"/>
  <c r="AE147" i="10"/>
  <c r="AE114" i="10"/>
  <c r="AE97" i="10"/>
  <c r="AE188" i="10"/>
  <c r="AE184" i="10"/>
  <c r="AE166" i="10"/>
  <c r="AE127" i="10"/>
  <c r="AE155" i="10"/>
  <c r="AE57" i="10"/>
  <c r="AE23" i="10"/>
  <c r="AE119" i="10"/>
  <c r="AE139" i="10"/>
  <c r="AE103" i="10"/>
  <c r="AE99" i="10"/>
  <c r="AE68" i="10"/>
  <c r="AE193" i="10"/>
  <c r="AE134" i="10"/>
  <c r="AE128" i="10"/>
  <c r="AE66" i="10"/>
  <c r="AE28" i="10"/>
  <c r="AE198" i="10"/>
  <c r="AE165" i="10"/>
  <c r="AE104" i="10"/>
  <c r="AE64" i="10"/>
  <c r="AE47" i="10"/>
  <c r="AE185" i="10"/>
  <c r="AE176" i="10"/>
  <c r="AE138" i="10"/>
  <c r="AE96" i="10"/>
  <c r="AE129" i="10"/>
  <c r="AE95" i="10"/>
  <c r="AE43" i="10"/>
  <c r="AE50" i="10"/>
  <c r="AE183" i="10"/>
  <c r="AE125" i="10"/>
  <c r="AE93" i="10"/>
  <c r="AE35" i="10"/>
  <c r="AE175" i="10"/>
  <c r="AE150" i="10"/>
  <c r="AE71" i="10"/>
  <c r="AE177" i="10"/>
  <c r="AE59" i="10"/>
  <c r="AE58" i="10"/>
  <c r="AE38" i="10"/>
  <c r="AE26" i="10"/>
  <c r="O19" i="10"/>
  <c r="O30" i="10"/>
  <c r="O16" i="10"/>
  <c r="O27" i="10"/>
  <c r="O41" i="10"/>
  <c r="O196" i="10"/>
  <c r="O143" i="10"/>
  <c r="O31" i="10"/>
  <c r="O169" i="10"/>
  <c r="O148" i="10"/>
  <c r="O117" i="10"/>
  <c r="O89" i="10"/>
  <c r="O81" i="10"/>
  <c r="O201" i="10"/>
  <c r="O160" i="10"/>
  <c r="O115" i="10"/>
  <c r="O109" i="10"/>
  <c r="O70" i="10"/>
  <c r="O108" i="10"/>
  <c r="O74" i="10"/>
  <c r="O159" i="10"/>
  <c r="O107" i="10"/>
  <c r="O75" i="10"/>
  <c r="O44" i="10"/>
  <c r="O182" i="10"/>
  <c r="O154" i="10"/>
  <c r="O106" i="10"/>
  <c r="O67" i="10"/>
  <c r="O51" i="10"/>
  <c r="O69" i="10"/>
  <c r="O42" i="10"/>
  <c r="O167" i="10"/>
  <c r="O173" i="10"/>
  <c r="O111" i="10"/>
  <c r="O116" i="10"/>
  <c r="O100" i="10"/>
  <c r="O118" i="10"/>
  <c r="O55" i="10"/>
  <c r="O34" i="10"/>
  <c r="O181" i="10"/>
  <c r="O146" i="10"/>
  <c r="O161" i="10"/>
  <c r="O124" i="10"/>
  <c r="O91" i="10"/>
  <c r="O92" i="10"/>
  <c r="O33" i="10"/>
  <c r="O190" i="10"/>
  <c r="O179" i="10"/>
  <c r="O145" i="10"/>
  <c r="O156" i="10"/>
  <c r="O110" i="10"/>
  <c r="O102" i="10"/>
  <c r="O136" i="10"/>
  <c r="O137" i="10"/>
  <c r="O88" i="10"/>
  <c r="O85" i="10"/>
  <c r="O63" i="10"/>
  <c r="O46" i="10"/>
  <c r="O202" i="10"/>
  <c r="O189" i="10"/>
  <c r="O133" i="10"/>
  <c r="O149" i="10"/>
  <c r="O164" i="10"/>
  <c r="O84" i="10"/>
  <c r="O52" i="10"/>
  <c r="O37" i="10"/>
  <c r="O194" i="10"/>
  <c r="O197" i="10"/>
  <c r="O121" i="10"/>
  <c r="O130" i="10"/>
  <c r="O29" i="10"/>
  <c r="O171" i="10"/>
  <c r="O144" i="10"/>
  <c r="O113" i="10"/>
  <c r="O83" i="10"/>
  <c r="O21" i="10"/>
  <c r="O178" i="10"/>
  <c r="O168" i="10"/>
  <c r="O151" i="10"/>
  <c r="O157" i="10"/>
  <c r="O112" i="10"/>
  <c r="O87" i="10"/>
  <c r="O80" i="10"/>
  <c r="O40" i="10"/>
  <c r="O158" i="10"/>
  <c r="O135" i="10"/>
  <c r="O98" i="10"/>
  <c r="O86" i="10"/>
  <c r="O62" i="10"/>
  <c r="O192" i="10"/>
  <c r="O65" i="10"/>
  <c r="O82" i="10"/>
  <c r="O54" i="10"/>
  <c r="O32" i="10"/>
  <c r="O22" i="10"/>
  <c r="O24" i="10"/>
  <c r="O18" i="10"/>
  <c r="O17" i="10"/>
  <c r="U46" i="21"/>
  <c r="U47" i="21" s="1"/>
  <c r="U48" i="21" s="1"/>
  <c r="U43" i="21"/>
  <c r="U39" i="21"/>
  <c r="U53" i="21"/>
  <c r="U54" i="21" s="1"/>
  <c r="AM103" i="10"/>
  <c r="AM183" i="10"/>
  <c r="AM94" i="10"/>
  <c r="AM200" i="10"/>
  <c r="AM180" i="10"/>
  <c r="AG9" i="10"/>
  <c r="AC62" i="9" s="1"/>
  <c r="AC68" i="9" s="1"/>
  <c r="AC4" i="8" s="1"/>
  <c r="AF114" i="10"/>
  <c r="AF185" i="10"/>
  <c r="AF163" i="10"/>
  <c r="AF183" i="10"/>
  <c r="AF95" i="10"/>
  <c r="AR23" i="10"/>
  <c r="AR18" i="10"/>
  <c r="AR21" i="10"/>
  <c r="AR29" i="10"/>
  <c r="AR17" i="10"/>
  <c r="AR22" i="10"/>
  <c r="AR34" i="10"/>
  <c r="AR156" i="10"/>
  <c r="AR157" i="10"/>
  <c r="AR113" i="10"/>
  <c r="AR63" i="10"/>
  <c r="AR74" i="10"/>
  <c r="AR42" i="10"/>
  <c r="AR124" i="10"/>
  <c r="AR80" i="10"/>
  <c r="AR91" i="10"/>
  <c r="AR40" i="10"/>
  <c r="AR196" i="10"/>
  <c r="AR161" i="10"/>
  <c r="AR168" i="10"/>
  <c r="AR69" i="10"/>
  <c r="AR100" i="10"/>
  <c r="AR201" i="10"/>
  <c r="AR159" i="10"/>
  <c r="AR121" i="10"/>
  <c r="AR65" i="10"/>
  <c r="AR67" i="10"/>
  <c r="AR46" i="10"/>
  <c r="AR167" i="10"/>
  <c r="AR169" i="10"/>
  <c r="AR135" i="10"/>
  <c r="AR98" i="10"/>
  <c r="AR70" i="10"/>
  <c r="AR51" i="10"/>
  <c r="AR81" i="10"/>
  <c r="AR52" i="10"/>
  <c r="AR117" i="10"/>
  <c r="AR118" i="10"/>
  <c r="AR182" i="10"/>
  <c r="AR151" i="10"/>
  <c r="AR109" i="10"/>
  <c r="AR146" i="10"/>
  <c r="AR116" i="10"/>
  <c r="AR92" i="10"/>
  <c r="AR82" i="10"/>
  <c r="AR85" i="10"/>
  <c r="AR173" i="10"/>
  <c r="AR179" i="10"/>
  <c r="AR148" i="10"/>
  <c r="AR143" i="10"/>
  <c r="AR144" i="10"/>
  <c r="AR62" i="10"/>
  <c r="AR84" i="10"/>
  <c r="AR197" i="10"/>
  <c r="AR171" i="10"/>
  <c r="AR137" i="10"/>
  <c r="AR75" i="10"/>
  <c r="AR31" i="10"/>
  <c r="AR189" i="10"/>
  <c r="AR192" i="10"/>
  <c r="AR130" i="10"/>
  <c r="AR108" i="10"/>
  <c r="AR110" i="10"/>
  <c r="AR89" i="10"/>
  <c r="AR37" i="10"/>
  <c r="AR54" i="10"/>
  <c r="AR181" i="10"/>
  <c r="AR190" i="10"/>
  <c r="AR133" i="10"/>
  <c r="AR107" i="10"/>
  <c r="AR112" i="10"/>
  <c r="AR202" i="10"/>
  <c r="AR102" i="10"/>
  <c r="AR106" i="10"/>
  <c r="AR32" i="10"/>
  <c r="AR194" i="10"/>
  <c r="AR136" i="10"/>
  <c r="AR83" i="10"/>
  <c r="AR24" i="10"/>
  <c r="AR160" i="10"/>
  <c r="AR145" i="10"/>
  <c r="AR86" i="10"/>
  <c r="AR88" i="10"/>
  <c r="AR16" i="10"/>
  <c r="AR178" i="10"/>
  <c r="AR154" i="10"/>
  <c r="AR111" i="10"/>
  <c r="AR87" i="10"/>
  <c r="AR41" i="10"/>
  <c r="AR55" i="10"/>
  <c r="AR30" i="10"/>
  <c r="AR164" i="10"/>
  <c r="AR149" i="10"/>
  <c r="AR158" i="10"/>
  <c r="AR115" i="10"/>
  <c r="AR33" i="10"/>
  <c r="AR44" i="10"/>
  <c r="AR19" i="10"/>
  <c r="N63" i="10"/>
  <c r="N30" i="10"/>
  <c r="N16" i="10"/>
  <c r="N27" i="10"/>
  <c r="N182" i="10"/>
  <c r="N144" i="10"/>
  <c r="N121" i="10"/>
  <c r="N91" i="10"/>
  <c r="N21" i="10"/>
  <c r="N40" i="10"/>
  <c r="N178" i="10"/>
  <c r="N189" i="10"/>
  <c r="N197" i="10"/>
  <c r="N83" i="10"/>
  <c r="N88" i="10"/>
  <c r="N19" i="10"/>
  <c r="N161" i="10"/>
  <c r="N148" i="10"/>
  <c r="N80" i="10"/>
  <c r="N87" i="10"/>
  <c r="N41" i="10"/>
  <c r="N146" i="10"/>
  <c r="N160" i="10"/>
  <c r="N86" i="10"/>
  <c r="N81" i="10"/>
  <c r="N31" i="10"/>
  <c r="N157" i="10"/>
  <c r="N136" i="10"/>
  <c r="N112" i="10"/>
  <c r="N100" i="10"/>
  <c r="N196" i="10"/>
  <c r="N168" i="10"/>
  <c r="N171" i="10"/>
  <c r="N158" i="10"/>
  <c r="N108" i="10"/>
  <c r="N92" i="10"/>
  <c r="N201" i="10"/>
  <c r="N98" i="10"/>
  <c r="N69" i="10"/>
  <c r="N44" i="10"/>
  <c r="N106" i="10"/>
  <c r="N130" i="10"/>
  <c r="N70" i="10"/>
  <c r="N54" i="10"/>
  <c r="N67" i="10"/>
  <c r="N42" i="10"/>
  <c r="N169" i="10"/>
  <c r="N159" i="10"/>
  <c r="N62" i="10"/>
  <c r="N46" i="10"/>
  <c r="N55" i="10"/>
  <c r="N133" i="10"/>
  <c r="N145" i="10"/>
  <c r="N117" i="10"/>
  <c r="N89" i="10"/>
  <c r="N34" i="10"/>
  <c r="N192" i="10"/>
  <c r="N143" i="10"/>
  <c r="N115" i="10"/>
  <c r="N75" i="10"/>
  <c r="N65" i="10"/>
  <c r="N33" i="10"/>
  <c r="N181" i="10"/>
  <c r="N173" i="10"/>
  <c r="N156" i="10"/>
  <c r="N124" i="10"/>
  <c r="N113" i="10"/>
  <c r="N102" i="10"/>
  <c r="N179" i="10"/>
  <c r="N167" i="10"/>
  <c r="N202" i="10"/>
  <c r="N190" i="10"/>
  <c r="N164" i="10"/>
  <c r="N137" i="10"/>
  <c r="N118" i="10"/>
  <c r="N110" i="10"/>
  <c r="N84" i="10"/>
  <c r="N82" i="10"/>
  <c r="N194" i="10"/>
  <c r="N154" i="10"/>
  <c r="N151" i="10"/>
  <c r="N149" i="10"/>
  <c r="N109" i="10"/>
  <c r="N29" i="10"/>
  <c r="N135" i="10"/>
  <c r="N116" i="10"/>
  <c r="N111" i="10"/>
  <c r="N107" i="10"/>
  <c r="N85" i="10"/>
  <c r="N74" i="10"/>
  <c r="N52" i="10"/>
  <c r="N51" i="10"/>
  <c r="N32" i="10"/>
  <c r="N37" i="10"/>
  <c r="N22" i="10"/>
  <c r="N24" i="10"/>
  <c r="N18" i="10"/>
  <c r="N17" i="10"/>
  <c r="AM152" i="10"/>
  <c r="AM132" i="10"/>
  <c r="AM131" i="10"/>
  <c r="AM187" i="10"/>
  <c r="AM28" i="10"/>
  <c r="AF176" i="10"/>
  <c r="AF28" i="10"/>
  <c r="AF170" i="10"/>
  <c r="AF39" i="10"/>
  <c r="AF132" i="10"/>
  <c r="N26" i="10"/>
  <c r="AM165" i="10"/>
  <c r="AM123" i="10"/>
  <c r="AM175" i="10"/>
  <c r="AM50" i="10"/>
  <c r="AM53" i="10"/>
  <c r="AG8" i="10"/>
  <c r="AC47" i="9" s="1"/>
  <c r="AC51" i="9" s="1"/>
  <c r="AC64" i="9" s="1"/>
  <c r="AC74" i="9" s="1"/>
  <c r="AC3" i="20" s="1"/>
  <c r="AA4" i="21"/>
  <c r="AE4" i="22"/>
  <c r="AI8" i="10"/>
  <c r="AF175" i="10"/>
  <c r="AF66" i="10"/>
  <c r="AF187" i="10"/>
  <c r="AF49" i="10"/>
  <c r="AF177" i="10"/>
  <c r="AD10" i="10"/>
  <c r="Z53" i="9" s="1"/>
  <c r="Z60" i="9" s="1"/>
  <c r="Z66" i="9" s="1"/>
  <c r="Z5" i="20" s="1"/>
  <c r="AM176" i="10"/>
  <c r="AM185" i="10"/>
  <c r="AM170" i="10"/>
  <c r="AM36" i="10"/>
  <c r="AM23" i="10"/>
  <c r="AG10" i="10"/>
  <c r="AC53" i="9" s="1"/>
  <c r="AC60" i="9" s="1"/>
  <c r="AC66" i="9" s="1"/>
  <c r="AF25" i="10"/>
  <c r="AF139" i="10"/>
  <c r="AF180" i="10"/>
  <c r="AF56" i="10"/>
  <c r="AF186" i="10"/>
  <c r="N25" i="10"/>
  <c r="N20" i="10"/>
  <c r="N186" i="10"/>
  <c r="N172" i="10"/>
  <c r="N105" i="10"/>
  <c r="N97" i="10"/>
  <c r="N96" i="10"/>
  <c r="N165" i="10"/>
  <c r="N139" i="10"/>
  <c r="N138" i="10"/>
  <c r="N56" i="10"/>
  <c r="N47" i="10"/>
  <c r="N39" i="10"/>
  <c r="N199" i="10"/>
  <c r="N175" i="10"/>
  <c r="N126" i="10"/>
  <c r="N125" i="10"/>
  <c r="N53" i="10"/>
  <c r="N191" i="10"/>
  <c r="N153" i="10"/>
  <c r="N155" i="10"/>
  <c r="N127" i="10"/>
  <c r="N68" i="10"/>
  <c r="N183" i="10"/>
  <c r="N185" i="10"/>
  <c r="N174" i="10"/>
  <c r="N60" i="10"/>
  <c r="N50" i="10"/>
  <c r="N188" i="10"/>
  <c r="N176" i="10"/>
  <c r="N122" i="10"/>
  <c r="N123" i="10"/>
  <c r="N93" i="10"/>
  <c r="N73" i="10"/>
  <c r="N57" i="10"/>
  <c r="N163" i="10"/>
  <c r="N152" i="10"/>
  <c r="N114" i="10"/>
  <c r="N162" i="10"/>
  <c r="N95" i="10"/>
  <c r="N90" i="10"/>
  <c r="N193" i="10"/>
  <c r="N180" i="10"/>
  <c r="N166" i="10"/>
  <c r="N119" i="10"/>
  <c r="N198" i="10"/>
  <c r="N195" i="10"/>
  <c r="N129" i="10"/>
  <c r="N103" i="10"/>
  <c r="N35" i="10"/>
  <c r="N200" i="10"/>
  <c r="N177" i="10"/>
  <c r="N128" i="10"/>
  <c r="N104" i="10"/>
  <c r="N38" i="10"/>
  <c r="N187" i="10"/>
  <c r="N150" i="10"/>
  <c r="N132" i="10"/>
  <c r="N59" i="10"/>
  <c r="N131" i="10"/>
  <c r="N66" i="10"/>
  <c r="N71" i="10"/>
  <c r="N170" i="10"/>
  <c r="N147" i="10"/>
  <c r="N61" i="10"/>
  <c r="N43" i="10"/>
  <c r="N184" i="10"/>
  <c r="N99" i="10"/>
  <c r="N72" i="10"/>
  <c r="N48" i="10"/>
  <c r="N49" i="10"/>
  <c r="N134" i="10"/>
  <c r="N120" i="10"/>
  <c r="N101" i="10"/>
  <c r="N94" i="10"/>
  <c r="N64" i="10"/>
  <c r="N23" i="10"/>
  <c r="N28" i="10"/>
  <c r="N58" i="10"/>
  <c r="N36" i="10"/>
  <c r="N45" i="10"/>
  <c r="Y9" i="10"/>
  <c r="AM38" i="10"/>
  <c r="AM35" i="10"/>
  <c r="AM43" i="10"/>
  <c r="AM73" i="10"/>
  <c r="AM48" i="10"/>
  <c r="AF50" i="10"/>
  <c r="AF172" i="10"/>
  <c r="AF57" i="10"/>
  <c r="AF191" i="10"/>
  <c r="AF24" i="10"/>
  <c r="AF29" i="10"/>
  <c r="AF16" i="10"/>
  <c r="AF42" i="10"/>
  <c r="AF19" i="10"/>
  <c r="AF161" i="10"/>
  <c r="AF111" i="10"/>
  <c r="AF83" i="10"/>
  <c r="AF55" i="10"/>
  <c r="AF30" i="10"/>
  <c r="AF197" i="10"/>
  <c r="AF173" i="10"/>
  <c r="AF154" i="10"/>
  <c r="AF169" i="10"/>
  <c r="AF100" i="10"/>
  <c r="AF91" i="10"/>
  <c r="AF102" i="10"/>
  <c r="AF92" i="10"/>
  <c r="AF54" i="10"/>
  <c r="AF192" i="10"/>
  <c r="AF182" i="10"/>
  <c r="AF144" i="10"/>
  <c r="AF146" i="10"/>
  <c r="AF52" i="10"/>
  <c r="AF46" i="10"/>
  <c r="AF181" i="10"/>
  <c r="AF135" i="10"/>
  <c r="AF121" i="10"/>
  <c r="AF117" i="10"/>
  <c r="AF69" i="10"/>
  <c r="AF40" i="10"/>
  <c r="AF202" i="10"/>
  <c r="AF179" i="10"/>
  <c r="AF164" i="10"/>
  <c r="AF113" i="10"/>
  <c r="AF88" i="10"/>
  <c r="AF115" i="10"/>
  <c r="AF87" i="10"/>
  <c r="AF44" i="10"/>
  <c r="AF171" i="10"/>
  <c r="AF149" i="10"/>
  <c r="AF80" i="10"/>
  <c r="AF110" i="10"/>
  <c r="AF86" i="10"/>
  <c r="AF196" i="10"/>
  <c r="AF143" i="10"/>
  <c r="AF160" i="10"/>
  <c r="AF124" i="10"/>
  <c r="AF109" i="10"/>
  <c r="AF82" i="10"/>
  <c r="AF18" i="10"/>
  <c r="AF32" i="10"/>
  <c r="AF158" i="10"/>
  <c r="AF156" i="10"/>
  <c r="AF137" i="10"/>
  <c r="AF118" i="10"/>
  <c r="AF106" i="10"/>
  <c r="AF70" i="10"/>
  <c r="AF65" i="10"/>
  <c r="AF107" i="10"/>
  <c r="AF201" i="10"/>
  <c r="AF151" i="10"/>
  <c r="AF108" i="10"/>
  <c r="AF41" i="10"/>
  <c r="AF178" i="10"/>
  <c r="AF148" i="10"/>
  <c r="AF116" i="10"/>
  <c r="AF75" i="10"/>
  <c r="AF63" i="10"/>
  <c r="AF22" i="10"/>
  <c r="AF168" i="10"/>
  <c r="AF98" i="10"/>
  <c r="AF67" i="10"/>
  <c r="AF51" i="10"/>
  <c r="AF189" i="10"/>
  <c r="AF157" i="10"/>
  <c r="AF133" i="10"/>
  <c r="AF159" i="10"/>
  <c r="AF130" i="10"/>
  <c r="AF74" i="10"/>
  <c r="AF167" i="10"/>
  <c r="AF190" i="10"/>
  <c r="AF145" i="10"/>
  <c r="AF112" i="10"/>
  <c r="AF85" i="10"/>
  <c r="AF89" i="10"/>
  <c r="AF34" i="10"/>
  <c r="AF194" i="10"/>
  <c r="AF136" i="10"/>
  <c r="AF84" i="10"/>
  <c r="AF62" i="10"/>
  <c r="AF33" i="10"/>
  <c r="AF31" i="10"/>
  <c r="AF21" i="10"/>
  <c r="AF81" i="10"/>
  <c r="AF37" i="10"/>
  <c r="AF27" i="10"/>
  <c r="X8" i="10"/>
  <c r="AM90" i="10"/>
  <c r="AM99" i="10"/>
  <c r="AM93" i="10"/>
  <c r="AM97" i="10"/>
  <c r="AM20" i="10"/>
  <c r="AL9" i="10"/>
  <c r="AH62" i="9" s="1"/>
  <c r="AH68" i="9" s="1"/>
  <c r="AH4" i="8" s="1"/>
  <c r="AF59" i="10"/>
  <c r="AF43" i="10"/>
  <c r="AF193" i="10"/>
  <c r="AF73" i="10"/>
  <c r="AF60" i="10"/>
  <c r="AF20" i="10"/>
  <c r="AE34" i="10"/>
  <c r="AE17" i="10"/>
  <c r="AE19" i="10"/>
  <c r="AE33" i="10"/>
  <c r="AE24" i="10"/>
  <c r="AE202" i="10"/>
  <c r="AE135" i="10"/>
  <c r="AE118" i="10"/>
  <c r="AE110" i="10"/>
  <c r="AE91" i="10"/>
  <c r="AE102" i="10"/>
  <c r="AE29" i="10"/>
  <c r="AE194" i="10"/>
  <c r="AE154" i="10"/>
  <c r="AE156" i="10"/>
  <c r="AE109" i="10"/>
  <c r="AE21" i="10"/>
  <c r="AE54" i="10"/>
  <c r="AE197" i="10"/>
  <c r="AE164" i="10"/>
  <c r="AE151" i="10"/>
  <c r="AE143" i="10"/>
  <c r="AE178" i="10"/>
  <c r="AE192" i="10"/>
  <c r="AE161" i="10"/>
  <c r="AE116" i="10"/>
  <c r="AE92" i="10"/>
  <c r="AE87" i="10"/>
  <c r="AE137" i="10"/>
  <c r="AE98" i="10"/>
  <c r="AE80" i="10"/>
  <c r="AE106" i="10"/>
  <c r="AE86" i="10"/>
  <c r="AE107" i="10"/>
  <c r="AE196" i="10"/>
  <c r="AE158" i="10"/>
  <c r="AE149" i="10"/>
  <c r="AE65" i="10"/>
  <c r="AE108" i="10"/>
  <c r="AE31" i="10"/>
  <c r="AE112" i="10"/>
  <c r="AE89" i="10"/>
  <c r="AE70" i="10"/>
  <c r="AE30" i="10"/>
  <c r="AE201" i="10"/>
  <c r="AE168" i="10"/>
  <c r="AE179" i="10"/>
  <c r="AE81" i="10"/>
  <c r="AE41" i="10"/>
  <c r="AE160" i="10"/>
  <c r="AE171" i="10"/>
  <c r="AE111" i="10"/>
  <c r="AE75" i="10"/>
  <c r="AE63" i="10"/>
  <c r="AE22" i="10"/>
  <c r="AE189" i="10"/>
  <c r="AE148" i="10"/>
  <c r="AE100" i="10"/>
  <c r="AE67" i="10"/>
  <c r="AE51" i="10"/>
  <c r="AE182" i="10"/>
  <c r="AE74" i="10"/>
  <c r="AE190" i="10"/>
  <c r="AE157" i="10"/>
  <c r="AE145" i="10"/>
  <c r="AE88" i="10"/>
  <c r="AE82" i="10"/>
  <c r="AE52" i="10"/>
  <c r="AE169" i="10"/>
  <c r="AE133" i="10"/>
  <c r="AE146" i="10"/>
  <c r="AE136" i="10"/>
  <c r="AE85" i="10"/>
  <c r="AE62" i="10"/>
  <c r="AE44" i="10"/>
  <c r="AE167" i="10"/>
  <c r="AE159" i="10"/>
  <c r="AE121" i="10"/>
  <c r="AE130" i="10"/>
  <c r="AE117" i="10"/>
  <c r="AE84" i="10"/>
  <c r="AE55" i="10"/>
  <c r="AE42" i="10"/>
  <c r="AE181" i="10"/>
  <c r="AE173" i="10"/>
  <c r="AE144" i="10"/>
  <c r="AE113" i="10"/>
  <c r="AE124" i="10"/>
  <c r="AE115" i="10"/>
  <c r="AE83" i="10"/>
  <c r="AE69" i="10"/>
  <c r="AE37" i="10"/>
  <c r="AE18" i="10"/>
  <c r="AE27" i="10"/>
  <c r="AE46" i="10"/>
  <c r="AE16" i="10"/>
  <c r="AE32" i="10"/>
  <c r="AE40" i="10"/>
  <c r="AM60" i="10"/>
  <c r="AM126" i="10"/>
  <c r="AM150" i="10"/>
  <c r="AM114" i="10"/>
  <c r="AM61" i="10"/>
  <c r="AM26" i="10"/>
  <c r="AF103" i="10"/>
  <c r="AF72" i="10"/>
  <c r="AF68" i="10"/>
  <c r="AF152" i="10"/>
  <c r="AF101" i="10"/>
  <c r="AF23" i="10"/>
  <c r="X9" i="10"/>
  <c r="AM47" i="10"/>
  <c r="AM147" i="10"/>
  <c r="AM166" i="10"/>
  <c r="AM122" i="10"/>
  <c r="AM119" i="10"/>
  <c r="AM45" i="10"/>
  <c r="AF128" i="10"/>
  <c r="AF90" i="10"/>
  <c r="AF99" i="10"/>
  <c r="AF188" i="10"/>
  <c r="AF96" i="10"/>
  <c r="AJ8" i="10"/>
  <c r="AF47" i="9" s="1"/>
  <c r="AF51" i="9" s="1"/>
  <c r="AF64" i="9" s="1"/>
  <c r="AQ325" i="7"/>
  <c r="T4" i="21"/>
  <c r="T46" i="21" s="1"/>
  <c r="X4" i="22"/>
  <c r="O25" i="10"/>
  <c r="O48" i="10"/>
  <c r="O26" i="10"/>
  <c r="O180" i="10"/>
  <c r="O166" i="10"/>
  <c r="O134" i="10"/>
  <c r="O103" i="10"/>
  <c r="O57" i="10"/>
  <c r="O99" i="10"/>
  <c r="O45" i="10"/>
  <c r="O188" i="10"/>
  <c r="O185" i="10"/>
  <c r="O123" i="10"/>
  <c r="O101" i="10"/>
  <c r="O23" i="10"/>
  <c r="O165" i="10"/>
  <c r="O155" i="10"/>
  <c r="O138" i="10"/>
  <c r="O94" i="10"/>
  <c r="O28" i="10"/>
  <c r="O193" i="10"/>
  <c r="O177" i="10"/>
  <c r="O162" i="10"/>
  <c r="O170" i="10"/>
  <c r="O128" i="10"/>
  <c r="O93" i="10"/>
  <c r="O59" i="10"/>
  <c r="O95" i="10"/>
  <c r="O198" i="10"/>
  <c r="O187" i="10"/>
  <c r="O127" i="10"/>
  <c r="O131" i="10"/>
  <c r="O58" i="10"/>
  <c r="O72" i="10"/>
  <c r="O175" i="10"/>
  <c r="O119" i="10"/>
  <c r="O125" i="10"/>
  <c r="O150" i="10"/>
  <c r="O43" i="10"/>
  <c r="O172" i="10"/>
  <c r="O104" i="10"/>
  <c r="O35" i="10"/>
  <c r="O96" i="10"/>
  <c r="O68" i="10"/>
  <c r="O71" i="10"/>
  <c r="O50" i="10"/>
  <c r="O184" i="10"/>
  <c r="O183" i="10"/>
  <c r="O122" i="10"/>
  <c r="O66" i="10"/>
  <c r="O174" i="10"/>
  <c r="O132" i="10"/>
  <c r="O64" i="10"/>
  <c r="O195" i="10"/>
  <c r="O147" i="10"/>
  <c r="O129" i="10"/>
  <c r="O97" i="10"/>
  <c r="O61" i="10"/>
  <c r="O36" i="10"/>
  <c r="O186" i="10"/>
  <c r="O200" i="10"/>
  <c r="O114" i="10"/>
  <c r="O105" i="10"/>
  <c r="O60" i="10"/>
  <c r="O49" i="10"/>
  <c r="O176" i="10"/>
  <c r="O120" i="10"/>
  <c r="O56" i="10"/>
  <c r="O199" i="10"/>
  <c r="O163" i="10"/>
  <c r="O139" i="10"/>
  <c r="O73" i="10"/>
  <c r="O47" i="10"/>
  <c r="O39" i="10"/>
  <c r="O191" i="10"/>
  <c r="O152" i="10"/>
  <c r="O153" i="10"/>
  <c r="O126" i="10"/>
  <c r="O90" i="10"/>
  <c r="O53" i="10"/>
  <c r="O38" i="10"/>
  <c r="AM139" i="10"/>
  <c r="AM57" i="10"/>
  <c r="AM191" i="10"/>
  <c r="AM177" i="10"/>
  <c r="AM155" i="10"/>
  <c r="AF119" i="10"/>
  <c r="AF150" i="10"/>
  <c r="AF120" i="10"/>
  <c r="AF45" i="10"/>
  <c r="AF200" i="10"/>
  <c r="AD8" i="10"/>
  <c r="Z47" i="9" s="1"/>
  <c r="Z51" i="9" s="1"/>
  <c r="Z64" i="9" s="1"/>
  <c r="AM138" i="10"/>
  <c r="AM96" i="10"/>
  <c r="AM68" i="10"/>
  <c r="AM59" i="10"/>
  <c r="AM195" i="10"/>
  <c r="AF165" i="10"/>
  <c r="AF155" i="10"/>
  <c r="AF162" i="10"/>
  <c r="AF138" i="10"/>
  <c r="AF199" i="10"/>
  <c r="AQ347" i="7"/>
  <c r="AD9" i="10"/>
  <c r="Z62" i="9" s="1"/>
  <c r="Z68" i="9" s="1"/>
  <c r="Z71" i="9" s="1"/>
  <c r="AM72" i="10"/>
  <c r="AM184" i="10"/>
  <c r="AM49" i="10"/>
  <c r="AM39" i="10"/>
  <c r="AM105" i="10"/>
  <c r="AI9" i="10"/>
  <c r="AF71" i="10"/>
  <c r="AF198" i="10"/>
  <c r="AF195" i="10"/>
  <c r="AF166" i="10"/>
  <c r="AF61" i="10"/>
  <c r="AJ10" i="10"/>
  <c r="AF53" i="9" s="1"/>
  <c r="AF60" i="9" s="1"/>
  <c r="AF66" i="9" s="1"/>
  <c r="AF5" i="20" s="1"/>
  <c r="AR45" i="7"/>
  <c r="O20" i="10"/>
  <c r="AM66" i="10"/>
  <c r="AM172" i="10"/>
  <c r="AM71" i="10"/>
  <c r="AM101" i="10"/>
  <c r="AM128" i="10"/>
  <c r="AL8" i="10"/>
  <c r="AH47" i="9" s="1"/>
  <c r="AH51" i="9" s="1"/>
  <c r="AH64" i="9" s="1"/>
  <c r="AF129" i="10"/>
  <c r="AF47" i="10"/>
  <c r="AF184" i="10"/>
  <c r="AF38" i="10"/>
  <c r="AF105" i="10"/>
  <c r="AP69" i="14"/>
  <c r="AP86" i="14" s="1"/>
  <c r="AP87" i="14" s="1"/>
  <c r="AP88" i="14" s="1"/>
  <c r="AT227" i="22"/>
  <c r="AP80" i="21" s="1"/>
  <c r="AT220" i="22"/>
  <c r="AT218" i="22"/>
  <c r="AT216" i="22"/>
  <c r="AT212" i="22"/>
  <c r="AT210" i="22"/>
  <c r="AT224" i="22"/>
  <c r="AT209" i="22"/>
  <c r="AT204" i="22"/>
  <c r="AT196" i="22"/>
  <c r="AT215" i="22"/>
  <c r="AT205" i="22"/>
  <c r="AT206" i="22"/>
  <c r="AT195" i="22"/>
  <c r="AT193" i="22"/>
  <c r="AT198" i="22"/>
  <c r="AT217" i="22"/>
  <c r="AT207" i="22"/>
  <c r="AT199" i="22"/>
  <c r="AT219" i="22"/>
  <c r="AT190" i="22"/>
  <c r="AT203" i="22"/>
  <c r="AT183" i="22"/>
  <c r="AT181" i="22"/>
  <c r="AT179" i="22"/>
  <c r="AT177" i="22"/>
  <c r="AT175" i="22"/>
  <c r="AT173" i="22"/>
  <c r="AT223" i="22"/>
  <c r="AT208" i="22"/>
  <c r="AT211" i="22"/>
  <c r="AT188" i="22"/>
  <c r="AT187" i="22"/>
  <c r="AT197" i="22"/>
  <c r="AT189" i="22"/>
  <c r="AT186" i="22"/>
  <c r="AT185" i="22"/>
  <c r="AT191" i="22"/>
  <c r="AT192" i="22"/>
  <c r="AT194" i="22"/>
  <c r="AT200" i="22"/>
  <c r="AT178" i="22"/>
  <c r="AT168" i="22"/>
  <c r="AT166" i="22"/>
  <c r="AT164" i="22"/>
  <c r="AT176" i="22"/>
  <c r="AT180" i="22"/>
  <c r="AT174" i="22"/>
  <c r="AT182" i="22"/>
  <c r="AT154" i="22"/>
  <c r="AT152" i="22"/>
  <c r="AT150" i="22"/>
  <c r="AT144" i="22"/>
  <c r="AT142" i="22"/>
  <c r="AT138" i="22"/>
  <c r="AT136" i="22"/>
  <c r="AT184" i="22"/>
  <c r="AT172" i="22"/>
  <c r="AT170" i="22"/>
  <c r="AT167" i="22"/>
  <c r="AT158" i="22"/>
  <c r="AT171" i="22"/>
  <c r="AT169" i="22"/>
  <c r="AT161" i="22"/>
  <c r="AT165" i="22"/>
  <c r="AT162" i="22"/>
  <c r="AT163" i="22"/>
  <c r="AT135" i="22"/>
  <c r="AT137" i="22"/>
  <c r="AT157" i="22"/>
  <c r="AT153" i="22"/>
  <c r="AT151" i="22"/>
  <c r="AT122" i="22"/>
  <c r="AT121" i="22"/>
  <c r="AT120" i="22"/>
  <c r="AT119" i="22"/>
  <c r="AT113" i="22"/>
  <c r="AT111" i="22"/>
  <c r="AT107" i="22"/>
  <c r="AT105" i="22"/>
  <c r="AT103" i="22"/>
  <c r="AT130" i="22"/>
  <c r="AT128" i="22"/>
  <c r="AT124" i="22"/>
  <c r="AT118" i="22"/>
  <c r="AT134" i="22"/>
  <c r="AT133" i="22"/>
  <c r="AT129" i="22"/>
  <c r="AT117" i="22"/>
  <c r="AT116" i="22"/>
  <c r="AT115" i="22"/>
  <c r="AT143" i="22"/>
  <c r="AT139" i="22"/>
  <c r="AT127" i="22"/>
  <c r="AT147" i="22"/>
  <c r="AP65" i="21" s="1"/>
  <c r="AT126" i="22"/>
  <c r="AT125" i="22"/>
  <c r="AT123" i="22"/>
  <c r="AT101" i="22"/>
  <c r="AT94" i="22"/>
  <c r="AT102" i="22"/>
  <c r="AT97" i="22"/>
  <c r="AT93" i="22"/>
  <c r="AT91" i="22"/>
  <c r="AT89" i="22"/>
  <c r="AT87" i="22"/>
  <c r="AT85" i="22"/>
  <c r="AT83" i="22"/>
  <c r="AT81" i="22"/>
  <c r="AT106" i="22"/>
  <c r="AT100" i="22"/>
  <c r="AT114" i="22"/>
  <c r="AT108" i="22"/>
  <c r="AT112" i="22"/>
  <c r="AT98" i="22"/>
  <c r="AT71" i="22"/>
  <c r="AT69" i="22"/>
  <c r="AT67" i="22"/>
  <c r="AT65" i="22"/>
  <c r="AT63" i="22"/>
  <c r="AT61" i="22"/>
  <c r="AT59" i="22"/>
  <c r="AT104" i="22"/>
  <c r="AT88" i="22"/>
  <c r="AT78" i="22"/>
  <c r="AT82" i="22"/>
  <c r="AT77" i="22"/>
  <c r="AT84" i="22"/>
  <c r="AT95" i="22"/>
  <c r="AT92" i="22"/>
  <c r="AT96" i="22"/>
  <c r="AT86" i="22"/>
  <c r="AT60" i="22"/>
  <c r="AT58" i="22"/>
  <c r="AT79" i="22"/>
  <c r="AT70" i="22"/>
  <c r="AT72" i="22"/>
  <c r="AT68" i="22"/>
  <c r="AT57" i="22"/>
  <c r="AT99" i="22"/>
  <c r="AT66" i="22"/>
  <c r="AT75" i="22"/>
  <c r="AT80" i="22"/>
  <c r="AT54" i="22"/>
  <c r="AT50" i="22"/>
  <c r="AT62" i="22"/>
  <c r="AT55" i="22"/>
  <c r="AT47" i="22"/>
  <c r="AT44" i="22"/>
  <c r="AT40" i="22"/>
  <c r="AT64" i="22"/>
  <c r="AT49" i="22"/>
  <c r="AT90" i="22"/>
  <c r="AT43" i="22"/>
  <c r="AT37" i="22"/>
  <c r="AT35" i="22"/>
  <c r="AT33" i="22"/>
  <c r="AT31" i="22"/>
  <c r="AT29" i="22"/>
  <c r="AT27" i="22"/>
  <c r="AT25" i="22"/>
  <c r="AT45" i="22"/>
  <c r="AT39" i="22"/>
  <c r="AT56" i="22"/>
  <c r="AT51" i="22"/>
  <c r="AT42" i="22"/>
  <c r="AT46" i="22"/>
  <c r="AT41" i="22"/>
  <c r="AT38" i="22"/>
  <c r="AT18" i="22"/>
  <c r="AT16" i="22"/>
  <c r="AT21" i="22"/>
  <c r="AT28" i="22"/>
  <c r="AT53" i="22"/>
  <c r="AT52" i="22"/>
  <c r="AT23" i="22"/>
  <c r="AT36" i="22"/>
  <c r="AT34" i="22"/>
  <c r="AT76" i="22"/>
  <c r="AT48" i="22"/>
  <c r="AT19" i="22"/>
  <c r="AT15" i="22"/>
  <c r="AT13" i="22"/>
  <c r="AT11" i="22"/>
  <c r="AT9" i="22"/>
  <c r="AT32" i="22"/>
  <c r="AT22" i="22"/>
  <c r="AT24" i="22"/>
  <c r="AT26" i="22"/>
  <c r="AT30" i="22"/>
  <c r="AT20" i="22"/>
  <c r="AT17" i="22"/>
  <c r="AT14" i="22"/>
  <c r="AT12" i="22"/>
  <c r="AT10" i="22"/>
  <c r="AU227" i="22"/>
  <c r="AQ80" i="21" s="1"/>
  <c r="AU220" i="22"/>
  <c r="AU218" i="22"/>
  <c r="AU216" i="22"/>
  <c r="AU212" i="22"/>
  <c r="AU210" i="22"/>
  <c r="AU208" i="22"/>
  <c r="AU224" i="22"/>
  <c r="AU196" i="22"/>
  <c r="AU215" i="22"/>
  <c r="AU205" i="22"/>
  <c r="AU206" i="22"/>
  <c r="AU195" i="22"/>
  <c r="AU193" i="22"/>
  <c r="AU191" i="22"/>
  <c r="AU189" i="22"/>
  <c r="AU198" i="22"/>
  <c r="AU217" i="22"/>
  <c r="AU207" i="22"/>
  <c r="AU223" i="22"/>
  <c r="AU200" i="22"/>
  <c r="AU211" i="22"/>
  <c r="AU209" i="22"/>
  <c r="AU204" i="22"/>
  <c r="AU203" i="22"/>
  <c r="AU183" i="22"/>
  <c r="AU181" i="22"/>
  <c r="AU179" i="22"/>
  <c r="AU177" i="22"/>
  <c r="AU175" i="22"/>
  <c r="AU173" i="22"/>
  <c r="AU171" i="22"/>
  <c r="AU188" i="22"/>
  <c r="AU187" i="22"/>
  <c r="AU197" i="22"/>
  <c r="AU186" i="22"/>
  <c r="AU185" i="22"/>
  <c r="AU192" i="22"/>
  <c r="AU194" i="22"/>
  <c r="AU219" i="22"/>
  <c r="AU199" i="22"/>
  <c r="AU168" i="22"/>
  <c r="AU166" i="22"/>
  <c r="AU164" i="22"/>
  <c r="AU162" i="22"/>
  <c r="AU158" i="22"/>
  <c r="AU190" i="22"/>
  <c r="AU176" i="22"/>
  <c r="AU180" i="22"/>
  <c r="AU170" i="22"/>
  <c r="AU174" i="22"/>
  <c r="AU182" i="22"/>
  <c r="AU184" i="22"/>
  <c r="AU154" i="22"/>
  <c r="AU152" i="22"/>
  <c r="AU150" i="22"/>
  <c r="AU144" i="22"/>
  <c r="AU172" i="22"/>
  <c r="AU167" i="22"/>
  <c r="AU169" i="22"/>
  <c r="AU161" i="22"/>
  <c r="AU157" i="22"/>
  <c r="AU153" i="22"/>
  <c r="AU163" i="22"/>
  <c r="AU142" i="22"/>
  <c r="AU133" i="22"/>
  <c r="AU129" i="22"/>
  <c r="AU127" i="22"/>
  <c r="AU125" i="22"/>
  <c r="AU123" i="22"/>
  <c r="AU121" i="22"/>
  <c r="AU119" i="22"/>
  <c r="AU117" i="22"/>
  <c r="AU115" i="22"/>
  <c r="AU178" i="22"/>
  <c r="AU137" i="22"/>
  <c r="AU165" i="22"/>
  <c r="AU143" i="22"/>
  <c r="AU138" i="22"/>
  <c r="AU134" i="22"/>
  <c r="AU130" i="22"/>
  <c r="AU128" i="22"/>
  <c r="AU126" i="22"/>
  <c r="AU124" i="22"/>
  <c r="AU147" i="22"/>
  <c r="AQ65" i="21" s="1"/>
  <c r="AU151" i="22"/>
  <c r="AU120" i="22"/>
  <c r="AU118" i="22"/>
  <c r="AU116" i="22"/>
  <c r="AU139" i="22"/>
  <c r="AU136" i="22"/>
  <c r="AU122" i="22"/>
  <c r="AU105" i="22"/>
  <c r="AU93" i="22"/>
  <c r="AU91" i="22"/>
  <c r="AU89" i="22"/>
  <c r="AU87" i="22"/>
  <c r="AU85" i="22"/>
  <c r="AU106" i="22"/>
  <c r="AU103" i="22"/>
  <c r="AU100" i="22"/>
  <c r="AU114" i="22"/>
  <c r="AU108" i="22"/>
  <c r="AU96" i="22"/>
  <c r="AU135" i="22"/>
  <c r="AU104" i="22"/>
  <c r="AU99" i="22"/>
  <c r="AU113" i="22"/>
  <c r="AU107" i="22"/>
  <c r="AU111" i="22"/>
  <c r="AU98" i="22"/>
  <c r="AU71" i="22"/>
  <c r="AU69" i="22"/>
  <c r="AU67" i="22"/>
  <c r="AU65" i="22"/>
  <c r="AU63" i="22"/>
  <c r="AU61" i="22"/>
  <c r="AU59" i="22"/>
  <c r="AU75" i="22"/>
  <c r="AU88" i="22"/>
  <c r="AU102" i="22"/>
  <c r="AU97" i="22"/>
  <c r="AU101" i="22"/>
  <c r="AU112" i="22"/>
  <c r="AU83" i="22"/>
  <c r="AU82" i="22"/>
  <c r="AU77" i="22"/>
  <c r="AU84" i="22"/>
  <c r="AU81" i="22"/>
  <c r="AU72" i="22"/>
  <c r="AU94" i="22"/>
  <c r="AU95" i="22"/>
  <c r="AU92" i="22"/>
  <c r="AU80" i="22"/>
  <c r="AU86" i="22"/>
  <c r="AU90" i="22"/>
  <c r="AU58" i="22"/>
  <c r="AU79" i="22"/>
  <c r="AU70" i="22"/>
  <c r="AU68" i="22"/>
  <c r="AU57" i="22"/>
  <c r="AU55" i="22"/>
  <c r="AU53" i="22"/>
  <c r="AU51" i="22"/>
  <c r="AU49" i="22"/>
  <c r="AU78" i="22"/>
  <c r="AU66" i="22"/>
  <c r="AU76" i="22"/>
  <c r="AU64" i="22"/>
  <c r="AU62" i="22"/>
  <c r="AU60" i="22"/>
  <c r="AU56" i="22"/>
  <c r="AU50" i="22"/>
  <c r="AU47" i="22"/>
  <c r="AU44" i="22"/>
  <c r="AU40" i="22"/>
  <c r="AU43" i="22"/>
  <c r="AU37" i="22"/>
  <c r="AU35" i="22"/>
  <c r="AU33" i="22"/>
  <c r="AU31" i="22"/>
  <c r="AU29" i="22"/>
  <c r="AU27" i="22"/>
  <c r="AU25" i="22"/>
  <c r="AU23" i="22"/>
  <c r="AU21" i="22"/>
  <c r="AU19" i="22"/>
  <c r="AU17" i="22"/>
  <c r="AU45" i="22"/>
  <c r="AU39" i="22"/>
  <c r="AU42" i="22"/>
  <c r="AU52" i="22"/>
  <c r="AU48" i="22"/>
  <c r="AU38" i="22"/>
  <c r="AU36" i="22"/>
  <c r="AU34" i="22"/>
  <c r="AU32" i="22"/>
  <c r="AU30" i="22"/>
  <c r="AU54" i="22"/>
  <c r="AU46" i="22"/>
  <c r="AU41" i="22"/>
  <c r="AU18" i="22"/>
  <c r="AU16" i="22"/>
  <c r="AU15" i="22"/>
  <c r="AU13" i="22"/>
  <c r="AU11" i="22"/>
  <c r="AU9" i="22"/>
  <c r="AU26" i="22"/>
  <c r="AU28" i="22"/>
  <c r="AU22" i="22"/>
  <c r="AU20" i="22"/>
  <c r="AU14" i="22"/>
  <c r="AU12" i="22"/>
  <c r="AU10" i="22"/>
  <c r="AU24" i="22"/>
  <c r="AP8" i="21"/>
  <c r="AP34" i="21" s="1"/>
  <c r="AA9" i="8"/>
  <c r="K56" i="9"/>
  <c r="K57" i="9"/>
  <c r="K48" i="9"/>
  <c r="K58" i="9"/>
  <c r="K54" i="9"/>
  <c r="K59" i="9"/>
  <c r="K49" i="9"/>
  <c r="R21" i="15"/>
  <c r="R5" i="9" s="1"/>
  <c r="J9" i="8"/>
  <c r="AA8" i="8"/>
  <c r="K7" i="8"/>
  <c r="AA54" i="9"/>
  <c r="AA58" i="9"/>
  <c r="AA59" i="9"/>
  <c r="AA49" i="9"/>
  <c r="U36" i="8"/>
  <c r="U39" i="8" s="1"/>
  <c r="J58" i="9"/>
  <c r="J49" i="9"/>
  <c r="J54" i="9"/>
  <c r="J59" i="9"/>
  <c r="AA7" i="8"/>
  <c r="J48" i="9"/>
  <c r="J57" i="9"/>
  <c r="J56" i="9"/>
  <c r="K22" i="15"/>
  <c r="K43" i="15" s="1"/>
  <c r="O4" i="22" s="1"/>
  <c r="J7" i="8"/>
  <c r="J8" i="8"/>
  <c r="K9" i="8"/>
  <c r="R22" i="15"/>
  <c r="R43" i="15" s="1"/>
  <c r="V4" i="22" s="1"/>
  <c r="AA48" i="9"/>
  <c r="AA57" i="9"/>
  <c r="AA56" i="9"/>
  <c r="K8" i="8"/>
  <c r="K21" i="15"/>
  <c r="K5" i="9" s="1"/>
  <c r="AE36" i="8"/>
  <c r="AE39" i="8" s="1"/>
  <c r="AQ138" i="7"/>
  <c r="AQ143" i="7"/>
  <c r="AQ338" i="7"/>
  <c r="AQ136" i="7"/>
  <c r="AR50" i="7"/>
  <c r="AQ342" i="7"/>
  <c r="AR306" i="7"/>
  <c r="AR307" i="7" s="1"/>
  <c r="AR345" i="7" s="1"/>
  <c r="AR350" i="7"/>
  <c r="AR365" i="7" s="1"/>
  <c r="AR380" i="7" s="1"/>
  <c r="AR158" i="7"/>
  <c r="AR173" i="7" s="1"/>
  <c r="AR188" i="7" s="1"/>
  <c r="AR119" i="7"/>
  <c r="AR120" i="7" s="1"/>
  <c r="AQ340" i="7"/>
  <c r="AR316" i="7"/>
  <c r="AR317" i="7" s="1"/>
  <c r="AR328" i="7" s="1"/>
  <c r="AQ330" i="7"/>
  <c r="AP15" i="17"/>
  <c r="AP27" i="13" s="1"/>
  <c r="AQ218" i="7"/>
  <c r="S4" i="8"/>
  <c r="S80" i="9"/>
  <c r="S81" i="9" s="1"/>
  <c r="S83" i="9" s="1"/>
  <c r="S86" i="9"/>
  <c r="S87" i="9" s="1"/>
  <c r="S88" i="9" s="1"/>
  <c r="S89" i="9" s="1"/>
  <c r="AR63" i="7"/>
  <c r="AR55" i="7"/>
  <c r="AR46" i="7"/>
  <c r="AQ236" i="7"/>
  <c r="AR57" i="7"/>
  <c r="AR51" i="7"/>
  <c r="AQ247" i="7"/>
  <c r="AR26" i="7"/>
  <c r="AR53" i="7"/>
  <c r="AR54" i="7"/>
  <c r="AR48" i="7"/>
  <c r="AR61" i="7"/>
  <c r="AQ326" i="7"/>
  <c r="AR65" i="7"/>
  <c r="AR60" i="7"/>
  <c r="AQ348" i="7"/>
  <c r="AR64" i="7"/>
  <c r="AQ344" i="7"/>
  <c r="AR62" i="7"/>
  <c r="AQ152" i="7"/>
  <c r="AR43" i="7"/>
  <c r="AR47" i="7"/>
  <c r="AQ192" i="14"/>
  <c r="AQ193" i="14" s="1"/>
  <c r="AQ235" i="7"/>
  <c r="AQ336" i="7"/>
  <c r="AQ245" i="7"/>
  <c r="AQ253" i="7"/>
  <c r="AQ234" i="7"/>
  <c r="AQ239" i="7"/>
  <c r="AQ139" i="7"/>
  <c r="AQ155" i="7"/>
  <c r="AQ135" i="7"/>
  <c r="AQ148" i="7"/>
  <c r="AQ156" i="7"/>
  <c r="AQ141" i="7"/>
  <c r="AQ140" i="7"/>
  <c r="AQ137" i="7"/>
  <c r="AT73" i="7"/>
  <c r="AT88" i="7" s="1"/>
  <c r="AQ142" i="7"/>
  <c r="AT78" i="7"/>
  <c r="AT93" i="7" s="1"/>
  <c r="AT77" i="7"/>
  <c r="AT92" i="7" s="1"/>
  <c r="AQ132" i="7"/>
  <c r="AQ151" i="7"/>
  <c r="AT81" i="7"/>
  <c r="AT96" i="7" s="1"/>
  <c r="AQ146" i="7"/>
  <c r="AQ149" i="7"/>
  <c r="AT80" i="7"/>
  <c r="AT95" i="7" s="1"/>
  <c r="AQ145" i="7"/>
  <c r="AQ134" i="7"/>
  <c r="AQ150" i="7"/>
  <c r="AT71" i="7"/>
  <c r="AT86" i="7" s="1"/>
  <c r="AQ154" i="7"/>
  <c r="AT74" i="7"/>
  <c r="AT89" i="7" s="1"/>
  <c r="AS261" i="7"/>
  <c r="AS276" i="7" s="1"/>
  <c r="AS266" i="7"/>
  <c r="AS281" i="7" s="1"/>
  <c r="AS267" i="7"/>
  <c r="AS282" i="7" s="1"/>
  <c r="AS264" i="7"/>
  <c r="AS279" i="7" s="1"/>
  <c r="AS260" i="7"/>
  <c r="AS275" i="7" s="1"/>
  <c r="AQ337" i="7"/>
  <c r="AQ334" i="7"/>
  <c r="AQ242" i="7"/>
  <c r="AQ41" i="7"/>
  <c r="AQ99" i="7" s="1"/>
  <c r="AQ67" i="14" s="1"/>
  <c r="AQ68" i="14" s="1"/>
  <c r="AQ72" i="14" s="1"/>
  <c r="AQ73" i="14" s="1"/>
  <c r="AQ74" i="14" s="1"/>
  <c r="AQ75" i="14" s="1"/>
  <c r="AQ76" i="14" s="1"/>
  <c r="AQ77" i="14" s="1"/>
  <c r="AQ82" i="14" s="1"/>
  <c r="AQ85" i="14" s="1"/>
  <c r="AD211" i="14"/>
  <c r="AD213" i="14" s="1"/>
  <c r="AD215" i="14" s="1"/>
  <c r="AT295" i="7"/>
  <c r="AT296" i="7" s="1"/>
  <c r="AT358" i="7" s="1"/>
  <c r="AT373" i="7" s="1"/>
  <c r="AQ386" i="7"/>
  <c r="AQ335" i="7"/>
  <c r="AV12" i="14"/>
  <c r="AQ58" i="14"/>
  <c r="AQ59" i="14" s="1"/>
  <c r="AQ60" i="14" s="1"/>
  <c r="AR28" i="14"/>
  <c r="AR29" i="14" s="1"/>
  <c r="AR30" i="14" s="1"/>
  <c r="AR31" i="14" s="1"/>
  <c r="AR18" i="13" s="1"/>
  <c r="AR52" i="14"/>
  <c r="AS53" i="14"/>
  <c r="AS54" i="14"/>
  <c r="AS55" i="14" s="1"/>
  <c r="AS56" i="14" s="1"/>
  <c r="AS57" i="14" s="1"/>
  <c r="AP58" i="14"/>
  <c r="AP59" i="14" s="1"/>
  <c r="AP60" i="14" s="1"/>
  <c r="AP62" i="14" s="1"/>
  <c r="AP63" i="14" s="1"/>
  <c r="M210" i="14"/>
  <c r="M211" i="14" s="1"/>
  <c r="M213" i="14" s="1"/>
  <c r="M215" i="14" s="1"/>
  <c r="T210" i="14"/>
  <c r="T211" i="14" s="1"/>
  <c r="T213" i="14" s="1"/>
  <c r="T215" i="14" s="1"/>
  <c r="I210" i="14"/>
  <c r="I211" i="14" s="1"/>
  <c r="I213" i="14" s="1"/>
  <c r="I215" i="14" s="1"/>
  <c r="AS187" i="14"/>
  <c r="AS188" i="14" s="1"/>
  <c r="AS189" i="14" s="1"/>
  <c r="AS214" i="14"/>
  <c r="AB208" i="14"/>
  <c r="AP191" i="14"/>
  <c r="AP192" i="14"/>
  <c r="R210" i="14"/>
  <c r="R211" i="14" s="1"/>
  <c r="R213" i="14" s="1"/>
  <c r="R215" i="14" s="1"/>
  <c r="AR187" i="14"/>
  <c r="AR188" i="14" s="1"/>
  <c r="AR214" i="14"/>
  <c r="W208" i="14"/>
  <c r="X208" i="14"/>
  <c r="K210" i="14"/>
  <c r="K211" i="14" s="1"/>
  <c r="K213" i="14" s="1"/>
  <c r="K215" i="14" s="1"/>
  <c r="AN210" i="14"/>
  <c r="AN211" i="14" s="1"/>
  <c r="AN213" i="14" s="1"/>
  <c r="AN215" i="14" s="1"/>
  <c r="AG210" i="14"/>
  <c r="AG211" i="14" s="1"/>
  <c r="AG213" i="14" s="1"/>
  <c r="AG215" i="14" s="1"/>
  <c r="E210" i="14"/>
  <c r="E211" i="14" s="1"/>
  <c r="E213" i="14" s="1"/>
  <c r="E215" i="14" s="1"/>
  <c r="BG46" i="21"/>
  <c r="BG47" i="21" s="1"/>
  <c r="BG48" i="21" s="1"/>
  <c r="BG11" i="8" s="1"/>
  <c r="T4" i="9"/>
  <c r="T4" i="20"/>
  <c r="T44" i="15"/>
  <c r="T45" i="15" s="1"/>
  <c r="AD6" i="7"/>
  <c r="AD15" i="13" s="1"/>
  <c r="AR4" i="13"/>
  <c r="AU176" i="14"/>
  <c r="AU179" i="14" s="1"/>
  <c r="AU181" i="14" s="1"/>
  <c r="AU178" i="14"/>
  <c r="AU177" i="14"/>
  <c r="T26" i="21"/>
  <c r="AU10" i="14"/>
  <c r="T35" i="21"/>
  <c r="AV11" i="14"/>
  <c r="AV169" i="14"/>
  <c r="T36" i="8"/>
  <c r="T39" i="8" s="1"/>
  <c r="AS170" i="14"/>
  <c r="AS185" i="14" s="1"/>
  <c r="AR170" i="14"/>
  <c r="AR185" i="14" s="1"/>
  <c r="BG53" i="21"/>
  <c r="BG54" i="21" s="1"/>
  <c r="BG10" i="8" s="1"/>
  <c r="BG43" i="21"/>
  <c r="AQ232" i="7"/>
  <c r="AS258" i="7"/>
  <c r="AS273" i="7" s="1"/>
  <c r="AT75" i="7"/>
  <c r="AT90" i="7" s="1"/>
  <c r="AS35" i="7"/>
  <c r="AS36" i="7" s="1"/>
  <c r="AS204" i="7"/>
  <c r="AS21" i="7"/>
  <c r="AS259" i="7"/>
  <c r="AS274" i="7" s="1"/>
  <c r="AS30" i="7"/>
  <c r="AS269" i="7"/>
  <c r="AS284" i="7" s="1"/>
  <c r="AS257" i="7"/>
  <c r="AS272" i="7" s="1"/>
  <c r="AT17" i="7"/>
  <c r="AS353" i="7"/>
  <c r="AS368" i="7" s="1"/>
  <c r="AS351" i="7"/>
  <c r="AS366" i="7" s="1"/>
  <c r="AS352" i="7"/>
  <c r="AS367" i="7" s="1"/>
  <c r="AS363" i="7"/>
  <c r="AS378" i="7" s="1"/>
  <c r="AT70" i="7"/>
  <c r="AT85" i="7" s="1"/>
  <c r="AS362" i="7"/>
  <c r="AS377" i="7" s="1"/>
  <c r="AT103" i="7"/>
  <c r="AT106" i="7" s="1"/>
  <c r="AT165" i="7" s="1"/>
  <c r="AT180" i="7" s="1"/>
  <c r="AS298" i="7"/>
  <c r="AS303" i="7" s="1"/>
  <c r="AT69" i="7"/>
  <c r="AT84" i="7" s="1"/>
  <c r="AQ244" i="7"/>
  <c r="AS361" i="7"/>
  <c r="AS376" i="7" s="1"/>
  <c r="AS265" i="7"/>
  <c r="AS280" i="7" s="1"/>
  <c r="AT79" i="7"/>
  <c r="AT94" i="7" s="1"/>
  <c r="AQ240" i="7"/>
  <c r="AS359" i="7"/>
  <c r="AS374" i="7" s="1"/>
  <c r="AT76" i="7"/>
  <c r="AT91" i="7" s="1"/>
  <c r="AS357" i="7"/>
  <c r="AS372" i="7" s="1"/>
  <c r="AS263" i="7"/>
  <c r="AS278" i="7" s="1"/>
  <c r="AT201" i="7"/>
  <c r="AT202" i="7" s="1"/>
  <c r="AS355" i="7"/>
  <c r="AS370" i="7" s="1"/>
  <c r="AS354" i="7"/>
  <c r="AS369" i="7" s="1"/>
  <c r="AQ243" i="7"/>
  <c r="AS162" i="7"/>
  <c r="AS177" i="7" s="1"/>
  <c r="AS168" i="7"/>
  <c r="AS183" i="7" s="1"/>
  <c r="AS166" i="7"/>
  <c r="AS181" i="7" s="1"/>
  <c r="AV7" i="14"/>
  <c r="AV174" i="14" s="1"/>
  <c r="AV9" i="14"/>
  <c r="AV6" i="14"/>
  <c r="AV173" i="14" s="1"/>
  <c r="AV8" i="14"/>
  <c r="AV5" i="14"/>
  <c r="AV172" i="14" s="1"/>
  <c r="AU16" i="14"/>
  <c r="AU18" i="14" s="1"/>
  <c r="AU19" i="14" s="1"/>
  <c r="AU21" i="14" s="1"/>
  <c r="AU17" i="14"/>
  <c r="AS163" i="7"/>
  <c r="AS178" i="7" s="1"/>
  <c r="AS108" i="7"/>
  <c r="AS111" i="7" s="1"/>
  <c r="AS161" i="7"/>
  <c r="AS176" i="7" s="1"/>
  <c r="AS170" i="7"/>
  <c r="AS185" i="7" s="1"/>
  <c r="AS164" i="7"/>
  <c r="AS179" i="7" s="1"/>
  <c r="AS171" i="7"/>
  <c r="AS186" i="7" s="1"/>
  <c r="AS160" i="7"/>
  <c r="AS175" i="7" s="1"/>
  <c r="AS167" i="7"/>
  <c r="AS182" i="7" s="1"/>
  <c r="AS165" i="7"/>
  <c r="AS180" i="7" s="1"/>
  <c r="AS262" i="7"/>
  <c r="AS277" i="7" s="1"/>
  <c r="AQ238" i="7"/>
  <c r="AQ233" i="7"/>
  <c r="AS159" i="7"/>
  <c r="AS174" i="7" s="1"/>
  <c r="AQ249" i="7"/>
  <c r="AQ254" i="7"/>
  <c r="AQ237" i="7"/>
  <c r="AQ252" i="7"/>
  <c r="AS39" i="7"/>
  <c r="AS40" i="7" s="1"/>
  <c r="AS25" i="7"/>
  <c r="AQ251" i="7"/>
  <c r="AS360" i="7"/>
  <c r="AS375" i="7" s="1"/>
  <c r="AQ241" i="7"/>
  <c r="AS68" i="7"/>
  <c r="AS83" i="7" s="1"/>
  <c r="AS98" i="7" s="1"/>
  <c r="AQ250" i="7"/>
  <c r="AQ248" i="7"/>
  <c r="AS358" i="7"/>
  <c r="AS373" i="7" s="1"/>
  <c r="AQ246" i="7"/>
  <c r="AU13" i="7"/>
  <c r="AU14" i="7" s="1"/>
  <c r="AU15" i="7" s="1"/>
  <c r="AT49" i="14"/>
  <c r="AT50" i="14" s="1"/>
  <c r="AT6" i="24" s="1"/>
  <c r="AR236" i="7"/>
  <c r="AR231" i="7"/>
  <c r="AR242" i="7"/>
  <c r="AR241" i="7"/>
  <c r="AR223" i="7"/>
  <c r="AR233" i="7"/>
  <c r="AP82" i="14"/>
  <c r="AP85" i="14" s="1"/>
  <c r="K6" i="7"/>
  <c r="K15" i="13" s="1"/>
  <c r="AO26" i="21"/>
  <c r="AR227" i="7"/>
  <c r="AS4" i="13"/>
  <c r="AS28" i="14"/>
  <c r="AS29" i="14" s="1"/>
  <c r="AS30" i="14" s="1"/>
  <c r="AS31" i="14" s="1"/>
  <c r="AS18" i="13" s="1"/>
  <c r="AQ8" i="21"/>
  <c r="AR252" i="7"/>
  <c r="AR245" i="7"/>
  <c r="AR230" i="7"/>
  <c r="AR249" i="7"/>
  <c r="AR248" i="7"/>
  <c r="AR237" i="7"/>
  <c r="AR232" i="7"/>
  <c r="AR250" i="7"/>
  <c r="AR251" i="7"/>
  <c r="AR246" i="7"/>
  <c r="AR253" i="7"/>
  <c r="AR238" i="7"/>
  <c r="AR254" i="7"/>
  <c r="AR240" i="7"/>
  <c r="AR218" i="7"/>
  <c r="AQ15" i="17"/>
  <c r="AQ27" i="13" s="1"/>
  <c r="AP118" i="14"/>
  <c r="AP122" i="14" s="1"/>
  <c r="AP123" i="14" s="1"/>
  <c r="AP124" i="14" s="1"/>
  <c r="AV12" i="7"/>
  <c r="AV10" i="7"/>
  <c r="AV9" i="7"/>
  <c r="AR235" i="7"/>
  <c r="AU42" i="14"/>
  <c r="AU36" i="14"/>
  <c r="AP17" i="17"/>
  <c r="AP14" i="17"/>
  <c r="AP28" i="13" s="1"/>
  <c r="AP3" i="9"/>
  <c r="AT6" i="10" s="1"/>
  <c r="AP3" i="8"/>
  <c r="AU47" i="14"/>
  <c r="AR136" i="7"/>
  <c r="AR125" i="7"/>
  <c r="AX3" i="24"/>
  <c r="AW3" i="7"/>
  <c r="AW3" i="17"/>
  <c r="AW5" i="17" s="1"/>
  <c r="AW3" i="14"/>
  <c r="AR234" i="7"/>
  <c r="AU48" i="14"/>
  <c r="AR243" i="7"/>
  <c r="AT44" i="14"/>
  <c r="AT19" i="13" s="1"/>
  <c r="AR239" i="7"/>
  <c r="AQ7" i="15"/>
  <c r="AW5" i="11" s="1"/>
  <c r="AQ10" i="13"/>
  <c r="AQ19" i="15"/>
  <c r="AW11" i="11" s="1"/>
  <c r="AQ31" i="15"/>
  <c r="AQ32" i="15" s="1"/>
  <c r="AQ33" i="15" s="1"/>
  <c r="AQ34" i="15" s="1"/>
  <c r="AQ29" i="15"/>
  <c r="AQ37" i="15" s="1"/>
  <c r="AQ38" i="15" s="1"/>
  <c r="AQ39" i="15" s="1"/>
  <c r="AQ40" i="15" s="1"/>
  <c r="AQ17" i="15"/>
  <c r="AW10" i="11" s="1"/>
  <c r="AQ13" i="15"/>
  <c r="AW8" i="11" s="1"/>
  <c r="AQ9" i="15"/>
  <c r="AW6" i="11" s="1"/>
  <c r="AQ15" i="15"/>
  <c r="AW9" i="11" s="1"/>
  <c r="AQ11" i="15"/>
  <c r="AW7" i="11" s="1"/>
  <c r="AP25" i="15"/>
  <c r="AP26" i="15"/>
  <c r="H4" i="8"/>
  <c r="J5" i="7"/>
  <c r="J14" i="13" s="1"/>
  <c r="Q90" i="14"/>
  <c r="AH138" i="14"/>
  <c r="Q139" i="14"/>
  <c r="Q163" i="14"/>
  <c r="Q138" i="14"/>
  <c r="E90" i="14"/>
  <c r="E157" i="14"/>
  <c r="E160" i="14" s="1"/>
  <c r="E154" i="14"/>
  <c r="AG389" i="7"/>
  <c r="AG7" i="7"/>
  <c r="AG16" i="13" s="1"/>
  <c r="Y150" i="14"/>
  <c r="Y151" i="14" s="1"/>
  <c r="Y152" i="14" s="1"/>
  <c r="Y157" i="14" s="1"/>
  <c r="Y160" i="14" s="1"/>
  <c r="Y139" i="14"/>
  <c r="P129" i="14"/>
  <c r="P140" i="14" s="1"/>
  <c r="Y163" i="14"/>
  <c r="Y104" i="14"/>
  <c r="Y115" i="14" s="1"/>
  <c r="Q154" i="14"/>
  <c r="I23" i="13"/>
  <c r="H7" i="7"/>
  <c r="H16" i="13" s="1"/>
  <c r="AG115" i="14"/>
  <c r="AG195" i="7" s="1"/>
  <c r="H23" i="13"/>
  <c r="P163" i="14"/>
  <c r="Q113" i="14"/>
  <c r="P154" i="14"/>
  <c r="Q102" i="14"/>
  <c r="Q107" i="14" s="1"/>
  <c r="Q110" i="14" s="1"/>
  <c r="AH140" i="14"/>
  <c r="AH289" i="7" s="1"/>
  <c r="AH13" i="23" s="1"/>
  <c r="Q23" i="13"/>
  <c r="G23" i="13"/>
  <c r="K164" i="14"/>
  <c r="AC129" i="14"/>
  <c r="AC140" i="14" s="1"/>
  <c r="L23" i="13"/>
  <c r="P90" i="14"/>
  <c r="M23" i="13"/>
  <c r="Q129" i="14"/>
  <c r="AI129" i="14"/>
  <c r="AI140" i="14" s="1"/>
  <c r="AN113" i="14"/>
  <c r="AI90" i="14"/>
  <c r="AI100" i="7" s="1"/>
  <c r="AI3" i="23" s="1"/>
  <c r="AI104" i="14"/>
  <c r="AI115" i="14" s="1"/>
  <c r="AI195" i="7" s="1"/>
  <c r="AI154" i="14"/>
  <c r="AI165" i="14" s="1"/>
  <c r="AI7" i="7" s="1"/>
  <c r="AI16" i="13" s="1"/>
  <c r="AN114" i="14"/>
  <c r="AN163" i="14"/>
  <c r="AN107" i="14"/>
  <c r="AN110" i="14" s="1"/>
  <c r="AN104" i="14"/>
  <c r="AN35" i="21"/>
  <c r="AN36" i="21" s="1"/>
  <c r="AN125" i="14"/>
  <c r="AN126" i="14" s="1"/>
  <c r="AN127" i="14" s="1"/>
  <c r="AN132" i="14" s="1"/>
  <c r="AN135" i="14" s="1"/>
  <c r="AN79" i="14"/>
  <c r="AN90" i="14" s="1"/>
  <c r="AN100" i="7" s="1"/>
  <c r="AN3" i="23" s="1"/>
  <c r="AN139" i="14"/>
  <c r="AN150" i="14"/>
  <c r="AN151" i="14" s="1"/>
  <c r="AN152" i="14" s="1"/>
  <c r="AN157" i="14" s="1"/>
  <c r="AN160" i="14" s="1"/>
  <c r="E104" i="14"/>
  <c r="E115" i="14" s="1"/>
  <c r="AG6" i="7"/>
  <c r="AG15" i="13" s="1"/>
  <c r="E129" i="14"/>
  <c r="E140" i="14" s="1"/>
  <c r="AH53" i="21"/>
  <c r="AH54" i="21" s="1"/>
  <c r="AH10" i="8" s="1"/>
  <c r="M4" i="8"/>
  <c r="AH7" i="7"/>
  <c r="AH16" i="13" s="1"/>
  <c r="AN22" i="15"/>
  <c r="AN43" i="15" s="1"/>
  <c r="AN8" i="8"/>
  <c r="AN9" i="8"/>
  <c r="AN21" i="15"/>
  <c r="AN5" i="9" s="1"/>
  <c r="AN7" i="8"/>
  <c r="AN59" i="9"/>
  <c r="AN58" i="9"/>
  <c r="AN49" i="9"/>
  <c r="AN54" i="9"/>
  <c r="AN48" i="9"/>
  <c r="AN56" i="9"/>
  <c r="AN57" i="9"/>
  <c r="BG40" i="8"/>
  <c r="BG41" i="8"/>
  <c r="BG22" i="13"/>
  <c r="Y40" i="8"/>
  <c r="Y41" i="8"/>
  <c r="Y22" i="13"/>
  <c r="P40" i="8"/>
  <c r="P41" i="8"/>
  <c r="P22" i="13"/>
  <c r="BG53" i="9"/>
  <c r="BG60" i="9" s="1"/>
  <c r="BG66" i="9" s="1"/>
  <c r="BG47" i="9"/>
  <c r="BG51" i="9" s="1"/>
  <c r="BG64" i="9" s="1"/>
  <c r="BG62" i="9"/>
  <c r="BG68" i="9" s="1"/>
  <c r="AJ3" i="17"/>
  <c r="AJ5" i="17" s="1"/>
  <c r="AJ3" i="7"/>
  <c r="AH195" i="7"/>
  <c r="AH5" i="7"/>
  <c r="AH14" i="13" s="1"/>
  <c r="Q4" i="8"/>
  <c r="I4" i="8"/>
  <c r="V4" i="8"/>
  <c r="AO75" i="9"/>
  <c r="F9" i="20"/>
  <c r="F10" i="20"/>
  <c r="AF43" i="21"/>
  <c r="F82" i="9"/>
  <c r="I11" i="8"/>
  <c r="I49" i="21"/>
  <c r="I51" i="21" s="1"/>
  <c r="AC46" i="21"/>
  <c r="AC47" i="21" s="1"/>
  <c r="AC48" i="21" s="1"/>
  <c r="AC11" i="8" s="1"/>
  <c r="AC53" i="21"/>
  <c r="AC54" i="21" s="1"/>
  <c r="AC10" i="8" s="1"/>
  <c r="AC43" i="21"/>
  <c r="AC39" i="21"/>
  <c r="Y11" i="8"/>
  <c r="Y49" i="21"/>
  <c r="Y50" i="21" s="1"/>
  <c r="AD46" i="21"/>
  <c r="AD47" i="21" s="1"/>
  <c r="AD48" i="21" s="1"/>
  <c r="AD11" i="8" s="1"/>
  <c r="AD53" i="21"/>
  <c r="AD54" i="21" s="1"/>
  <c r="AD10" i="8" s="1"/>
  <c r="AD43" i="21"/>
  <c r="AD39" i="21"/>
  <c r="AH46" i="21"/>
  <c r="AH39" i="21"/>
  <c r="AH43" i="21"/>
  <c r="M11" i="8"/>
  <c r="M49" i="21"/>
  <c r="M50" i="21" s="1"/>
  <c r="G55" i="21"/>
  <c r="G57" i="21" s="1"/>
  <c r="G10" i="8"/>
  <c r="AG46" i="21"/>
  <c r="AG47" i="21" s="1"/>
  <c r="AG48" i="21" s="1"/>
  <c r="AG11" i="8" s="1"/>
  <c r="AG39" i="21"/>
  <c r="AG43" i="21"/>
  <c r="O11" i="8"/>
  <c r="O49" i="21"/>
  <c r="O51" i="21" s="1"/>
  <c r="F5" i="8"/>
  <c r="F43" i="8" s="1"/>
  <c r="AG55" i="21"/>
  <c r="AG57" i="21" s="1"/>
  <c r="Z55" i="21"/>
  <c r="Z56" i="21" s="1"/>
  <c r="AF53" i="21"/>
  <c r="AF54" i="21" s="1"/>
  <c r="AF10" i="8" s="1"/>
  <c r="AF46" i="21"/>
  <c r="AE46" i="21"/>
  <c r="AE47" i="21" s="1"/>
  <c r="AE48" i="21" s="1"/>
  <c r="AE11" i="8" s="1"/>
  <c r="AE53" i="21"/>
  <c r="AE54" i="21" s="1"/>
  <c r="AE10" i="8" s="1"/>
  <c r="AE39" i="21"/>
  <c r="AE43" i="21"/>
  <c r="H11" i="8"/>
  <c r="H49" i="21"/>
  <c r="H50" i="21" s="1"/>
  <c r="X11" i="8"/>
  <c r="X49" i="21"/>
  <c r="X51" i="21" s="1"/>
  <c r="AF36" i="21"/>
  <c r="S12" i="20"/>
  <c r="S6" i="8" s="1"/>
  <c r="V5" i="20"/>
  <c r="V86" i="9"/>
  <c r="G5" i="20"/>
  <c r="G86" i="9"/>
  <c r="I80" i="9"/>
  <c r="G74" i="9"/>
  <c r="G3" i="20" s="1"/>
  <c r="G80" i="9"/>
  <c r="W5" i="20"/>
  <c r="W86" i="9"/>
  <c r="W87" i="9" s="1"/>
  <c r="W88" i="9" s="1"/>
  <c r="W89" i="9" s="1"/>
  <c r="Q80" i="9"/>
  <c r="I5" i="20"/>
  <c r="I12" i="20" s="1"/>
  <c r="I86" i="9"/>
  <c r="N5" i="20"/>
  <c r="N7" i="20" s="1"/>
  <c r="N5" i="8" s="1"/>
  <c r="N86" i="9"/>
  <c r="W80" i="9"/>
  <c r="M80" i="9"/>
  <c r="L74" i="9"/>
  <c r="L3" i="20" s="1"/>
  <c r="L80" i="9"/>
  <c r="L5" i="20"/>
  <c r="L86" i="9"/>
  <c r="E5" i="20"/>
  <c r="H5" i="20"/>
  <c r="H12" i="20" s="1"/>
  <c r="H6" i="8" s="1"/>
  <c r="H86" i="9"/>
  <c r="V80" i="9"/>
  <c r="H80" i="9"/>
  <c r="Q5" i="20"/>
  <c r="Q86" i="9"/>
  <c r="N80" i="9"/>
  <c r="M5" i="20"/>
  <c r="M86" i="9"/>
  <c r="L4" i="8"/>
  <c r="AP75" i="9"/>
  <c r="AQ75" i="9" s="1"/>
  <c r="W4" i="8"/>
  <c r="N4" i="8"/>
  <c r="E4" i="8"/>
  <c r="G4" i="8"/>
  <c r="S7" i="20"/>
  <c r="S5" i="8" s="1"/>
  <c r="F6" i="8"/>
  <c r="F13" i="20"/>
  <c r="F14" i="20" s="1"/>
  <c r="F15" i="20" s="1"/>
  <c r="M74" i="9"/>
  <c r="M3" i="20" s="1"/>
  <c r="W74" i="9"/>
  <c r="W3" i="20" s="1"/>
  <c r="V74" i="9"/>
  <c r="V3" i="20" s="1"/>
  <c r="Q74" i="9"/>
  <c r="Q3" i="20" s="1"/>
  <c r="E74" i="9"/>
  <c r="E3" i="20" s="1"/>
  <c r="P47" i="9"/>
  <c r="P51" i="9" s="1"/>
  <c r="P64" i="9" s="1"/>
  <c r="P53" i="9"/>
  <c r="P60" i="9" s="1"/>
  <c r="P66" i="9" s="1"/>
  <c r="Y62" i="9"/>
  <c r="Y68" i="9" s="1"/>
  <c r="Y71" i="9" s="1"/>
  <c r="P62" i="9"/>
  <c r="P68" i="9" s="1"/>
  <c r="P4" i="8" s="1"/>
  <c r="AC46" i="15"/>
  <c r="Y47" i="9"/>
  <c r="Y51" i="9" s="1"/>
  <c r="Y64" i="9" s="1"/>
  <c r="Y53" i="9"/>
  <c r="Y60" i="9" s="1"/>
  <c r="Y66" i="9" s="1"/>
  <c r="X62" i="9"/>
  <c r="X68" i="9" s="1"/>
  <c r="X47" i="9"/>
  <c r="X51" i="9" s="1"/>
  <c r="X64" i="9" s="1"/>
  <c r="Z389" i="7"/>
  <c r="Z7" i="7"/>
  <c r="Z16" i="13" s="1"/>
  <c r="AC389" i="7"/>
  <c r="AC7" i="7"/>
  <c r="AC16" i="13" s="1"/>
  <c r="AD195" i="7"/>
  <c r="AD5" i="7"/>
  <c r="AD14" i="13" s="1"/>
  <c r="AE100" i="7"/>
  <c r="AE3" i="23" s="1"/>
  <c r="AE4" i="7"/>
  <c r="AE13" i="13" s="1"/>
  <c r="AE389" i="7"/>
  <c r="AE7" i="7"/>
  <c r="AE16" i="13" s="1"/>
  <c r="AD389" i="7"/>
  <c r="AD7" i="7"/>
  <c r="AD16" i="13" s="1"/>
  <c r="Z100" i="7"/>
  <c r="Z3" i="23" s="1"/>
  <c r="Z4" i="7"/>
  <c r="Z13" i="13" s="1"/>
  <c r="AE289" i="7"/>
  <c r="AE13" i="23" s="1"/>
  <c r="AE6" i="7"/>
  <c r="AE15" i="13" s="1"/>
  <c r="AB6" i="7"/>
  <c r="AB15" i="13" s="1"/>
  <c r="AB289" i="7"/>
  <c r="AB13" i="23" s="1"/>
  <c r="AE195" i="7"/>
  <c r="AE5" i="7"/>
  <c r="AE14" i="13" s="1"/>
  <c r="AC195" i="7"/>
  <c r="AC5" i="7"/>
  <c r="AC14" i="13" s="1"/>
  <c r="AC100" i="7"/>
  <c r="AC3" i="23" s="1"/>
  <c r="AC4" i="7"/>
  <c r="AC13" i="13" s="1"/>
  <c r="AB195" i="7"/>
  <c r="AB5" i="7"/>
  <c r="AB14" i="13" s="1"/>
  <c r="X389" i="7"/>
  <c r="X7" i="7"/>
  <c r="X16" i="13" s="1"/>
  <c r="W389" i="7"/>
  <c r="W7" i="7"/>
  <c r="W16" i="13" s="1"/>
  <c r="I100" i="7"/>
  <c r="I3" i="23" s="1"/>
  <c r="I4" i="7"/>
  <c r="I13" i="13" s="1"/>
  <c r="G195" i="7"/>
  <c r="G5" i="7"/>
  <c r="G14" i="13" s="1"/>
  <c r="K195" i="7"/>
  <c r="K5" i="7"/>
  <c r="K14" i="13" s="1"/>
  <c r="W100" i="7"/>
  <c r="W3" i="23" s="1"/>
  <c r="W4" i="7"/>
  <c r="W13" i="13" s="1"/>
  <c r="G4" i="7"/>
  <c r="G13" i="13" s="1"/>
  <c r="G100" i="7"/>
  <c r="G3" i="23" s="1"/>
  <c r="H100" i="7"/>
  <c r="H3" i="23" s="1"/>
  <c r="H4" i="7"/>
  <c r="H13" i="13" s="1"/>
  <c r="W289" i="7"/>
  <c r="W13" i="23" s="1"/>
  <c r="W6" i="7"/>
  <c r="W15" i="13" s="1"/>
  <c r="M4" i="7"/>
  <c r="M13" i="13" s="1"/>
  <c r="M100" i="7"/>
  <c r="M3" i="23" s="1"/>
  <c r="X100" i="7"/>
  <c r="X3" i="23" s="1"/>
  <c r="X4" i="7"/>
  <c r="X13" i="13" s="1"/>
  <c r="H289" i="7"/>
  <c r="H13" i="23" s="1"/>
  <c r="H6" i="7"/>
  <c r="H15" i="13" s="1"/>
  <c r="H195" i="7"/>
  <c r="H5" i="7"/>
  <c r="H14" i="13" s="1"/>
  <c r="T289" i="7"/>
  <c r="T13" i="23" s="1"/>
  <c r="T6" i="7"/>
  <c r="T15" i="13" s="1"/>
  <c r="J100" i="7"/>
  <c r="J3" i="23" s="1"/>
  <c r="J4" i="7"/>
  <c r="J13" i="13" s="1"/>
  <c r="K100" i="7"/>
  <c r="K3" i="23" s="1"/>
  <c r="K4" i="7"/>
  <c r="K13" i="13" s="1"/>
  <c r="Z46" i="15"/>
  <c r="Y4" i="7"/>
  <c r="Y13" i="13" s="1"/>
  <c r="I46" i="15"/>
  <c r="AG46" i="15"/>
  <c r="R129" i="14" l="1"/>
  <c r="V139" i="14"/>
  <c r="V140" i="14" s="1"/>
  <c r="F138" i="14"/>
  <c r="O104" i="14"/>
  <c r="S164" i="14"/>
  <c r="S165" i="14" s="1"/>
  <c r="V164" i="14"/>
  <c r="E28" i="23"/>
  <c r="E26" i="23"/>
  <c r="E204" i="23"/>
  <c r="E207" i="23" s="1"/>
  <c r="E27" i="23" s="1"/>
  <c r="E219" i="23"/>
  <c r="E222" i="23" s="1"/>
  <c r="E29" i="23" s="1"/>
  <c r="E92" i="23"/>
  <c r="E93" i="23" s="1"/>
  <c r="E94" i="23" s="1"/>
  <c r="F4" i="7"/>
  <c r="F13" i="13" s="1"/>
  <c r="F100" i="7"/>
  <c r="F3" i="23" s="1"/>
  <c r="N23" i="13"/>
  <c r="V4" i="7"/>
  <c r="V13" i="13" s="1"/>
  <c r="O139" i="14"/>
  <c r="O140" i="14" s="1"/>
  <c r="R90" i="14"/>
  <c r="R4" i="7" s="1"/>
  <c r="R13" i="13" s="1"/>
  <c r="AR333" i="7"/>
  <c r="AR327" i="7"/>
  <c r="R138" i="14"/>
  <c r="R140" i="14" s="1"/>
  <c r="R154" i="14"/>
  <c r="R104" i="14"/>
  <c r="T114" i="14"/>
  <c r="O162" i="14"/>
  <c r="O163" i="14" s="1"/>
  <c r="S139" i="14"/>
  <c r="AO131" i="7"/>
  <c r="AO194" i="7" s="1"/>
  <c r="AO92" i="14" s="1"/>
  <c r="AO93" i="14" s="1"/>
  <c r="AO97" i="14" s="1"/>
  <c r="AO98" i="14" s="1"/>
  <c r="AO99" i="14" s="1"/>
  <c r="F114" i="14"/>
  <c r="F113" i="14"/>
  <c r="V114" i="14"/>
  <c r="V115" i="14" s="1"/>
  <c r="V195" i="7" s="1"/>
  <c r="V163" i="14"/>
  <c r="V165" i="14" s="1"/>
  <c r="P114" i="14"/>
  <c r="N104" i="14"/>
  <c r="U138" i="14"/>
  <c r="N154" i="14"/>
  <c r="N165" i="14" s="1"/>
  <c r="N7" i="7" s="1"/>
  <c r="N16" i="13" s="1"/>
  <c r="U139" i="14"/>
  <c r="S79" i="14"/>
  <c r="S90" i="14"/>
  <c r="S4" i="7" s="1"/>
  <c r="S13" i="13" s="1"/>
  <c r="S113" i="14"/>
  <c r="S114" i="14"/>
  <c r="S138" i="14"/>
  <c r="U114" i="14"/>
  <c r="U115" i="14" s="1"/>
  <c r="F164" i="14"/>
  <c r="F165" i="14" s="1"/>
  <c r="R113" i="14"/>
  <c r="R115" i="14" s="1"/>
  <c r="R195" i="7" s="1"/>
  <c r="S100" i="14"/>
  <c r="S101" i="14" s="1"/>
  <c r="S102" i="14" s="1"/>
  <c r="S107" i="14" s="1"/>
  <c r="S110" i="14" s="1"/>
  <c r="AY3" i="11"/>
  <c r="AW3" i="22"/>
  <c r="N139" i="14"/>
  <c r="N140" i="14" s="1"/>
  <c r="N289" i="7" s="1"/>
  <c r="N13" i="23" s="1"/>
  <c r="N111" i="14"/>
  <c r="N112" i="14" s="1"/>
  <c r="N113" i="14" s="1"/>
  <c r="T163" i="14"/>
  <c r="T165" i="14" s="1"/>
  <c r="O111" i="14"/>
  <c r="O112" i="14" s="1"/>
  <c r="O113" i="14" s="1"/>
  <c r="U164" i="14"/>
  <c r="AS209" i="7"/>
  <c r="R164" i="14"/>
  <c r="R165" i="14" s="1"/>
  <c r="R389" i="7" s="1"/>
  <c r="AR4" i="17"/>
  <c r="AR7" i="17" s="1"/>
  <c r="AR8" i="17" s="1"/>
  <c r="AR9" i="17" s="1"/>
  <c r="AR11" i="17" s="1"/>
  <c r="AR12" i="17" s="1"/>
  <c r="AX3" i="11"/>
  <c r="AV3" i="22"/>
  <c r="T79" i="14"/>
  <c r="T90" i="14" s="1"/>
  <c r="U150" i="14"/>
  <c r="U151" i="14" s="1"/>
  <c r="U152" i="14" s="1"/>
  <c r="U157" i="14" s="1"/>
  <c r="U160" i="14" s="1"/>
  <c r="AO68" i="14"/>
  <c r="AO72" i="14" s="1"/>
  <c r="AO73" i="14" s="1"/>
  <c r="AO74" i="14" s="1"/>
  <c r="AO323" i="7"/>
  <c r="AO388" i="7" s="1"/>
  <c r="AO142" i="14" s="1"/>
  <c r="AO143" i="14" s="1"/>
  <c r="T100" i="14"/>
  <c r="T101" i="14" s="1"/>
  <c r="T102" i="14" s="1"/>
  <c r="T107" i="14" s="1"/>
  <c r="T110" i="14" s="1"/>
  <c r="U125" i="14"/>
  <c r="U126" i="14" s="1"/>
  <c r="U127" i="14" s="1"/>
  <c r="U132" i="14" s="1"/>
  <c r="U135" i="14" s="1"/>
  <c r="P100" i="14"/>
  <c r="P101" i="14" s="1"/>
  <c r="P102" i="14" s="1"/>
  <c r="P107" i="14" s="1"/>
  <c r="P110" i="14" s="1"/>
  <c r="F140" i="14"/>
  <c r="AO229" i="7"/>
  <c r="AO288" i="7" s="1"/>
  <c r="AO117" i="14" s="1"/>
  <c r="AT22" i="7"/>
  <c r="AT260" i="7"/>
  <c r="AT275" i="7" s="1"/>
  <c r="AU75" i="7"/>
  <c r="AU90" i="7" s="1"/>
  <c r="AT20" i="13"/>
  <c r="AT11" i="7"/>
  <c r="AH8" i="10"/>
  <c r="AD47" i="9" s="1"/>
  <c r="AD51" i="9" s="1"/>
  <c r="AD64" i="9" s="1"/>
  <c r="AH9" i="10"/>
  <c r="AD62" i="9" s="1"/>
  <c r="AD68" i="9" s="1"/>
  <c r="AD4" i="8" s="1"/>
  <c r="AH10" i="10"/>
  <c r="AD53" i="9" s="1"/>
  <c r="AD60" i="9" s="1"/>
  <c r="AD66" i="9" s="1"/>
  <c r="AD5" i="20" s="1"/>
  <c r="AK8" i="10"/>
  <c r="AG47" i="9" s="1"/>
  <c r="AG51" i="9" s="1"/>
  <c r="AG64" i="9" s="1"/>
  <c r="AG74" i="9" s="1"/>
  <c r="AG3" i="20" s="1"/>
  <c r="AK10" i="10"/>
  <c r="AG53" i="9" s="1"/>
  <c r="AG60" i="9" s="1"/>
  <c r="AG66" i="9" s="1"/>
  <c r="AG5" i="20" s="1"/>
  <c r="AK9" i="10"/>
  <c r="AG62" i="9" s="1"/>
  <c r="AG68" i="9" s="1"/>
  <c r="AG4" i="8" s="1"/>
  <c r="O41" i="8"/>
  <c r="O23" i="13" s="1"/>
  <c r="O40" i="8"/>
  <c r="AI22" i="13"/>
  <c r="AI40" i="8"/>
  <c r="AP163" i="14"/>
  <c r="AP147" i="14"/>
  <c r="AP148" i="14" s="1"/>
  <c r="AP149" i="14" s="1"/>
  <c r="AP150" i="14" s="1"/>
  <c r="AP151" i="14" s="1"/>
  <c r="AP152" i="14" s="1"/>
  <c r="AP157" i="14" s="1"/>
  <c r="AP160" i="14" s="1"/>
  <c r="AC50" i="8"/>
  <c r="AC25" i="13" s="1"/>
  <c r="H10" i="8"/>
  <c r="AO36" i="8"/>
  <c r="AO39" i="8" s="1"/>
  <c r="AO41" i="8" s="1"/>
  <c r="AO23" i="13" s="1"/>
  <c r="Z49" i="21"/>
  <c r="Z51" i="21" s="1"/>
  <c r="L55" i="21"/>
  <c r="L56" i="21" s="1"/>
  <c r="AH50" i="8"/>
  <c r="AH25" i="13" s="1"/>
  <c r="AI46" i="21"/>
  <c r="AI47" i="21" s="1"/>
  <c r="AI48" i="21" s="1"/>
  <c r="AI11" i="8" s="1"/>
  <c r="AS8" i="10"/>
  <c r="AO47" i="9" s="1"/>
  <c r="AO51" i="9" s="1"/>
  <c r="AO64" i="9" s="1"/>
  <c r="AS9" i="10"/>
  <c r="AO62" i="9" s="1"/>
  <c r="AO68" i="9" s="1"/>
  <c r="AS10" i="10"/>
  <c r="AO53" i="9" s="1"/>
  <c r="AO60" i="9" s="1"/>
  <c r="AO66" i="9" s="1"/>
  <c r="P49" i="21"/>
  <c r="P51" i="21" s="1"/>
  <c r="N49" i="21"/>
  <c r="N50" i="21" s="1"/>
  <c r="N10" i="8"/>
  <c r="N43" i="8" s="1"/>
  <c r="Q11" i="8"/>
  <c r="J46" i="21"/>
  <c r="J47" i="21" s="1"/>
  <c r="J48" i="21" s="1"/>
  <c r="J11" i="8" s="1"/>
  <c r="AB53" i="21"/>
  <c r="AB54" i="21" s="1"/>
  <c r="AB10" i="8" s="1"/>
  <c r="AB46" i="21"/>
  <c r="AB47" i="21" s="1"/>
  <c r="AB48" i="21" s="1"/>
  <c r="AB11" i="8" s="1"/>
  <c r="M55" i="21"/>
  <c r="M57" i="21" s="1"/>
  <c r="AA46" i="15"/>
  <c r="AB22" i="13"/>
  <c r="P55" i="21"/>
  <c r="P57" i="21" s="1"/>
  <c r="AB41" i="8"/>
  <c r="AB23" i="13" s="1"/>
  <c r="AI55" i="21"/>
  <c r="AI57" i="21" s="1"/>
  <c r="AI39" i="21"/>
  <c r="L49" i="21"/>
  <c r="L51" i="21" s="1"/>
  <c r="AI43" i="21"/>
  <c r="O10" i="8"/>
  <c r="AI46" i="15"/>
  <c r="AB46" i="15"/>
  <c r="J53" i="21"/>
  <c r="J54" i="21" s="1"/>
  <c r="J10" i="8" s="1"/>
  <c r="J39" i="21"/>
  <c r="W10" i="8"/>
  <c r="R41" i="8"/>
  <c r="R23" i="13" s="1"/>
  <c r="W49" i="21"/>
  <c r="W50" i="21" s="1"/>
  <c r="R22" i="13"/>
  <c r="Y55" i="21"/>
  <c r="Y56" i="21" s="1"/>
  <c r="AP94" i="14"/>
  <c r="AP111" i="14" s="1"/>
  <c r="AP112" i="14" s="1"/>
  <c r="AP114" i="14" s="1"/>
  <c r="AB43" i="21"/>
  <c r="AR143" i="7"/>
  <c r="AR137" i="7"/>
  <c r="AR138" i="7"/>
  <c r="AR133" i="7"/>
  <c r="AR144" i="7"/>
  <c r="AT298" i="7"/>
  <c r="AT303" i="7" s="1"/>
  <c r="G11" i="8"/>
  <c r="AR149" i="7"/>
  <c r="AP79" i="14"/>
  <c r="AT363" i="7"/>
  <c r="AT378" i="7" s="1"/>
  <c r="V11" i="8"/>
  <c r="V49" i="21"/>
  <c r="V10" i="8"/>
  <c r="V55" i="21"/>
  <c r="S11" i="8"/>
  <c r="S49" i="21"/>
  <c r="S10" i="8"/>
  <c r="S55" i="21"/>
  <c r="AO4" i="9"/>
  <c r="AR152" i="7"/>
  <c r="AO4" i="21"/>
  <c r="AO53" i="21" s="1"/>
  <c r="AO54" i="21" s="1"/>
  <c r="AR156" i="7"/>
  <c r="AR329" i="7"/>
  <c r="AR141" i="7"/>
  <c r="AT352" i="7"/>
  <c r="AT367" i="7" s="1"/>
  <c r="AR135" i="7"/>
  <c r="AT354" i="7"/>
  <c r="AT369" i="7" s="1"/>
  <c r="AW60" i="11"/>
  <c r="AR132" i="7"/>
  <c r="AT353" i="7"/>
  <c r="AT368" i="7" s="1"/>
  <c r="AR146" i="7"/>
  <c r="AR154" i="7"/>
  <c r="AT362" i="7"/>
  <c r="AT377" i="7" s="1"/>
  <c r="AR151" i="7"/>
  <c r="AT355" i="7"/>
  <c r="AT370" i="7" s="1"/>
  <c r="V10" i="10"/>
  <c r="R53" i="9" s="1"/>
  <c r="R60" i="9" s="1"/>
  <c r="R66" i="9" s="1"/>
  <c r="R5" i="20" s="1"/>
  <c r="AR142" i="7"/>
  <c r="AR148" i="7"/>
  <c r="AT359" i="7"/>
  <c r="AT374" i="7" s="1"/>
  <c r="AR134" i="7"/>
  <c r="AP17" i="21"/>
  <c r="AT356" i="7"/>
  <c r="AT371" i="7" s="1"/>
  <c r="AP11" i="21"/>
  <c r="AP14" i="21"/>
  <c r="AP20" i="21" s="1"/>
  <c r="AP28" i="21" s="1"/>
  <c r="AP79" i="21"/>
  <c r="AR192" i="7"/>
  <c r="AR145" i="7"/>
  <c r="V9" i="10"/>
  <c r="R62" i="9" s="1"/>
  <c r="R68" i="9" s="1"/>
  <c r="AO44" i="15"/>
  <c r="AO45" i="15" s="1"/>
  <c r="AO46" i="15" s="1"/>
  <c r="AR155" i="7"/>
  <c r="AP78" i="21"/>
  <c r="V8" i="10"/>
  <c r="R47" i="9" s="1"/>
  <c r="R51" i="9" s="1"/>
  <c r="R64" i="9" s="1"/>
  <c r="R74" i="9" s="1"/>
  <c r="R3" i="20" s="1"/>
  <c r="AO4" i="20"/>
  <c r="AR139" i="7"/>
  <c r="AW23" i="11"/>
  <c r="Q55" i="21"/>
  <c r="Q56" i="21" s="1"/>
  <c r="AW31" i="11"/>
  <c r="AP63" i="21"/>
  <c r="AP72" i="21"/>
  <c r="AW119" i="11"/>
  <c r="AW94" i="11"/>
  <c r="AW131" i="11"/>
  <c r="AW91" i="11"/>
  <c r="AW40" i="11"/>
  <c r="AW29" i="11"/>
  <c r="AR140" i="7"/>
  <c r="AT357" i="7"/>
  <c r="AT372" i="7" s="1"/>
  <c r="AT360" i="7"/>
  <c r="AT375" i="7" s="1"/>
  <c r="AR150" i="7"/>
  <c r="AW68" i="11"/>
  <c r="AW45" i="11"/>
  <c r="AW122" i="11"/>
  <c r="AW74" i="11"/>
  <c r="AW26" i="11"/>
  <c r="AW97" i="11"/>
  <c r="AW56" i="11"/>
  <c r="AW21" i="11"/>
  <c r="AW92" i="11"/>
  <c r="AW93" i="11"/>
  <c r="AW84" i="11"/>
  <c r="AW110" i="11"/>
  <c r="AW50" i="11"/>
  <c r="AW113" i="11"/>
  <c r="AW111" i="11"/>
  <c r="AW55" i="11"/>
  <c r="AW39" i="11"/>
  <c r="AW115" i="11"/>
  <c r="AW103" i="11"/>
  <c r="AW102" i="11"/>
  <c r="AW87" i="11"/>
  <c r="AW52" i="11"/>
  <c r="AW108" i="11"/>
  <c r="AW41" i="11"/>
  <c r="AW70" i="11"/>
  <c r="AW66" i="11"/>
  <c r="AW127" i="11"/>
  <c r="AW135" i="11"/>
  <c r="AW88" i="11"/>
  <c r="AW95" i="11"/>
  <c r="AW101" i="11"/>
  <c r="AR9" i="10"/>
  <c r="AW117" i="11"/>
  <c r="AW53" i="11"/>
  <c r="AW130" i="11"/>
  <c r="AW49" i="11"/>
  <c r="AW109" i="11"/>
  <c r="AW81" i="11"/>
  <c r="AW137" i="11"/>
  <c r="AW67" i="11"/>
  <c r="AW104" i="11"/>
  <c r="AW47" i="11"/>
  <c r="AW58" i="11"/>
  <c r="AW124" i="11"/>
  <c r="AW89" i="11"/>
  <c r="AW22" i="11"/>
  <c r="AW57" i="11"/>
  <c r="AW134" i="11"/>
  <c r="AW125" i="11"/>
  <c r="AW100" i="11"/>
  <c r="AW34" i="11"/>
  <c r="AW106" i="11"/>
  <c r="AW27" i="11"/>
  <c r="AW33" i="11"/>
  <c r="AW61" i="11"/>
  <c r="AW76" i="11"/>
  <c r="AW138" i="11"/>
  <c r="AW107" i="11"/>
  <c r="AW54" i="11"/>
  <c r="AW133" i="11"/>
  <c r="AW25" i="11"/>
  <c r="AV12" i="11"/>
  <c r="AV14" i="11" s="1"/>
  <c r="AW120" i="11"/>
  <c r="AW132" i="11"/>
  <c r="AW62" i="11"/>
  <c r="AW116" i="11"/>
  <c r="AW96" i="11"/>
  <c r="AW59" i="11"/>
  <c r="AW19" i="11"/>
  <c r="AP71" i="21"/>
  <c r="AW28" i="11"/>
  <c r="AW129" i="11"/>
  <c r="AW77" i="11"/>
  <c r="AW136" i="11"/>
  <c r="AW90" i="11"/>
  <c r="AW63" i="11"/>
  <c r="AW42" i="11"/>
  <c r="AV13" i="11"/>
  <c r="AV15" i="11" s="1"/>
  <c r="AW24" i="11"/>
  <c r="AW69" i="11"/>
  <c r="AW121" i="11"/>
  <c r="AW99" i="11"/>
  <c r="AW123" i="11"/>
  <c r="AW64" i="11"/>
  <c r="AW35" i="11"/>
  <c r="AW98" i="11"/>
  <c r="AW83" i="11"/>
  <c r="AW65" i="11"/>
  <c r="AW43" i="11"/>
  <c r="AW105" i="11"/>
  <c r="AW75" i="11"/>
  <c r="AW37" i="11"/>
  <c r="I10" i="8"/>
  <c r="AR346" i="7"/>
  <c r="AW118" i="11"/>
  <c r="AW114" i="11"/>
  <c r="AW85" i="11"/>
  <c r="AW86" i="11"/>
  <c r="AW72" i="11"/>
  <c r="AW112" i="11"/>
  <c r="AW20" i="11"/>
  <c r="AW32" i="11"/>
  <c r="AW36" i="11"/>
  <c r="AW38" i="11"/>
  <c r="AW82" i="11"/>
  <c r="AW80" i="11"/>
  <c r="AW126" i="11"/>
  <c r="AW46" i="11"/>
  <c r="AW73" i="11"/>
  <c r="AW51" i="11"/>
  <c r="AW44" i="11"/>
  <c r="AW128" i="11"/>
  <c r="AW71" i="11"/>
  <c r="AW48" i="11"/>
  <c r="AW30" i="11"/>
  <c r="X10" i="8"/>
  <c r="T39" i="21"/>
  <c r="T43" i="21"/>
  <c r="AR334" i="7"/>
  <c r="AR342" i="7"/>
  <c r="AR325" i="7"/>
  <c r="N9" i="10"/>
  <c r="AR343" i="7"/>
  <c r="AE9" i="10"/>
  <c r="AR348" i="7"/>
  <c r="AR338" i="7"/>
  <c r="AF8" i="10"/>
  <c r="AB47" i="9" s="1"/>
  <c r="AB51" i="9" s="1"/>
  <c r="AB64" i="9" s="1"/>
  <c r="AB74" i="9" s="1"/>
  <c r="AB3" i="20" s="1"/>
  <c r="AR337" i="7"/>
  <c r="AM9" i="10"/>
  <c r="AI62" i="9" s="1"/>
  <c r="AI68" i="9" s="1"/>
  <c r="AI4" i="8" s="1"/>
  <c r="AN4" i="21"/>
  <c r="AN53" i="21" s="1"/>
  <c r="AN54" i="21" s="1"/>
  <c r="AR4" i="22"/>
  <c r="AR331" i="7"/>
  <c r="AA46" i="21"/>
  <c r="AA47" i="21" s="1"/>
  <c r="AA48" i="21" s="1"/>
  <c r="AA53" i="21"/>
  <c r="AA54" i="21" s="1"/>
  <c r="AA43" i="21"/>
  <c r="AA39" i="21"/>
  <c r="AM10" i="10"/>
  <c r="AI53" i="9" s="1"/>
  <c r="AI60" i="9" s="1"/>
  <c r="AI66" i="9" s="1"/>
  <c r="AI5" i="20" s="1"/>
  <c r="AM8" i="10"/>
  <c r="AI47" i="9" s="1"/>
  <c r="AI51" i="9" s="1"/>
  <c r="AI64" i="9" s="1"/>
  <c r="AI74" i="9" s="1"/>
  <c r="AI3" i="20" s="1"/>
  <c r="AR347" i="7"/>
  <c r="AR341" i="7"/>
  <c r="AR340" i="7"/>
  <c r="AR344" i="7"/>
  <c r="O9" i="10"/>
  <c r="AE8" i="10"/>
  <c r="AF9" i="10"/>
  <c r="AB62" i="9" s="1"/>
  <c r="AB68" i="9" s="1"/>
  <c r="AB4" i="8" s="1"/>
  <c r="N10" i="10"/>
  <c r="U55" i="21"/>
  <c r="U10" i="8"/>
  <c r="AE10" i="10"/>
  <c r="N8" i="10"/>
  <c r="AR8" i="10"/>
  <c r="U49" i="21"/>
  <c r="U11" i="8"/>
  <c r="O10" i="10"/>
  <c r="O8" i="10"/>
  <c r="AT351" i="7"/>
  <c r="AT366" i="7" s="1"/>
  <c r="AR330" i="7"/>
  <c r="AF10" i="10"/>
  <c r="AB53" i="9" s="1"/>
  <c r="AB60" i="9" s="1"/>
  <c r="AB66" i="9" s="1"/>
  <c r="AB5" i="20" s="1"/>
  <c r="AT361" i="7"/>
  <c r="AT376" i="7" s="1"/>
  <c r="AR326" i="7"/>
  <c r="AR335" i="7"/>
  <c r="AR10" i="10"/>
  <c r="AR386" i="7"/>
  <c r="AR332" i="7"/>
  <c r="AR336" i="7"/>
  <c r="J36" i="8"/>
  <c r="J39" i="8" s="1"/>
  <c r="J40" i="8" s="1"/>
  <c r="AA36" i="8"/>
  <c r="AA39" i="8" s="1"/>
  <c r="AA40" i="8" s="1"/>
  <c r="AP64" i="21"/>
  <c r="AP77" i="21"/>
  <c r="AP62" i="21"/>
  <c r="AP60" i="21"/>
  <c r="AP61" i="21"/>
  <c r="AP76" i="21"/>
  <c r="AE62" i="9"/>
  <c r="AE68" i="9" s="1"/>
  <c r="U47" i="9"/>
  <c r="U51" i="9" s="1"/>
  <c r="U64" i="9" s="1"/>
  <c r="K4" i="21"/>
  <c r="K44" i="15"/>
  <c r="K45" i="15" s="1"/>
  <c r="K46" i="15" s="1"/>
  <c r="K4" i="9"/>
  <c r="K4" i="20"/>
  <c r="U53" i="9"/>
  <c r="U60" i="9" s="1"/>
  <c r="U66" i="9" s="1"/>
  <c r="AE53" i="9"/>
  <c r="AE60" i="9" s="1"/>
  <c r="AE66" i="9" s="1"/>
  <c r="U40" i="8"/>
  <c r="U41" i="8"/>
  <c r="U23" i="13" s="1"/>
  <c r="U22" i="13"/>
  <c r="AE40" i="8"/>
  <c r="AE41" i="8"/>
  <c r="AE22" i="13"/>
  <c r="U62" i="9"/>
  <c r="U68" i="9" s="1"/>
  <c r="AE47" i="9"/>
  <c r="AE51" i="9" s="1"/>
  <c r="AE64" i="9" s="1"/>
  <c r="R4" i="21"/>
  <c r="R4" i="20"/>
  <c r="R4" i="9"/>
  <c r="R44" i="15"/>
  <c r="R45" i="15" s="1"/>
  <c r="R46" i="15" s="1"/>
  <c r="K36" i="8"/>
  <c r="K39" i="8" s="1"/>
  <c r="AT257" i="7"/>
  <c r="AT272" i="7" s="1"/>
  <c r="AT261" i="7"/>
  <c r="AT276" i="7" s="1"/>
  <c r="AT269" i="7"/>
  <c r="AT284" i="7" s="1"/>
  <c r="AS119" i="7"/>
  <c r="AS120" i="7" s="1"/>
  <c r="AS141" i="7" s="1"/>
  <c r="AU69" i="7"/>
  <c r="AU84" i="7" s="1"/>
  <c r="AT267" i="7"/>
  <c r="AT282" i="7" s="1"/>
  <c r="AT258" i="7"/>
  <c r="AT273" i="7" s="1"/>
  <c r="AT268" i="7"/>
  <c r="AT283" i="7" s="1"/>
  <c r="AT263" i="7"/>
  <c r="AT278" i="7" s="1"/>
  <c r="AQ194" i="14"/>
  <c r="AQ195" i="14" s="1"/>
  <c r="AQ196" i="14" s="1"/>
  <c r="AQ197" i="14" s="1"/>
  <c r="S82" i="9"/>
  <c r="AU73" i="7"/>
  <c r="AU88" i="7" s="1"/>
  <c r="AU74" i="7"/>
  <c r="AU89" i="7" s="1"/>
  <c r="AT259" i="7"/>
  <c r="AT274" i="7" s="1"/>
  <c r="AS212" i="7"/>
  <c r="AS213" i="7" s="1"/>
  <c r="AU80" i="7"/>
  <c r="AU95" i="7" s="1"/>
  <c r="AR41" i="7"/>
  <c r="AR99" i="7" s="1"/>
  <c r="AR67" i="14" s="1"/>
  <c r="AR68" i="14" s="1"/>
  <c r="AR72" i="14" s="1"/>
  <c r="AR73" i="14" s="1"/>
  <c r="AR74" i="14" s="1"/>
  <c r="AR75" i="14" s="1"/>
  <c r="AR76" i="14" s="1"/>
  <c r="AR77" i="14" s="1"/>
  <c r="AR82" i="14" s="1"/>
  <c r="AR85" i="14" s="1"/>
  <c r="AS217" i="7"/>
  <c r="AS254" i="7" s="1"/>
  <c r="AU78" i="7"/>
  <c r="AU93" i="7" s="1"/>
  <c r="AT265" i="7"/>
  <c r="AT280" i="7" s="1"/>
  <c r="AT264" i="7"/>
  <c r="AT279" i="7" s="1"/>
  <c r="AS222" i="7"/>
  <c r="AS223" i="7" s="1"/>
  <c r="AU76" i="7"/>
  <c r="AU91" i="7" s="1"/>
  <c r="AT262" i="7"/>
  <c r="AT277" i="7" s="1"/>
  <c r="AU77" i="7"/>
  <c r="AU92" i="7" s="1"/>
  <c r="AT266" i="7"/>
  <c r="AT281" i="7" s="1"/>
  <c r="AU81" i="7"/>
  <c r="AU96" i="7" s="1"/>
  <c r="AT204" i="7"/>
  <c r="AQ69" i="14"/>
  <c r="AQ86" i="14" s="1"/>
  <c r="AQ87" i="14" s="1"/>
  <c r="AQ89" i="14" s="1"/>
  <c r="AT21" i="7"/>
  <c r="AT39" i="7"/>
  <c r="AT40" i="7" s="1"/>
  <c r="AT169" i="7"/>
  <c r="AT184" i="7" s="1"/>
  <c r="AT159" i="7"/>
  <c r="AT174" i="7" s="1"/>
  <c r="AU103" i="7"/>
  <c r="AU106" i="7" s="1"/>
  <c r="AU108" i="7" s="1"/>
  <c r="AU111" i="7" s="1"/>
  <c r="AT35" i="7"/>
  <c r="AT45" i="7" s="1"/>
  <c r="AQ131" i="7"/>
  <c r="AQ194" i="7" s="1"/>
  <c r="AQ92" i="14" s="1"/>
  <c r="AQ93" i="14" s="1"/>
  <c r="AQ97" i="14" s="1"/>
  <c r="AQ98" i="14" s="1"/>
  <c r="AQ99" i="14" s="1"/>
  <c r="AS226" i="7"/>
  <c r="AS227" i="7" s="1"/>
  <c r="AS58" i="7"/>
  <c r="AT25" i="7"/>
  <c r="AT43" i="7" s="1"/>
  <c r="AQ323" i="7"/>
  <c r="AQ388" i="7" s="1"/>
  <c r="AQ142" i="14" s="1"/>
  <c r="AQ143" i="14" s="1"/>
  <c r="AQ147" i="14" s="1"/>
  <c r="AQ148" i="14" s="1"/>
  <c r="AQ149" i="14" s="1"/>
  <c r="AQ150" i="14" s="1"/>
  <c r="AQ151" i="14" s="1"/>
  <c r="AQ152" i="14" s="1"/>
  <c r="AQ157" i="14" s="1"/>
  <c r="AQ160" i="14" s="1"/>
  <c r="AU71" i="7"/>
  <c r="AU86" i="7" s="1"/>
  <c r="AU295" i="7"/>
  <c r="AU296" i="7" s="1"/>
  <c r="AU351" i="7" s="1"/>
  <c r="AU366" i="7" s="1"/>
  <c r="AS320" i="7"/>
  <c r="AS321" i="7" s="1"/>
  <c r="AS339" i="7" s="1"/>
  <c r="AT168" i="7"/>
  <c r="AT183" i="7" s="1"/>
  <c r="AT170" i="7"/>
  <c r="AT185" i="7" s="1"/>
  <c r="AT171" i="7"/>
  <c r="AT186" i="7" s="1"/>
  <c r="AT166" i="7"/>
  <c r="AT181" i="7" s="1"/>
  <c r="AS311" i="7"/>
  <c r="AS312" i="7" s="1"/>
  <c r="AS333" i="7" s="1"/>
  <c r="AT160" i="7"/>
  <c r="AT175" i="7" s="1"/>
  <c r="AT163" i="7"/>
  <c r="AT178" i="7" s="1"/>
  <c r="AT108" i="7"/>
  <c r="AT111" i="7" s="1"/>
  <c r="AT161" i="7"/>
  <c r="AT176" i="7" s="1"/>
  <c r="AT164" i="7"/>
  <c r="AT179" i="7" s="1"/>
  <c r="AS208" i="7"/>
  <c r="AT30" i="7"/>
  <c r="AT42" i="7" s="1"/>
  <c r="AS306" i="7"/>
  <c r="AS307" i="7" s="1"/>
  <c r="AS345" i="7" s="1"/>
  <c r="AT68" i="7"/>
  <c r="AT83" i="7" s="1"/>
  <c r="AT98" i="7" s="1"/>
  <c r="AT167" i="7"/>
  <c r="AT182" i="7" s="1"/>
  <c r="AT162" i="7"/>
  <c r="AT177" i="7" s="1"/>
  <c r="AS350" i="7"/>
  <c r="AS365" i="7" s="1"/>
  <c r="AS380" i="7" s="1"/>
  <c r="AS302" i="7"/>
  <c r="AS256" i="7"/>
  <c r="AS271" i="7" s="1"/>
  <c r="AS286" i="7" s="1"/>
  <c r="AS316" i="7"/>
  <c r="AS317" i="7" s="1"/>
  <c r="AS328" i="7" s="1"/>
  <c r="AQ62" i="14"/>
  <c r="AQ63" i="14" s="1"/>
  <c r="AQ61" i="14"/>
  <c r="AW12" i="14"/>
  <c r="AS58" i="14"/>
  <c r="AS59" i="14" s="1"/>
  <c r="AS60" i="14" s="1"/>
  <c r="AS62" i="14" s="1"/>
  <c r="AS63" i="14" s="1"/>
  <c r="BG49" i="21"/>
  <c r="BG51" i="21" s="1"/>
  <c r="AP61" i="14"/>
  <c r="AP64" i="14" s="1"/>
  <c r="AP65" i="14" s="1"/>
  <c r="AR53" i="14"/>
  <c r="AR54" i="14"/>
  <c r="AR55" i="14" s="1"/>
  <c r="AR56" i="14" s="1"/>
  <c r="AR57" i="14" s="1"/>
  <c r="T46" i="15"/>
  <c r="X210" i="14"/>
  <c r="X211" i="14" s="1"/>
  <c r="X213" i="14" s="1"/>
  <c r="X215" i="14" s="1"/>
  <c r="W210" i="14"/>
  <c r="W211" i="14" s="1"/>
  <c r="W213" i="14" s="1"/>
  <c r="W215" i="14" s="1"/>
  <c r="AS190" i="14"/>
  <c r="AS192" i="14" s="1"/>
  <c r="AR190" i="14"/>
  <c r="AR189" i="14"/>
  <c r="AP194" i="14"/>
  <c r="AP195" i="14" s="1"/>
  <c r="AP193" i="14"/>
  <c r="AB210" i="14"/>
  <c r="AB211" i="14" s="1"/>
  <c r="AB213" i="14" s="1"/>
  <c r="AB215" i="14" s="1"/>
  <c r="AR3" i="21"/>
  <c r="AR7" i="21" s="1"/>
  <c r="AR3" i="15"/>
  <c r="T36" i="21"/>
  <c r="T47" i="21" s="1"/>
  <c r="T48" i="21" s="1"/>
  <c r="T53" i="21"/>
  <c r="T54" i="21" s="1"/>
  <c r="BG55" i="21"/>
  <c r="BG57" i="21" s="1"/>
  <c r="AV178" i="14"/>
  <c r="AV177" i="14"/>
  <c r="AV176" i="14"/>
  <c r="AV179" i="14" s="1"/>
  <c r="AV181" i="14" s="1"/>
  <c r="AV10" i="14"/>
  <c r="T53" i="9"/>
  <c r="T60" i="9" s="1"/>
  <c r="T66" i="9" s="1"/>
  <c r="T5" i="20" s="1"/>
  <c r="T47" i="9"/>
  <c r="T51" i="9" s="1"/>
  <c r="T64" i="9" s="1"/>
  <c r="T74" i="9" s="1"/>
  <c r="T3" i="20" s="1"/>
  <c r="T62" i="9"/>
  <c r="T68" i="9" s="1"/>
  <c r="T71" i="9" s="1"/>
  <c r="AW11" i="14"/>
  <c r="AW169" i="14"/>
  <c r="T22" i="13"/>
  <c r="T40" i="8"/>
  <c r="T41" i="8"/>
  <c r="T23" i="13" s="1"/>
  <c r="AT14" i="14"/>
  <c r="AT25" i="14" s="1"/>
  <c r="AT171" i="14"/>
  <c r="AT184" i="14" s="1"/>
  <c r="AU14" i="14"/>
  <c r="AU25" i="14" s="1"/>
  <c r="AU171" i="14"/>
  <c r="AU184" i="14" s="1"/>
  <c r="Z80" i="9"/>
  <c r="Z81" i="9" s="1"/>
  <c r="Z82" i="9" s="1"/>
  <c r="Z74" i="9"/>
  <c r="Z3" i="20" s="1"/>
  <c r="Z7" i="20" s="1"/>
  <c r="Z5" i="8" s="1"/>
  <c r="Z43" i="8" s="1"/>
  <c r="Z4" i="8"/>
  <c r="Z86" i="9"/>
  <c r="Z87" i="9" s="1"/>
  <c r="Z88" i="9" s="1"/>
  <c r="AS49" i="7"/>
  <c r="AS50" i="7"/>
  <c r="AS55" i="7"/>
  <c r="AQ229" i="7"/>
  <c r="AQ288" i="7" s="1"/>
  <c r="AQ117" i="14" s="1"/>
  <c r="AQ118" i="14" s="1"/>
  <c r="AQ122" i="14" s="1"/>
  <c r="AQ123" i="14" s="1"/>
  <c r="AQ124" i="14" s="1"/>
  <c r="AQ125" i="14" s="1"/>
  <c r="AQ126" i="14" s="1"/>
  <c r="AQ127" i="14" s="1"/>
  <c r="AQ132" i="14" s="1"/>
  <c r="AQ135" i="14" s="1"/>
  <c r="AS45" i="7"/>
  <c r="AS42" i="7"/>
  <c r="AS52" i="7"/>
  <c r="AS44" i="7"/>
  <c r="AS61" i="7"/>
  <c r="AS66" i="7"/>
  <c r="AS31" i="7"/>
  <c r="AS60" i="7"/>
  <c r="AS110" i="7"/>
  <c r="AS56" i="7"/>
  <c r="AS65" i="7"/>
  <c r="AS64" i="7"/>
  <c r="AS124" i="7"/>
  <c r="AS125" i="7" s="1"/>
  <c r="AS128" i="7"/>
  <c r="AS129" i="7" s="1"/>
  <c r="AS147" i="7" s="1"/>
  <c r="AS114" i="7"/>
  <c r="AS115" i="7" s="1"/>
  <c r="AS153" i="7" s="1"/>
  <c r="AS158" i="7"/>
  <c r="AS173" i="7" s="1"/>
  <c r="AS188" i="7" s="1"/>
  <c r="AV16" i="14"/>
  <c r="AV18" i="14" s="1"/>
  <c r="AV19" i="14" s="1"/>
  <c r="AV21" i="14" s="1"/>
  <c r="AV17" i="14"/>
  <c r="AU72" i="7"/>
  <c r="AU87" i="7" s="1"/>
  <c r="AS47" i="7"/>
  <c r="AW7" i="14"/>
  <c r="AW174" i="14" s="1"/>
  <c r="AW9" i="14"/>
  <c r="AW6" i="14"/>
  <c r="AW173" i="14" s="1"/>
  <c r="AW8" i="14"/>
  <c r="AW5" i="14"/>
  <c r="AW172" i="14" s="1"/>
  <c r="AS57" i="7"/>
  <c r="AU201" i="7"/>
  <c r="AU202" i="7" s="1"/>
  <c r="AS62" i="7"/>
  <c r="AU70" i="7"/>
  <c r="AU85" i="7" s="1"/>
  <c r="AU17" i="7"/>
  <c r="AS54" i="7"/>
  <c r="AU79" i="7"/>
  <c r="AU94" i="7" s="1"/>
  <c r="AS46" i="7"/>
  <c r="AS48" i="7"/>
  <c r="AS43" i="7"/>
  <c r="AS51" i="7"/>
  <c r="AS53" i="7"/>
  <c r="AS59" i="7"/>
  <c r="AS26" i="7"/>
  <c r="AS63" i="7"/>
  <c r="AU49" i="14"/>
  <c r="AU50" i="14" s="1"/>
  <c r="AU6" i="24" s="1"/>
  <c r="AV13" i="7"/>
  <c r="AV14" i="7" s="1"/>
  <c r="AV15" i="7" s="1"/>
  <c r="AQ63" i="21"/>
  <c r="N389" i="7"/>
  <c r="AP90" i="14"/>
  <c r="E5" i="7"/>
  <c r="E14" i="13" s="1"/>
  <c r="E195" i="7"/>
  <c r="E165" i="14"/>
  <c r="E389" i="7" s="1"/>
  <c r="AP89" i="14"/>
  <c r="AV48" i="14"/>
  <c r="AP119" i="14"/>
  <c r="AP125" i="14"/>
  <c r="AP126" i="14" s="1"/>
  <c r="AP127" i="14" s="1"/>
  <c r="AP132" i="14" s="1"/>
  <c r="AP135" i="14" s="1"/>
  <c r="AQ71" i="21"/>
  <c r="AQ60" i="21"/>
  <c r="AQ79" i="21"/>
  <c r="AW12" i="7"/>
  <c r="AW9" i="7"/>
  <c r="AW10" i="7"/>
  <c r="AU44" i="14"/>
  <c r="AU19" i="13" s="1"/>
  <c r="AS3" i="15"/>
  <c r="AS5" i="15" s="1"/>
  <c r="AY4" i="11" s="1"/>
  <c r="AS4" i="17"/>
  <c r="AS7" i="17" s="1"/>
  <c r="AS8" i="17" s="1"/>
  <c r="AS9" i="17" s="1"/>
  <c r="AS11" i="17" s="1"/>
  <c r="AS12" i="17" s="1"/>
  <c r="AS3" i="21"/>
  <c r="AS7" i="21" s="1"/>
  <c r="AQ3" i="9"/>
  <c r="AU6" i="10" s="1"/>
  <c r="AQ3" i="8"/>
  <c r="AQ25" i="15"/>
  <c r="AQ26" i="15"/>
  <c r="AY3" i="24"/>
  <c r="AX3" i="7"/>
  <c r="AX3" i="17"/>
  <c r="AX5" i="17" s="1"/>
  <c r="AX3" i="14"/>
  <c r="AQ17" i="17"/>
  <c r="AQ14" i="17"/>
  <c r="AQ28" i="13" s="1"/>
  <c r="AQ78" i="21"/>
  <c r="AR229" i="7"/>
  <c r="AR288" i="7" s="1"/>
  <c r="AR117" i="14" s="1"/>
  <c r="AR118" i="14" s="1"/>
  <c r="AQ62" i="21"/>
  <c r="AR15" i="17"/>
  <c r="AR27" i="13" s="1"/>
  <c r="AQ76" i="21"/>
  <c r="AQ61" i="21"/>
  <c r="AQ14" i="21"/>
  <c r="AQ11" i="21"/>
  <c r="AQ17" i="21"/>
  <c r="AQ34" i="21"/>
  <c r="AV47" i="14"/>
  <c r="AQ64" i="21"/>
  <c r="AP27" i="9"/>
  <c r="AP28" i="9" s="1"/>
  <c r="AT4" i="10" s="1"/>
  <c r="AP17" i="9"/>
  <c r="AP18" i="9" s="1"/>
  <c r="AT2" i="10" s="1"/>
  <c r="AP33" i="9"/>
  <c r="AP34" i="9" s="1"/>
  <c r="AT5" i="10" s="1"/>
  <c r="AP11" i="9"/>
  <c r="AP12" i="9" s="1"/>
  <c r="AP38" i="9"/>
  <c r="AP39" i="9" s="1"/>
  <c r="AP22" i="9"/>
  <c r="AP23" i="9" s="1"/>
  <c r="AT3" i="10" s="1"/>
  <c r="AP36" i="9"/>
  <c r="AT7" i="10" s="1"/>
  <c r="AP41" i="9"/>
  <c r="AP42" i="9" s="1"/>
  <c r="AP50" i="9" s="1"/>
  <c r="AP44" i="9"/>
  <c r="AP45" i="9" s="1"/>
  <c r="AP55" i="9" s="1"/>
  <c r="AV42" i="14"/>
  <c r="AV36" i="14"/>
  <c r="AQ77" i="21"/>
  <c r="AQ72" i="21"/>
  <c r="Y154" i="14"/>
  <c r="Y165" i="14" s="1"/>
  <c r="Q165" i="14"/>
  <c r="Q140" i="14"/>
  <c r="Q6" i="7" s="1"/>
  <c r="Q15" i="13" s="1"/>
  <c r="P165" i="14"/>
  <c r="P389" i="7" s="1"/>
  <c r="AH6" i="7"/>
  <c r="AH15" i="13" s="1"/>
  <c r="Q104" i="14"/>
  <c r="Q115" i="14" s="1"/>
  <c r="E4" i="7"/>
  <c r="E13" i="13" s="1"/>
  <c r="E100" i="7"/>
  <c r="E3" i="23" s="1"/>
  <c r="M7" i="20"/>
  <c r="M5" i="8" s="1"/>
  <c r="M43" i="8" s="1"/>
  <c r="AC6" i="7"/>
  <c r="AC15" i="13" s="1"/>
  <c r="AC289" i="7"/>
  <c r="AC13" i="23" s="1"/>
  <c r="P23" i="13"/>
  <c r="M51" i="21"/>
  <c r="Y23" i="13"/>
  <c r="BG23" i="13"/>
  <c r="BG50" i="8"/>
  <c r="BG25" i="13" s="1"/>
  <c r="AI389" i="7"/>
  <c r="AI5" i="7"/>
  <c r="AI14" i="13" s="1"/>
  <c r="AI6" i="7"/>
  <c r="AI15" i="13" s="1"/>
  <c r="AI289" i="7"/>
  <c r="AI13" i="23" s="1"/>
  <c r="AP154" i="14"/>
  <c r="AP165" i="14" s="1"/>
  <c r="AN115" i="14"/>
  <c r="AN195" i="7" s="1"/>
  <c r="AN154" i="14"/>
  <c r="AN165" i="14" s="1"/>
  <c r="AI4" i="7"/>
  <c r="AI13" i="13" s="1"/>
  <c r="AJ3" i="14" s="1"/>
  <c r="AN129" i="14"/>
  <c r="AN140" i="14" s="1"/>
  <c r="AN4" i="7"/>
  <c r="AN13" i="13" s="1"/>
  <c r="S13" i="20"/>
  <c r="S14" i="20" s="1"/>
  <c r="S15" i="20" s="1"/>
  <c r="AG5" i="7"/>
  <c r="AG14" i="13" s="1"/>
  <c r="AN36" i="8"/>
  <c r="AN39" i="8" s="1"/>
  <c r="AN41" i="8" s="1"/>
  <c r="AN44" i="15"/>
  <c r="AN45" i="15" s="1"/>
  <c r="AN46" i="15" s="1"/>
  <c r="AN4" i="9"/>
  <c r="AN4" i="20"/>
  <c r="W57" i="21"/>
  <c r="N56" i="21"/>
  <c r="Q50" i="21"/>
  <c r="O56" i="21"/>
  <c r="I50" i="21"/>
  <c r="G56" i="21"/>
  <c r="BG74" i="9"/>
  <c r="BG3" i="20" s="1"/>
  <c r="BG80" i="9"/>
  <c r="X56" i="21"/>
  <c r="BG86" i="9"/>
  <c r="BG5" i="20"/>
  <c r="I57" i="21"/>
  <c r="BG71" i="9"/>
  <c r="BG4" i="8"/>
  <c r="AM3" i="7"/>
  <c r="AM3" i="17"/>
  <c r="AM5" i="17" s="1"/>
  <c r="AK3" i="17"/>
  <c r="AK5" i="17" s="1"/>
  <c r="AK3" i="7"/>
  <c r="AJ9" i="7"/>
  <c r="AJ13" i="7" s="1"/>
  <c r="AJ14" i="7" s="1"/>
  <c r="AJ15" i="7" s="1"/>
  <c r="AJ12" i="7"/>
  <c r="AJ10" i="7"/>
  <c r="Z57" i="21"/>
  <c r="H56" i="21"/>
  <c r="Y51" i="21"/>
  <c r="O80" i="9"/>
  <c r="O81" i="9" s="1"/>
  <c r="O83" i="9" s="1"/>
  <c r="AR75" i="9"/>
  <c r="AS75" i="9" s="1"/>
  <c r="G7" i="20"/>
  <c r="G5" i="8" s="1"/>
  <c r="AH86" i="9"/>
  <c r="AH87" i="9" s="1"/>
  <c r="AH88" i="9" s="1"/>
  <c r="AH5" i="20"/>
  <c r="AG56" i="21"/>
  <c r="W12" i="20"/>
  <c r="W6" i="8" s="1"/>
  <c r="AG49" i="21"/>
  <c r="AG51" i="21" s="1"/>
  <c r="AF74" i="9"/>
  <c r="AF3" i="20" s="1"/>
  <c r="AF7" i="20" s="1"/>
  <c r="AF5" i="8" s="1"/>
  <c r="AF80" i="9"/>
  <c r="AF86" i="9"/>
  <c r="AF87" i="9" s="1"/>
  <c r="AF88" i="9" s="1"/>
  <c r="AF55" i="21"/>
  <c r="AF57" i="21" s="1"/>
  <c r="AD74" i="9"/>
  <c r="AD3" i="20" s="1"/>
  <c r="AD80" i="9"/>
  <c r="AD55" i="21"/>
  <c r="AD57" i="21" s="1"/>
  <c r="AF71" i="9"/>
  <c r="AD49" i="21"/>
  <c r="AD51" i="21" s="1"/>
  <c r="AC55" i="21"/>
  <c r="AC57" i="21" s="1"/>
  <c r="AC49" i="21"/>
  <c r="AC50" i="21" s="1"/>
  <c r="AH71" i="9"/>
  <c r="G50" i="21"/>
  <c r="AF47" i="21"/>
  <c r="AF48" i="21" s="1"/>
  <c r="AF11" i="8" s="1"/>
  <c r="X50" i="21"/>
  <c r="AE55" i="21"/>
  <c r="AE57" i="21" s="1"/>
  <c r="AD71" i="9"/>
  <c r="AC71" i="9"/>
  <c r="AE49" i="21"/>
  <c r="AE51" i="21" s="1"/>
  <c r="AH74" i="9"/>
  <c r="AH3" i="20" s="1"/>
  <c r="AH80" i="9"/>
  <c r="N12" i="20"/>
  <c r="N6" i="8" s="1"/>
  <c r="H51" i="21"/>
  <c r="O50" i="21"/>
  <c r="F19" i="8"/>
  <c r="F27" i="8" s="1"/>
  <c r="F38" i="8" s="1"/>
  <c r="F44" i="8"/>
  <c r="F47" i="8" s="1"/>
  <c r="F48" i="8" s="1"/>
  <c r="L12" i="20"/>
  <c r="L6" i="8" s="1"/>
  <c r="Q12" i="20"/>
  <c r="Q6" i="8" s="1"/>
  <c r="H7" i="20"/>
  <c r="G12" i="20"/>
  <c r="G6" i="8" s="1"/>
  <c r="I7" i="20"/>
  <c r="I5" i="8" s="1"/>
  <c r="L81" i="9"/>
  <c r="L83" i="9" s="1"/>
  <c r="P5" i="20"/>
  <c r="P86" i="9"/>
  <c r="M81" i="9"/>
  <c r="M83" i="9" s="1"/>
  <c r="I87" i="9"/>
  <c r="N81" i="9"/>
  <c r="N83" i="9" s="1"/>
  <c r="G87" i="9"/>
  <c r="G88" i="9" s="1"/>
  <c r="G89" i="9" s="1"/>
  <c r="Q87" i="9"/>
  <c r="Q88" i="9" s="1"/>
  <c r="W81" i="9"/>
  <c r="W82" i="9" s="1"/>
  <c r="Q81" i="9"/>
  <c r="Q82" i="9" s="1"/>
  <c r="M87" i="9"/>
  <c r="M88" i="9" s="1"/>
  <c r="N87" i="9"/>
  <c r="N88" i="9" s="1"/>
  <c r="V87" i="9"/>
  <c r="V88" i="9" s="1"/>
  <c r="V89" i="9" s="1"/>
  <c r="Y5" i="20"/>
  <c r="Y86" i="9"/>
  <c r="O5" i="20"/>
  <c r="O86" i="9"/>
  <c r="I81" i="9"/>
  <c r="I82" i="9" s="1"/>
  <c r="L7" i="20"/>
  <c r="L5" i="8" s="1"/>
  <c r="L43" i="8" s="1"/>
  <c r="H81" i="9"/>
  <c r="H83" i="9" s="1"/>
  <c r="P80" i="9"/>
  <c r="M12" i="20"/>
  <c r="M6" i="8" s="1"/>
  <c r="V81" i="9"/>
  <c r="V83" i="9" s="1"/>
  <c r="L87" i="9"/>
  <c r="L88" i="9" s="1"/>
  <c r="L89" i="9" s="1"/>
  <c r="AC86" i="9"/>
  <c r="AC80" i="9"/>
  <c r="H87" i="9"/>
  <c r="H88" i="9" s="1"/>
  <c r="H89" i="9" s="1"/>
  <c r="G81" i="9"/>
  <c r="G83" i="9" s="1"/>
  <c r="Y80" i="9"/>
  <c r="S10" i="20"/>
  <c r="N9" i="20"/>
  <c r="N8" i="20"/>
  <c r="N10" i="20"/>
  <c r="S8" i="20"/>
  <c r="S9" i="20"/>
  <c r="W7" i="20"/>
  <c r="W5" i="8" s="1"/>
  <c r="P74" i="9"/>
  <c r="P3" i="20" s="1"/>
  <c r="V7" i="20"/>
  <c r="V12" i="20"/>
  <c r="Q7" i="20"/>
  <c r="Q5" i="8" s="1"/>
  <c r="Y74" i="9"/>
  <c r="Y3" i="20" s="1"/>
  <c r="O74" i="9"/>
  <c r="O3" i="20" s="1"/>
  <c r="AC5" i="20"/>
  <c r="X74" i="9"/>
  <c r="X3" i="20" s="1"/>
  <c r="O4" i="8"/>
  <c r="Y4" i="8"/>
  <c r="P71" i="9"/>
  <c r="X53" i="9"/>
  <c r="X60" i="9" s="1"/>
  <c r="X77" i="9" s="1"/>
  <c r="X71" i="9"/>
  <c r="X4" i="8"/>
  <c r="I13" i="20"/>
  <c r="I14" i="20" s="1"/>
  <c r="I15" i="20" s="1"/>
  <c r="I6" i="8"/>
  <c r="H13" i="20"/>
  <c r="H14" i="20" s="1"/>
  <c r="H15" i="20" s="1"/>
  <c r="AD100" i="7"/>
  <c r="AD3" i="23" s="1"/>
  <c r="AD4" i="7"/>
  <c r="AD13" i="13" s="1"/>
  <c r="AA5" i="7"/>
  <c r="AA14" i="13" s="1"/>
  <c r="AA195" i="7"/>
  <c r="AA100" i="7"/>
  <c r="AA3" i="23" s="1"/>
  <c r="AA4" i="7"/>
  <c r="AA13" i="13" s="1"/>
  <c r="AA289" i="7"/>
  <c r="AA13" i="23" s="1"/>
  <c r="AA6" i="7"/>
  <c r="AA15" i="13" s="1"/>
  <c r="Z5" i="7"/>
  <c r="Z14" i="13" s="1"/>
  <c r="Z195" i="7"/>
  <c r="I389" i="7"/>
  <c r="I7" i="7"/>
  <c r="I16" i="13" s="1"/>
  <c r="J289" i="7"/>
  <c r="J13" i="23" s="1"/>
  <c r="J6" i="7"/>
  <c r="J15" i="13" s="1"/>
  <c r="F389" i="7"/>
  <c r="F7" i="7"/>
  <c r="F16" i="13" s="1"/>
  <c r="J389" i="7"/>
  <c r="J7" i="7"/>
  <c r="J16" i="13" s="1"/>
  <c r="I195" i="7"/>
  <c r="I5" i="7"/>
  <c r="I14" i="13" s="1"/>
  <c r="L100" i="7"/>
  <c r="L3" i="23" s="1"/>
  <c r="L4" i="7"/>
  <c r="L13" i="13" s="1"/>
  <c r="V289" i="7"/>
  <c r="V13" i="23" s="1"/>
  <c r="V6" i="7"/>
  <c r="V15" i="13" s="1"/>
  <c r="L195" i="7"/>
  <c r="L5" i="7"/>
  <c r="L14" i="13" s="1"/>
  <c r="M389" i="7"/>
  <c r="M7" i="7"/>
  <c r="M16" i="13" s="1"/>
  <c r="G389" i="7"/>
  <c r="G7" i="7"/>
  <c r="G16" i="13" s="1"/>
  <c r="X195" i="7"/>
  <c r="X5" i="7"/>
  <c r="X14" i="13" s="1"/>
  <c r="P289" i="7"/>
  <c r="P13" i="23" s="1"/>
  <c r="P6" i="7"/>
  <c r="P15" i="13" s="1"/>
  <c r="N4" i="7"/>
  <c r="N13" i="13" s="1"/>
  <c r="N100" i="7"/>
  <c r="N3" i="23" s="1"/>
  <c r="G289" i="7"/>
  <c r="G13" i="23" s="1"/>
  <c r="G6" i="7"/>
  <c r="G15" i="13" s="1"/>
  <c r="K389" i="7"/>
  <c r="K7" i="7"/>
  <c r="K16" i="13" s="1"/>
  <c r="O4" i="7"/>
  <c r="O13" i="13" s="1"/>
  <c r="O100" i="7"/>
  <c r="O3" i="23" s="1"/>
  <c r="M195" i="7"/>
  <c r="M5" i="7"/>
  <c r="M14" i="13" s="1"/>
  <c r="L289" i="7"/>
  <c r="L13" i="23" s="1"/>
  <c r="L6" i="7"/>
  <c r="L15" i="13" s="1"/>
  <c r="X289" i="7"/>
  <c r="X13" i="23" s="1"/>
  <c r="X6" i="7"/>
  <c r="X15" i="13" s="1"/>
  <c r="Y289" i="7"/>
  <c r="Y13" i="23" s="1"/>
  <c r="Y6" i="7"/>
  <c r="Y15" i="13" s="1"/>
  <c r="E6" i="7"/>
  <c r="E15" i="13" s="1"/>
  <c r="E289" i="7"/>
  <c r="E13" i="23" s="1"/>
  <c r="Y5" i="7"/>
  <c r="Y14" i="13" s="1"/>
  <c r="Y195" i="7"/>
  <c r="K13" i="11"/>
  <c r="O6" i="7" l="1"/>
  <c r="O15" i="13" s="1"/>
  <c r="O289" i="7"/>
  <c r="O13" i="23" s="1"/>
  <c r="F115" i="14"/>
  <c r="AG86" i="9"/>
  <c r="AG87" i="9" s="1"/>
  <c r="S140" i="14"/>
  <c r="O164" i="14"/>
  <c r="N6" i="7"/>
  <c r="N15" i="13" s="1"/>
  <c r="E272" i="23"/>
  <c r="E276" i="23"/>
  <c r="E273" i="23"/>
  <c r="E277" i="23"/>
  <c r="E274" i="23"/>
  <c r="E271" i="23"/>
  <c r="E275" i="23"/>
  <c r="E96" i="23"/>
  <c r="E97" i="23" s="1"/>
  <c r="E95" i="23"/>
  <c r="V389" i="7"/>
  <c r="V7" i="7"/>
  <c r="V16" i="13" s="1"/>
  <c r="P104" i="14"/>
  <c r="P115" i="14" s="1"/>
  <c r="R100" i="7"/>
  <c r="R3" i="23" s="1"/>
  <c r="R5" i="7"/>
  <c r="R14" i="13" s="1"/>
  <c r="S100" i="7"/>
  <c r="S3" i="23" s="1"/>
  <c r="AB55" i="21"/>
  <c r="AB57" i="21" s="1"/>
  <c r="O165" i="14"/>
  <c r="O7" i="7" s="1"/>
  <c r="O16" i="13" s="1"/>
  <c r="AO100" i="14"/>
  <c r="AO101" i="14" s="1"/>
  <c r="AO102" i="14" s="1"/>
  <c r="AO107" i="14" s="1"/>
  <c r="AO110" i="14" s="1"/>
  <c r="AO69" i="14"/>
  <c r="AO86" i="14" s="1"/>
  <c r="AO87" i="14" s="1"/>
  <c r="AO94" i="14"/>
  <c r="AO111" i="14" s="1"/>
  <c r="AO112" i="14" s="1"/>
  <c r="AD86" i="9"/>
  <c r="AD87" i="9" s="1"/>
  <c r="AD88" i="9" s="1"/>
  <c r="AD89" i="9" s="1"/>
  <c r="V5" i="7"/>
  <c r="V14" i="13" s="1"/>
  <c r="AG80" i="9"/>
  <c r="AG81" i="9" s="1"/>
  <c r="AG82" i="9" s="1"/>
  <c r="O114" i="14"/>
  <c r="O115" i="14" s="1"/>
  <c r="O195" i="7" s="1"/>
  <c r="T4" i="7"/>
  <c r="T13" i="13" s="1"/>
  <c r="T100" i="7"/>
  <c r="T3" i="23" s="1"/>
  <c r="AO118" i="14"/>
  <c r="AO122" i="14" s="1"/>
  <c r="AO123" i="14" s="1"/>
  <c r="AO124" i="14" s="1"/>
  <c r="T104" i="14"/>
  <c r="T115" i="14" s="1"/>
  <c r="U154" i="14"/>
  <c r="AO75" i="14"/>
  <c r="AO76" i="14" s="1"/>
  <c r="AO77" i="14" s="1"/>
  <c r="AO144" i="14"/>
  <c r="AO147" i="14"/>
  <c r="AO148" i="14" s="1"/>
  <c r="AO149" i="14" s="1"/>
  <c r="AG71" i="9"/>
  <c r="U165" i="14"/>
  <c r="R7" i="7"/>
  <c r="R16" i="13" s="1"/>
  <c r="U129" i="14"/>
  <c r="U140" i="14" s="1"/>
  <c r="S104" i="14"/>
  <c r="S115" i="14" s="1"/>
  <c r="R289" i="7"/>
  <c r="R13" i="23" s="1"/>
  <c r="R6" i="7"/>
  <c r="R15" i="13" s="1"/>
  <c r="N114" i="14"/>
  <c r="N115" i="14" s="1"/>
  <c r="AS247" i="7"/>
  <c r="AT209" i="7"/>
  <c r="AT306" i="7"/>
  <c r="AT307" i="7" s="1"/>
  <c r="AT345" i="7" s="1"/>
  <c r="AT350" i="7"/>
  <c r="AT365" i="7" s="1"/>
  <c r="AT380" i="7" s="1"/>
  <c r="AT320" i="7"/>
  <c r="AT321" i="7" s="1"/>
  <c r="AT339" i="7" s="1"/>
  <c r="AT302" i="7"/>
  <c r="AT311" i="7"/>
  <c r="AT312" i="7" s="1"/>
  <c r="AT324" i="7" s="1"/>
  <c r="AU22" i="7"/>
  <c r="AU267" i="7"/>
  <c r="AU282" i="7" s="1"/>
  <c r="AV71" i="7"/>
  <c r="AV86" i="7" s="1"/>
  <c r="AU20" i="13"/>
  <c r="AU11" i="7"/>
  <c r="AO22" i="13"/>
  <c r="AO40" i="8"/>
  <c r="L57" i="21"/>
  <c r="P56" i="21"/>
  <c r="Z50" i="21"/>
  <c r="AI49" i="21"/>
  <c r="AI50" i="21" s="1"/>
  <c r="L50" i="21"/>
  <c r="N51" i="21"/>
  <c r="P50" i="21"/>
  <c r="Q43" i="8"/>
  <c r="Q57" i="21"/>
  <c r="N44" i="8"/>
  <c r="J55" i="21"/>
  <c r="J56" i="21" s="1"/>
  <c r="J49" i="21"/>
  <c r="J51" i="21" s="1"/>
  <c r="S19" i="8"/>
  <c r="S27" i="8" s="1"/>
  <c r="S38" i="8" s="1"/>
  <c r="W51" i="21"/>
  <c r="AB49" i="21"/>
  <c r="AB51" i="21" s="1"/>
  <c r="M56" i="21"/>
  <c r="Y57" i="21"/>
  <c r="AI56" i="21"/>
  <c r="S44" i="8"/>
  <c r="G43" i="8"/>
  <c r="AP113" i="14"/>
  <c r="AP104" i="14"/>
  <c r="AP115" i="14" s="1"/>
  <c r="AP195" i="7" s="1"/>
  <c r="I43" i="8"/>
  <c r="AP73" i="21"/>
  <c r="S43" i="8"/>
  <c r="AS135" i="7"/>
  <c r="AT316" i="7"/>
  <c r="AT317" i="7" s="1"/>
  <c r="AT328" i="7" s="1"/>
  <c r="AP31" i="21"/>
  <c r="AO39" i="21"/>
  <c r="AO43" i="21"/>
  <c r="S56" i="21"/>
  <c r="S57" i="21"/>
  <c r="AO46" i="21"/>
  <c r="AO47" i="21" s="1"/>
  <c r="AO48" i="21" s="1"/>
  <c r="AO49" i="21" s="1"/>
  <c r="AO51" i="21" s="1"/>
  <c r="S50" i="21"/>
  <c r="S51" i="21"/>
  <c r="V56" i="21"/>
  <c r="V57" i="21"/>
  <c r="V50" i="21"/>
  <c r="V51" i="21"/>
  <c r="R12" i="20"/>
  <c r="R6" i="8" s="1"/>
  <c r="AS132" i="7"/>
  <c r="R71" i="9"/>
  <c r="R4" i="8"/>
  <c r="AU166" i="7"/>
  <c r="AU181" i="7" s="1"/>
  <c r="AR131" i="7"/>
  <c r="AR194" i="7" s="1"/>
  <c r="AR92" i="14" s="1"/>
  <c r="AR93" i="14" s="1"/>
  <c r="AR97" i="14" s="1"/>
  <c r="AR98" i="14" s="1"/>
  <c r="AR99" i="14" s="1"/>
  <c r="AU170" i="7"/>
  <c r="AU185" i="7" s="1"/>
  <c r="AT36" i="7"/>
  <c r="AU163" i="7"/>
  <c r="AU178" i="7" s="1"/>
  <c r="AS232" i="7"/>
  <c r="AU162" i="7"/>
  <c r="AU177" i="7" s="1"/>
  <c r="AP81" i="21"/>
  <c r="AP12" i="8" s="1"/>
  <c r="AP13" i="8" s="1"/>
  <c r="AU160" i="7"/>
  <c r="AU175" i="7" s="1"/>
  <c r="AU159" i="7"/>
  <c r="AU174" i="7" s="1"/>
  <c r="AU167" i="7"/>
  <c r="AU182" i="7" s="1"/>
  <c r="AU168" i="7"/>
  <c r="AU183" i="7" s="1"/>
  <c r="AU171" i="7"/>
  <c r="AU186" i="7" s="1"/>
  <c r="AT119" i="7"/>
  <c r="AT120" i="7" s="1"/>
  <c r="AT141" i="7" s="1"/>
  <c r="AU169" i="7"/>
  <c r="AU184" i="7" s="1"/>
  <c r="AT222" i="7"/>
  <c r="AT226" i="7"/>
  <c r="AT227" i="7" s="1"/>
  <c r="AW13" i="11"/>
  <c r="AW15" i="11" s="1"/>
  <c r="AT212" i="7"/>
  <c r="AT213" i="7" s="1"/>
  <c r="AR323" i="7"/>
  <c r="AR388" i="7" s="1"/>
  <c r="AR142" i="14" s="1"/>
  <c r="AR143" i="14" s="1"/>
  <c r="AR147" i="14" s="1"/>
  <c r="AR148" i="14" s="1"/>
  <c r="AR149" i="14" s="1"/>
  <c r="AR150" i="14" s="1"/>
  <c r="AR151" i="14" s="1"/>
  <c r="AR152" i="14" s="1"/>
  <c r="AR157" i="14" s="1"/>
  <c r="AR160" i="14" s="1"/>
  <c r="AW12" i="11"/>
  <c r="AW14" i="11" s="1"/>
  <c r="K15" i="11"/>
  <c r="E22" i="15" s="1"/>
  <c r="E43" i="15" s="1"/>
  <c r="AT256" i="7"/>
  <c r="AT271" i="7" s="1"/>
  <c r="AT286" i="7" s="1"/>
  <c r="R7" i="20"/>
  <c r="R5" i="8" s="1"/>
  <c r="AN46" i="21"/>
  <c r="AN47" i="21" s="1"/>
  <c r="AN48" i="21" s="1"/>
  <c r="AN11" i="8" s="1"/>
  <c r="AN43" i="21"/>
  <c r="AN39" i="21"/>
  <c r="AA10" i="8"/>
  <c r="AA55" i="21"/>
  <c r="AA11" i="8"/>
  <c r="AA49" i="21"/>
  <c r="AT32" i="10"/>
  <c r="AT27" i="10"/>
  <c r="AT22" i="10"/>
  <c r="AT18" i="10"/>
  <c r="AT182" i="10"/>
  <c r="AT143" i="10"/>
  <c r="AT98" i="10"/>
  <c r="AT82" i="10"/>
  <c r="AT55" i="10"/>
  <c r="AT161" i="10"/>
  <c r="AT168" i="10"/>
  <c r="AT91" i="10"/>
  <c r="AT87" i="10"/>
  <c r="AT178" i="10"/>
  <c r="AT144" i="10"/>
  <c r="AT158" i="10"/>
  <c r="AT83" i="10"/>
  <c r="AT108" i="10"/>
  <c r="AT63" i="10"/>
  <c r="AT44" i="10"/>
  <c r="AT34" i="10"/>
  <c r="AT190" i="10"/>
  <c r="AT146" i="10"/>
  <c r="AT154" i="10"/>
  <c r="AT121" i="10"/>
  <c r="AT115" i="10"/>
  <c r="AT148" i="10"/>
  <c r="AT100" i="10"/>
  <c r="AT179" i="10"/>
  <c r="AT70" i="10"/>
  <c r="AT88" i="10"/>
  <c r="AT137" i="10"/>
  <c r="AT156" i="10"/>
  <c r="AT159" i="10"/>
  <c r="AT62" i="10"/>
  <c r="AT69" i="10"/>
  <c r="AT84" i="10"/>
  <c r="AT106" i="10"/>
  <c r="AT196" i="10"/>
  <c r="AT130" i="10"/>
  <c r="AT117" i="10"/>
  <c r="AT92" i="10"/>
  <c r="AT74" i="10"/>
  <c r="AT51" i="10"/>
  <c r="AT113" i="10"/>
  <c r="AT201" i="10"/>
  <c r="AT75" i="10"/>
  <c r="AT33" i="10"/>
  <c r="AT192" i="10"/>
  <c r="AT169" i="10"/>
  <c r="AT111" i="10"/>
  <c r="AT102" i="10"/>
  <c r="AT197" i="10"/>
  <c r="AT164" i="10"/>
  <c r="AT124" i="10"/>
  <c r="AT86" i="10"/>
  <c r="AT173" i="10"/>
  <c r="AT116" i="10"/>
  <c r="AT80" i="10"/>
  <c r="AT85" i="10"/>
  <c r="AT189" i="10"/>
  <c r="AT151" i="10"/>
  <c r="AT118" i="10"/>
  <c r="AT54" i="10"/>
  <c r="AT46" i="10"/>
  <c r="AT145" i="10"/>
  <c r="AT135" i="10"/>
  <c r="AT42" i="10"/>
  <c r="AT136" i="10"/>
  <c r="AT112" i="10"/>
  <c r="AT67" i="10"/>
  <c r="AT29" i="10"/>
  <c r="AT167" i="10"/>
  <c r="AT160" i="10"/>
  <c r="AT133" i="10"/>
  <c r="AT107" i="10"/>
  <c r="AT65" i="10"/>
  <c r="AT21" i="10"/>
  <c r="AT157" i="10"/>
  <c r="AT149" i="10"/>
  <c r="AT89" i="10"/>
  <c r="AT52" i="10"/>
  <c r="AT202" i="10"/>
  <c r="AT181" i="10"/>
  <c r="AT81" i="10"/>
  <c r="AT31" i="10"/>
  <c r="AT194" i="10"/>
  <c r="AT171" i="10"/>
  <c r="AT110" i="10"/>
  <c r="AT40" i="10"/>
  <c r="AT109" i="10"/>
  <c r="AT17" i="10"/>
  <c r="AT30" i="10"/>
  <c r="AT16" i="10"/>
  <c r="AT41" i="10"/>
  <c r="AT37" i="10"/>
  <c r="AT19" i="10"/>
  <c r="AT24" i="10"/>
  <c r="U57" i="21"/>
  <c r="U56" i="21"/>
  <c r="J41" i="8"/>
  <c r="J23" i="13" s="1"/>
  <c r="J22" i="13"/>
  <c r="AT36" i="10"/>
  <c r="AT170" i="10"/>
  <c r="AT152" i="10"/>
  <c r="AT139" i="10"/>
  <c r="AT94" i="10"/>
  <c r="AT28" i="10"/>
  <c r="AT186" i="10"/>
  <c r="AT166" i="10"/>
  <c r="AT150" i="10"/>
  <c r="AT105" i="10"/>
  <c r="AT96" i="10"/>
  <c r="AT73" i="10"/>
  <c r="AT35" i="10"/>
  <c r="AT153" i="10"/>
  <c r="AT165" i="10"/>
  <c r="AT72" i="10"/>
  <c r="AT191" i="10"/>
  <c r="AT58" i="10"/>
  <c r="AT39" i="10"/>
  <c r="AT193" i="10"/>
  <c r="AT174" i="10"/>
  <c r="AT129" i="10"/>
  <c r="AT123" i="10"/>
  <c r="AT93" i="10"/>
  <c r="AT61" i="10"/>
  <c r="AT23" i="10"/>
  <c r="AT198" i="10"/>
  <c r="AT175" i="10"/>
  <c r="AT134" i="10"/>
  <c r="AT50" i="10"/>
  <c r="AT183" i="10"/>
  <c r="AT195" i="10"/>
  <c r="AT99" i="10"/>
  <c r="AT97" i="10"/>
  <c r="AT53" i="10"/>
  <c r="AT43" i="10"/>
  <c r="AT26" i="10"/>
  <c r="AT176" i="10"/>
  <c r="AT188" i="10"/>
  <c r="AT184" i="10"/>
  <c r="AT147" i="10"/>
  <c r="AT90" i="10"/>
  <c r="AT56" i="10"/>
  <c r="AT47" i="10"/>
  <c r="AT177" i="10"/>
  <c r="AT132" i="10"/>
  <c r="AT125" i="10"/>
  <c r="AT95" i="10"/>
  <c r="AT131" i="10"/>
  <c r="AT71" i="10"/>
  <c r="AT101" i="10"/>
  <c r="AT104" i="10"/>
  <c r="AT200" i="10"/>
  <c r="AT127" i="10"/>
  <c r="AT128" i="10"/>
  <c r="AT66" i="10"/>
  <c r="AT187" i="10"/>
  <c r="AT155" i="10"/>
  <c r="AT138" i="10"/>
  <c r="AT103" i="10"/>
  <c r="AT64" i="10"/>
  <c r="AT185" i="10"/>
  <c r="AT120" i="10"/>
  <c r="AT38" i="10"/>
  <c r="AT180" i="10"/>
  <c r="AT126" i="10"/>
  <c r="AT163" i="10"/>
  <c r="AT57" i="10"/>
  <c r="AT162" i="10"/>
  <c r="AT119" i="10"/>
  <c r="AT48" i="10"/>
  <c r="AT122" i="10"/>
  <c r="AT68" i="10"/>
  <c r="AT45" i="10"/>
  <c r="AT25" i="10"/>
  <c r="AT199" i="10"/>
  <c r="AT172" i="10"/>
  <c r="AT114" i="10"/>
  <c r="AT60" i="10"/>
  <c r="AT59" i="10"/>
  <c r="AT49" i="10"/>
  <c r="AT20" i="10"/>
  <c r="U50" i="21"/>
  <c r="U51" i="21"/>
  <c r="AB71" i="9"/>
  <c r="AA41" i="8"/>
  <c r="AA23" i="13" s="1"/>
  <c r="AA22" i="13"/>
  <c r="AP66" i="21"/>
  <c r="AP68" i="21" s="1"/>
  <c r="AV220" i="22"/>
  <c r="AV218" i="22"/>
  <c r="AV216" i="22"/>
  <c r="AV212" i="22"/>
  <c r="AV210" i="22"/>
  <c r="AV224" i="22"/>
  <c r="AV215" i="22"/>
  <c r="AV227" i="22"/>
  <c r="AR80" i="21" s="1"/>
  <c r="AV205" i="22"/>
  <c r="AV206" i="22"/>
  <c r="AV195" i="22"/>
  <c r="AV193" i="22"/>
  <c r="AV198" i="22"/>
  <c r="AV217" i="22"/>
  <c r="AV207" i="22"/>
  <c r="AV199" i="22"/>
  <c r="AV223" i="22"/>
  <c r="AV219" i="22"/>
  <c r="AV208" i="22"/>
  <c r="AV203" i="22"/>
  <c r="AV188" i="22"/>
  <c r="AV187" i="22"/>
  <c r="AV211" i="22"/>
  <c r="AV197" i="22"/>
  <c r="AV204" i="22"/>
  <c r="AV189" i="22"/>
  <c r="AV186" i="22"/>
  <c r="AV185" i="22"/>
  <c r="AV192" i="22"/>
  <c r="AV191" i="22"/>
  <c r="AV194" i="22"/>
  <c r="AV209" i="22"/>
  <c r="AV196" i="22"/>
  <c r="AV190" i="22"/>
  <c r="AV176" i="22"/>
  <c r="AV173" i="22"/>
  <c r="AV180" i="22"/>
  <c r="AV170" i="22"/>
  <c r="AV184" i="22"/>
  <c r="AV179" i="22"/>
  <c r="AV166" i="22"/>
  <c r="AV154" i="22"/>
  <c r="AV152" i="22"/>
  <c r="AV150" i="22"/>
  <c r="AV144" i="22"/>
  <c r="AV142" i="22"/>
  <c r="AV138" i="22"/>
  <c r="AV136" i="22"/>
  <c r="AV175" i="22"/>
  <c r="AV172" i="22"/>
  <c r="AV167" i="22"/>
  <c r="AV164" i="22"/>
  <c r="AV169" i="22"/>
  <c r="AV161" i="22"/>
  <c r="AV158" i="22"/>
  <c r="AV174" i="22"/>
  <c r="AV171" i="22"/>
  <c r="AV200" i="22"/>
  <c r="AV182" i="22"/>
  <c r="AV165" i="22"/>
  <c r="AV178" i="22"/>
  <c r="AV168" i="22"/>
  <c r="AV181" i="22"/>
  <c r="AV162" i="22"/>
  <c r="AV163" i="22"/>
  <c r="AV137" i="22"/>
  <c r="AV177" i="22"/>
  <c r="AV143" i="22"/>
  <c r="AV134" i="22"/>
  <c r="AV130" i="22"/>
  <c r="AV128" i="22"/>
  <c r="AV126" i="22"/>
  <c r="AV183" i="22"/>
  <c r="AV139" i="22"/>
  <c r="AV121" i="22"/>
  <c r="AV120" i="22"/>
  <c r="AV113" i="22"/>
  <c r="AV111" i="22"/>
  <c r="AV107" i="22"/>
  <c r="AV105" i="22"/>
  <c r="AV103" i="22"/>
  <c r="AV101" i="22"/>
  <c r="AV99" i="22"/>
  <c r="AV97" i="22"/>
  <c r="AV95" i="22"/>
  <c r="AV93" i="22"/>
  <c r="AV119" i="22"/>
  <c r="AV118" i="22"/>
  <c r="AV124" i="22"/>
  <c r="AV133" i="22"/>
  <c r="AV129" i="22"/>
  <c r="AV117" i="22"/>
  <c r="AV116" i="22"/>
  <c r="AV115" i="22"/>
  <c r="AV127" i="22"/>
  <c r="AV147" i="22"/>
  <c r="AR65" i="21" s="1"/>
  <c r="AV153" i="22"/>
  <c r="AV135" i="22"/>
  <c r="AV151" i="22"/>
  <c r="AV102" i="22"/>
  <c r="AV106" i="22"/>
  <c r="AV100" i="22"/>
  <c r="AV123" i="22"/>
  <c r="AV114" i="22"/>
  <c r="AV108" i="22"/>
  <c r="AV96" i="22"/>
  <c r="AV104" i="22"/>
  <c r="AV157" i="22"/>
  <c r="AV125" i="22"/>
  <c r="AV112" i="22"/>
  <c r="AV98" i="22"/>
  <c r="AV75" i="22"/>
  <c r="AV88" i="22"/>
  <c r="AV91" i="22"/>
  <c r="AV83" i="22"/>
  <c r="AV122" i="22"/>
  <c r="AV82" i="22"/>
  <c r="AV77" i="22"/>
  <c r="AV84" i="22"/>
  <c r="AV81" i="22"/>
  <c r="AV72" i="22"/>
  <c r="AV70" i="22"/>
  <c r="AV94" i="22"/>
  <c r="AV89" i="22"/>
  <c r="AV92" i="22"/>
  <c r="AV80" i="22"/>
  <c r="AV85" i="22"/>
  <c r="AV90" i="22"/>
  <c r="AV59" i="22"/>
  <c r="AV86" i="22"/>
  <c r="AV79" i="22"/>
  <c r="AV69" i="22"/>
  <c r="AV68" i="22"/>
  <c r="AV57" i="22"/>
  <c r="AV55" i="22"/>
  <c r="AV53" i="22"/>
  <c r="AV51" i="22"/>
  <c r="AV78" i="22"/>
  <c r="AV67" i="22"/>
  <c r="AV66" i="22"/>
  <c r="AV76" i="22"/>
  <c r="AV71" i="22"/>
  <c r="AV65" i="22"/>
  <c r="AV64" i="22"/>
  <c r="AV62" i="22"/>
  <c r="AV47" i="22"/>
  <c r="AV44" i="22"/>
  <c r="AV49" i="22"/>
  <c r="AV43" i="22"/>
  <c r="AV37" i="22"/>
  <c r="AV35" i="22"/>
  <c r="AV33" i="22"/>
  <c r="AV31" i="22"/>
  <c r="AV29" i="22"/>
  <c r="AV27" i="22"/>
  <c r="AV25" i="22"/>
  <c r="AV23" i="22"/>
  <c r="AV21" i="22"/>
  <c r="AV19" i="22"/>
  <c r="AV45" i="22"/>
  <c r="AV39" i="22"/>
  <c r="AV87" i="22"/>
  <c r="AV61" i="22"/>
  <c r="AV56" i="22"/>
  <c r="AV42" i="22"/>
  <c r="AV63" i="22"/>
  <c r="AV58" i="22"/>
  <c r="AV46" i="22"/>
  <c r="AV41" i="22"/>
  <c r="AV50" i="22"/>
  <c r="AV60" i="22"/>
  <c r="AV18" i="22"/>
  <c r="AV16" i="22"/>
  <c r="AV38" i="22"/>
  <c r="AV14" i="22"/>
  <c r="AV52" i="22"/>
  <c r="AV15" i="22"/>
  <c r="AV13" i="22"/>
  <c r="AV11" i="22"/>
  <c r="AV9" i="22"/>
  <c r="AV48" i="22"/>
  <c r="AV12" i="22"/>
  <c r="AV20" i="22"/>
  <c r="AV54" i="22"/>
  <c r="AV32" i="22"/>
  <c r="AV26" i="22"/>
  <c r="AV10" i="22"/>
  <c r="AV28" i="22"/>
  <c r="AV22" i="22"/>
  <c r="AV40" i="22"/>
  <c r="AV36" i="22"/>
  <c r="AV34" i="22"/>
  <c r="AV24" i="22"/>
  <c r="AV17" i="22"/>
  <c r="AV30" i="22"/>
  <c r="AW220" i="22"/>
  <c r="AW218" i="22"/>
  <c r="AW216" i="22"/>
  <c r="AW212" i="22"/>
  <c r="AW210" i="22"/>
  <c r="AW208" i="22"/>
  <c r="AW206" i="22"/>
  <c r="AW204" i="22"/>
  <c r="AW200" i="22"/>
  <c r="AW224" i="22"/>
  <c r="AW219" i="22"/>
  <c r="AW217" i="22"/>
  <c r="AW215" i="22"/>
  <c r="AW211" i="22"/>
  <c r="AW227" i="22"/>
  <c r="AS80" i="21" s="1"/>
  <c r="AW205" i="22"/>
  <c r="AW195" i="22"/>
  <c r="AW193" i="22"/>
  <c r="AW191" i="22"/>
  <c r="AW198" i="22"/>
  <c r="AW207" i="22"/>
  <c r="AW199" i="22"/>
  <c r="AW223" i="22"/>
  <c r="AW197" i="22"/>
  <c r="AW209" i="22"/>
  <c r="AW188" i="22"/>
  <c r="AW187" i="22"/>
  <c r="AW189" i="22"/>
  <c r="AW186" i="22"/>
  <c r="AW185" i="22"/>
  <c r="AW192" i="22"/>
  <c r="AW194" i="22"/>
  <c r="AW190" i="22"/>
  <c r="AW180" i="22"/>
  <c r="AW170" i="22"/>
  <c r="AW174" i="22"/>
  <c r="AW169" i="22"/>
  <c r="AW182" i="22"/>
  <c r="AW179" i="22"/>
  <c r="AW183" i="22"/>
  <c r="AW181" i="22"/>
  <c r="AW178" i="22"/>
  <c r="AW196" i="22"/>
  <c r="AW154" i="22"/>
  <c r="AW152" i="22"/>
  <c r="AW150" i="22"/>
  <c r="AW144" i="22"/>
  <c r="AW142" i="22"/>
  <c r="AW138" i="22"/>
  <c r="AW136" i="22"/>
  <c r="AW175" i="22"/>
  <c r="AW184" i="22"/>
  <c r="AW172" i="22"/>
  <c r="AW167" i="22"/>
  <c r="AW164" i="22"/>
  <c r="AW161" i="22"/>
  <c r="AW158" i="22"/>
  <c r="AW171" i="22"/>
  <c r="AW203" i="22"/>
  <c r="AW165" i="22"/>
  <c r="AW162" i="22"/>
  <c r="AW157" i="22"/>
  <c r="AW173" i="22"/>
  <c r="AW168" i="22"/>
  <c r="AW163" i="22"/>
  <c r="AW135" i="22"/>
  <c r="AW177" i="22"/>
  <c r="AW143" i="22"/>
  <c r="AW134" i="22"/>
  <c r="AW130" i="22"/>
  <c r="AW128" i="22"/>
  <c r="AW126" i="22"/>
  <c r="AW124" i="22"/>
  <c r="AW147" i="22"/>
  <c r="AS65" i="21" s="1"/>
  <c r="AW176" i="22"/>
  <c r="AW166" i="22"/>
  <c r="AW119" i="22"/>
  <c r="AW118" i="22"/>
  <c r="AW133" i="22"/>
  <c r="AW129" i="22"/>
  <c r="AW117" i="22"/>
  <c r="AW116" i="22"/>
  <c r="AW115" i="22"/>
  <c r="AW139" i="22"/>
  <c r="AW127" i="22"/>
  <c r="AW114" i="22"/>
  <c r="AW153" i="22"/>
  <c r="AW137" i="22"/>
  <c r="AW151" i="22"/>
  <c r="AW125" i="22"/>
  <c r="AW123" i="22"/>
  <c r="AW122" i="22"/>
  <c r="AW121" i="22"/>
  <c r="AW120" i="22"/>
  <c r="AW111" i="22"/>
  <c r="AW97" i="22"/>
  <c r="AW106" i="22"/>
  <c r="AW100" i="22"/>
  <c r="AW103" i="22"/>
  <c r="AW108" i="22"/>
  <c r="AW96" i="22"/>
  <c r="AW104" i="22"/>
  <c r="AW105" i="22"/>
  <c r="AW101" i="22"/>
  <c r="AW88" i="22"/>
  <c r="AW78" i="22"/>
  <c r="AW102" i="22"/>
  <c r="AW91" i="22"/>
  <c r="AW107" i="22"/>
  <c r="AW83" i="22"/>
  <c r="AW112" i="22"/>
  <c r="AW82" i="22"/>
  <c r="AW77" i="22"/>
  <c r="AW93" i="22"/>
  <c r="AW84" i="22"/>
  <c r="AW81" i="22"/>
  <c r="AW72" i="22"/>
  <c r="AW94" i="22"/>
  <c r="AW89" i="22"/>
  <c r="AW92" i="22"/>
  <c r="AW80" i="22"/>
  <c r="AW95" i="22"/>
  <c r="AW85" i="22"/>
  <c r="AW99" i="22"/>
  <c r="AW86" i="22"/>
  <c r="AW113" i="22"/>
  <c r="AW87" i="22"/>
  <c r="AW79" i="22"/>
  <c r="AW70" i="22"/>
  <c r="AW69" i="22"/>
  <c r="AW68" i="22"/>
  <c r="AW57" i="22"/>
  <c r="AW55" i="22"/>
  <c r="AW53" i="22"/>
  <c r="AW51" i="22"/>
  <c r="AW49" i="22"/>
  <c r="AW47" i="22"/>
  <c r="AW45" i="22"/>
  <c r="AW67" i="22"/>
  <c r="AW66" i="22"/>
  <c r="AW76" i="22"/>
  <c r="AW71" i="22"/>
  <c r="AW65" i="22"/>
  <c r="AW64" i="22"/>
  <c r="AW75" i="22"/>
  <c r="AW90" i="22"/>
  <c r="AW63" i="22"/>
  <c r="AW62" i="22"/>
  <c r="AW61" i="22"/>
  <c r="AW60" i="22"/>
  <c r="AW56" i="22"/>
  <c r="AW54" i="22"/>
  <c r="AW59" i="22"/>
  <c r="AW58" i="22"/>
  <c r="AW44" i="22"/>
  <c r="AW40" i="22"/>
  <c r="AW98" i="22"/>
  <c r="AW43" i="22"/>
  <c r="AW37" i="22"/>
  <c r="AW35" i="22"/>
  <c r="AW33" i="22"/>
  <c r="AW31" i="22"/>
  <c r="AW29" i="22"/>
  <c r="AW27" i="22"/>
  <c r="AW25" i="22"/>
  <c r="AW23" i="22"/>
  <c r="AW21" i="22"/>
  <c r="AW19" i="22"/>
  <c r="AW17" i="22"/>
  <c r="AW39" i="22"/>
  <c r="AW42" i="22"/>
  <c r="AW52" i="22"/>
  <c r="AW48" i="22"/>
  <c r="AW38" i="22"/>
  <c r="AW36" i="22"/>
  <c r="AW34" i="22"/>
  <c r="AW41" i="22"/>
  <c r="AW46" i="22"/>
  <c r="AW13" i="22"/>
  <c r="AW11" i="22"/>
  <c r="AW15" i="22"/>
  <c r="AW9" i="22"/>
  <c r="AW18" i="22"/>
  <c r="AW12" i="22"/>
  <c r="AW32" i="22"/>
  <c r="AW26" i="22"/>
  <c r="AW28" i="22"/>
  <c r="AW22" i="22"/>
  <c r="AW50" i="22"/>
  <c r="AW20" i="22"/>
  <c r="AW14" i="22"/>
  <c r="AW10" i="22"/>
  <c r="AW24" i="22"/>
  <c r="AW30" i="22"/>
  <c r="AW16" i="22"/>
  <c r="BG50" i="21"/>
  <c r="AA47" i="9"/>
  <c r="AA51" i="9" s="1"/>
  <c r="AA64" i="9" s="1"/>
  <c r="AE5" i="20"/>
  <c r="AE86" i="9"/>
  <c r="AR5" i="15"/>
  <c r="AX4" i="11" s="1"/>
  <c r="K47" i="9"/>
  <c r="K51" i="9" s="1"/>
  <c r="K64" i="9" s="1"/>
  <c r="AE74" i="9"/>
  <c r="AE3" i="20" s="1"/>
  <c r="AE80" i="9"/>
  <c r="K62" i="9"/>
  <c r="K68" i="9" s="1"/>
  <c r="K46" i="21"/>
  <c r="K47" i="21" s="1"/>
  <c r="K48" i="21" s="1"/>
  <c r="K53" i="21"/>
  <c r="K54" i="21" s="1"/>
  <c r="K43" i="21"/>
  <c r="K39" i="21"/>
  <c r="U5" i="20"/>
  <c r="U86" i="9"/>
  <c r="K40" i="8"/>
  <c r="K22" i="13"/>
  <c r="K41" i="8"/>
  <c r="K23" i="13" s="1"/>
  <c r="J47" i="9"/>
  <c r="J51" i="9" s="1"/>
  <c r="J64" i="9" s="1"/>
  <c r="J62" i="9"/>
  <c r="J68" i="9" s="1"/>
  <c r="AA62" i="9"/>
  <c r="AA68" i="9" s="1"/>
  <c r="U71" i="9"/>
  <c r="U4" i="8"/>
  <c r="AE50" i="8"/>
  <c r="AE25" i="13" s="1"/>
  <c r="AE23" i="13"/>
  <c r="J53" i="9"/>
  <c r="J60" i="9" s="1"/>
  <c r="J66" i="9" s="1"/>
  <c r="AA53" i="9"/>
  <c r="AA60" i="9" s="1"/>
  <c r="AA66" i="9" s="1"/>
  <c r="R80" i="9"/>
  <c r="R81" i="9" s="1"/>
  <c r="R82" i="9" s="1"/>
  <c r="R86" i="9"/>
  <c r="R87" i="9" s="1"/>
  <c r="R88" i="9" s="1"/>
  <c r="R89" i="9" s="1"/>
  <c r="R53" i="21"/>
  <c r="R54" i="21" s="1"/>
  <c r="R46" i="21"/>
  <c r="R47" i="21" s="1"/>
  <c r="R48" i="21" s="1"/>
  <c r="R43" i="21"/>
  <c r="R39" i="21"/>
  <c r="U80" i="9"/>
  <c r="U74" i="9"/>
  <c r="U3" i="20" s="1"/>
  <c r="K53" i="9"/>
  <c r="K60" i="9" s="1"/>
  <c r="K66" i="9" s="1"/>
  <c r="AE4" i="8"/>
  <c r="AE71" i="9"/>
  <c r="AS242" i="7"/>
  <c r="AS239" i="7"/>
  <c r="AS245" i="7"/>
  <c r="AS140" i="7"/>
  <c r="AT158" i="7"/>
  <c r="AT173" i="7" s="1"/>
  <c r="AT188" i="7" s="1"/>
  <c r="AS249" i="7"/>
  <c r="AS241" i="7"/>
  <c r="AS154" i="7"/>
  <c r="AS237" i="7"/>
  <c r="AS238" i="7"/>
  <c r="AS243" i="7"/>
  <c r="AS240" i="7"/>
  <c r="AS230" i="7"/>
  <c r="AU161" i="7"/>
  <c r="AU176" i="7" s="1"/>
  <c r="AS218" i="7"/>
  <c r="AU165" i="7"/>
  <c r="AU180" i="7" s="1"/>
  <c r="AQ144" i="14"/>
  <c r="AQ154" i="14" s="1"/>
  <c r="AQ165" i="14" s="1"/>
  <c r="AQ7" i="7" s="1"/>
  <c r="AQ16" i="13" s="1"/>
  <c r="AU164" i="7"/>
  <c r="AU179" i="7" s="1"/>
  <c r="AT217" i="7"/>
  <c r="AS233" i="7"/>
  <c r="AB86" i="9"/>
  <c r="AB87" i="9" s="1"/>
  <c r="AB88" i="9" s="1"/>
  <c r="AS252" i="7"/>
  <c r="AS331" i="7"/>
  <c r="AU355" i="7"/>
  <c r="AU370" i="7" s="1"/>
  <c r="AS231" i="7"/>
  <c r="AU352" i="7"/>
  <c r="AU367" i="7" s="1"/>
  <c r="AU354" i="7"/>
  <c r="AU369" i="7" s="1"/>
  <c r="AU363" i="7"/>
  <c r="AU378" i="7" s="1"/>
  <c r="AS253" i="7"/>
  <c r="AU362" i="7"/>
  <c r="AU377" i="7" s="1"/>
  <c r="AS235" i="7"/>
  <c r="AS236" i="7"/>
  <c r="AU361" i="7"/>
  <c r="AU376" i="7" s="1"/>
  <c r="AS251" i="7"/>
  <c r="AU360" i="7"/>
  <c r="AU375" i="7" s="1"/>
  <c r="BG56" i="21"/>
  <c r="AS234" i="7"/>
  <c r="AS246" i="7"/>
  <c r="AB80" i="9"/>
  <c r="AB81" i="9" s="1"/>
  <c r="AB82" i="9" s="1"/>
  <c r="AS248" i="7"/>
  <c r="AS250" i="7"/>
  <c r="AS330" i="7"/>
  <c r="AQ79" i="14"/>
  <c r="AQ90" i="14" s="1"/>
  <c r="AQ4" i="7" s="1"/>
  <c r="AQ13" i="13" s="1"/>
  <c r="AS139" i="7"/>
  <c r="AQ88" i="14"/>
  <c r="AT208" i="7"/>
  <c r="AS346" i="7"/>
  <c r="AS341" i="7"/>
  <c r="AR69" i="14"/>
  <c r="AR79" i="14" s="1"/>
  <c r="AR90" i="14" s="1"/>
  <c r="AR4" i="7" s="1"/>
  <c r="AR13" i="13" s="1"/>
  <c r="AV17" i="7"/>
  <c r="AT124" i="7"/>
  <c r="AT136" i="7" s="1"/>
  <c r="AT128" i="7"/>
  <c r="AT129" i="7" s="1"/>
  <c r="AT147" i="7" s="1"/>
  <c r="AT62" i="7"/>
  <c r="AV201" i="7"/>
  <c r="AV202" i="7" s="1"/>
  <c r="AV77" i="7"/>
  <c r="AV92" i="7" s="1"/>
  <c r="AU353" i="7"/>
  <c r="AU368" i="7" s="1"/>
  <c r="AV75" i="7"/>
  <c r="AV90" i="7" s="1"/>
  <c r="AU298" i="7"/>
  <c r="AU303" i="7" s="1"/>
  <c r="AS326" i="7"/>
  <c r="AS324" i="7"/>
  <c r="AT56" i="7"/>
  <c r="AV79" i="7"/>
  <c r="AV94" i="7" s="1"/>
  <c r="AT61" i="7"/>
  <c r="AT26" i="7"/>
  <c r="AS244" i="7"/>
  <c r="AT55" i="7"/>
  <c r="AT49" i="7"/>
  <c r="AS327" i="7"/>
  <c r="AT54" i="7"/>
  <c r="AT51" i="7"/>
  <c r="AT59" i="7"/>
  <c r="AT47" i="7"/>
  <c r="AT60" i="7"/>
  <c r="AT53" i="7"/>
  <c r="AT64" i="7"/>
  <c r="AT46" i="7"/>
  <c r="AT65" i="7"/>
  <c r="AS152" i="7"/>
  <c r="AU358" i="7"/>
  <c r="AU373" i="7" s="1"/>
  <c r="AT31" i="7"/>
  <c r="AU357" i="7"/>
  <c r="AU372" i="7" s="1"/>
  <c r="AT66" i="7"/>
  <c r="AV80" i="7"/>
  <c r="AV95" i="7" s="1"/>
  <c r="AU359" i="7"/>
  <c r="AU374" i="7" s="1"/>
  <c r="AT63" i="7"/>
  <c r="AV74" i="7"/>
  <c r="AV89" i="7" s="1"/>
  <c r="AS149" i="7"/>
  <c r="AU356" i="7"/>
  <c r="AU371" i="7" s="1"/>
  <c r="AT50" i="7"/>
  <c r="AV69" i="7"/>
  <c r="AV84" i="7" s="1"/>
  <c r="AT58" i="7"/>
  <c r="AT48" i="7"/>
  <c r="AV72" i="7"/>
  <c r="AV87" i="7" s="1"/>
  <c r="AT114" i="7"/>
  <c r="AT115" i="7" s="1"/>
  <c r="AT153" i="7" s="1"/>
  <c r="AT57" i="7"/>
  <c r="AT52" i="7"/>
  <c r="AT44" i="7"/>
  <c r="AQ64" i="14"/>
  <c r="AQ65" i="14" s="1"/>
  <c r="AV70" i="7"/>
  <c r="AV85" i="7" s="1"/>
  <c r="AS332" i="7"/>
  <c r="AV103" i="7"/>
  <c r="AV106" i="7" s="1"/>
  <c r="AV163" i="7" s="1"/>
  <c r="AV178" i="7" s="1"/>
  <c r="AS155" i="7"/>
  <c r="AS156" i="7"/>
  <c r="AS134" i="7"/>
  <c r="AS148" i="7"/>
  <c r="AS145" i="7"/>
  <c r="AU257" i="7"/>
  <c r="AU272" i="7" s="1"/>
  <c r="AV81" i="7"/>
  <c r="AV96" i="7" s="1"/>
  <c r="AV73" i="7"/>
  <c r="AV88" i="7" s="1"/>
  <c r="AV295" i="7"/>
  <c r="AV296" i="7" s="1"/>
  <c r="AV355" i="7" s="1"/>
  <c r="AV370" i="7" s="1"/>
  <c r="AS142" i="7"/>
  <c r="AV78" i="7"/>
  <c r="AV93" i="7" s="1"/>
  <c r="AS336" i="7"/>
  <c r="AV76" i="7"/>
  <c r="AV91" i="7" s="1"/>
  <c r="P7" i="7"/>
  <c r="P16" i="13" s="1"/>
  <c r="AS151" i="7"/>
  <c r="AT110" i="7"/>
  <c r="AS342" i="7"/>
  <c r="AS344" i="7"/>
  <c r="AS386" i="7"/>
  <c r="AS348" i="7"/>
  <c r="AS347" i="7"/>
  <c r="AS329" i="7"/>
  <c r="AS340" i="7"/>
  <c r="AS337" i="7"/>
  <c r="AS334" i="7"/>
  <c r="AS343" i="7"/>
  <c r="AS325" i="7"/>
  <c r="AS335" i="7"/>
  <c r="AS338" i="7"/>
  <c r="AS150" i="7"/>
  <c r="AS143" i="7"/>
  <c r="AS41" i="7"/>
  <c r="AS99" i="7" s="1"/>
  <c r="AS67" i="14" s="1"/>
  <c r="AS68" i="14" s="1"/>
  <c r="AS72" i="14" s="1"/>
  <c r="AS73" i="14" s="1"/>
  <c r="AS74" i="14" s="1"/>
  <c r="AS75" i="14" s="1"/>
  <c r="AS76" i="14" s="1"/>
  <c r="AS77" i="14" s="1"/>
  <c r="AS82" i="14" s="1"/>
  <c r="AS85" i="14" s="1"/>
  <c r="AS192" i="7"/>
  <c r="AJ12" i="14"/>
  <c r="AX12" i="14"/>
  <c r="AR8" i="21"/>
  <c r="AR34" i="21" s="1"/>
  <c r="AU52" i="14"/>
  <c r="AU54" i="14" s="1"/>
  <c r="AU55" i="14" s="1"/>
  <c r="AU56" i="14" s="1"/>
  <c r="AU57" i="14" s="1"/>
  <c r="AT28" i="14"/>
  <c r="AT29" i="14" s="1"/>
  <c r="AT30" i="14" s="1"/>
  <c r="AT31" i="14" s="1"/>
  <c r="AT18" i="13" s="1"/>
  <c r="AT52" i="14"/>
  <c r="AT53" i="14" s="1"/>
  <c r="AR58" i="14"/>
  <c r="AR59" i="14" s="1"/>
  <c r="AR60" i="14" s="1"/>
  <c r="AR62" i="14" s="1"/>
  <c r="AR63" i="14" s="1"/>
  <c r="AS61" i="14"/>
  <c r="AS64" i="14" s="1"/>
  <c r="AS65" i="14" s="1"/>
  <c r="AS191" i="14"/>
  <c r="AP196" i="14"/>
  <c r="AP197" i="14" s="1"/>
  <c r="AP199" i="14" s="1"/>
  <c r="AP202" i="14" s="1"/>
  <c r="AP206" i="14" s="1"/>
  <c r="AQ201" i="14"/>
  <c r="AQ205" i="14" s="1"/>
  <c r="AQ199" i="14"/>
  <c r="AQ202" i="14" s="1"/>
  <c r="AQ206" i="14" s="1"/>
  <c r="AU187" i="14"/>
  <c r="AU188" i="14" s="1"/>
  <c r="AU189" i="14" s="1"/>
  <c r="AU214" i="14"/>
  <c r="AT187" i="14"/>
  <c r="AT188" i="14" s="1"/>
  <c r="AT214" i="14"/>
  <c r="AR191" i="14"/>
  <c r="AR192" i="14"/>
  <c r="AS194" i="14"/>
  <c r="AS195" i="14" s="1"/>
  <c r="AS193" i="14"/>
  <c r="T7" i="20"/>
  <c r="T8" i="20" s="1"/>
  <c r="AT4" i="13"/>
  <c r="AW10" i="14"/>
  <c r="T10" i="8"/>
  <c r="T55" i="21"/>
  <c r="AW176" i="14"/>
  <c r="AW179" i="14" s="1"/>
  <c r="AW181" i="14" s="1"/>
  <c r="AW178" i="14"/>
  <c r="AW177" i="14"/>
  <c r="T49" i="21"/>
  <c r="T11" i="8"/>
  <c r="T86" i="9"/>
  <c r="T80" i="9"/>
  <c r="T81" i="9" s="1"/>
  <c r="T83" i="9" s="1"/>
  <c r="T4" i="8"/>
  <c r="T12" i="20"/>
  <c r="AX11" i="14"/>
  <c r="AX169" i="14"/>
  <c r="AJ11" i="14"/>
  <c r="AJ169" i="14"/>
  <c r="AV14" i="14"/>
  <c r="AV25" i="14" s="1"/>
  <c r="AV171" i="14"/>
  <c r="AV184" i="14" s="1"/>
  <c r="AV214" i="14" s="1"/>
  <c r="AU170" i="14"/>
  <c r="AU185" i="14" s="1"/>
  <c r="AT170" i="14"/>
  <c r="AT185" i="14" s="1"/>
  <c r="AQ119" i="14"/>
  <c r="AQ136" i="14" s="1"/>
  <c r="AQ137" i="14" s="1"/>
  <c r="AJ7" i="14"/>
  <c r="AJ174" i="14" s="1"/>
  <c r="AJ6" i="14"/>
  <c r="AJ173" i="14" s="1"/>
  <c r="AJ9" i="14"/>
  <c r="AJ5" i="14"/>
  <c r="AJ172" i="14" s="1"/>
  <c r="AJ8" i="14"/>
  <c r="Z12" i="20"/>
  <c r="Z6" i="8" s="1"/>
  <c r="Z44" i="8" s="1"/>
  <c r="Z47" i="8" s="1"/>
  <c r="Z48" i="8" s="1"/>
  <c r="AU204" i="7"/>
  <c r="AU269" i="7"/>
  <c r="AU284" i="7" s="1"/>
  <c r="AU263" i="7"/>
  <c r="AU278" i="7" s="1"/>
  <c r="AU268" i="7"/>
  <c r="AU283" i="7" s="1"/>
  <c r="AU265" i="7"/>
  <c r="AU280" i="7" s="1"/>
  <c r="AU266" i="7"/>
  <c r="AU281" i="7" s="1"/>
  <c r="AU258" i="7"/>
  <c r="AU273" i="7" s="1"/>
  <c r="AU264" i="7"/>
  <c r="AU279" i="7" s="1"/>
  <c r="AU262" i="7"/>
  <c r="AU277" i="7" s="1"/>
  <c r="AU260" i="7"/>
  <c r="AU275" i="7" s="1"/>
  <c r="AU259" i="7"/>
  <c r="AU274" i="7" s="1"/>
  <c r="AU261" i="7"/>
  <c r="AU276" i="7" s="1"/>
  <c r="AS137" i="7"/>
  <c r="AU21" i="7"/>
  <c r="AU39" i="7"/>
  <c r="AU56" i="7" s="1"/>
  <c r="AS144" i="7"/>
  <c r="AS138" i="7"/>
  <c r="AV44" i="14"/>
  <c r="AV19" i="13" s="1"/>
  <c r="AU25" i="7"/>
  <c r="AU30" i="7"/>
  <c r="AU42" i="7" s="1"/>
  <c r="AS136" i="7"/>
  <c r="AU68" i="7"/>
  <c r="AU83" i="7" s="1"/>
  <c r="AU98" i="7" s="1"/>
  <c r="AS146" i="7"/>
  <c r="AU35" i="7"/>
  <c r="AU45" i="7" s="1"/>
  <c r="AS133" i="7"/>
  <c r="AW16" i="14"/>
  <c r="AW18" i="14" s="1"/>
  <c r="AW19" i="14" s="1"/>
  <c r="AW21" i="14" s="1"/>
  <c r="AW17" i="14"/>
  <c r="AX7" i="14"/>
  <c r="AX9" i="14"/>
  <c r="AX6" i="14"/>
  <c r="AX173" i="14" s="1"/>
  <c r="AX8" i="14"/>
  <c r="AX5" i="14"/>
  <c r="AX172" i="14" s="1"/>
  <c r="AW13" i="7"/>
  <c r="AW14" i="7" s="1"/>
  <c r="AW15" i="7" s="1"/>
  <c r="AQ81" i="21"/>
  <c r="AQ12" i="8" s="1"/>
  <c r="AQ13" i="8" s="1"/>
  <c r="E7" i="7"/>
  <c r="E16" i="13" s="1"/>
  <c r="AP4" i="7"/>
  <c r="AP13" i="13" s="1"/>
  <c r="AP100" i="7"/>
  <c r="AP3" i="23" s="1"/>
  <c r="AQ94" i="14"/>
  <c r="AQ111" i="14" s="1"/>
  <c r="AQ112" i="14" s="1"/>
  <c r="AQ114" i="14" s="1"/>
  <c r="AU119" i="7"/>
  <c r="AU120" i="7" s="1"/>
  <c r="AU132" i="7" s="1"/>
  <c r="AP25" i="21"/>
  <c r="AP35" i="21" s="1"/>
  <c r="AP36" i="21" s="1"/>
  <c r="AT325" i="7"/>
  <c r="AP129" i="14"/>
  <c r="AP140" i="14" s="1"/>
  <c r="AU128" i="7"/>
  <c r="AU129" i="7" s="1"/>
  <c r="AU147" i="7" s="1"/>
  <c r="AU158" i="7"/>
  <c r="AU173" i="7" s="1"/>
  <c r="AU124" i="7"/>
  <c r="AU110" i="7"/>
  <c r="AX9" i="7"/>
  <c r="AX12" i="7"/>
  <c r="AX10" i="7"/>
  <c r="AV49" i="14"/>
  <c r="AV50" i="14" s="1"/>
  <c r="AV6" i="24" s="1"/>
  <c r="AR119" i="14"/>
  <c r="AR122" i="14"/>
  <c r="AR123" i="14" s="1"/>
  <c r="AR124" i="14" s="1"/>
  <c r="AR125" i="14" s="1"/>
  <c r="AR126" i="14" s="1"/>
  <c r="AR127" i="14" s="1"/>
  <c r="AR132" i="14" s="1"/>
  <c r="AR135" i="14" s="1"/>
  <c r="AQ22" i="9"/>
  <c r="AQ23" i="9" s="1"/>
  <c r="AU3" i="10" s="1"/>
  <c r="AQ33" i="9"/>
  <c r="AQ34" i="9" s="1"/>
  <c r="AU5" i="10" s="1"/>
  <c r="AQ44" i="9"/>
  <c r="AQ45" i="9" s="1"/>
  <c r="AQ55" i="9" s="1"/>
  <c r="AQ38" i="9"/>
  <c r="AQ39" i="9" s="1"/>
  <c r="AQ17" i="9"/>
  <c r="AQ18" i="9" s="1"/>
  <c r="AU2" i="10" s="1"/>
  <c r="AQ11" i="9"/>
  <c r="AQ12" i="9" s="1"/>
  <c r="AQ36" i="9"/>
  <c r="AU7" i="10" s="1"/>
  <c r="AQ41" i="9"/>
  <c r="AQ42" i="9" s="1"/>
  <c r="AQ50" i="9" s="1"/>
  <c r="AQ27" i="9"/>
  <c r="AQ28" i="9" s="1"/>
  <c r="AU4" i="10" s="1"/>
  <c r="AQ66" i="21"/>
  <c r="AQ68" i="21" s="1"/>
  <c r="AP136" i="14"/>
  <c r="AQ100" i="14"/>
  <c r="AQ101" i="14" s="1"/>
  <c r="AQ102" i="14" s="1"/>
  <c r="AQ107" i="14" s="1"/>
  <c r="AQ110" i="14" s="1"/>
  <c r="AQ73" i="21"/>
  <c r="AT330" i="7"/>
  <c r="AS8" i="21"/>
  <c r="AR17" i="17"/>
  <c r="AR14" i="17"/>
  <c r="AR28" i="13" s="1"/>
  <c r="AT337" i="7"/>
  <c r="AS15" i="17"/>
  <c r="AS27" i="13" s="1"/>
  <c r="AP8" i="8"/>
  <c r="AP48" i="9"/>
  <c r="AP56" i="9"/>
  <c r="AP57" i="9"/>
  <c r="AS7" i="15"/>
  <c r="AY5" i="11" s="1"/>
  <c r="AS10" i="13"/>
  <c r="AS29" i="15"/>
  <c r="AS37" i="15" s="1"/>
  <c r="AS31" i="15"/>
  <c r="AS9" i="15"/>
  <c r="AY6" i="11" s="1"/>
  <c r="AS17" i="15"/>
  <c r="AY10" i="11" s="1"/>
  <c r="AS13" i="15"/>
  <c r="AY8" i="11" s="1"/>
  <c r="AS19" i="15"/>
  <c r="AY11" i="11" s="1"/>
  <c r="AS15" i="15"/>
  <c r="AY9" i="11" s="1"/>
  <c r="AS11" i="15"/>
  <c r="AY7" i="11" s="1"/>
  <c r="AZ3" i="13"/>
  <c r="AZ3" i="24" s="1"/>
  <c r="AY3" i="17"/>
  <c r="AY5" i="17" s="1"/>
  <c r="AY3" i="7"/>
  <c r="AY3" i="14"/>
  <c r="AP59" i="9"/>
  <c r="AP58" i="9"/>
  <c r="AP54" i="9"/>
  <c r="AP49" i="9"/>
  <c r="AP22" i="15"/>
  <c r="AP43" i="15" s="1"/>
  <c r="AT4" i="22" s="1"/>
  <c r="AW48" i="14"/>
  <c r="AU28" i="14"/>
  <c r="AU29" i="14" s="1"/>
  <c r="AU30" i="14" s="1"/>
  <c r="AU31" i="14" s="1"/>
  <c r="AU18" i="13" s="1"/>
  <c r="AU4" i="13"/>
  <c r="AP7" i="8"/>
  <c r="AW47" i="14"/>
  <c r="AP9" i="8"/>
  <c r="AQ20" i="21"/>
  <c r="AP21" i="15"/>
  <c r="AP5" i="9" s="1"/>
  <c r="AU114" i="7"/>
  <c r="AU115" i="7" s="1"/>
  <c r="AU153" i="7" s="1"/>
  <c r="AW36" i="14"/>
  <c r="AW42" i="14"/>
  <c r="AN5" i="7"/>
  <c r="AN14" i="13" s="1"/>
  <c r="Q289" i="7"/>
  <c r="Q13" i="23" s="1"/>
  <c r="M8" i="20"/>
  <c r="M9" i="20"/>
  <c r="M10" i="20"/>
  <c r="N47" i="8"/>
  <c r="N48" i="8" s="1"/>
  <c r="N24" i="13" s="1"/>
  <c r="BG12" i="20"/>
  <c r="BG6" i="8" s="1"/>
  <c r="AN23" i="13"/>
  <c r="F24" i="13"/>
  <c r="F50" i="8"/>
  <c r="F25" i="13" s="1"/>
  <c r="AI12" i="20"/>
  <c r="AI6" i="8" s="1"/>
  <c r="AP389" i="7"/>
  <c r="AP7" i="7"/>
  <c r="AP16" i="13" s="1"/>
  <c r="AI71" i="9"/>
  <c r="AN389" i="7"/>
  <c r="AN7" i="7"/>
  <c r="AN16" i="13" s="1"/>
  <c r="AN289" i="7"/>
  <c r="AN13" i="23" s="1"/>
  <c r="AN6" i="7"/>
  <c r="AN15" i="13" s="1"/>
  <c r="AN40" i="8"/>
  <c r="AN22" i="13"/>
  <c r="AI80" i="9"/>
  <c r="AI81" i="9" s="1"/>
  <c r="AI83" i="9" s="1"/>
  <c r="AI86" i="9"/>
  <c r="AI87" i="9" s="1"/>
  <c r="AI88" i="9" s="1"/>
  <c r="AI89" i="9" s="1"/>
  <c r="AI7" i="20"/>
  <c r="AI5" i="8" s="1"/>
  <c r="AI43" i="8" s="1"/>
  <c r="AN62" i="9"/>
  <c r="AN68" i="9" s="1"/>
  <c r="AN47" i="9"/>
  <c r="AN51" i="9" s="1"/>
  <c r="AN64" i="9" s="1"/>
  <c r="AN10" i="8"/>
  <c r="AN55" i="21"/>
  <c r="AN53" i="9"/>
  <c r="AN60" i="9" s="1"/>
  <c r="AN66" i="9" s="1"/>
  <c r="AO86" i="9"/>
  <c r="AO87" i="9" s="1"/>
  <c r="AO88" i="9" s="1"/>
  <c r="AO5" i="20"/>
  <c r="AO10" i="8"/>
  <c r="AO55" i="21"/>
  <c r="AO56" i="21" s="1"/>
  <c r="AO71" i="9"/>
  <c r="AO4" i="8"/>
  <c r="AO74" i="9"/>
  <c r="AO3" i="20" s="1"/>
  <c r="AO80" i="9"/>
  <c r="AO81" i="9" s="1"/>
  <c r="AO83" i="9" s="1"/>
  <c r="H82" i="9"/>
  <c r="AE50" i="21"/>
  <c r="AG50" i="21"/>
  <c r="AF43" i="8"/>
  <c r="AF56" i="21"/>
  <c r="BG87" i="9"/>
  <c r="BG88" i="9" s="1"/>
  <c r="BG81" i="9"/>
  <c r="BG83" i="9" s="1"/>
  <c r="BG7" i="20"/>
  <c r="BG5" i="8" s="1"/>
  <c r="G9" i="20"/>
  <c r="AM12" i="7"/>
  <c r="AM10" i="7"/>
  <c r="AM9" i="7"/>
  <c r="AK48" i="14"/>
  <c r="AK10" i="7"/>
  <c r="AK12" i="7"/>
  <c r="AK9" i="7"/>
  <c r="AJ76" i="7"/>
  <c r="AJ91" i="7" s="1"/>
  <c r="AJ73" i="7"/>
  <c r="AJ88" i="7" s="1"/>
  <c r="AJ70" i="7"/>
  <c r="AJ85" i="7" s="1"/>
  <c r="AJ81" i="7"/>
  <c r="AJ96" i="7" s="1"/>
  <c r="AJ80" i="7"/>
  <c r="AJ95" i="7" s="1"/>
  <c r="AJ75" i="7"/>
  <c r="AJ90" i="7" s="1"/>
  <c r="AJ77" i="7"/>
  <c r="AJ92" i="7" s="1"/>
  <c r="AJ78" i="7"/>
  <c r="AJ93" i="7" s="1"/>
  <c r="AJ74" i="7"/>
  <c r="AJ89" i="7" s="1"/>
  <c r="AJ295" i="7"/>
  <c r="AJ296" i="7" s="1"/>
  <c r="AJ69" i="7"/>
  <c r="AJ84" i="7" s="1"/>
  <c r="AJ201" i="7"/>
  <c r="AJ202" i="7" s="1"/>
  <c r="AJ71" i="7"/>
  <c r="AJ86" i="7" s="1"/>
  <c r="AJ72" i="7"/>
  <c r="AJ87" i="7" s="1"/>
  <c r="AJ103" i="7"/>
  <c r="AJ106" i="7" s="1"/>
  <c r="AJ79" i="7"/>
  <c r="AJ94" i="7" s="1"/>
  <c r="AJ17" i="7"/>
  <c r="AD56" i="21"/>
  <c r="N19" i="8"/>
  <c r="N27" i="8" s="1"/>
  <c r="N38" i="8" s="1"/>
  <c r="Q83" i="9"/>
  <c r="N82" i="9"/>
  <c r="N13" i="20"/>
  <c r="N14" i="20" s="1"/>
  <c r="N15" i="20" s="1"/>
  <c r="AG7" i="20"/>
  <c r="AG5" i="8" s="1"/>
  <c r="AG43" i="8" s="1"/>
  <c r="AH12" i="20"/>
  <c r="AH6" i="8" s="1"/>
  <c r="G8" i="20"/>
  <c r="M82" i="9"/>
  <c r="AG88" i="9"/>
  <c r="AG89" i="9" s="1"/>
  <c r="AH7" i="20"/>
  <c r="AH5" i="8" s="1"/>
  <c r="AH43" i="8" s="1"/>
  <c r="AT75" i="9"/>
  <c r="AD50" i="21"/>
  <c r="AH89" i="9"/>
  <c r="AG12" i="20"/>
  <c r="AG6" i="8" s="1"/>
  <c r="I10" i="20"/>
  <c r="I9" i="20"/>
  <c r="AF12" i="20"/>
  <c r="AF6" i="8" s="1"/>
  <c r="G10" i="20"/>
  <c r="V82" i="9"/>
  <c r="AB56" i="21"/>
  <c r="AD7" i="20"/>
  <c r="AD5" i="8" s="1"/>
  <c r="AD43" i="8" s="1"/>
  <c r="AD12" i="20"/>
  <c r="AD6" i="8" s="1"/>
  <c r="AC56" i="21"/>
  <c r="AD81" i="9"/>
  <c r="AD82" i="9" s="1"/>
  <c r="L82" i="9"/>
  <c r="AB7" i="20"/>
  <c r="AB5" i="8" s="1"/>
  <c r="AB43" i="8" s="1"/>
  <c r="AB12" i="20"/>
  <c r="AB6" i="8" s="1"/>
  <c r="W83" i="9"/>
  <c r="AE56" i="21"/>
  <c r="AH81" i="9"/>
  <c r="AH82" i="9" s="1"/>
  <c r="AF49" i="21"/>
  <c r="AF51" i="21" s="1"/>
  <c r="AF89" i="9"/>
  <c r="AF81" i="9"/>
  <c r="AF82" i="9" s="1"/>
  <c r="AC51" i="21"/>
  <c r="G13" i="20"/>
  <c r="G14" i="20" s="1"/>
  <c r="G15" i="20" s="1"/>
  <c r="Q13" i="20"/>
  <c r="Q14" i="20" s="1"/>
  <c r="Q15" i="20" s="1"/>
  <c r="M89" i="9"/>
  <c r="L13" i="20"/>
  <c r="L14" i="20" s="1"/>
  <c r="AI51" i="21"/>
  <c r="G19" i="8"/>
  <c r="G27" i="8" s="1"/>
  <c r="G38" i="8" s="1"/>
  <c r="G44" i="8"/>
  <c r="G47" i="8" s="1"/>
  <c r="G48" i="8" s="1"/>
  <c r="W19" i="8"/>
  <c r="W27" i="8" s="1"/>
  <c r="W38" i="8" s="1"/>
  <c r="W43" i="8"/>
  <c r="Q19" i="8"/>
  <c r="Q27" i="8" s="1"/>
  <c r="Q38" i="8" s="1"/>
  <c r="Q44" i="8"/>
  <c r="W44" i="8"/>
  <c r="I44" i="8"/>
  <c r="M19" i="8"/>
  <c r="M27" i="8" s="1"/>
  <c r="M38" i="8" s="1"/>
  <c r="M44" i="8"/>
  <c r="M47" i="8" s="1"/>
  <c r="M48" i="8" s="1"/>
  <c r="L44" i="8"/>
  <c r="L47" i="8" s="1"/>
  <c r="L48" i="8" s="1"/>
  <c r="L19" i="8"/>
  <c r="L27" i="8" s="1"/>
  <c r="L38" i="8" s="1"/>
  <c r="I19" i="8"/>
  <c r="I27" i="8" s="1"/>
  <c r="I38" i="8" s="1"/>
  <c r="M13" i="20"/>
  <c r="M14" i="20" s="1"/>
  <c r="M15" i="20" s="1"/>
  <c r="I8" i="20"/>
  <c r="O12" i="20"/>
  <c r="O6" i="8" s="1"/>
  <c r="H5" i="8"/>
  <c r="H10" i="20"/>
  <c r="H8" i="20"/>
  <c r="H9" i="20"/>
  <c r="Y7" i="20"/>
  <c r="Y5" i="8" s="1"/>
  <c r="Y43" i="8" s="1"/>
  <c r="N89" i="9"/>
  <c r="P87" i="9"/>
  <c r="P88" i="9" s="1"/>
  <c r="Q89" i="9"/>
  <c r="AC87" i="9"/>
  <c r="AC88" i="9" s="1"/>
  <c r="Y81" i="9"/>
  <c r="Y83" i="9" s="1"/>
  <c r="O82" i="9"/>
  <c r="L10" i="20"/>
  <c r="L9" i="20"/>
  <c r="G82" i="9"/>
  <c r="I83" i="9"/>
  <c r="Z89" i="9"/>
  <c r="I88" i="9"/>
  <c r="I89" i="9" s="1"/>
  <c r="P7" i="20"/>
  <c r="P5" i="8" s="1"/>
  <c r="P43" i="8" s="1"/>
  <c r="O87" i="9"/>
  <c r="O88" i="9" s="1"/>
  <c r="Z83" i="9"/>
  <c r="L8" i="20"/>
  <c r="P81" i="9"/>
  <c r="P83" i="9" s="1"/>
  <c r="Y87" i="9"/>
  <c r="Y88" i="9" s="1"/>
  <c r="Y89" i="9" s="1"/>
  <c r="AC81" i="9"/>
  <c r="AC83" i="9" s="1"/>
  <c r="P12" i="20"/>
  <c r="P6" i="8" s="1"/>
  <c r="Q8" i="20"/>
  <c r="V6" i="8"/>
  <c r="V13" i="20"/>
  <c r="V14" i="20" s="1"/>
  <c r="V15" i="20" s="1"/>
  <c r="V5" i="8"/>
  <c r="V43" i="8" s="1"/>
  <c r="V10" i="20"/>
  <c r="V9" i="20"/>
  <c r="V8" i="20"/>
  <c r="Q10" i="20"/>
  <c r="O7" i="20"/>
  <c r="Q9" i="20"/>
  <c r="Y12" i="20"/>
  <c r="Y6" i="8" s="1"/>
  <c r="AC7" i="20"/>
  <c r="AC5" i="8" s="1"/>
  <c r="AC43" i="8" s="1"/>
  <c r="AC12" i="20"/>
  <c r="AC6" i="8" s="1"/>
  <c r="Y61" i="9"/>
  <c r="Y77" i="9" s="1"/>
  <c r="X66" i="9"/>
  <c r="AA389" i="7"/>
  <c r="AA7" i="7"/>
  <c r="AA16" i="13" s="1"/>
  <c r="Z289" i="7"/>
  <c r="Z13" i="23" s="1"/>
  <c r="Z6" i="7"/>
  <c r="Z15" i="13" s="1"/>
  <c r="S289" i="7"/>
  <c r="S13" i="23" s="1"/>
  <c r="S6" i="7"/>
  <c r="S15" i="13" s="1"/>
  <c r="S389" i="7"/>
  <c r="S7" i="7"/>
  <c r="S16" i="13" s="1"/>
  <c r="F289" i="7"/>
  <c r="F13" i="23" s="1"/>
  <c r="F6" i="7"/>
  <c r="F15" i="13" s="1"/>
  <c r="Q195" i="7"/>
  <c r="Q5" i="7"/>
  <c r="Q14" i="13" s="1"/>
  <c r="Q100" i="7"/>
  <c r="Q3" i="23" s="1"/>
  <c r="Q4" i="7"/>
  <c r="Q13" i="13" s="1"/>
  <c r="I289" i="7"/>
  <c r="I13" i="23" s="1"/>
  <c r="I6" i="7"/>
  <c r="I15" i="13" s="1"/>
  <c r="U195" i="7"/>
  <c r="U5" i="7"/>
  <c r="U14" i="13" s="1"/>
  <c r="P100" i="7"/>
  <c r="P3" i="23" s="1"/>
  <c r="P4" i="7"/>
  <c r="P13" i="13" s="1"/>
  <c r="L389" i="7"/>
  <c r="L7" i="7"/>
  <c r="L16" i="13" s="1"/>
  <c r="Q389" i="7"/>
  <c r="Q7" i="7"/>
  <c r="Q16" i="13" s="1"/>
  <c r="U100" i="7"/>
  <c r="U3" i="23" s="1"/>
  <c r="U4" i="7"/>
  <c r="U13" i="13" s="1"/>
  <c r="T389" i="7"/>
  <c r="T7" i="7"/>
  <c r="T16" i="13" s="1"/>
  <c r="O389" i="7" l="1"/>
  <c r="O5" i="7"/>
  <c r="O14" i="13" s="1"/>
  <c r="F195" i="7"/>
  <c r="F5" i="7"/>
  <c r="F14" i="13" s="1"/>
  <c r="E98" i="23"/>
  <c r="E150" i="23" s="1"/>
  <c r="U6" i="7"/>
  <c r="U15" i="13" s="1"/>
  <c r="U289" i="7"/>
  <c r="U13" i="23" s="1"/>
  <c r="S195" i="7"/>
  <c r="S5" i="7"/>
  <c r="S14" i="13" s="1"/>
  <c r="AT334" i="7"/>
  <c r="AT326" i="7"/>
  <c r="Q47" i="8"/>
  <c r="Q48" i="8" s="1"/>
  <c r="AO114" i="14"/>
  <c r="AT329" i="7"/>
  <c r="AO113" i="14"/>
  <c r="AO104" i="14"/>
  <c r="AO115" i="14" s="1"/>
  <c r="AO5" i="7" s="1"/>
  <c r="AO14" i="13" s="1"/>
  <c r="AT343" i="7"/>
  <c r="AT348" i="7"/>
  <c r="AT333" i="7"/>
  <c r="P5" i="7"/>
  <c r="P14" i="13" s="1"/>
  <c r="P195" i="7"/>
  <c r="AT327" i="7"/>
  <c r="AT338" i="7"/>
  <c r="AO119" i="14"/>
  <c r="AO136" i="14" s="1"/>
  <c r="AO137" i="14" s="1"/>
  <c r="AO82" i="14"/>
  <c r="AO85" i="14" s="1"/>
  <c r="AO79" i="14"/>
  <c r="N5" i="7"/>
  <c r="N14" i="13" s="1"/>
  <c r="N195" i="7"/>
  <c r="AO88" i="14"/>
  <c r="AO89" i="14"/>
  <c r="AU209" i="7"/>
  <c r="AT133" i="7"/>
  <c r="AO125" i="14"/>
  <c r="AO126" i="14" s="1"/>
  <c r="AO127" i="14" s="1"/>
  <c r="AO132" i="14" s="1"/>
  <c r="AO135" i="14" s="1"/>
  <c r="U389" i="7"/>
  <c r="U7" i="7"/>
  <c r="U16" i="13" s="1"/>
  <c r="T195" i="7"/>
  <c r="T5" i="7"/>
  <c r="T14" i="13" s="1"/>
  <c r="AO150" i="14"/>
  <c r="AO151" i="14" s="1"/>
  <c r="AO152" i="14" s="1"/>
  <c r="AO157" i="14" s="1"/>
  <c r="AO160" i="14" s="1"/>
  <c r="AO161" i="14"/>
  <c r="AO162" i="14" s="1"/>
  <c r="AO163" i="14" s="1"/>
  <c r="AJ22" i="7"/>
  <c r="AV22" i="7"/>
  <c r="AT247" i="7"/>
  <c r="AT341" i="7"/>
  <c r="AW70" i="7"/>
  <c r="AW85" i="7" s="1"/>
  <c r="AU48" i="7"/>
  <c r="AV257" i="7"/>
  <c r="AV272" i="7" s="1"/>
  <c r="AV352" i="7"/>
  <c r="AV367" i="7" s="1"/>
  <c r="AT331" i="7"/>
  <c r="AT340" i="7"/>
  <c r="AT347" i="7"/>
  <c r="AT139" i="7"/>
  <c r="AT336" i="7"/>
  <c r="BA3" i="11"/>
  <c r="AY3" i="22"/>
  <c r="AT344" i="7"/>
  <c r="AZ3" i="11"/>
  <c r="AX3" i="22"/>
  <c r="AT386" i="7"/>
  <c r="AT346" i="7"/>
  <c r="AT332" i="7"/>
  <c r="AT335" i="7"/>
  <c r="AV20" i="13"/>
  <c r="AV11" i="7"/>
  <c r="AT342" i="7"/>
  <c r="AB50" i="21"/>
  <c r="AP5" i="7"/>
  <c r="AP14" i="13" s="1"/>
  <c r="J50" i="21"/>
  <c r="I47" i="8"/>
  <c r="I48" i="8" s="1"/>
  <c r="I24" i="13" s="1"/>
  <c r="J57" i="21"/>
  <c r="S47" i="8"/>
  <c r="S48" i="8" s="1"/>
  <c r="S24" i="13" s="1"/>
  <c r="AR94" i="14"/>
  <c r="AR111" i="14" s="1"/>
  <c r="AR112" i="14" s="1"/>
  <c r="AR114" i="14" s="1"/>
  <c r="AO11" i="8"/>
  <c r="AR144" i="14"/>
  <c r="AR161" i="14" s="1"/>
  <c r="AN49" i="21"/>
  <c r="AN50" i="21" s="1"/>
  <c r="AT231" i="7"/>
  <c r="AT236" i="7"/>
  <c r="AT239" i="7"/>
  <c r="AT149" i="7"/>
  <c r="AT125" i="7"/>
  <c r="AT192" i="7" s="1"/>
  <c r="AT140" i="7"/>
  <c r="AT150" i="7"/>
  <c r="AT132" i="7"/>
  <c r="AT135" i="7"/>
  <c r="AT145" i="7"/>
  <c r="AT138" i="7"/>
  <c r="AT155" i="7"/>
  <c r="AT143" i="7"/>
  <c r="AV359" i="7"/>
  <c r="AV374" i="7" s="1"/>
  <c r="R13" i="20"/>
  <c r="R14" i="20" s="1"/>
  <c r="R15" i="20" s="1"/>
  <c r="AQ161" i="14"/>
  <c r="AQ162" i="14" s="1"/>
  <c r="AQ164" i="14" s="1"/>
  <c r="AV360" i="7"/>
  <c r="AV375" i="7" s="1"/>
  <c r="AV357" i="7"/>
  <c r="AV372" i="7" s="1"/>
  <c r="AT146" i="7"/>
  <c r="AT253" i="7"/>
  <c r="AV356" i="7"/>
  <c r="AV371" i="7" s="1"/>
  <c r="AT246" i="7"/>
  <c r="AT148" i="7"/>
  <c r="AT235" i="7"/>
  <c r="AV353" i="7"/>
  <c r="AV368" i="7" s="1"/>
  <c r="AV166" i="7"/>
  <c r="AV181" i="7" s="1"/>
  <c r="AV108" i="7"/>
  <c r="AV111" i="7" s="1"/>
  <c r="AV265" i="7"/>
  <c r="AV280" i="7" s="1"/>
  <c r="AT240" i="7"/>
  <c r="AT250" i="7"/>
  <c r="AT254" i="7"/>
  <c r="AT232" i="7"/>
  <c r="AT154" i="7"/>
  <c r="AV261" i="7"/>
  <c r="AV276" i="7" s="1"/>
  <c r="AT252" i="7"/>
  <c r="AV259" i="7"/>
  <c r="AV274" i="7" s="1"/>
  <c r="AT251" i="7"/>
  <c r="AT241" i="7"/>
  <c r="AV165" i="7"/>
  <c r="AV180" i="7" s="1"/>
  <c r="AV262" i="7"/>
  <c r="AV277" i="7" s="1"/>
  <c r="AT237" i="7"/>
  <c r="AV169" i="7"/>
  <c r="AV184" i="7" s="1"/>
  <c r="AV161" i="7"/>
  <c r="AV176" i="7" s="1"/>
  <c r="AV204" i="7"/>
  <c r="AV212" i="7" s="1"/>
  <c r="AV213" i="7" s="1"/>
  <c r="AT249" i="7"/>
  <c r="AV258" i="7"/>
  <c r="AV273" i="7" s="1"/>
  <c r="AY25" i="11"/>
  <c r="AV171" i="7"/>
  <c r="AV186" i="7" s="1"/>
  <c r="AV269" i="7"/>
  <c r="AV284" i="7" s="1"/>
  <c r="AT223" i="7"/>
  <c r="AT218" i="7"/>
  <c r="AV267" i="7"/>
  <c r="AV282" i="7" s="1"/>
  <c r="AV162" i="7"/>
  <c r="AV177" i="7" s="1"/>
  <c r="AV168" i="7"/>
  <c r="AV183" i="7" s="1"/>
  <c r="AT233" i="7"/>
  <c r="AT230" i="7"/>
  <c r="AV170" i="7"/>
  <c r="AV185" i="7" s="1"/>
  <c r="AT245" i="7"/>
  <c r="AT242" i="7"/>
  <c r="AV164" i="7"/>
  <c r="AV179" i="7" s="1"/>
  <c r="AV160" i="7"/>
  <c r="AV175" i="7" s="1"/>
  <c r="AV264" i="7"/>
  <c r="AV279" i="7" s="1"/>
  <c r="AV167" i="7"/>
  <c r="AV182" i="7" s="1"/>
  <c r="AV268" i="7"/>
  <c r="AV283" i="7" s="1"/>
  <c r="AT238" i="7"/>
  <c r="AV260" i="7"/>
  <c r="AV275" i="7" s="1"/>
  <c r="AY39" i="11"/>
  <c r="AT244" i="7"/>
  <c r="E44" i="15"/>
  <c r="E45" i="15" s="1"/>
  <c r="E46" i="15" s="1"/>
  <c r="E4" i="9"/>
  <c r="E86" i="9" s="1"/>
  <c r="E4" i="20"/>
  <c r="E12" i="20" s="1"/>
  <c r="E6" i="8" s="1"/>
  <c r="E4" i="21"/>
  <c r="E53" i="21" s="1"/>
  <c r="E54" i="21" s="1"/>
  <c r="E55" i="21" s="1"/>
  <c r="E57" i="21" s="1"/>
  <c r="I4" i="22"/>
  <c r="AY73" i="11"/>
  <c r="AY136" i="11"/>
  <c r="AY65" i="11"/>
  <c r="AY124" i="11"/>
  <c r="AY75" i="11"/>
  <c r="AY110" i="11"/>
  <c r="AY131" i="11"/>
  <c r="AY104" i="11"/>
  <c r="AY127" i="11"/>
  <c r="AY101" i="11"/>
  <c r="AY26" i="11"/>
  <c r="AY95" i="11"/>
  <c r="AY57" i="11"/>
  <c r="AY40" i="11"/>
  <c r="AY96" i="11"/>
  <c r="R8" i="20"/>
  <c r="AY97" i="11"/>
  <c r="AY55" i="11"/>
  <c r="AY98" i="11"/>
  <c r="AY68" i="11"/>
  <c r="AY109" i="11"/>
  <c r="AY67" i="11"/>
  <c r="AY30" i="11"/>
  <c r="AY105" i="11"/>
  <c r="AY90" i="11"/>
  <c r="AY49" i="11"/>
  <c r="AY103" i="11"/>
  <c r="AY37" i="11"/>
  <c r="AY125" i="11"/>
  <c r="AY92" i="11"/>
  <c r="AY45" i="11"/>
  <c r="AY41" i="11"/>
  <c r="AY58" i="11"/>
  <c r="AY80" i="11"/>
  <c r="AY122" i="11"/>
  <c r="AY85" i="11"/>
  <c r="AY28" i="11"/>
  <c r="AY129" i="11"/>
  <c r="AY53" i="11"/>
  <c r="AY23" i="11"/>
  <c r="AY64" i="11"/>
  <c r="AY42" i="11"/>
  <c r="AY111" i="11"/>
  <c r="AY56" i="11"/>
  <c r="AY81" i="11"/>
  <c r="AY19" i="11"/>
  <c r="AY133" i="11"/>
  <c r="R9" i="20"/>
  <c r="AY118" i="11"/>
  <c r="AY63" i="11"/>
  <c r="AY114" i="11"/>
  <c r="AY21" i="11"/>
  <c r="AY107" i="11"/>
  <c r="AY86" i="11"/>
  <c r="AY123" i="11"/>
  <c r="AY62" i="11"/>
  <c r="AY100" i="11"/>
  <c r="AY71" i="11"/>
  <c r="AY130" i="11"/>
  <c r="AY83" i="11"/>
  <c r="AY138" i="11"/>
  <c r="AY113" i="11"/>
  <c r="AY74" i="11"/>
  <c r="AY20" i="11"/>
  <c r="AY66" i="11"/>
  <c r="AY132" i="11"/>
  <c r="AY82" i="11"/>
  <c r="AY135" i="11"/>
  <c r="AY106" i="11"/>
  <c r="AY33" i="11"/>
  <c r="AY115" i="11"/>
  <c r="AY50" i="11"/>
  <c r="AY24" i="11"/>
  <c r="AY72" i="11"/>
  <c r="AY119" i="11"/>
  <c r="AY117" i="11"/>
  <c r="AY35" i="11"/>
  <c r="AY108" i="11"/>
  <c r="AY46" i="11"/>
  <c r="AY102" i="11"/>
  <c r="AY94" i="11"/>
  <c r="AY32" i="11"/>
  <c r="AY22" i="11"/>
  <c r="AY134" i="11"/>
  <c r="AY61" i="11"/>
  <c r="AY137" i="11"/>
  <c r="AY69" i="11"/>
  <c r="AY34" i="11"/>
  <c r="AY91" i="11"/>
  <c r="AY43" i="11"/>
  <c r="AV159" i="7"/>
  <c r="AV174" i="7" s="1"/>
  <c r="AT248" i="7"/>
  <c r="AT234" i="7"/>
  <c r="AY44" i="11"/>
  <c r="AY54" i="11"/>
  <c r="AY99" i="11"/>
  <c r="AY48" i="11"/>
  <c r="AY112" i="11"/>
  <c r="AY36" i="11"/>
  <c r="AY89" i="11"/>
  <c r="AY52" i="11"/>
  <c r="R10" i="20"/>
  <c r="AY38" i="11"/>
  <c r="AY47" i="11"/>
  <c r="AY70" i="11"/>
  <c r="AY29" i="11"/>
  <c r="AY128" i="11"/>
  <c r="AY59" i="11"/>
  <c r="AY126" i="11"/>
  <c r="AV266" i="7"/>
  <c r="AV281" i="7" s="1"/>
  <c r="AT10" i="10"/>
  <c r="AY88" i="11"/>
  <c r="AY51" i="11"/>
  <c r="AY76" i="11"/>
  <c r="AY84" i="11"/>
  <c r="AY121" i="11"/>
  <c r="AY87" i="11"/>
  <c r="AY27" i="11"/>
  <c r="AY31" i="11"/>
  <c r="AY77" i="11"/>
  <c r="AY116" i="11"/>
  <c r="AY93" i="11"/>
  <c r="AY60" i="11"/>
  <c r="AY120" i="11"/>
  <c r="AR11" i="15"/>
  <c r="AX7" i="11" s="1"/>
  <c r="AU36" i="10"/>
  <c r="AU177" i="10"/>
  <c r="AU139" i="10"/>
  <c r="AU58" i="10"/>
  <c r="AU64" i="10"/>
  <c r="AU49" i="10"/>
  <c r="AU25" i="10"/>
  <c r="AU172" i="10"/>
  <c r="AU153" i="10"/>
  <c r="AU162" i="10"/>
  <c r="AU132" i="10"/>
  <c r="AU104" i="10"/>
  <c r="AU122" i="10"/>
  <c r="AU53" i="10"/>
  <c r="AU93" i="10"/>
  <c r="AU200" i="10"/>
  <c r="AU131" i="10"/>
  <c r="AU96" i="10"/>
  <c r="AU99" i="10"/>
  <c r="AU45" i="10"/>
  <c r="AU48" i="10"/>
  <c r="AU26" i="10"/>
  <c r="AU187" i="10"/>
  <c r="AU152" i="10"/>
  <c r="AU95" i="10"/>
  <c r="AU186" i="10"/>
  <c r="AU183" i="10"/>
  <c r="AU165" i="10"/>
  <c r="AU125" i="10"/>
  <c r="AU47" i="10"/>
  <c r="AU174" i="10"/>
  <c r="AU170" i="10"/>
  <c r="AU56" i="10"/>
  <c r="AU199" i="10"/>
  <c r="AU180" i="10"/>
  <c r="AU185" i="10"/>
  <c r="AU73" i="10"/>
  <c r="AU61" i="10"/>
  <c r="AU39" i="10"/>
  <c r="AU191" i="10"/>
  <c r="AU163" i="10"/>
  <c r="AU138" i="10"/>
  <c r="AU90" i="10"/>
  <c r="AU60" i="10"/>
  <c r="AU38" i="10"/>
  <c r="AU184" i="10"/>
  <c r="AU126" i="10"/>
  <c r="AU57" i="10"/>
  <c r="AU50" i="10"/>
  <c r="AU188" i="10"/>
  <c r="AU129" i="10"/>
  <c r="AU155" i="10"/>
  <c r="AU103" i="10"/>
  <c r="AU101" i="10"/>
  <c r="AU43" i="10"/>
  <c r="AU71" i="10"/>
  <c r="AU128" i="10"/>
  <c r="AU123" i="10"/>
  <c r="AU97" i="10"/>
  <c r="AU35" i="10"/>
  <c r="AU193" i="10"/>
  <c r="AU134" i="10"/>
  <c r="AU120" i="10"/>
  <c r="AU94" i="10"/>
  <c r="AU198" i="10"/>
  <c r="AU127" i="10"/>
  <c r="AU150" i="10"/>
  <c r="AU119" i="10"/>
  <c r="AU72" i="10"/>
  <c r="AU23" i="10"/>
  <c r="AU175" i="10"/>
  <c r="AU195" i="10"/>
  <c r="AU166" i="10"/>
  <c r="AU114" i="10"/>
  <c r="AU68" i="10"/>
  <c r="AU28" i="10"/>
  <c r="AU176" i="10"/>
  <c r="AU147" i="10"/>
  <c r="AU105" i="10"/>
  <c r="AU59" i="10"/>
  <c r="AU66" i="10"/>
  <c r="AU32" i="10"/>
  <c r="AU16" i="10"/>
  <c r="AU19" i="10"/>
  <c r="AU40" i="10"/>
  <c r="AU24" i="10"/>
  <c r="AU27" i="10"/>
  <c r="AU22" i="10"/>
  <c r="AU18" i="10"/>
  <c r="AU190" i="10"/>
  <c r="AU158" i="10"/>
  <c r="AU115" i="10"/>
  <c r="AU124" i="10"/>
  <c r="AU102" i="10"/>
  <c r="AU110" i="10"/>
  <c r="AU83" i="10"/>
  <c r="AU202" i="10"/>
  <c r="AU169" i="10"/>
  <c r="AU173" i="10"/>
  <c r="AU108" i="10"/>
  <c r="AU84" i="10"/>
  <c r="AU194" i="10"/>
  <c r="AU154" i="10"/>
  <c r="AU136" i="10"/>
  <c r="AU88" i="10"/>
  <c r="AU107" i="10"/>
  <c r="AU89" i="10"/>
  <c r="AU62" i="10"/>
  <c r="AU41" i="10"/>
  <c r="AU189" i="10"/>
  <c r="AU151" i="10"/>
  <c r="AU106" i="10"/>
  <c r="AU87" i="10"/>
  <c r="AU74" i="10"/>
  <c r="AU44" i="10"/>
  <c r="AU178" i="10"/>
  <c r="AU159" i="10"/>
  <c r="AU121" i="10"/>
  <c r="AU161" i="10"/>
  <c r="AU80" i="10"/>
  <c r="AU86" i="10"/>
  <c r="AU42" i="10"/>
  <c r="AU34" i="10"/>
  <c r="AU156" i="10"/>
  <c r="AU113" i="10"/>
  <c r="AU98" i="10"/>
  <c r="AU91" i="10"/>
  <c r="AU33" i="10"/>
  <c r="AU137" i="10"/>
  <c r="AU164" i="10"/>
  <c r="AU65" i="10"/>
  <c r="AU69" i="10"/>
  <c r="AU196" i="10"/>
  <c r="AU181" i="10"/>
  <c r="AU130" i="10"/>
  <c r="AU118" i="10"/>
  <c r="AU51" i="10"/>
  <c r="AU29" i="10"/>
  <c r="AU179" i="10"/>
  <c r="AU133" i="10"/>
  <c r="AU21" i="10"/>
  <c r="AU201" i="10"/>
  <c r="AU171" i="10"/>
  <c r="AU135" i="10"/>
  <c r="AU143" i="10"/>
  <c r="AU55" i="10"/>
  <c r="AU52" i="10"/>
  <c r="AU160" i="10"/>
  <c r="AU192" i="10"/>
  <c r="AU145" i="10"/>
  <c r="AU82" i="10"/>
  <c r="AU81" i="10"/>
  <c r="AU46" i="10"/>
  <c r="AU182" i="10"/>
  <c r="AU157" i="10"/>
  <c r="AU149" i="10"/>
  <c r="AU116" i="10"/>
  <c r="AU92" i="10"/>
  <c r="AU109" i="10"/>
  <c r="AU85" i="10"/>
  <c r="AU31" i="10"/>
  <c r="AU197" i="10"/>
  <c r="AU168" i="10"/>
  <c r="AU148" i="10"/>
  <c r="AU100" i="10"/>
  <c r="AU75" i="10"/>
  <c r="AU70" i="10"/>
  <c r="AU146" i="10"/>
  <c r="AU111" i="10"/>
  <c r="AU67" i="10"/>
  <c r="AU63" i="10"/>
  <c r="AU167" i="10"/>
  <c r="AU144" i="10"/>
  <c r="AU117" i="10"/>
  <c r="AU112" i="10"/>
  <c r="AU54" i="10"/>
  <c r="AU17" i="10"/>
  <c r="AU30" i="10"/>
  <c r="AU37" i="10"/>
  <c r="AR9" i="15"/>
  <c r="AX6" i="11" s="1"/>
  <c r="AT9" i="10"/>
  <c r="AR31" i="15"/>
  <c r="AR32" i="15" s="1"/>
  <c r="AR33" i="15" s="1"/>
  <c r="AR34" i="15" s="1"/>
  <c r="AR29" i="15"/>
  <c r="AR37" i="15" s="1"/>
  <c r="AR38" i="15" s="1"/>
  <c r="AR39" i="15" s="1"/>
  <c r="AR40" i="15" s="1"/>
  <c r="AU20" i="10"/>
  <c r="AR19" i="15"/>
  <c r="AX11" i="11" s="1"/>
  <c r="AR10" i="13"/>
  <c r="AA50" i="21"/>
  <c r="AA51" i="21"/>
  <c r="AR15" i="15"/>
  <c r="AX9" i="11" s="1"/>
  <c r="AT8" i="10"/>
  <c r="AA56" i="21"/>
  <c r="AA57" i="21"/>
  <c r="AE7" i="20"/>
  <c r="AE5" i="8" s="1"/>
  <c r="AE43" i="8" s="1"/>
  <c r="R83" i="9"/>
  <c r="Z19" i="8"/>
  <c r="Z27" i="8" s="1"/>
  <c r="Z38" i="8" s="1"/>
  <c r="U12" i="20"/>
  <c r="U6" i="8" s="1"/>
  <c r="AA86" i="9"/>
  <c r="AA87" i="9" s="1"/>
  <c r="AA88" i="9" s="1"/>
  <c r="AA5" i="20"/>
  <c r="K10" i="8"/>
  <c r="K55" i="21"/>
  <c r="K57" i="21" s="1"/>
  <c r="R49" i="21"/>
  <c r="R51" i="21" s="1"/>
  <c r="R11" i="8"/>
  <c r="J5" i="20"/>
  <c r="J86" i="9"/>
  <c r="K11" i="8"/>
  <c r="K49" i="21"/>
  <c r="K51" i="21" s="1"/>
  <c r="K71" i="9"/>
  <c r="K4" i="8"/>
  <c r="AE81" i="9"/>
  <c r="AE83" i="9" s="1"/>
  <c r="U87" i="9"/>
  <c r="U88" i="9" s="1"/>
  <c r="U89" i="9" s="1"/>
  <c r="K80" i="9"/>
  <c r="K74" i="9"/>
  <c r="K3" i="20" s="1"/>
  <c r="K5" i="20"/>
  <c r="K86" i="9"/>
  <c r="K87" i="9" s="1"/>
  <c r="K88" i="9" s="1"/>
  <c r="K89" i="9" s="1"/>
  <c r="AA71" i="9"/>
  <c r="AA4" i="8"/>
  <c r="R10" i="8"/>
  <c r="R55" i="21"/>
  <c r="R57" i="21" s="1"/>
  <c r="AR7" i="15"/>
  <c r="AX5" i="11" s="1"/>
  <c r="U7" i="20"/>
  <c r="J71" i="9"/>
  <c r="J4" i="8"/>
  <c r="AR17" i="15"/>
  <c r="AX10" i="11" s="1"/>
  <c r="U81" i="9"/>
  <c r="U83" i="9" s="1"/>
  <c r="J74" i="9"/>
  <c r="J3" i="20" s="1"/>
  <c r="J80" i="9"/>
  <c r="AE87" i="9"/>
  <c r="AE88" i="9" s="1"/>
  <c r="AE89" i="9" s="1"/>
  <c r="AE12" i="20"/>
  <c r="AE6" i="8" s="1"/>
  <c r="AR13" i="15"/>
  <c r="AX8" i="11" s="1"/>
  <c r="AA80" i="9"/>
  <c r="AA74" i="9"/>
  <c r="AA3" i="20" s="1"/>
  <c r="AV354" i="7"/>
  <c r="AV369" i="7" s="1"/>
  <c r="AV298" i="7"/>
  <c r="AV303" i="7" s="1"/>
  <c r="AR86" i="14"/>
  <c r="AR87" i="14" s="1"/>
  <c r="AR100" i="7"/>
  <c r="AR3" i="23" s="1"/>
  <c r="AT142" i="7"/>
  <c r="AU188" i="7"/>
  <c r="AT134" i="7"/>
  <c r="AT151" i="7"/>
  <c r="AT144" i="7"/>
  <c r="AS229" i="7"/>
  <c r="AS288" i="7" s="1"/>
  <c r="AS117" i="14" s="1"/>
  <c r="AS118" i="14" s="1"/>
  <c r="AR72" i="21"/>
  <c r="AT243" i="7"/>
  <c r="AQ100" i="7"/>
  <c r="AQ3" i="23" s="1"/>
  <c r="AT152" i="7"/>
  <c r="AV35" i="7"/>
  <c r="AV39" i="7"/>
  <c r="AV40" i="7" s="1"/>
  <c r="AV362" i="7"/>
  <c r="AV377" i="7" s="1"/>
  <c r="AV21" i="7"/>
  <c r="AV361" i="7"/>
  <c r="AV376" i="7" s="1"/>
  <c r="AV363" i="7"/>
  <c r="AV378" i="7" s="1"/>
  <c r="AV263" i="7"/>
  <c r="AV278" i="7" s="1"/>
  <c r="AV358" i="7"/>
  <c r="AV373" i="7" s="1"/>
  <c r="AV68" i="7"/>
  <c r="AV83" i="7" s="1"/>
  <c r="AV98" i="7" s="1"/>
  <c r="AV30" i="7"/>
  <c r="AV351" i="7"/>
  <c r="AV366" i="7" s="1"/>
  <c r="AV25" i="7"/>
  <c r="AV43" i="7" s="1"/>
  <c r="AU316" i="7"/>
  <c r="AU317" i="7" s="1"/>
  <c r="AU328" i="7" s="1"/>
  <c r="AU350" i="7"/>
  <c r="AU365" i="7" s="1"/>
  <c r="AU380" i="7" s="1"/>
  <c r="AU302" i="7"/>
  <c r="AU306" i="7"/>
  <c r="AU307" i="7" s="1"/>
  <c r="AU345" i="7" s="1"/>
  <c r="AU311" i="7"/>
  <c r="AU312" i="7" s="1"/>
  <c r="AU320" i="7"/>
  <c r="AU321" i="7" s="1"/>
  <c r="AU339" i="7" s="1"/>
  <c r="AR79" i="21"/>
  <c r="AT137" i="7"/>
  <c r="AU222" i="7"/>
  <c r="AU223" i="7" s="1"/>
  <c r="AU256" i="7"/>
  <c r="AU271" i="7" s="1"/>
  <c r="AU286" i="7" s="1"/>
  <c r="AU208" i="7"/>
  <c r="AU40" i="7"/>
  <c r="AS69" i="14"/>
  <c r="AS86" i="14" s="1"/>
  <c r="AS87" i="14" s="1"/>
  <c r="AS89" i="14" s="1"/>
  <c r="AW81" i="7"/>
  <c r="AW96" i="7" s="1"/>
  <c r="AU212" i="7"/>
  <c r="AU213" i="7" s="1"/>
  <c r="AT41" i="7"/>
  <c r="AT99" i="7" s="1"/>
  <c r="AT67" i="14" s="1"/>
  <c r="AT68" i="14" s="1"/>
  <c r="AT72" i="14" s="1"/>
  <c r="AT73" i="14" s="1"/>
  <c r="AT74" i="14" s="1"/>
  <c r="AT75" i="14" s="1"/>
  <c r="AT76" i="14" s="1"/>
  <c r="AU44" i="7"/>
  <c r="AR64" i="21"/>
  <c r="AT156" i="7"/>
  <c r="AR11" i="21"/>
  <c r="AR14" i="21"/>
  <c r="AR20" i="21" s="1"/>
  <c r="AR17" i="21"/>
  <c r="AS323" i="7"/>
  <c r="AS388" i="7" s="1"/>
  <c r="AS142" i="14" s="1"/>
  <c r="AS143" i="14" s="1"/>
  <c r="AS144" i="14" s="1"/>
  <c r="AS161" i="14" s="1"/>
  <c r="AS162" i="14" s="1"/>
  <c r="AS163" i="14" s="1"/>
  <c r="AX13" i="7"/>
  <c r="AX14" i="7" s="1"/>
  <c r="AX15" i="7" s="1"/>
  <c r="AU66" i="7"/>
  <c r="AU52" i="7"/>
  <c r="AQ138" i="14"/>
  <c r="AU31" i="7"/>
  <c r="AQ139" i="14"/>
  <c r="AU226" i="7"/>
  <c r="AU244" i="7" s="1"/>
  <c r="AS131" i="7"/>
  <c r="AS194" i="7" s="1"/>
  <c r="AS92" i="14" s="1"/>
  <c r="AS93" i="14" s="1"/>
  <c r="AS97" i="14" s="1"/>
  <c r="AS98" i="14" s="1"/>
  <c r="AS99" i="14" s="1"/>
  <c r="AQ129" i="14"/>
  <c r="AQ140" i="14" s="1"/>
  <c r="AQ289" i="7" s="1"/>
  <c r="AQ13" i="23" s="1"/>
  <c r="AU217" i="7"/>
  <c r="AU218" i="7" s="1"/>
  <c r="AR60" i="21"/>
  <c r="AR61" i="14"/>
  <c r="AR64" i="14" s="1"/>
  <c r="AR65" i="14" s="1"/>
  <c r="AY12" i="14"/>
  <c r="AR62" i="21"/>
  <c r="AR76" i="21"/>
  <c r="AR78" i="21"/>
  <c r="AR61" i="21"/>
  <c r="AR63" i="21"/>
  <c r="AR77" i="21"/>
  <c r="AR71" i="21"/>
  <c r="AV52" i="14"/>
  <c r="AV54" i="14" s="1"/>
  <c r="AV55" i="14" s="1"/>
  <c r="AV56" i="14" s="1"/>
  <c r="AV57" i="14" s="1"/>
  <c r="AT54" i="14"/>
  <c r="AT55" i="14" s="1"/>
  <c r="AT56" i="14" s="1"/>
  <c r="AT57" i="14" s="1"/>
  <c r="AU58" i="14"/>
  <c r="AU59" i="14" s="1"/>
  <c r="AU60" i="14" s="1"/>
  <c r="AU62" i="14" s="1"/>
  <c r="AU63" i="14" s="1"/>
  <c r="AQ208" i="14"/>
  <c r="AQ210" i="14" s="1"/>
  <c r="AQ211" i="14" s="1"/>
  <c r="AQ213" i="14" s="1"/>
  <c r="AU53" i="14"/>
  <c r="AU190" i="14"/>
  <c r="AU191" i="14" s="1"/>
  <c r="AP201" i="14"/>
  <c r="AP205" i="14" s="1"/>
  <c r="AP208" i="14" s="1"/>
  <c r="AR193" i="14"/>
  <c r="AR194" i="14"/>
  <c r="AR195" i="14" s="1"/>
  <c r="AV187" i="14"/>
  <c r="AV188" i="14" s="1"/>
  <c r="AV190" i="14" s="1"/>
  <c r="T82" i="9"/>
  <c r="AT190" i="14"/>
  <c r="AT189" i="14"/>
  <c r="AS196" i="14"/>
  <c r="AS197" i="14" s="1"/>
  <c r="AT3" i="21"/>
  <c r="AT7" i="21" s="1"/>
  <c r="AT3" i="15"/>
  <c r="AT4" i="17"/>
  <c r="AT7" i="17" s="1"/>
  <c r="AT8" i="17" s="1"/>
  <c r="AT9" i="17" s="1"/>
  <c r="AT11" i="17" s="1"/>
  <c r="AT12" i="17" s="1"/>
  <c r="T5" i="8"/>
  <c r="T43" i="8" s="1"/>
  <c r="T10" i="20"/>
  <c r="T9" i="20"/>
  <c r="AX10" i="14"/>
  <c r="T51" i="21"/>
  <c r="T50" i="21"/>
  <c r="AJ177" i="14"/>
  <c r="AJ176" i="14"/>
  <c r="AJ179" i="14" s="1"/>
  <c r="AJ181" i="14" s="1"/>
  <c r="AJ178" i="14"/>
  <c r="T56" i="21"/>
  <c r="T57" i="21"/>
  <c r="AJ10" i="14"/>
  <c r="AX178" i="14"/>
  <c r="AX177" i="14"/>
  <c r="AX176" i="14"/>
  <c r="AX179" i="14" s="1"/>
  <c r="AX181" i="14" s="1"/>
  <c r="T87" i="9"/>
  <c r="T88" i="9" s="1"/>
  <c r="T6" i="8"/>
  <c r="T13" i="20"/>
  <c r="T14" i="20" s="1"/>
  <c r="T15" i="20" s="1"/>
  <c r="AX174" i="14"/>
  <c r="AY11" i="14"/>
  <c r="AY169" i="14"/>
  <c r="AV170" i="14"/>
  <c r="AV185" i="14" s="1"/>
  <c r="AW14" i="14"/>
  <c r="AW25" i="14" s="1"/>
  <c r="AW171" i="14"/>
  <c r="AW184" i="14" s="1"/>
  <c r="AJ48" i="14"/>
  <c r="AJ17" i="14"/>
  <c r="AJ16" i="14"/>
  <c r="AJ18" i="14" s="1"/>
  <c r="AJ19" i="14" s="1"/>
  <c r="AJ21" i="14" s="1"/>
  <c r="AJ47" i="14"/>
  <c r="AJ42" i="14"/>
  <c r="AJ36" i="14"/>
  <c r="AW74" i="7"/>
  <c r="AW89" i="7" s="1"/>
  <c r="AW78" i="7"/>
  <c r="AW93" i="7" s="1"/>
  <c r="AW17" i="7"/>
  <c r="AW295" i="7"/>
  <c r="AW296" i="7" s="1"/>
  <c r="AW358" i="7" s="1"/>
  <c r="AW373" i="7" s="1"/>
  <c r="AU65" i="7"/>
  <c r="AU46" i="7"/>
  <c r="AW73" i="7"/>
  <c r="AW88" i="7" s="1"/>
  <c r="AU55" i="7"/>
  <c r="AW77" i="7"/>
  <c r="AW92" i="7" s="1"/>
  <c r="AU57" i="7"/>
  <c r="AU47" i="7"/>
  <c r="AW71" i="7"/>
  <c r="AW86" i="7" s="1"/>
  <c r="AW79" i="7"/>
  <c r="AW94" i="7" s="1"/>
  <c r="AW201" i="7"/>
  <c r="AW202" i="7" s="1"/>
  <c r="AW80" i="7"/>
  <c r="AW95" i="7" s="1"/>
  <c r="AW72" i="7"/>
  <c r="AW87" i="7" s="1"/>
  <c r="AU53" i="7"/>
  <c r="AU51" i="7"/>
  <c r="AU59" i="7"/>
  <c r="AW75" i="7"/>
  <c r="AW90" i="7" s="1"/>
  <c r="AW76" i="7"/>
  <c r="AW91" i="7" s="1"/>
  <c r="AU26" i="7"/>
  <c r="AW103" i="7"/>
  <c r="AW106" i="7" s="1"/>
  <c r="AW167" i="7" s="1"/>
  <c r="AW182" i="7" s="1"/>
  <c r="AU43" i="7"/>
  <c r="AW69" i="7"/>
  <c r="AW84" i="7" s="1"/>
  <c r="AU62" i="7"/>
  <c r="AU58" i="7"/>
  <c r="AU63" i="7"/>
  <c r="AU49" i="7"/>
  <c r="AU60" i="7"/>
  <c r="AU64" i="7"/>
  <c r="AU50" i="7"/>
  <c r="AU61" i="7"/>
  <c r="AU36" i="7"/>
  <c r="AU54" i="7"/>
  <c r="AY7" i="14"/>
  <c r="AY174" i="14" s="1"/>
  <c r="AY9" i="14"/>
  <c r="AY8" i="14"/>
  <c r="AY6" i="14"/>
  <c r="AY173" i="14" s="1"/>
  <c r="AY5" i="14"/>
  <c r="AY172" i="14" s="1"/>
  <c r="AX16" i="14"/>
  <c r="AX18" i="14" s="1"/>
  <c r="AX19" i="14" s="1"/>
  <c r="AX21" i="14" s="1"/>
  <c r="AX17" i="14"/>
  <c r="AQ21" i="15"/>
  <c r="AQ5" i="9" s="1"/>
  <c r="AQ22" i="15"/>
  <c r="AQ43" i="15" s="1"/>
  <c r="AP36" i="8"/>
  <c r="AP39" i="8" s="1"/>
  <c r="AP41" i="8" s="1"/>
  <c r="AP23" i="13" s="1"/>
  <c r="AS79" i="21"/>
  <c r="AW44" i="14"/>
  <c r="AW19" i="13" s="1"/>
  <c r="AM48" i="14"/>
  <c r="AU135" i="7"/>
  <c r="AU154" i="7"/>
  <c r="AU141" i="7"/>
  <c r="AQ389" i="7"/>
  <c r="AU125" i="7"/>
  <c r="AU192" i="7" s="1"/>
  <c r="AU136" i="7"/>
  <c r="AU149" i="7"/>
  <c r="AU140" i="7"/>
  <c r="AU142" i="7"/>
  <c r="AU138" i="7"/>
  <c r="AP26" i="21"/>
  <c r="AU133" i="7"/>
  <c r="AU155" i="7"/>
  <c r="AQ104" i="14"/>
  <c r="AQ115" i="14" s="1"/>
  <c r="AU139" i="7"/>
  <c r="AU143" i="7"/>
  <c r="AR129" i="14"/>
  <c r="AR140" i="14" s="1"/>
  <c r="AR289" i="7" s="1"/>
  <c r="AR13" i="23" s="1"/>
  <c r="AP289" i="7"/>
  <c r="AP13" i="23" s="1"/>
  <c r="AP6" i="7"/>
  <c r="AP15" i="13" s="1"/>
  <c r="AU146" i="7"/>
  <c r="AV217" i="7"/>
  <c r="AV254" i="7" s="1"/>
  <c r="AU145" i="7"/>
  <c r="AR100" i="14"/>
  <c r="AR101" i="14" s="1"/>
  <c r="AR102" i="14" s="1"/>
  <c r="AR107" i="14" s="1"/>
  <c r="AR110" i="14" s="1"/>
  <c r="AV28" i="14"/>
  <c r="AV29" i="14" s="1"/>
  <c r="AV30" i="14" s="1"/>
  <c r="AV31" i="14" s="1"/>
  <c r="AV18" i="13" s="1"/>
  <c r="AV4" i="13"/>
  <c r="AP137" i="14"/>
  <c r="AP138" i="14" s="1"/>
  <c r="AQ25" i="21"/>
  <c r="AQ28" i="21"/>
  <c r="AQ31" i="21" s="1"/>
  <c r="AS62" i="21"/>
  <c r="AS78" i="21"/>
  <c r="AY9" i="7"/>
  <c r="AY12" i="7"/>
  <c r="AY10" i="7"/>
  <c r="AQ113" i="14"/>
  <c r="AS11" i="21"/>
  <c r="AS17" i="21"/>
  <c r="AS34" i="21"/>
  <c r="AS14" i="21"/>
  <c r="AS20" i="21" s="1"/>
  <c r="AS28" i="21" s="1"/>
  <c r="AS61" i="21"/>
  <c r="AQ9" i="8"/>
  <c r="BA3" i="13"/>
  <c r="BA3" i="24" s="1"/>
  <c r="AZ3" i="17"/>
  <c r="AZ5" i="17" s="1"/>
  <c r="AZ3" i="7"/>
  <c r="AZ3" i="14"/>
  <c r="AU151" i="7"/>
  <c r="AW49" i="14"/>
  <c r="AW50" i="14" s="1"/>
  <c r="AW6" i="24" s="1"/>
  <c r="AU3" i="21"/>
  <c r="AU7" i="21" s="1"/>
  <c r="AU3" i="15"/>
  <c r="AU5" i="15" s="1"/>
  <c r="BA4" i="11" s="1"/>
  <c r="AU4" i="17"/>
  <c r="AU7" i="17" s="1"/>
  <c r="AU8" i="17" s="1"/>
  <c r="AU9" i="17" s="1"/>
  <c r="AU11" i="17" s="1"/>
  <c r="AU12" i="17" s="1"/>
  <c r="AS25" i="15"/>
  <c r="AS26" i="15"/>
  <c r="AS77" i="21"/>
  <c r="AS17" i="17"/>
  <c r="AS14" i="17"/>
  <c r="AS28" i="13" s="1"/>
  <c r="AS72" i="21"/>
  <c r="AU150" i="7"/>
  <c r="AQ58" i="9"/>
  <c r="AQ59" i="9"/>
  <c r="AQ49" i="9"/>
  <c r="AQ54" i="9"/>
  <c r="AX47" i="14"/>
  <c r="AU148" i="7"/>
  <c r="AQ7" i="8"/>
  <c r="AS60" i="21"/>
  <c r="AS63" i="21"/>
  <c r="AU152" i="7"/>
  <c r="AQ57" i="9"/>
  <c r="AQ48" i="9"/>
  <c r="AQ56" i="9"/>
  <c r="AX42" i="14"/>
  <c r="AX36" i="14"/>
  <c r="AS64" i="21"/>
  <c r="AS71" i="21"/>
  <c r="AU144" i="7"/>
  <c r="AP4" i="21"/>
  <c r="AP44" i="15"/>
  <c r="AP45" i="15" s="1"/>
  <c r="AP4" i="9"/>
  <c r="AP4" i="20"/>
  <c r="AS32" i="15"/>
  <c r="AS33" i="15" s="1"/>
  <c r="AU156" i="7"/>
  <c r="AX48" i="14"/>
  <c r="AU134" i="7"/>
  <c r="AS38" i="15"/>
  <c r="AS39" i="15" s="1"/>
  <c r="AQ8" i="8"/>
  <c r="AU137" i="7"/>
  <c r="AS3" i="8"/>
  <c r="AS3" i="9"/>
  <c r="AW6" i="10" s="1"/>
  <c r="AS76" i="21"/>
  <c r="AR136" i="14"/>
  <c r="AR137" i="14" s="1"/>
  <c r="AR138" i="14" s="1"/>
  <c r="G24" i="13"/>
  <c r="G50" i="8"/>
  <c r="G25" i="13" s="1"/>
  <c r="L24" i="13"/>
  <c r="L50" i="8"/>
  <c r="L25" i="13" s="1"/>
  <c r="M24" i="13"/>
  <c r="M50" i="8"/>
  <c r="M25" i="13" s="1"/>
  <c r="Q24" i="13"/>
  <c r="Q50" i="8"/>
  <c r="Q25" i="13" s="1"/>
  <c r="Z24" i="13"/>
  <c r="Z50" i="8"/>
  <c r="Z25" i="13" s="1"/>
  <c r="AI44" i="8"/>
  <c r="AI47" i="8" s="1"/>
  <c r="AI48" i="8" s="1"/>
  <c r="AF83" i="9"/>
  <c r="BG82" i="9"/>
  <c r="AI19" i="8"/>
  <c r="AI27" i="8" s="1"/>
  <c r="AI38" i="8" s="1"/>
  <c r="AO50" i="21"/>
  <c r="AO89" i="9"/>
  <c r="AO57" i="21"/>
  <c r="AN51" i="21"/>
  <c r="AN5" i="20"/>
  <c r="AN86" i="9"/>
  <c r="AN57" i="21"/>
  <c r="AN56" i="21"/>
  <c r="AO7" i="20"/>
  <c r="AO5" i="8" s="1"/>
  <c r="AO43" i="8" s="1"/>
  <c r="AN74" i="9"/>
  <c r="AN3" i="20" s="1"/>
  <c r="AN80" i="9"/>
  <c r="AN4" i="8"/>
  <c r="AN71" i="9"/>
  <c r="AO82" i="9"/>
  <c r="AO12" i="20"/>
  <c r="AO6" i="8" s="1"/>
  <c r="BG89" i="9"/>
  <c r="BG19" i="8"/>
  <c r="BG27" i="8" s="1"/>
  <c r="BG38" i="8" s="1"/>
  <c r="BG43" i="8"/>
  <c r="BG44" i="8"/>
  <c r="AJ30" i="7"/>
  <c r="AJ52" i="7" s="1"/>
  <c r="AM36" i="14"/>
  <c r="AM42" i="14"/>
  <c r="AM47" i="14"/>
  <c r="AK36" i="14"/>
  <c r="AK42" i="14"/>
  <c r="AK47" i="14"/>
  <c r="AJ25" i="7"/>
  <c r="AJ59" i="7" s="1"/>
  <c r="AJ39" i="7"/>
  <c r="AJ56" i="7" s="1"/>
  <c r="AJ363" i="7"/>
  <c r="AJ378" i="7" s="1"/>
  <c r="AJ360" i="7"/>
  <c r="AJ375" i="7" s="1"/>
  <c r="AJ357" i="7"/>
  <c r="AJ372" i="7" s="1"/>
  <c r="AJ361" i="7"/>
  <c r="AJ376" i="7" s="1"/>
  <c r="AJ354" i="7"/>
  <c r="AJ369" i="7" s="1"/>
  <c r="AJ351" i="7"/>
  <c r="AJ366" i="7" s="1"/>
  <c r="AJ353" i="7"/>
  <c r="AJ368" i="7" s="1"/>
  <c r="AJ358" i="7"/>
  <c r="AJ373" i="7" s="1"/>
  <c r="AJ298" i="7"/>
  <c r="AJ303" i="7" s="1"/>
  <c r="AJ355" i="7"/>
  <c r="AJ370" i="7" s="1"/>
  <c r="AJ352" i="7"/>
  <c r="AJ367" i="7" s="1"/>
  <c r="AJ362" i="7"/>
  <c r="AJ377" i="7" s="1"/>
  <c r="AJ359" i="7"/>
  <c r="AJ374" i="7" s="1"/>
  <c r="AJ356" i="7"/>
  <c r="AJ371" i="7" s="1"/>
  <c r="AJ21" i="7"/>
  <c r="AJ68" i="7"/>
  <c r="AJ83" i="7" s="1"/>
  <c r="AJ98" i="7" s="1"/>
  <c r="AJ35" i="7"/>
  <c r="AJ263" i="7"/>
  <c r="AJ278" i="7" s="1"/>
  <c r="AJ261" i="7"/>
  <c r="AJ276" i="7" s="1"/>
  <c r="AJ258" i="7"/>
  <c r="AJ273" i="7" s="1"/>
  <c r="AJ260" i="7"/>
  <c r="AJ275" i="7" s="1"/>
  <c r="AJ267" i="7"/>
  <c r="AJ282" i="7" s="1"/>
  <c r="AJ266" i="7"/>
  <c r="AJ281" i="7" s="1"/>
  <c r="AJ204" i="7"/>
  <c r="AJ268" i="7"/>
  <c r="AJ283" i="7" s="1"/>
  <c r="AJ265" i="7"/>
  <c r="AJ280" i="7" s="1"/>
  <c r="AJ262" i="7"/>
  <c r="AJ277" i="7" s="1"/>
  <c r="AJ259" i="7"/>
  <c r="AJ274" i="7" s="1"/>
  <c r="AJ269" i="7"/>
  <c r="AJ284" i="7" s="1"/>
  <c r="AJ257" i="7"/>
  <c r="AJ272" i="7" s="1"/>
  <c r="AJ264" i="7"/>
  <c r="AJ279" i="7" s="1"/>
  <c r="AJ159" i="7"/>
  <c r="AJ174" i="7" s="1"/>
  <c r="AJ167" i="7"/>
  <c r="AJ182" i="7" s="1"/>
  <c r="AJ108" i="7"/>
  <c r="AJ111" i="7" s="1"/>
  <c r="AJ164" i="7"/>
  <c r="AJ179" i="7" s="1"/>
  <c r="AJ163" i="7"/>
  <c r="AJ178" i="7" s="1"/>
  <c r="AJ162" i="7"/>
  <c r="AJ177" i="7" s="1"/>
  <c r="AJ169" i="7"/>
  <c r="AJ184" i="7" s="1"/>
  <c r="AJ170" i="7"/>
  <c r="AJ185" i="7" s="1"/>
  <c r="AJ165" i="7"/>
  <c r="AJ180" i="7" s="1"/>
  <c r="AJ168" i="7"/>
  <c r="AJ183" i="7" s="1"/>
  <c r="AJ166" i="7"/>
  <c r="AJ181" i="7" s="1"/>
  <c r="AJ161" i="7"/>
  <c r="AJ176" i="7" s="1"/>
  <c r="AJ160" i="7"/>
  <c r="AJ175" i="7" s="1"/>
  <c r="AJ171" i="7"/>
  <c r="AJ186" i="7" s="1"/>
  <c r="AH44" i="8"/>
  <c r="AH47" i="8" s="1"/>
  <c r="AH48" i="8" s="1"/>
  <c r="AH24" i="13" s="1"/>
  <c r="AH19" i="8"/>
  <c r="AH27" i="8" s="1"/>
  <c r="AH38" i="8" s="1"/>
  <c r="AF44" i="8"/>
  <c r="AF47" i="8" s="1"/>
  <c r="AF48" i="8" s="1"/>
  <c r="AF19" i="8"/>
  <c r="AF27" i="8" s="1"/>
  <c r="AF38" i="8" s="1"/>
  <c r="AC19" i="8"/>
  <c r="AC27" i="8" s="1"/>
  <c r="AC38" i="8" s="1"/>
  <c r="AC44" i="8"/>
  <c r="AC47" i="8" s="1"/>
  <c r="AC48" i="8" s="1"/>
  <c r="AC24" i="13" s="1"/>
  <c r="AB44" i="8"/>
  <c r="AB47" i="8" s="1"/>
  <c r="AB48" i="8" s="1"/>
  <c r="AB19" i="8"/>
  <c r="AB27" i="8" s="1"/>
  <c r="AB38" i="8" s="1"/>
  <c r="AG44" i="8"/>
  <c r="AG47" i="8" s="1"/>
  <c r="AG48" i="8" s="1"/>
  <c r="AG19" i="8"/>
  <c r="AG27" i="8" s="1"/>
  <c r="AG38" i="8" s="1"/>
  <c r="AD44" i="8"/>
  <c r="AD47" i="8" s="1"/>
  <c r="AD48" i="8" s="1"/>
  <c r="AD19" i="8"/>
  <c r="AD27" i="8" s="1"/>
  <c r="AD38" i="8" s="1"/>
  <c r="AF50" i="21"/>
  <c r="P89" i="9"/>
  <c r="L15" i="20"/>
  <c r="AH83" i="9"/>
  <c r="AB83" i="9"/>
  <c r="AG83" i="9"/>
  <c r="AD83" i="9"/>
  <c r="AC82" i="9"/>
  <c r="AU75" i="9"/>
  <c r="AC89" i="9"/>
  <c r="P82" i="9"/>
  <c r="O13" i="20"/>
  <c r="O14" i="20" s="1"/>
  <c r="AB89" i="9"/>
  <c r="Y82" i="9"/>
  <c r="W47" i="8"/>
  <c r="W48" i="8" s="1"/>
  <c r="AI82" i="9"/>
  <c r="Y44" i="8"/>
  <c r="Y47" i="8" s="1"/>
  <c r="Y48" i="8" s="1"/>
  <c r="V19" i="8"/>
  <c r="V27" i="8" s="1"/>
  <c r="V38" i="8" s="1"/>
  <c r="V44" i="8"/>
  <c r="V47" i="8" s="1"/>
  <c r="V48" i="8" s="1"/>
  <c r="H19" i="8"/>
  <c r="H27" i="8" s="1"/>
  <c r="H38" i="8" s="1"/>
  <c r="H43" i="8"/>
  <c r="H44" i="8"/>
  <c r="P44" i="8"/>
  <c r="P47" i="8" s="1"/>
  <c r="P48" i="8" s="1"/>
  <c r="Y19" i="8"/>
  <c r="Y27" i="8" s="1"/>
  <c r="Y38" i="8" s="1"/>
  <c r="P19" i="8"/>
  <c r="P27" i="8" s="1"/>
  <c r="P38" i="8" s="1"/>
  <c r="P8" i="20"/>
  <c r="P10" i="20"/>
  <c r="O89" i="9"/>
  <c r="P9" i="20"/>
  <c r="X80" i="9"/>
  <c r="X81" i="9" s="1"/>
  <c r="X83" i="9" s="1"/>
  <c r="X86" i="9"/>
  <c r="P13" i="20"/>
  <c r="P14" i="20" s="1"/>
  <c r="O5" i="8"/>
  <c r="O8" i="20"/>
  <c r="O9" i="20"/>
  <c r="O10" i="20"/>
  <c r="X5" i="20"/>
  <c r="X12" i="20" s="1"/>
  <c r="M289" i="7"/>
  <c r="M13" i="23" s="1"/>
  <c r="M6" i="7"/>
  <c r="M15" i="13" s="1"/>
  <c r="Y7" i="7"/>
  <c r="Y16" i="13" s="1"/>
  <c r="Y389" i="7"/>
  <c r="E153" i="23" l="1"/>
  <c r="E152" i="23"/>
  <c r="E151" i="23"/>
  <c r="E149" i="23"/>
  <c r="E147" i="23"/>
  <c r="E148" i="23"/>
  <c r="E80" i="9"/>
  <c r="AV226" i="7"/>
  <c r="AV208" i="7"/>
  <c r="I50" i="8"/>
  <c r="I25" i="13" s="1"/>
  <c r="AV256" i="7"/>
  <c r="AV271" i="7" s="1"/>
  <c r="AV286" i="7" s="1"/>
  <c r="AO164" i="14"/>
  <c r="AV222" i="7"/>
  <c r="AV233" i="7" s="1"/>
  <c r="AT323" i="7"/>
  <c r="AT388" i="7" s="1"/>
  <c r="AT142" i="14" s="1"/>
  <c r="AT143" i="14" s="1"/>
  <c r="AT147" i="14" s="1"/>
  <c r="AT148" i="14" s="1"/>
  <c r="AT149" i="14" s="1"/>
  <c r="AO195" i="7"/>
  <c r="AO129" i="14"/>
  <c r="AO140" i="14" s="1"/>
  <c r="AO139" i="14"/>
  <c r="AO154" i="14"/>
  <c r="AO138" i="14"/>
  <c r="AO90" i="14"/>
  <c r="AJ209" i="7"/>
  <c r="AW22" i="7"/>
  <c r="AV209" i="7"/>
  <c r="AV48" i="7"/>
  <c r="AV247" i="7"/>
  <c r="AU247" i="7"/>
  <c r="AW261" i="7"/>
  <c r="AW276" i="7" s="1"/>
  <c r="AX81" i="7"/>
  <c r="AX96" i="7" s="1"/>
  <c r="BB3" i="11"/>
  <c r="AZ3" i="22"/>
  <c r="AW20" i="13"/>
  <c r="AW11" i="7"/>
  <c r="E7" i="20"/>
  <c r="E5" i="8" s="1"/>
  <c r="S50" i="8"/>
  <c r="S25" i="13" s="1"/>
  <c r="AR154" i="14"/>
  <c r="AR165" i="14" s="1"/>
  <c r="AR389" i="7" s="1"/>
  <c r="AR162" i="14"/>
  <c r="AR164" i="14" s="1"/>
  <c r="AQ163" i="14"/>
  <c r="AV316" i="7"/>
  <c r="AV317" i="7" s="1"/>
  <c r="AV328" i="7" s="1"/>
  <c r="AV320" i="7"/>
  <c r="AV321" i="7" s="1"/>
  <c r="AV339" i="7" s="1"/>
  <c r="AV306" i="7"/>
  <c r="AV307" i="7" s="1"/>
  <c r="AV345" i="7" s="1"/>
  <c r="AV350" i="7"/>
  <c r="AV365" i="7" s="1"/>
  <c r="AV380" i="7" s="1"/>
  <c r="AW163" i="7"/>
  <c r="AW178" i="7" s="1"/>
  <c r="AV114" i="7"/>
  <c r="AV115" i="7" s="1"/>
  <c r="AV153" i="7" s="1"/>
  <c r="AV128" i="7"/>
  <c r="AV129" i="7" s="1"/>
  <c r="AV147" i="7" s="1"/>
  <c r="AV158" i="7"/>
  <c r="AV173" i="7" s="1"/>
  <c r="AV188" i="7" s="1"/>
  <c r="AV124" i="7"/>
  <c r="AV119" i="7"/>
  <c r="AV120" i="7" s="1"/>
  <c r="AV141" i="7" s="1"/>
  <c r="AV110" i="7"/>
  <c r="AT15" i="17"/>
  <c r="AT27" i="13" s="1"/>
  <c r="AW169" i="7"/>
  <c r="AW184" i="7" s="1"/>
  <c r="AV65" i="7"/>
  <c r="E46" i="21"/>
  <c r="E47" i="21" s="1"/>
  <c r="E48" i="21" s="1"/>
  <c r="AX77" i="7"/>
  <c r="AX92" i="7" s="1"/>
  <c r="AX69" i="7"/>
  <c r="AX84" i="7" s="1"/>
  <c r="AX73" i="7"/>
  <c r="AX88" i="7" s="1"/>
  <c r="AX79" i="7"/>
  <c r="AX94" i="7" s="1"/>
  <c r="AX76" i="7"/>
  <c r="AX91" i="7" s="1"/>
  <c r="AV311" i="7"/>
  <c r="AV312" i="7" s="1"/>
  <c r="AV324" i="7" s="1"/>
  <c r="AX80" i="7"/>
  <c r="AX95" i="7" s="1"/>
  <c r="AX74" i="7"/>
  <c r="AX89" i="7" s="1"/>
  <c r="AR88" i="14"/>
  <c r="AT229" i="7"/>
  <c r="AT288" i="7" s="1"/>
  <c r="AT117" i="14" s="1"/>
  <c r="AT118" i="14" s="1"/>
  <c r="AT122" i="14" s="1"/>
  <c r="AT123" i="14" s="1"/>
  <c r="AT124" i="14" s="1"/>
  <c r="AU233" i="7"/>
  <c r="AV302" i="7"/>
  <c r="E39" i="21"/>
  <c r="E43" i="21"/>
  <c r="AR25" i="21"/>
  <c r="AR35" i="21" s="1"/>
  <c r="AR36" i="21" s="1"/>
  <c r="AX77" i="11"/>
  <c r="E10" i="8"/>
  <c r="AX78" i="7"/>
  <c r="AX93" i="7" s="1"/>
  <c r="AV59" i="7"/>
  <c r="AX70" i="7"/>
  <c r="AX85" i="7" s="1"/>
  <c r="AX295" i="7"/>
  <c r="AX296" i="7" s="1"/>
  <c r="AX355" i="7" s="1"/>
  <c r="AX370" i="7" s="1"/>
  <c r="AX72" i="7"/>
  <c r="AX87" i="7" s="1"/>
  <c r="AX71" i="7"/>
  <c r="AX86" i="7" s="1"/>
  <c r="AX39" i="11"/>
  <c r="AX17" i="7"/>
  <c r="AX23" i="11"/>
  <c r="AX56" i="11"/>
  <c r="AX127" i="11"/>
  <c r="AX46" i="11"/>
  <c r="AX130" i="11"/>
  <c r="AX82" i="11"/>
  <c r="AX95" i="11"/>
  <c r="AX109" i="11"/>
  <c r="AX45" i="11"/>
  <c r="AX101" i="11"/>
  <c r="AX29" i="11"/>
  <c r="AX59" i="11"/>
  <c r="AX93" i="11"/>
  <c r="AX124" i="11"/>
  <c r="AX89" i="11"/>
  <c r="AX57" i="11"/>
  <c r="AX20" i="11"/>
  <c r="AX41" i="11"/>
  <c r="AX84" i="11"/>
  <c r="AX132" i="11"/>
  <c r="AX92" i="11"/>
  <c r="AX74" i="11"/>
  <c r="AX97" i="11"/>
  <c r="AX61" i="11"/>
  <c r="AX72" i="11"/>
  <c r="AX113" i="11"/>
  <c r="AX115" i="11"/>
  <c r="AX98" i="11"/>
  <c r="AX54" i="11"/>
  <c r="AX126" i="11"/>
  <c r="AX53" i="11"/>
  <c r="AX102" i="11"/>
  <c r="AX73" i="11"/>
  <c r="AX60" i="11"/>
  <c r="AX116" i="11"/>
  <c r="AX71" i="11"/>
  <c r="AX47" i="11"/>
  <c r="AX32" i="11"/>
  <c r="AX105" i="11"/>
  <c r="AX111" i="11"/>
  <c r="AX118" i="11"/>
  <c r="AX52" i="11"/>
  <c r="AX131" i="11"/>
  <c r="AX88" i="11"/>
  <c r="AX50" i="11"/>
  <c r="AW166" i="7"/>
  <c r="AW181" i="7" s="1"/>
  <c r="AX70" i="11"/>
  <c r="AX83" i="11"/>
  <c r="AX135" i="11"/>
  <c r="AX86" i="11"/>
  <c r="AX28" i="11"/>
  <c r="AX133" i="11"/>
  <c r="AX64" i="11"/>
  <c r="AX67" i="11"/>
  <c r="AW162" i="7"/>
  <c r="AW177" i="7" s="1"/>
  <c r="AX38" i="11"/>
  <c r="AX75" i="11"/>
  <c r="AX117" i="11"/>
  <c r="AX33" i="11"/>
  <c r="AX66" i="11"/>
  <c r="AX76" i="11"/>
  <c r="AX112" i="11"/>
  <c r="AX114" i="11"/>
  <c r="AW170" i="7"/>
  <c r="AW185" i="7" s="1"/>
  <c r="AX44" i="11"/>
  <c r="AX103" i="11"/>
  <c r="AX137" i="11"/>
  <c r="AX63" i="11"/>
  <c r="AX96" i="11"/>
  <c r="AX94" i="11"/>
  <c r="AX31" i="11"/>
  <c r="AX99" i="11"/>
  <c r="AY13" i="11"/>
  <c r="AY15" i="11" s="1"/>
  <c r="AX69" i="11"/>
  <c r="AU336" i="7"/>
  <c r="AW159" i="7"/>
  <c r="AW174" i="7" s="1"/>
  <c r="AX22" i="11"/>
  <c r="AX104" i="11"/>
  <c r="AX42" i="11"/>
  <c r="AX37" i="11"/>
  <c r="AX136" i="11"/>
  <c r="AX120" i="11"/>
  <c r="AX80" i="11"/>
  <c r="AX134" i="11"/>
  <c r="AX19" i="11"/>
  <c r="AW161" i="7"/>
  <c r="AW176" i="7" s="1"/>
  <c r="AX27" i="11"/>
  <c r="AX121" i="11"/>
  <c r="AX21" i="11"/>
  <c r="AX85" i="11"/>
  <c r="AX58" i="11"/>
  <c r="AX128" i="11"/>
  <c r="AX81" i="11"/>
  <c r="AX24" i="11"/>
  <c r="AW168" i="7"/>
  <c r="AW183" i="7" s="1"/>
  <c r="AX25" i="11"/>
  <c r="AX129" i="11"/>
  <c r="AX100" i="11"/>
  <c r="AX51" i="11"/>
  <c r="AX62" i="11"/>
  <c r="AX122" i="11"/>
  <c r="AX90" i="11"/>
  <c r="AX55" i="11"/>
  <c r="AX48" i="11"/>
  <c r="AW171" i="7"/>
  <c r="AW186" i="7" s="1"/>
  <c r="AX26" i="11"/>
  <c r="AX30" i="11"/>
  <c r="AX106" i="11"/>
  <c r="AX125" i="11"/>
  <c r="AX87" i="11"/>
  <c r="AX36" i="11"/>
  <c r="AX91" i="11"/>
  <c r="AY12" i="11"/>
  <c r="AY14" i="11" s="1"/>
  <c r="AA89" i="9"/>
  <c r="AW164" i="7"/>
  <c r="AW179" i="7" s="1"/>
  <c r="AX34" i="11"/>
  <c r="AX35" i="11"/>
  <c r="AX65" i="11"/>
  <c r="AX119" i="11"/>
  <c r="AX110" i="11"/>
  <c r="AX43" i="11"/>
  <c r="AX138" i="11"/>
  <c r="AU330" i="7"/>
  <c r="AW160" i="7"/>
  <c r="AW175" i="7" s="1"/>
  <c r="AV54" i="7"/>
  <c r="AA7" i="20"/>
  <c r="AA5" i="8" s="1"/>
  <c r="AA43" i="8" s="1"/>
  <c r="AX40" i="11"/>
  <c r="AX49" i="11"/>
  <c r="AX123" i="11"/>
  <c r="AX68" i="11"/>
  <c r="AX107" i="11"/>
  <c r="AX108" i="11"/>
  <c r="AU8" i="10"/>
  <c r="AR3" i="9"/>
  <c r="AR3" i="8"/>
  <c r="AU10" i="10"/>
  <c r="AU347" i="7"/>
  <c r="AX103" i="7"/>
  <c r="AX106" i="7" s="1"/>
  <c r="AX168" i="7" s="1"/>
  <c r="AX183" i="7" s="1"/>
  <c r="AX201" i="7"/>
  <c r="AX202" i="7" s="1"/>
  <c r="AX75" i="7"/>
  <c r="AX90" i="7" s="1"/>
  <c r="AR25" i="15"/>
  <c r="AU9" i="10"/>
  <c r="AQ4" i="9"/>
  <c r="AU4" i="22"/>
  <c r="AR26" i="15"/>
  <c r="AR89" i="14"/>
  <c r="K12" i="20"/>
  <c r="J12" i="20"/>
  <c r="J6" i="8" s="1"/>
  <c r="U13" i="20"/>
  <c r="U14" i="20" s="1"/>
  <c r="U15" i="20" s="1"/>
  <c r="AE82" i="9"/>
  <c r="R50" i="21"/>
  <c r="K50" i="21"/>
  <c r="AY220" i="22"/>
  <c r="AY218" i="22"/>
  <c r="AY216" i="22"/>
  <c r="AY212" i="22"/>
  <c r="AY210" i="22"/>
  <c r="AY208" i="22"/>
  <c r="AY206" i="22"/>
  <c r="AY204" i="22"/>
  <c r="AY200" i="22"/>
  <c r="AY198" i="22"/>
  <c r="AY196" i="22"/>
  <c r="AY224" i="22"/>
  <c r="AY227" i="22"/>
  <c r="AU80" i="21" s="1"/>
  <c r="AY195" i="22"/>
  <c r="AY193" i="22"/>
  <c r="AY191" i="22"/>
  <c r="AY189" i="22"/>
  <c r="AY187" i="22"/>
  <c r="AY185" i="22"/>
  <c r="AY207" i="22"/>
  <c r="AY217" i="22"/>
  <c r="AY199" i="22"/>
  <c r="AY223" i="22"/>
  <c r="AY197" i="22"/>
  <c r="AY211" i="22"/>
  <c r="AY203" i="22"/>
  <c r="AY215" i="22"/>
  <c r="AY205" i="22"/>
  <c r="AY186" i="22"/>
  <c r="AY192" i="22"/>
  <c r="AY194" i="22"/>
  <c r="AY182" i="22"/>
  <c r="AY180" i="22"/>
  <c r="AY178" i="22"/>
  <c r="AY176" i="22"/>
  <c r="AY174" i="22"/>
  <c r="AY184" i="22"/>
  <c r="AY219" i="22"/>
  <c r="AY177" i="22"/>
  <c r="AY209" i="22"/>
  <c r="AY175" i="22"/>
  <c r="AY188" i="22"/>
  <c r="AY172" i="22"/>
  <c r="AY167" i="22"/>
  <c r="AY164" i="22"/>
  <c r="AY161" i="22"/>
  <c r="AY158" i="22"/>
  <c r="AY171" i="22"/>
  <c r="AY169" i="22"/>
  <c r="AY170" i="22"/>
  <c r="AY165" i="22"/>
  <c r="AY162" i="22"/>
  <c r="AY157" i="22"/>
  <c r="AY153" i="22"/>
  <c r="AY181" i="22"/>
  <c r="AY179" i="22"/>
  <c r="AY168" i="22"/>
  <c r="AY183" i="22"/>
  <c r="AY166" i="22"/>
  <c r="AY144" i="22"/>
  <c r="AY135" i="22"/>
  <c r="AY154" i="22"/>
  <c r="AY150" i="22"/>
  <c r="AY137" i="22"/>
  <c r="AY147" i="22"/>
  <c r="AU65" i="21" s="1"/>
  <c r="AY138" i="22"/>
  <c r="AY139" i="22"/>
  <c r="AY142" i="22"/>
  <c r="AY173" i="22"/>
  <c r="AY152" i="22"/>
  <c r="AY133" i="22"/>
  <c r="AY129" i="22"/>
  <c r="AY117" i="22"/>
  <c r="AY116" i="22"/>
  <c r="AY124" i="22"/>
  <c r="AY190" i="22"/>
  <c r="AY130" i="22"/>
  <c r="AY128" i="22"/>
  <c r="AY115" i="22"/>
  <c r="AY134" i="22"/>
  <c r="AY127" i="22"/>
  <c r="AY114" i="22"/>
  <c r="AY112" i="22"/>
  <c r="AY143" i="22"/>
  <c r="AY163" i="22"/>
  <c r="AY126" i="22"/>
  <c r="AY151" i="22"/>
  <c r="AY136" i="22"/>
  <c r="AY125" i="22"/>
  <c r="AY123" i="22"/>
  <c r="AY121" i="22"/>
  <c r="AY120" i="22"/>
  <c r="AY106" i="22"/>
  <c r="AY100" i="22"/>
  <c r="AY93" i="22"/>
  <c r="AY96" i="22"/>
  <c r="AY108" i="22"/>
  <c r="AY104" i="22"/>
  <c r="AY99" i="22"/>
  <c r="AY113" i="22"/>
  <c r="AY122" i="22"/>
  <c r="AY105" i="22"/>
  <c r="AY101" i="22"/>
  <c r="AY111" i="22"/>
  <c r="AY97" i="22"/>
  <c r="AY118" i="22"/>
  <c r="AY103" i="22"/>
  <c r="AY102" i="22"/>
  <c r="AY91" i="22"/>
  <c r="AY107" i="22"/>
  <c r="AY83" i="22"/>
  <c r="AY82" i="22"/>
  <c r="AY84" i="22"/>
  <c r="AY77" i="22"/>
  <c r="AY72" i="22"/>
  <c r="AY81" i="22"/>
  <c r="AY94" i="22"/>
  <c r="AY89" i="22"/>
  <c r="AY80" i="22"/>
  <c r="AY92" i="22"/>
  <c r="AY95" i="22"/>
  <c r="AY85" i="22"/>
  <c r="AY76" i="22"/>
  <c r="AY86" i="22"/>
  <c r="AY90" i="22"/>
  <c r="AY87" i="22"/>
  <c r="AY119" i="22"/>
  <c r="AY98" i="22"/>
  <c r="AY88" i="22"/>
  <c r="AY70" i="22"/>
  <c r="AY69" i="22"/>
  <c r="AY68" i="22"/>
  <c r="AY57" i="22"/>
  <c r="AY55" i="22"/>
  <c r="AY53" i="22"/>
  <c r="AY51" i="22"/>
  <c r="AY49" i="22"/>
  <c r="AY47" i="22"/>
  <c r="AY45" i="22"/>
  <c r="AY67" i="22"/>
  <c r="AY66" i="22"/>
  <c r="AY78" i="22"/>
  <c r="AY71" i="22"/>
  <c r="AY65" i="22"/>
  <c r="AY64" i="22"/>
  <c r="AY75" i="22"/>
  <c r="AY63" i="22"/>
  <c r="AY62" i="22"/>
  <c r="AY61" i="22"/>
  <c r="AY60" i="22"/>
  <c r="AY59" i="22"/>
  <c r="AY58" i="22"/>
  <c r="AY79" i="22"/>
  <c r="AY43" i="22"/>
  <c r="AY37" i="22"/>
  <c r="AY35" i="22"/>
  <c r="AY33" i="22"/>
  <c r="AY31" i="22"/>
  <c r="AY29" i="22"/>
  <c r="AY27" i="22"/>
  <c r="AY25" i="22"/>
  <c r="AY23" i="22"/>
  <c r="AY21" i="22"/>
  <c r="AY19" i="22"/>
  <c r="AY17" i="22"/>
  <c r="AY15" i="22"/>
  <c r="AY39" i="22"/>
  <c r="AY56" i="22"/>
  <c r="AY42" i="22"/>
  <c r="AY52" i="22"/>
  <c r="AY48" i="22"/>
  <c r="AY38" i="22"/>
  <c r="AY36" i="22"/>
  <c r="AY34" i="22"/>
  <c r="AY32" i="22"/>
  <c r="AY30" i="22"/>
  <c r="AY28" i="22"/>
  <c r="AY26" i="22"/>
  <c r="AY46" i="22"/>
  <c r="AY41" i="22"/>
  <c r="AY44" i="22"/>
  <c r="AY40" i="22"/>
  <c r="AY13" i="22"/>
  <c r="AY11" i="22"/>
  <c r="AY9" i="22"/>
  <c r="AY22" i="22"/>
  <c r="AY20" i="22"/>
  <c r="AY14" i="22"/>
  <c r="AY12" i="22"/>
  <c r="AY10" i="22"/>
  <c r="AY24" i="22"/>
  <c r="AY54" i="22"/>
  <c r="AY50" i="22"/>
  <c r="AY18" i="22"/>
  <c r="AY16" i="22"/>
  <c r="K56" i="21"/>
  <c r="AR73" i="21"/>
  <c r="AX220" i="22"/>
  <c r="AX218" i="22"/>
  <c r="AX216" i="22"/>
  <c r="AX212" i="22"/>
  <c r="AX210" i="22"/>
  <c r="AX208" i="22"/>
  <c r="AX224" i="22"/>
  <c r="AX223" i="22"/>
  <c r="AX227" i="22"/>
  <c r="AT80" i="21" s="1"/>
  <c r="AX215" i="22"/>
  <c r="AX205" i="22"/>
  <c r="AX206" i="22"/>
  <c r="AX195" i="22"/>
  <c r="AX193" i="22"/>
  <c r="AX191" i="22"/>
  <c r="AX189" i="22"/>
  <c r="AX187" i="22"/>
  <c r="AX185" i="22"/>
  <c r="AX198" i="22"/>
  <c r="AX207" i="22"/>
  <c r="AX217" i="22"/>
  <c r="AX199" i="22"/>
  <c r="AX200" i="22"/>
  <c r="AX204" i="22"/>
  <c r="AX211" i="22"/>
  <c r="AX197" i="22"/>
  <c r="AX186" i="22"/>
  <c r="AX192" i="22"/>
  <c r="AX194" i="22"/>
  <c r="AX182" i="22"/>
  <c r="AX184" i="22"/>
  <c r="AX219" i="22"/>
  <c r="AX170" i="22"/>
  <c r="AX174" i="22"/>
  <c r="AX169" i="22"/>
  <c r="AX177" i="22"/>
  <c r="AX203" i="22"/>
  <c r="AX183" i="22"/>
  <c r="AX209" i="22"/>
  <c r="AX175" i="22"/>
  <c r="AX172" i="22"/>
  <c r="AX167" i="22"/>
  <c r="AX164" i="22"/>
  <c r="AX161" i="22"/>
  <c r="AX158" i="22"/>
  <c r="AX171" i="22"/>
  <c r="AX165" i="22"/>
  <c r="AX162" i="22"/>
  <c r="AX157" i="22"/>
  <c r="AX188" i="22"/>
  <c r="AX181" i="22"/>
  <c r="AX180" i="22"/>
  <c r="AX163" i="22"/>
  <c r="AX176" i="22"/>
  <c r="AX178" i="22"/>
  <c r="AX173" i="22"/>
  <c r="AX136" i="22"/>
  <c r="AX154" i="22"/>
  <c r="AX143" i="22"/>
  <c r="AX134" i="22"/>
  <c r="AX130" i="22"/>
  <c r="AX128" i="22"/>
  <c r="AX126" i="22"/>
  <c r="AX124" i="22"/>
  <c r="AX196" i="22"/>
  <c r="AX147" i="22"/>
  <c r="AT65" i="21" s="1"/>
  <c r="AX138" i="22"/>
  <c r="AX139" i="22"/>
  <c r="AX153" i="22"/>
  <c r="AX152" i="22"/>
  <c r="AX151" i="22"/>
  <c r="AX142" i="22"/>
  <c r="AX119" i="22"/>
  <c r="AX118" i="22"/>
  <c r="AX133" i="22"/>
  <c r="AX129" i="22"/>
  <c r="AX117" i="22"/>
  <c r="AX116" i="22"/>
  <c r="AX190" i="22"/>
  <c r="AX115" i="22"/>
  <c r="AX127" i="22"/>
  <c r="AX179" i="22"/>
  <c r="AX114" i="22"/>
  <c r="AX112" i="22"/>
  <c r="AX108" i="22"/>
  <c r="AX168" i="22"/>
  <c r="AX144" i="22"/>
  <c r="AX137" i="22"/>
  <c r="AX150" i="22"/>
  <c r="AX166" i="22"/>
  <c r="AX111" i="22"/>
  <c r="AX91" i="22"/>
  <c r="AX89" i="22"/>
  <c r="AX87" i="22"/>
  <c r="AX85" i="22"/>
  <c r="AX83" i="22"/>
  <c r="AX81" i="22"/>
  <c r="AX79" i="22"/>
  <c r="AX77" i="22"/>
  <c r="AX103" i="22"/>
  <c r="AX123" i="22"/>
  <c r="AX96" i="22"/>
  <c r="AX121" i="22"/>
  <c r="AX104" i="22"/>
  <c r="AX99" i="22"/>
  <c r="AX135" i="22"/>
  <c r="AX113" i="22"/>
  <c r="AX95" i="22"/>
  <c r="AX92" i="22"/>
  <c r="AX125" i="22"/>
  <c r="AX122" i="22"/>
  <c r="AX98" i="22"/>
  <c r="AX107" i="22"/>
  <c r="AX94" i="22"/>
  <c r="AX120" i="22"/>
  <c r="AX102" i="22"/>
  <c r="AX78" i="22"/>
  <c r="AX97" i="22"/>
  <c r="AX101" i="22"/>
  <c r="AX82" i="22"/>
  <c r="AX93" i="22"/>
  <c r="AX84" i="22"/>
  <c r="AX72" i="22"/>
  <c r="AX80" i="22"/>
  <c r="AX105" i="22"/>
  <c r="AX100" i="22"/>
  <c r="AX76" i="22"/>
  <c r="AX86" i="22"/>
  <c r="AX90" i="22"/>
  <c r="AX106" i="22"/>
  <c r="AX70" i="22"/>
  <c r="AX69" i="22"/>
  <c r="AX68" i="22"/>
  <c r="AX57" i="22"/>
  <c r="AX55" i="22"/>
  <c r="AX53" i="22"/>
  <c r="AX51" i="22"/>
  <c r="AX49" i="22"/>
  <c r="AX47" i="22"/>
  <c r="AX45" i="22"/>
  <c r="AX88" i="22"/>
  <c r="AX67" i="22"/>
  <c r="AX66" i="22"/>
  <c r="AX71" i="22"/>
  <c r="AX65" i="22"/>
  <c r="AX64" i="22"/>
  <c r="AX75" i="22"/>
  <c r="AX63" i="22"/>
  <c r="AX62" i="22"/>
  <c r="AX44" i="22"/>
  <c r="AX40" i="22"/>
  <c r="AX43" i="22"/>
  <c r="AX59" i="22"/>
  <c r="AX39" i="22"/>
  <c r="AX61" i="22"/>
  <c r="AX56" i="22"/>
  <c r="AX42" i="22"/>
  <c r="AX52" i="22"/>
  <c r="AX48" i="22"/>
  <c r="AX46" i="22"/>
  <c r="AX41" i="22"/>
  <c r="AX60" i="22"/>
  <c r="AX54" i="22"/>
  <c r="AX50" i="22"/>
  <c r="AX33" i="22"/>
  <c r="AX11" i="22"/>
  <c r="AX58" i="22"/>
  <c r="AX21" i="22"/>
  <c r="AX15" i="22"/>
  <c r="AX13" i="22"/>
  <c r="AX9" i="22"/>
  <c r="AX31" i="22"/>
  <c r="AX23" i="22"/>
  <c r="AX10" i="22"/>
  <c r="AX19" i="22"/>
  <c r="AX30" i="22"/>
  <c r="AX32" i="22"/>
  <c r="AX26" i="22"/>
  <c r="AX28" i="22"/>
  <c r="AX22" i="22"/>
  <c r="AX35" i="22"/>
  <c r="AX25" i="22"/>
  <c r="AX36" i="22"/>
  <c r="AX34" i="22"/>
  <c r="AX27" i="22"/>
  <c r="AX20" i="22"/>
  <c r="AX14" i="22"/>
  <c r="AX12" i="22"/>
  <c r="AX29" i="22"/>
  <c r="AX24" i="22"/>
  <c r="AX17" i="22"/>
  <c r="AX37" i="22"/>
  <c r="AX38" i="22"/>
  <c r="AX18" i="22"/>
  <c r="AX16" i="22"/>
  <c r="R56" i="21"/>
  <c r="AA81" i="9"/>
  <c r="AA83" i="9" s="1"/>
  <c r="R44" i="8"/>
  <c r="R19" i="8"/>
  <c r="R27" i="8" s="1"/>
  <c r="R38" i="8" s="1"/>
  <c r="R43" i="8"/>
  <c r="J87" i="9"/>
  <c r="J88" i="9" s="1"/>
  <c r="AE44" i="8"/>
  <c r="AE47" i="8" s="1"/>
  <c r="AE48" i="8" s="1"/>
  <c r="AE24" i="13" s="1"/>
  <c r="AE19" i="8"/>
  <c r="AE27" i="8" s="1"/>
  <c r="AE38" i="8" s="1"/>
  <c r="U5" i="8"/>
  <c r="U43" i="8" s="1"/>
  <c r="U9" i="20"/>
  <c r="U8" i="20"/>
  <c r="U10" i="20"/>
  <c r="AT5" i="15"/>
  <c r="AT13" i="15" s="1"/>
  <c r="AZ8" i="11" s="1"/>
  <c r="J81" i="9"/>
  <c r="J83" i="9" s="1"/>
  <c r="K7" i="20"/>
  <c r="J7" i="20"/>
  <c r="K81" i="9"/>
  <c r="K82" i="9" s="1"/>
  <c r="U82" i="9"/>
  <c r="AA12" i="20"/>
  <c r="AA6" i="8" s="1"/>
  <c r="AU326" i="7"/>
  <c r="AU338" i="7"/>
  <c r="AU246" i="7"/>
  <c r="AV45" i="7"/>
  <c r="AU329" i="7"/>
  <c r="AV36" i="7"/>
  <c r="AU337" i="7"/>
  <c r="AU334" i="7"/>
  <c r="AU342" i="7"/>
  <c r="AU340" i="7"/>
  <c r="AU333" i="7"/>
  <c r="AU343" i="7"/>
  <c r="AU335" i="7"/>
  <c r="AU232" i="7"/>
  <c r="AW298" i="7"/>
  <c r="AW303" i="7" s="1"/>
  <c r="AU324" i="7"/>
  <c r="AU327" i="7"/>
  <c r="AW352" i="7"/>
  <c r="AW367" i="7" s="1"/>
  <c r="AW356" i="7"/>
  <c r="AW371" i="7" s="1"/>
  <c r="AW361" i="7"/>
  <c r="AW376" i="7" s="1"/>
  <c r="AW351" i="7"/>
  <c r="AW366" i="7" s="1"/>
  <c r="AW355" i="7"/>
  <c r="AW370" i="7" s="1"/>
  <c r="AW359" i="7"/>
  <c r="AW374" i="7" s="1"/>
  <c r="AU348" i="7"/>
  <c r="AW362" i="7"/>
  <c r="AW377" i="7" s="1"/>
  <c r="AV64" i="7"/>
  <c r="AW363" i="7"/>
  <c r="AW378" i="7" s="1"/>
  <c r="AU344" i="7"/>
  <c r="AW360" i="7"/>
  <c r="AW375" i="7" s="1"/>
  <c r="AU332" i="7"/>
  <c r="AW357" i="7"/>
  <c r="AW372" i="7" s="1"/>
  <c r="AU325" i="7"/>
  <c r="AU346" i="7"/>
  <c r="AV26" i="7"/>
  <c r="AW353" i="7"/>
  <c r="AW368" i="7" s="1"/>
  <c r="AU386" i="7"/>
  <c r="AU341" i="7"/>
  <c r="AU249" i="7"/>
  <c r="AV56" i="7"/>
  <c r="AW354" i="7"/>
  <c r="AW369" i="7" s="1"/>
  <c r="AU331" i="7"/>
  <c r="AU236" i="7"/>
  <c r="AU240" i="7"/>
  <c r="AV42" i="7"/>
  <c r="AV49" i="7"/>
  <c r="AV50" i="7"/>
  <c r="AV44" i="7"/>
  <c r="AV62" i="7"/>
  <c r="AV61" i="7"/>
  <c r="AV58" i="7"/>
  <c r="AV60" i="7"/>
  <c r="AV52" i="7"/>
  <c r="AV46" i="7"/>
  <c r="AV66" i="7"/>
  <c r="AV57" i="7"/>
  <c r="AV31" i="7"/>
  <c r="AV51" i="7"/>
  <c r="AV63" i="7"/>
  <c r="AV55" i="7"/>
  <c r="AV47" i="7"/>
  <c r="AW25" i="7"/>
  <c r="AV53" i="7"/>
  <c r="AU250" i="7"/>
  <c r="AU242" i="7"/>
  <c r="AS79" i="14"/>
  <c r="AS90" i="14" s="1"/>
  <c r="AS100" i="7" s="1"/>
  <c r="AS3" i="23" s="1"/>
  <c r="AT131" i="7"/>
  <c r="AT194" i="7" s="1"/>
  <c r="AT92" i="14" s="1"/>
  <c r="AT93" i="14" s="1"/>
  <c r="AT97" i="14" s="1"/>
  <c r="AT98" i="14" s="1"/>
  <c r="AT99" i="14" s="1"/>
  <c r="AT100" i="14" s="1"/>
  <c r="AT101" i="14" s="1"/>
  <c r="AT102" i="14" s="1"/>
  <c r="AT107" i="14" s="1"/>
  <c r="AT110" i="14" s="1"/>
  <c r="AU243" i="7"/>
  <c r="AU231" i="7"/>
  <c r="AW204" i="7"/>
  <c r="AS88" i="14"/>
  <c r="AW260" i="7"/>
  <c r="AW275" i="7" s="1"/>
  <c r="AU252" i="7"/>
  <c r="AT69" i="14"/>
  <c r="AT86" i="14" s="1"/>
  <c r="AT87" i="14" s="1"/>
  <c r="AT88" i="14" s="1"/>
  <c r="AU241" i="7"/>
  <c r="AW108" i="7"/>
  <c r="AW111" i="7" s="1"/>
  <c r="AW165" i="7"/>
  <c r="AW180" i="7" s="1"/>
  <c r="AU230" i="7"/>
  <c r="AU237" i="7"/>
  <c r="AW30" i="7"/>
  <c r="AW66" i="7" s="1"/>
  <c r="AS164" i="14"/>
  <c r="AU251" i="7"/>
  <c r="AS147" i="14"/>
  <c r="AS148" i="14" s="1"/>
  <c r="AS149" i="14" s="1"/>
  <c r="AS150" i="14" s="1"/>
  <c r="AS151" i="14" s="1"/>
  <c r="AS152" i="14" s="1"/>
  <c r="AS157" i="14" s="1"/>
  <c r="AS160" i="14" s="1"/>
  <c r="AW68" i="7"/>
  <c r="AW83" i="7" s="1"/>
  <c r="AW98" i="7" s="1"/>
  <c r="AR81" i="21"/>
  <c r="AR12" i="8" s="1"/>
  <c r="AR13" i="8" s="1"/>
  <c r="AU227" i="7"/>
  <c r="AR66" i="21"/>
  <c r="AR68" i="21" s="1"/>
  <c r="AS94" i="14"/>
  <c r="AS111" i="14" s="1"/>
  <c r="AS112" i="14" s="1"/>
  <c r="AS114" i="14" s="1"/>
  <c r="AU248" i="7"/>
  <c r="AU254" i="7"/>
  <c r="AU253" i="7"/>
  <c r="AW264" i="7"/>
  <c r="AW279" i="7" s="1"/>
  <c r="AJ49" i="14"/>
  <c r="AJ50" i="14" s="1"/>
  <c r="AW268" i="7"/>
  <c r="AW283" i="7" s="1"/>
  <c r="AW267" i="7"/>
  <c r="AW282" i="7" s="1"/>
  <c r="AW257" i="7"/>
  <c r="AW272" i="7" s="1"/>
  <c r="AU234" i="7"/>
  <c r="AW258" i="7"/>
  <c r="AW273" i="7" s="1"/>
  <c r="AW259" i="7"/>
  <c r="AW274" i="7" s="1"/>
  <c r="AU239" i="7"/>
  <c r="AW266" i="7"/>
  <c r="AW281" i="7" s="1"/>
  <c r="AU245" i="7"/>
  <c r="AW21" i="7"/>
  <c r="AV189" i="14"/>
  <c r="AW263" i="7"/>
  <c r="AW278" i="7" s="1"/>
  <c r="AW262" i="7"/>
  <c r="AW277" i="7" s="1"/>
  <c r="AU238" i="7"/>
  <c r="AQ6" i="7"/>
  <c r="AQ15" i="13" s="1"/>
  <c r="AW269" i="7"/>
  <c r="AW284" i="7" s="1"/>
  <c r="AW39" i="7"/>
  <c r="AW56" i="7" s="1"/>
  <c r="AU235" i="7"/>
  <c r="AW265" i="7"/>
  <c r="AW280" i="7" s="1"/>
  <c r="AU41" i="7"/>
  <c r="AU99" i="7" s="1"/>
  <c r="AU67" i="14" s="1"/>
  <c r="AU68" i="14" s="1"/>
  <c r="AU72" i="14" s="1"/>
  <c r="AU73" i="14" s="1"/>
  <c r="AU74" i="14" s="1"/>
  <c r="AT8" i="21"/>
  <c r="AT34" i="21" s="1"/>
  <c r="AW35" i="7"/>
  <c r="AW45" i="7" s="1"/>
  <c r="AZ12" i="14"/>
  <c r="AR7" i="7"/>
  <c r="AR16" i="13" s="1"/>
  <c r="AR163" i="14"/>
  <c r="AQ215" i="14"/>
  <c r="AU192" i="14"/>
  <c r="AU193" i="14" s="1"/>
  <c r="AU61" i="14"/>
  <c r="AU64" i="14" s="1"/>
  <c r="AU65" i="14" s="1"/>
  <c r="AT58" i="14"/>
  <c r="AT59" i="14" s="1"/>
  <c r="AT60" i="14" s="1"/>
  <c r="AT62" i="14" s="1"/>
  <c r="AT63" i="14" s="1"/>
  <c r="AW52" i="14"/>
  <c r="AW54" i="14" s="1"/>
  <c r="AW55" i="14" s="1"/>
  <c r="AW56" i="14" s="1"/>
  <c r="AW57" i="14" s="1"/>
  <c r="AV58" i="14"/>
  <c r="AV59" i="14" s="1"/>
  <c r="AV60" i="14" s="1"/>
  <c r="AV62" i="14" s="1"/>
  <c r="AV63" i="14" s="1"/>
  <c r="AV53" i="14"/>
  <c r="AW214" i="14"/>
  <c r="AW187" i="14"/>
  <c r="AW188" i="14" s="1"/>
  <c r="AW189" i="14" s="1"/>
  <c r="AT192" i="14"/>
  <c r="AT191" i="14"/>
  <c r="AP210" i="14"/>
  <c r="AP211" i="14" s="1"/>
  <c r="AP213" i="14" s="1"/>
  <c r="AP215" i="14" s="1"/>
  <c r="AR196" i="14"/>
  <c r="AR197" i="14" s="1"/>
  <c r="AS199" i="14"/>
  <c r="AS202" i="14" s="1"/>
  <c r="AS206" i="14" s="1"/>
  <c r="AS201" i="14"/>
  <c r="AS205" i="14" s="1"/>
  <c r="AV191" i="14"/>
  <c r="AV192" i="14"/>
  <c r="AJ44" i="14"/>
  <c r="AJ19" i="13" s="1"/>
  <c r="T89" i="9"/>
  <c r="AY178" i="14"/>
  <c r="AY177" i="14"/>
  <c r="AY176" i="14"/>
  <c r="AY179" i="14" s="1"/>
  <c r="AY181" i="14" s="1"/>
  <c r="AY10" i="14"/>
  <c r="T19" i="8"/>
  <c r="T27" i="8" s="1"/>
  <c r="T38" i="8" s="1"/>
  <c r="T44" i="8"/>
  <c r="T47" i="8" s="1"/>
  <c r="T48" i="8" s="1"/>
  <c r="AZ169" i="14"/>
  <c r="AZ11" i="14"/>
  <c r="AW170" i="14"/>
  <c r="AW185" i="14" s="1"/>
  <c r="AJ171" i="14"/>
  <c r="AJ184" i="14" s="1"/>
  <c r="AZ9" i="14"/>
  <c r="AZ6" i="14"/>
  <c r="AZ173" i="14" s="1"/>
  <c r="AZ8" i="14"/>
  <c r="AZ5" i="14"/>
  <c r="AZ172" i="14" s="1"/>
  <c r="AZ7" i="14"/>
  <c r="AQ4" i="20"/>
  <c r="AQ44" i="15"/>
  <c r="AQ45" i="15" s="1"/>
  <c r="AQ46" i="15" s="1"/>
  <c r="AY16" i="14"/>
  <c r="AY18" i="14" s="1"/>
  <c r="AY19" i="14" s="1"/>
  <c r="AY21" i="14" s="1"/>
  <c r="AY17" i="14"/>
  <c r="AY13" i="7"/>
  <c r="AY14" i="7" s="1"/>
  <c r="AY15" i="7" s="1"/>
  <c r="AS40" i="15"/>
  <c r="AQ4" i="21"/>
  <c r="AQ39" i="21" s="1"/>
  <c r="AS31" i="21"/>
  <c r="AX49" i="14"/>
  <c r="AX50" i="14" s="1"/>
  <c r="AX6" i="24" s="1"/>
  <c r="AP22" i="13"/>
  <c r="AP40" i="8"/>
  <c r="AP46" i="15"/>
  <c r="AV230" i="7"/>
  <c r="AV235" i="7"/>
  <c r="AP139" i="14"/>
  <c r="AR6" i="7"/>
  <c r="AR15" i="13" s="1"/>
  <c r="AR28" i="21"/>
  <c r="AR31" i="21" s="1"/>
  <c r="AV329" i="7"/>
  <c r="AV234" i="7"/>
  <c r="AV243" i="7"/>
  <c r="AV231" i="7"/>
  <c r="AV236" i="7"/>
  <c r="AV239" i="7"/>
  <c r="AV340" i="7"/>
  <c r="AV245" i="7"/>
  <c r="AV336" i="7"/>
  <c r="AV218" i="7"/>
  <c r="AV335" i="7"/>
  <c r="AR104" i="14"/>
  <c r="AR115" i="14" s="1"/>
  <c r="AR195" i="7" s="1"/>
  <c r="AU131" i="7"/>
  <c r="AU194" i="7" s="1"/>
  <c r="AU92" i="14" s="1"/>
  <c r="AU93" i="14" s="1"/>
  <c r="AU97" i="14" s="1"/>
  <c r="AU98" i="14" s="1"/>
  <c r="AU99" i="14" s="1"/>
  <c r="AR113" i="14"/>
  <c r="AV253" i="7"/>
  <c r="AV232" i="7"/>
  <c r="AV240" i="7"/>
  <c r="AR139" i="14"/>
  <c r="AS122" i="14"/>
  <c r="AS123" i="14" s="1"/>
  <c r="AS124" i="14" s="1"/>
  <c r="AS119" i="14"/>
  <c r="AT77" i="14"/>
  <c r="AT82" i="14" s="1"/>
  <c r="AT85" i="14" s="1"/>
  <c r="AQ195" i="7"/>
  <c r="AQ5" i="7"/>
  <c r="AQ14" i="13" s="1"/>
  <c r="AV244" i="7"/>
  <c r="AV227" i="7"/>
  <c r="AQ36" i="8"/>
  <c r="AQ39" i="8" s="1"/>
  <c r="AQ35" i="21"/>
  <c r="AQ36" i="21" s="1"/>
  <c r="AQ26" i="21"/>
  <c r="AS73" i="21"/>
  <c r="AS34" i="15"/>
  <c r="AS25" i="21"/>
  <c r="AP62" i="9"/>
  <c r="AP68" i="9" s="1"/>
  <c r="AZ12" i="7"/>
  <c r="AZ9" i="7"/>
  <c r="AZ10" i="7"/>
  <c r="AW28" i="14"/>
  <c r="AW29" i="14" s="1"/>
  <c r="AW30" i="14" s="1"/>
  <c r="AW31" i="14" s="1"/>
  <c r="AW18" i="13" s="1"/>
  <c r="AW4" i="13"/>
  <c r="AV133" i="7"/>
  <c r="AY48" i="14"/>
  <c r="AS81" i="21"/>
  <c r="AS12" i="8" s="1"/>
  <c r="AS13" i="8" s="1"/>
  <c r="AS100" i="14"/>
  <c r="AS101" i="14" s="1"/>
  <c r="AS102" i="14" s="1"/>
  <c r="AS107" i="14" s="1"/>
  <c r="AS110" i="14" s="1"/>
  <c r="AP47" i="9"/>
  <c r="AP51" i="9" s="1"/>
  <c r="AP64" i="9" s="1"/>
  <c r="AS11" i="9"/>
  <c r="AS12" i="9" s="1"/>
  <c r="AS36" i="9"/>
  <c r="AW7" i="10" s="1"/>
  <c r="AS41" i="9"/>
  <c r="AS42" i="9" s="1"/>
  <c r="AS50" i="9" s="1"/>
  <c r="AS44" i="9"/>
  <c r="AS45" i="9" s="1"/>
  <c r="AS55" i="9" s="1"/>
  <c r="AS17" i="9"/>
  <c r="AS18" i="9" s="1"/>
  <c r="AW2" i="10" s="1"/>
  <c r="AS27" i="9"/>
  <c r="AS28" i="9" s="1"/>
  <c r="AW4" i="10" s="1"/>
  <c r="AS38" i="9"/>
  <c r="AS39" i="9" s="1"/>
  <c r="AS33" i="9"/>
  <c r="AS34" i="9" s="1"/>
  <c r="AW5" i="10" s="1"/>
  <c r="AS22" i="9"/>
  <c r="AS23" i="9" s="1"/>
  <c r="AW3" i="10" s="1"/>
  <c r="AY42" i="14"/>
  <c r="AY36" i="14"/>
  <c r="AP53" i="9"/>
  <c r="AP60" i="9" s="1"/>
  <c r="AP66" i="9" s="1"/>
  <c r="AV135" i="7"/>
  <c r="AV138" i="7"/>
  <c r="AY47" i="14"/>
  <c r="AV3" i="15"/>
  <c r="AV5" i="15" s="1"/>
  <c r="BB4" i="11" s="1"/>
  <c r="AV3" i="21"/>
  <c r="AV7" i="21" s="1"/>
  <c r="AV4" i="17"/>
  <c r="AV7" i="17" s="1"/>
  <c r="AV8" i="17" s="1"/>
  <c r="AV9" i="17" s="1"/>
  <c r="AV11" i="17" s="1"/>
  <c r="AV12" i="17" s="1"/>
  <c r="BB3" i="13"/>
  <c r="BB3" i="24" s="1"/>
  <c r="BA3" i="17"/>
  <c r="BA5" i="17" s="1"/>
  <c r="BA3" i="7"/>
  <c r="BA3" i="14"/>
  <c r="AT17" i="17"/>
  <c r="AT14" i="17"/>
  <c r="AT28" i="13" s="1"/>
  <c r="AP46" i="21"/>
  <c r="AP47" i="21" s="1"/>
  <c r="AP48" i="21" s="1"/>
  <c r="AP43" i="21"/>
  <c r="AP53" i="21"/>
  <c r="AP54" i="21" s="1"/>
  <c r="AP39" i="21"/>
  <c r="AU15" i="17"/>
  <c r="AU27" i="13" s="1"/>
  <c r="AU7" i="15"/>
  <c r="BA5" i="11" s="1"/>
  <c r="AU15" i="15"/>
  <c r="BA9" i="11" s="1"/>
  <c r="AU13" i="15"/>
  <c r="BA8" i="11" s="1"/>
  <c r="AU9" i="15"/>
  <c r="BA6" i="11" s="1"/>
  <c r="AU10" i="13"/>
  <c r="AU29" i="15"/>
  <c r="AU37" i="15" s="1"/>
  <c r="AU38" i="15" s="1"/>
  <c r="AU39" i="15" s="1"/>
  <c r="AU40" i="15" s="1"/>
  <c r="AU19" i="15"/>
  <c r="BA11" i="11" s="1"/>
  <c r="AU31" i="15"/>
  <c r="AU32" i="15" s="1"/>
  <c r="AU33" i="15" s="1"/>
  <c r="AU34" i="15" s="1"/>
  <c r="AU11" i="15"/>
  <c r="BA7" i="11" s="1"/>
  <c r="AU17" i="15"/>
  <c r="BA10" i="11" s="1"/>
  <c r="AX44" i="14"/>
  <c r="AX19" i="13" s="1"/>
  <c r="AU8" i="21"/>
  <c r="AS66" i="21"/>
  <c r="AS68" i="21" s="1"/>
  <c r="AI24" i="13"/>
  <c r="AI50" i="8"/>
  <c r="AI25" i="13" s="1"/>
  <c r="P24" i="13"/>
  <c r="P50" i="8"/>
  <c r="P25" i="13" s="1"/>
  <c r="AD24" i="13"/>
  <c r="AD50" i="8"/>
  <c r="AD25" i="13" s="1"/>
  <c r="V24" i="13"/>
  <c r="V50" i="8"/>
  <c r="V25" i="13" s="1"/>
  <c r="AG24" i="13"/>
  <c r="AG50" i="8"/>
  <c r="AG25" i="13" s="1"/>
  <c r="Y24" i="13"/>
  <c r="Y50" i="8"/>
  <c r="Y25" i="13" s="1"/>
  <c r="AB24" i="13"/>
  <c r="AB50" i="8"/>
  <c r="AB25" i="13" s="1"/>
  <c r="W24" i="13"/>
  <c r="W50" i="8"/>
  <c r="W25" i="13" s="1"/>
  <c r="AF24" i="13"/>
  <c r="AF50" i="8"/>
  <c r="AF25" i="13" s="1"/>
  <c r="AN7" i="20"/>
  <c r="AN5" i="8" s="1"/>
  <c r="AN43" i="8" s="1"/>
  <c r="H47" i="8"/>
  <c r="H48" i="8" s="1"/>
  <c r="AO44" i="8"/>
  <c r="AO47" i="8" s="1"/>
  <c r="AO48" i="8" s="1"/>
  <c r="AN81" i="9"/>
  <c r="AN82" i="9" s="1"/>
  <c r="AN87" i="9"/>
  <c r="AN88" i="9" s="1"/>
  <c r="AN12" i="20"/>
  <c r="AN6" i="8" s="1"/>
  <c r="AO19" i="8"/>
  <c r="AO27" i="8" s="1"/>
  <c r="AO38" i="8" s="1"/>
  <c r="AJ61" i="7"/>
  <c r="AJ44" i="7"/>
  <c r="AJ42" i="7"/>
  <c r="AJ66" i="7"/>
  <c r="AJ31" i="7"/>
  <c r="AK49" i="14"/>
  <c r="AK50" i="14" s="1"/>
  <c r="BG47" i="8"/>
  <c r="BG48" i="8" s="1"/>
  <c r="BG24" i="13" s="1"/>
  <c r="E56" i="21"/>
  <c r="AJ50" i="7"/>
  <c r="AJ124" i="7"/>
  <c r="AJ125" i="7" s="1"/>
  <c r="AM25" i="14"/>
  <c r="AJ65" i="7"/>
  <c r="AM49" i="14"/>
  <c r="AM50" i="14" s="1"/>
  <c r="AJ40" i="7"/>
  <c r="AJ316" i="7"/>
  <c r="AJ317" i="7" s="1"/>
  <c r="AJ328" i="7" s="1"/>
  <c r="AM44" i="14"/>
  <c r="AM19" i="13" s="1"/>
  <c r="AK25" i="14"/>
  <c r="AJ110" i="7"/>
  <c r="AJ43" i="7"/>
  <c r="AJ46" i="7"/>
  <c r="AJ53" i="7"/>
  <c r="AJ47" i="7"/>
  <c r="AJ54" i="7"/>
  <c r="AJ48" i="7"/>
  <c r="AJ51" i="7"/>
  <c r="AJ158" i="7"/>
  <c r="AJ173" i="7" s="1"/>
  <c r="AJ188" i="7" s="1"/>
  <c r="AJ119" i="7"/>
  <c r="AJ120" i="7" s="1"/>
  <c r="AJ26" i="7"/>
  <c r="AJ57" i="7"/>
  <c r="AJ55" i="7"/>
  <c r="AJ114" i="7"/>
  <c r="AJ115" i="7" s="1"/>
  <c r="AJ153" i="7" s="1"/>
  <c r="AJ128" i="7"/>
  <c r="AJ129" i="7" s="1"/>
  <c r="AJ147" i="7" s="1"/>
  <c r="AK44" i="14"/>
  <c r="AK19" i="13" s="1"/>
  <c r="AJ212" i="7"/>
  <c r="AJ213" i="7" s="1"/>
  <c r="AJ226" i="7"/>
  <c r="AJ256" i="7"/>
  <c r="AJ271" i="7" s="1"/>
  <c r="AJ286" i="7" s="1"/>
  <c r="AJ222" i="7"/>
  <c r="AJ320" i="7"/>
  <c r="AJ321" i="7" s="1"/>
  <c r="AJ339" i="7" s="1"/>
  <c r="AJ208" i="7"/>
  <c r="AJ36" i="7"/>
  <c r="AJ45" i="7"/>
  <c r="AJ58" i="7"/>
  <c r="AJ311" i="7"/>
  <c r="AJ312" i="7" s="1"/>
  <c r="AJ306" i="7"/>
  <c r="AJ307" i="7" s="1"/>
  <c r="AJ345" i="7" s="1"/>
  <c r="AJ49" i="7"/>
  <c r="AJ60" i="7"/>
  <c r="AJ350" i="7"/>
  <c r="AJ365" i="7" s="1"/>
  <c r="AJ380" i="7" s="1"/>
  <c r="AJ217" i="7"/>
  <c r="AJ63" i="7"/>
  <c r="AJ64" i="7"/>
  <c r="AJ302" i="7"/>
  <c r="AJ62" i="7"/>
  <c r="O15" i="20"/>
  <c r="AV75" i="9"/>
  <c r="O19" i="8"/>
  <c r="O27" i="8" s="1"/>
  <c r="O38" i="8" s="1"/>
  <c r="O43" i="8"/>
  <c r="O44" i="8"/>
  <c r="X87" i="9"/>
  <c r="X88" i="9" s="1"/>
  <c r="X89" i="9" s="1"/>
  <c r="E87" i="9"/>
  <c r="E88" i="9" s="1"/>
  <c r="P15" i="20"/>
  <c r="E81" i="9"/>
  <c r="E83" i="9" s="1"/>
  <c r="X7" i="20"/>
  <c r="X5" i="8" s="1"/>
  <c r="X43" i="8" s="1"/>
  <c r="X82" i="9"/>
  <c r="X6" i="8"/>
  <c r="X13" i="20"/>
  <c r="X14" i="20" s="1"/>
  <c r="X15" i="20" s="1"/>
  <c r="AO165" i="14" l="1"/>
  <c r="AW43" i="7"/>
  <c r="AV149" i="7"/>
  <c r="AV134" i="7"/>
  <c r="AV248" i="7"/>
  <c r="AV238" i="7"/>
  <c r="AV250" i="7"/>
  <c r="AV246" i="7"/>
  <c r="AV223" i="7"/>
  <c r="AV252" i="7"/>
  <c r="AV137" i="7"/>
  <c r="AV142" i="7"/>
  <c r="AV146" i="7"/>
  <c r="AV251" i="7"/>
  <c r="AV132" i="7"/>
  <c r="AV237" i="7"/>
  <c r="AV229" i="7" s="1"/>
  <c r="AV288" i="7" s="1"/>
  <c r="AV117" i="14" s="1"/>
  <c r="AV118" i="14" s="1"/>
  <c r="AV122" i="14" s="1"/>
  <c r="AV123" i="14" s="1"/>
  <c r="AV124" i="14" s="1"/>
  <c r="AV241" i="7"/>
  <c r="AV151" i="7"/>
  <c r="AV145" i="7"/>
  <c r="AV156" i="7"/>
  <c r="AV249" i="7"/>
  <c r="AV242" i="7"/>
  <c r="AV337" i="7"/>
  <c r="AV341" i="7"/>
  <c r="AV333" i="7"/>
  <c r="AV331" i="7"/>
  <c r="AV326" i="7"/>
  <c r="AV140" i="7"/>
  <c r="AM20" i="13"/>
  <c r="AM11" i="7"/>
  <c r="AM13" i="7" s="1"/>
  <c r="AM14" i="7" s="1"/>
  <c r="AM15" i="7" s="1"/>
  <c r="AM6" i="24"/>
  <c r="AV155" i="7"/>
  <c r="AO289" i="7"/>
  <c r="AO13" i="23" s="1"/>
  <c r="AO6" i="7"/>
  <c r="AO15" i="13" s="1"/>
  <c r="AV139" i="7"/>
  <c r="AO4" i="7"/>
  <c r="AO13" i="13" s="1"/>
  <c r="AO100" i="7"/>
  <c r="AO3" i="23" s="1"/>
  <c r="AV150" i="7"/>
  <c r="AV148" i="7"/>
  <c r="AV152" i="7"/>
  <c r="AV144" i="7"/>
  <c r="AJ20" i="13"/>
  <c r="AJ11" i="7"/>
  <c r="AJ6" i="24"/>
  <c r="AV125" i="7"/>
  <c r="AV192" i="7" s="1"/>
  <c r="AJ247" i="7"/>
  <c r="AV143" i="7"/>
  <c r="AV154" i="7"/>
  <c r="AV136" i="7"/>
  <c r="AO389" i="7"/>
  <c r="AO7" i="7"/>
  <c r="AO16" i="13" s="1"/>
  <c r="AK20" i="13"/>
  <c r="AK11" i="7"/>
  <c r="AK13" i="7" s="1"/>
  <c r="AK14" i="7" s="1"/>
  <c r="AK15" i="7" s="1"/>
  <c r="AK6" i="24"/>
  <c r="AW209" i="7"/>
  <c r="AV327" i="7"/>
  <c r="AV338" i="7"/>
  <c r="AX22" i="7"/>
  <c r="AY78" i="7"/>
  <c r="AY93" i="7" s="1"/>
  <c r="AX268" i="7"/>
  <c r="AX283" i="7" s="1"/>
  <c r="BC3" i="11"/>
  <c r="BA3" i="22"/>
  <c r="AX20" i="13"/>
  <c r="AX11" i="7"/>
  <c r="AR26" i="21"/>
  <c r="AV330" i="7"/>
  <c r="AV342" i="7"/>
  <c r="AV325" i="7"/>
  <c r="AV346" i="7"/>
  <c r="AV344" i="7"/>
  <c r="AV332" i="7"/>
  <c r="AV386" i="7"/>
  <c r="AV348" i="7"/>
  <c r="AV334" i="7"/>
  <c r="AV343" i="7"/>
  <c r="AV347" i="7"/>
  <c r="AX260" i="7"/>
  <c r="AX275" i="7" s="1"/>
  <c r="AX258" i="7"/>
  <c r="AX273" i="7" s="1"/>
  <c r="AX261" i="7"/>
  <c r="AX276" i="7" s="1"/>
  <c r="AX265" i="7"/>
  <c r="AX280" i="7" s="1"/>
  <c r="AX263" i="7"/>
  <c r="AX278" i="7" s="1"/>
  <c r="AX267" i="7"/>
  <c r="AX282" i="7" s="1"/>
  <c r="AX204" i="7"/>
  <c r="AX259" i="7"/>
  <c r="AX274" i="7" s="1"/>
  <c r="AX269" i="7"/>
  <c r="AX284" i="7" s="1"/>
  <c r="AX257" i="7"/>
  <c r="AX272" i="7" s="1"/>
  <c r="AX262" i="7"/>
  <c r="AX277" i="7" s="1"/>
  <c r="AX264" i="7"/>
  <c r="AX279" i="7" s="1"/>
  <c r="AX266" i="7"/>
  <c r="AX281" i="7" s="1"/>
  <c r="AX353" i="7"/>
  <c r="AX368" i="7" s="1"/>
  <c r="AX351" i="7"/>
  <c r="AX366" i="7" s="1"/>
  <c r="AX352" i="7"/>
  <c r="AX367" i="7" s="1"/>
  <c r="AX363" i="7"/>
  <c r="AX378" i="7" s="1"/>
  <c r="AX358" i="7"/>
  <c r="AX373" i="7" s="1"/>
  <c r="AX360" i="7"/>
  <c r="AX375" i="7" s="1"/>
  <c r="AX357" i="7"/>
  <c r="AX372" i="7" s="1"/>
  <c r="AX361" i="7"/>
  <c r="AX376" i="7" s="1"/>
  <c r="AX298" i="7"/>
  <c r="AX303" i="7" s="1"/>
  <c r="AX356" i="7"/>
  <c r="AX371" i="7" s="1"/>
  <c r="AX362" i="7"/>
  <c r="AX377" i="7" s="1"/>
  <c r="AX163" i="7"/>
  <c r="AX178" i="7" s="1"/>
  <c r="AX359" i="7"/>
  <c r="AX374" i="7" s="1"/>
  <c r="AX354" i="7"/>
  <c r="AX369" i="7" s="1"/>
  <c r="E11" i="8"/>
  <c r="E49" i="21"/>
  <c r="AW40" i="7"/>
  <c r="BA81" i="11"/>
  <c r="AX68" i="7"/>
  <c r="AX83" i="7" s="1"/>
  <c r="AX98" i="7" s="1"/>
  <c r="AX21" i="7"/>
  <c r="AX39" i="7"/>
  <c r="AX56" i="7" s="1"/>
  <c r="AX35" i="7"/>
  <c r="AX30" i="7"/>
  <c r="AX52" i="7" s="1"/>
  <c r="AX25" i="7"/>
  <c r="AX59" i="7" s="1"/>
  <c r="BA30" i="11"/>
  <c r="AT31" i="15"/>
  <c r="AT32" i="15" s="1"/>
  <c r="AT33" i="15" s="1"/>
  <c r="AT34" i="15" s="1"/>
  <c r="AT7" i="15"/>
  <c r="AZ5" i="11" s="1"/>
  <c r="AT29" i="15"/>
  <c r="AT37" i="15" s="1"/>
  <c r="AT38" i="15" s="1"/>
  <c r="AT39" i="15" s="1"/>
  <c r="AT40" i="15" s="1"/>
  <c r="AT9" i="15"/>
  <c r="AZ6" i="11" s="1"/>
  <c r="BA37" i="11"/>
  <c r="AT19" i="15"/>
  <c r="AZ11" i="11" s="1"/>
  <c r="BA77" i="11"/>
  <c r="AT15" i="15"/>
  <c r="AZ9" i="11" s="1"/>
  <c r="BA128" i="11"/>
  <c r="AT11" i="15"/>
  <c r="AZ7" i="11" s="1"/>
  <c r="BA47" i="11"/>
  <c r="AT17" i="15"/>
  <c r="AZ10" i="11" s="1"/>
  <c r="BA65" i="11"/>
  <c r="BA103" i="11"/>
  <c r="AX160" i="7"/>
  <c r="AX175" i="7" s="1"/>
  <c r="BA56" i="11"/>
  <c r="BA33" i="11"/>
  <c r="BA86" i="11"/>
  <c r="BA40" i="11"/>
  <c r="BA73" i="11"/>
  <c r="BA105" i="11"/>
  <c r="BA66" i="11"/>
  <c r="AX108" i="7"/>
  <c r="AX111" i="7" s="1"/>
  <c r="BA58" i="11"/>
  <c r="BA55" i="11"/>
  <c r="BA52" i="11"/>
  <c r="BA64" i="11"/>
  <c r="BA115" i="11"/>
  <c r="BA133" i="11"/>
  <c r="BA87" i="11"/>
  <c r="AX159" i="7"/>
  <c r="AX174" i="7" s="1"/>
  <c r="BA121" i="11"/>
  <c r="BA95" i="11"/>
  <c r="BA28" i="11"/>
  <c r="BA71" i="11"/>
  <c r="BA117" i="11"/>
  <c r="BA41" i="11"/>
  <c r="BA111" i="11"/>
  <c r="BA21" i="11"/>
  <c r="AX164" i="7"/>
  <c r="AX179" i="7" s="1"/>
  <c r="BA61" i="11"/>
  <c r="BA109" i="11"/>
  <c r="BA50" i="11"/>
  <c r="BA89" i="11"/>
  <c r="BA124" i="11"/>
  <c r="BA59" i="11"/>
  <c r="BA118" i="11"/>
  <c r="AX167" i="7"/>
  <c r="AX182" i="7" s="1"/>
  <c r="BA85" i="11"/>
  <c r="BA107" i="11"/>
  <c r="BA75" i="11"/>
  <c r="BA126" i="11"/>
  <c r="BA53" i="11"/>
  <c r="BA68" i="11"/>
  <c r="BA38" i="11"/>
  <c r="AX161" i="7"/>
  <c r="AX176" i="7" s="1"/>
  <c r="AX12" i="11"/>
  <c r="AX14" i="11" s="1"/>
  <c r="AR21" i="15" s="1"/>
  <c r="AR5" i="9" s="1"/>
  <c r="BA27" i="11"/>
  <c r="BA108" i="11"/>
  <c r="BA60" i="11"/>
  <c r="BA82" i="11"/>
  <c r="BA137" i="11"/>
  <c r="BA34" i="11"/>
  <c r="BA92" i="11"/>
  <c r="BA45" i="11"/>
  <c r="AX171" i="7"/>
  <c r="AX186" i="7" s="1"/>
  <c r="BA25" i="11"/>
  <c r="BA106" i="11"/>
  <c r="BA80" i="11"/>
  <c r="BA94" i="11"/>
  <c r="BA43" i="11"/>
  <c r="BA101" i="11"/>
  <c r="BA104" i="11"/>
  <c r="BA83" i="11"/>
  <c r="AX169" i="7"/>
  <c r="AX184" i="7" s="1"/>
  <c r="AX13" i="11"/>
  <c r="AX15" i="11" s="1"/>
  <c r="AR22" i="15" s="1"/>
  <c r="AR43" i="15" s="1"/>
  <c r="BA22" i="11"/>
  <c r="BA113" i="11"/>
  <c r="BA63" i="11"/>
  <c r="BA136" i="11"/>
  <c r="BA72" i="11"/>
  <c r="BA74" i="11"/>
  <c r="BA123" i="11"/>
  <c r="BA99" i="11"/>
  <c r="AX170" i="7"/>
  <c r="AX185" i="7" s="1"/>
  <c r="BA48" i="11"/>
  <c r="BA31" i="11"/>
  <c r="BA122" i="11"/>
  <c r="BA62" i="11"/>
  <c r="BA70" i="11"/>
  <c r="BA102" i="11"/>
  <c r="BA42" i="11"/>
  <c r="BA114" i="11"/>
  <c r="AX166" i="7"/>
  <c r="AX181" i="7" s="1"/>
  <c r="BA19" i="11"/>
  <c r="BA32" i="11"/>
  <c r="BA76" i="11"/>
  <c r="BA36" i="11"/>
  <c r="BA127" i="11"/>
  <c r="BA119" i="11"/>
  <c r="BA110" i="11"/>
  <c r="BA130" i="11"/>
  <c r="AX162" i="7"/>
  <c r="AX177" i="7" s="1"/>
  <c r="AW31" i="7"/>
  <c r="BA23" i="11"/>
  <c r="BA93" i="11"/>
  <c r="BA138" i="11"/>
  <c r="BA57" i="11"/>
  <c r="BA90" i="11"/>
  <c r="BA132" i="11"/>
  <c r="BA84" i="11"/>
  <c r="AW23" i="10"/>
  <c r="AX165" i="7"/>
  <c r="AX180" i="7" s="1"/>
  <c r="AS154" i="14"/>
  <c r="AS165" i="14" s="1"/>
  <c r="AS389" i="7" s="1"/>
  <c r="BA29" i="11"/>
  <c r="BA96" i="11"/>
  <c r="BA20" i="11"/>
  <c r="BA97" i="11"/>
  <c r="BA120" i="11"/>
  <c r="BA24" i="11"/>
  <c r="BA100" i="11"/>
  <c r="BA35" i="11"/>
  <c r="BA135" i="11"/>
  <c r="BA49" i="11"/>
  <c r="BA88" i="11"/>
  <c r="BA116" i="11"/>
  <c r="BA54" i="11"/>
  <c r="BA125" i="11"/>
  <c r="AT10" i="13"/>
  <c r="AT3" i="8" s="1"/>
  <c r="AZ4" i="11"/>
  <c r="BA67" i="11"/>
  <c r="BA39" i="11"/>
  <c r="BA69" i="11"/>
  <c r="BA98" i="11"/>
  <c r="BA44" i="11"/>
  <c r="BA51" i="11"/>
  <c r="BA129" i="11"/>
  <c r="BA46" i="11"/>
  <c r="BA134" i="11"/>
  <c r="BA91" i="11"/>
  <c r="BA131" i="11"/>
  <c r="BA26" i="11"/>
  <c r="BA112" i="11"/>
  <c r="AW25" i="10"/>
  <c r="AW31" i="10"/>
  <c r="AW19" i="10"/>
  <c r="AW24" i="10"/>
  <c r="AW27" i="10"/>
  <c r="AW22" i="10"/>
  <c r="AW160" i="10"/>
  <c r="AW158" i="10"/>
  <c r="AW201" i="10"/>
  <c r="AW194" i="10"/>
  <c r="AW179" i="10"/>
  <c r="AW143" i="10"/>
  <c r="AW135" i="10"/>
  <c r="AW102" i="10"/>
  <c r="AW182" i="10"/>
  <c r="AW173" i="10"/>
  <c r="AW121" i="10"/>
  <c r="AW197" i="10"/>
  <c r="AW154" i="10"/>
  <c r="AW133" i="10"/>
  <c r="AW156" i="10"/>
  <c r="AW98" i="10"/>
  <c r="AW190" i="10"/>
  <c r="AW178" i="10"/>
  <c r="AW149" i="10"/>
  <c r="AW159" i="10"/>
  <c r="AW100" i="10"/>
  <c r="AW117" i="10"/>
  <c r="AW40" i="10"/>
  <c r="AW92" i="10"/>
  <c r="AW168" i="10"/>
  <c r="AW145" i="10"/>
  <c r="AW137" i="10"/>
  <c r="AW106" i="10"/>
  <c r="AW55" i="10"/>
  <c r="AW41" i="10"/>
  <c r="AW136" i="10"/>
  <c r="AW112" i="10"/>
  <c r="AW65" i="10"/>
  <c r="AW81" i="10"/>
  <c r="AW30" i="10"/>
  <c r="AW189" i="10"/>
  <c r="AW130" i="10"/>
  <c r="AW202" i="10"/>
  <c r="AW146" i="10"/>
  <c r="AW124" i="10"/>
  <c r="AW113" i="10"/>
  <c r="AW144" i="10"/>
  <c r="AW116" i="10"/>
  <c r="AW110" i="10"/>
  <c r="AW192" i="10"/>
  <c r="AW108" i="10"/>
  <c r="AW109" i="10"/>
  <c r="AW169" i="10"/>
  <c r="AW171" i="10"/>
  <c r="AW85" i="10"/>
  <c r="AW80" i="10"/>
  <c r="AW148" i="10"/>
  <c r="AW157" i="10"/>
  <c r="AW151" i="10"/>
  <c r="AW70" i="10"/>
  <c r="AW82" i="10"/>
  <c r="AW54" i="10"/>
  <c r="AW181" i="10"/>
  <c r="AW164" i="10"/>
  <c r="AW111" i="10"/>
  <c r="AW62" i="10"/>
  <c r="AW87" i="10"/>
  <c r="AW32" i="10"/>
  <c r="AW196" i="10"/>
  <c r="AW167" i="10"/>
  <c r="AW161" i="10"/>
  <c r="AW118" i="10"/>
  <c r="AW115" i="10"/>
  <c r="AW18" i="10"/>
  <c r="AW69" i="10"/>
  <c r="AW51" i="10"/>
  <c r="AW107" i="10"/>
  <c r="AW42" i="10"/>
  <c r="AW37" i="10"/>
  <c r="AW84" i="10"/>
  <c r="AW83" i="10"/>
  <c r="AW75" i="10"/>
  <c r="AW89" i="10"/>
  <c r="AW86" i="10"/>
  <c r="AW88" i="10"/>
  <c r="AW91" i="10"/>
  <c r="AW67" i="10"/>
  <c r="AW52" i="10"/>
  <c r="AW46" i="10"/>
  <c r="AW63" i="10"/>
  <c r="AW29" i="10"/>
  <c r="AW74" i="10"/>
  <c r="AW33" i="10"/>
  <c r="AW21" i="10"/>
  <c r="AW34" i="10"/>
  <c r="AW17" i="10"/>
  <c r="AW44" i="10"/>
  <c r="AW16" i="10"/>
  <c r="AW39" i="10"/>
  <c r="AW188" i="10"/>
  <c r="AW184" i="10"/>
  <c r="AW138" i="10"/>
  <c r="AW103" i="10"/>
  <c r="AW90" i="10"/>
  <c r="AW95" i="10"/>
  <c r="AW193" i="10"/>
  <c r="AW174" i="10"/>
  <c r="AW123" i="10"/>
  <c r="AW185" i="10"/>
  <c r="AW175" i="10"/>
  <c r="AW129" i="10"/>
  <c r="AW64" i="10"/>
  <c r="AW198" i="10"/>
  <c r="AW165" i="10"/>
  <c r="AW155" i="10"/>
  <c r="AW147" i="10"/>
  <c r="AW120" i="10"/>
  <c r="AW166" i="10"/>
  <c r="AW200" i="10"/>
  <c r="AW139" i="10"/>
  <c r="AW114" i="10"/>
  <c r="AW94" i="10"/>
  <c r="AW172" i="10"/>
  <c r="AW195" i="10"/>
  <c r="AW131" i="10"/>
  <c r="AW134" i="10"/>
  <c r="AW99" i="10"/>
  <c r="AW176" i="10"/>
  <c r="AW163" i="10"/>
  <c r="AW125" i="10"/>
  <c r="AW105" i="10"/>
  <c r="AW96" i="10"/>
  <c r="AW180" i="10"/>
  <c r="AW122" i="10"/>
  <c r="AW187" i="10"/>
  <c r="AW162" i="10"/>
  <c r="AW101" i="10"/>
  <c r="AW177" i="10"/>
  <c r="AW152" i="10"/>
  <c r="AW93" i="10"/>
  <c r="AW199" i="10"/>
  <c r="AW170" i="10"/>
  <c r="AW153" i="10"/>
  <c r="AW191" i="10"/>
  <c r="AW186" i="10"/>
  <c r="AW128" i="10"/>
  <c r="AW56" i="10"/>
  <c r="AW183" i="10"/>
  <c r="AW150" i="10"/>
  <c r="AW126" i="10"/>
  <c r="AW73" i="10"/>
  <c r="AW26" i="10"/>
  <c r="AW132" i="10"/>
  <c r="AW127" i="10"/>
  <c r="AW119" i="10"/>
  <c r="AW61" i="10"/>
  <c r="AW72" i="10"/>
  <c r="AW50" i="10"/>
  <c r="AW53" i="10"/>
  <c r="AW104" i="10"/>
  <c r="AW71" i="10"/>
  <c r="AW97" i="10"/>
  <c r="AW36" i="10"/>
  <c r="AW35" i="10"/>
  <c r="AW68" i="10"/>
  <c r="AW66" i="10"/>
  <c r="AW48" i="10"/>
  <c r="AW28" i="10"/>
  <c r="AW59" i="10"/>
  <c r="AW20" i="10"/>
  <c r="AW58" i="10"/>
  <c r="AW49" i="10"/>
  <c r="AW57" i="10"/>
  <c r="AW45" i="10"/>
  <c r="AW43" i="10"/>
  <c r="AW60" i="10"/>
  <c r="AW47" i="10"/>
  <c r="AW38" i="10"/>
  <c r="AV6" i="10"/>
  <c r="AR22" i="9"/>
  <c r="AR23" i="9" s="1"/>
  <c r="AR36" i="9"/>
  <c r="AV7" i="10" s="1"/>
  <c r="AR27" i="9"/>
  <c r="AR28" i="9" s="1"/>
  <c r="AR38" i="9"/>
  <c r="AR39" i="9" s="1"/>
  <c r="AR33" i="9"/>
  <c r="AR34" i="9" s="1"/>
  <c r="AV5" i="10" s="1"/>
  <c r="AR17" i="9"/>
  <c r="AR18" i="9" s="1"/>
  <c r="AR41" i="9"/>
  <c r="AR42" i="9" s="1"/>
  <c r="AR50" i="9" s="1"/>
  <c r="AR11" i="9"/>
  <c r="AR12" i="9" s="1"/>
  <c r="AR44" i="9"/>
  <c r="AR45" i="9" s="1"/>
  <c r="AR55" i="9" s="1"/>
  <c r="J89" i="9"/>
  <c r="K13" i="20"/>
  <c r="K6" i="8"/>
  <c r="AA82" i="9"/>
  <c r="J13" i="20"/>
  <c r="J14" i="20" s="1"/>
  <c r="J15" i="20" s="1"/>
  <c r="U44" i="8"/>
  <c r="U47" i="8" s="1"/>
  <c r="U48" i="8" s="1"/>
  <c r="U24" i="13" s="1"/>
  <c r="U19" i="8"/>
  <c r="U27" i="8" s="1"/>
  <c r="U38" i="8" s="1"/>
  <c r="AZ220" i="22"/>
  <c r="AZ218" i="22"/>
  <c r="AZ216" i="22"/>
  <c r="AZ212" i="22"/>
  <c r="AZ210" i="22"/>
  <c r="AZ208" i="22"/>
  <c r="AZ206" i="22"/>
  <c r="AZ204" i="22"/>
  <c r="AZ200" i="22"/>
  <c r="AZ198" i="22"/>
  <c r="AZ224" i="22"/>
  <c r="AZ219" i="22"/>
  <c r="AZ217" i="22"/>
  <c r="AZ215" i="22"/>
  <c r="AZ211" i="22"/>
  <c r="AZ209" i="22"/>
  <c r="AZ207" i="22"/>
  <c r="AZ223" i="22"/>
  <c r="AZ227" i="22"/>
  <c r="AV80" i="21" s="1"/>
  <c r="AZ195" i="22"/>
  <c r="AZ193" i="22"/>
  <c r="AZ191" i="22"/>
  <c r="AZ189" i="22"/>
  <c r="AZ199" i="22"/>
  <c r="AZ197" i="22"/>
  <c r="AZ192" i="22"/>
  <c r="AZ185" i="22"/>
  <c r="AZ194" i="22"/>
  <c r="AZ182" i="22"/>
  <c r="AZ180" i="22"/>
  <c r="AZ178" i="22"/>
  <c r="AZ184" i="22"/>
  <c r="AZ196" i="22"/>
  <c r="AZ190" i="22"/>
  <c r="AZ203" i="22"/>
  <c r="AZ187" i="22"/>
  <c r="AZ205" i="22"/>
  <c r="AZ174" i="22"/>
  <c r="AZ169" i="22"/>
  <c r="AZ167" i="22"/>
  <c r="AZ165" i="22"/>
  <c r="AZ163" i="22"/>
  <c r="AZ161" i="22"/>
  <c r="AZ186" i="22"/>
  <c r="AZ179" i="22"/>
  <c r="AZ172" i="22"/>
  <c r="AZ183" i="22"/>
  <c r="AZ181" i="22"/>
  <c r="AZ176" i="22"/>
  <c r="AZ175" i="22"/>
  <c r="AZ164" i="22"/>
  <c r="AZ158" i="22"/>
  <c r="AZ171" i="22"/>
  <c r="AZ170" i="22"/>
  <c r="AZ162" i="22"/>
  <c r="AZ157" i="22"/>
  <c r="AZ153" i="22"/>
  <c r="AZ188" i="22"/>
  <c r="AZ177" i="22"/>
  <c r="AZ173" i="22"/>
  <c r="AZ168" i="22"/>
  <c r="AZ136" i="22"/>
  <c r="AZ147" i="22"/>
  <c r="AV65" i="21" s="1"/>
  <c r="AZ138" i="22"/>
  <c r="AZ139" i="22"/>
  <c r="AZ152" i="22"/>
  <c r="AZ151" i="22"/>
  <c r="AZ142" i="22"/>
  <c r="AZ144" i="22"/>
  <c r="AZ135" i="22"/>
  <c r="AZ133" i="22"/>
  <c r="AZ129" i="22"/>
  <c r="AZ117" i="22"/>
  <c r="AZ116" i="22"/>
  <c r="AZ124" i="22"/>
  <c r="AZ130" i="22"/>
  <c r="AZ128" i="22"/>
  <c r="AZ154" i="22"/>
  <c r="AZ134" i="22"/>
  <c r="AZ127" i="22"/>
  <c r="AZ114" i="22"/>
  <c r="AZ112" i="22"/>
  <c r="AZ108" i="22"/>
  <c r="AZ106" i="22"/>
  <c r="AZ104" i="22"/>
  <c r="AZ102" i="22"/>
  <c r="AZ143" i="22"/>
  <c r="AZ137" i="22"/>
  <c r="AZ126" i="22"/>
  <c r="AZ150" i="22"/>
  <c r="AZ125" i="22"/>
  <c r="AZ123" i="22"/>
  <c r="AZ122" i="22"/>
  <c r="AZ103" i="22"/>
  <c r="AZ121" i="22"/>
  <c r="AZ99" i="22"/>
  <c r="AZ166" i="22"/>
  <c r="AZ113" i="22"/>
  <c r="AZ95" i="22"/>
  <c r="AZ118" i="22"/>
  <c r="AZ98" i="22"/>
  <c r="AZ119" i="22"/>
  <c r="AZ107" i="22"/>
  <c r="AZ91" i="22"/>
  <c r="AZ97" i="22"/>
  <c r="AZ83" i="22"/>
  <c r="AZ82" i="22"/>
  <c r="AZ101" i="22"/>
  <c r="AZ84" i="22"/>
  <c r="AZ93" i="22"/>
  <c r="AZ81" i="22"/>
  <c r="AZ94" i="22"/>
  <c r="AZ89" i="22"/>
  <c r="AZ80" i="22"/>
  <c r="AZ92" i="22"/>
  <c r="AZ105" i="22"/>
  <c r="AZ100" i="22"/>
  <c r="AZ85" i="22"/>
  <c r="AZ76" i="22"/>
  <c r="AZ86" i="22"/>
  <c r="AZ90" i="22"/>
  <c r="AZ79" i="22"/>
  <c r="AZ120" i="22"/>
  <c r="AZ88" i="22"/>
  <c r="AZ115" i="22"/>
  <c r="AZ77" i="22"/>
  <c r="AZ96" i="22"/>
  <c r="AZ70" i="22"/>
  <c r="AZ69" i="22"/>
  <c r="AZ68" i="22"/>
  <c r="AZ57" i="22"/>
  <c r="AZ67" i="22"/>
  <c r="AZ66" i="22"/>
  <c r="AZ78" i="22"/>
  <c r="AZ71" i="22"/>
  <c r="AZ65" i="22"/>
  <c r="AZ64" i="22"/>
  <c r="AZ111" i="22"/>
  <c r="AZ75" i="22"/>
  <c r="AZ72" i="22"/>
  <c r="AZ63" i="22"/>
  <c r="AZ62" i="22"/>
  <c r="AZ61" i="22"/>
  <c r="AZ60" i="22"/>
  <c r="AZ87" i="22"/>
  <c r="AZ47" i="22"/>
  <c r="AZ43" i="22"/>
  <c r="AZ37" i="22"/>
  <c r="AZ35" i="22"/>
  <c r="AZ55" i="22"/>
  <c r="AZ59" i="22"/>
  <c r="AZ49" i="22"/>
  <c r="AZ45" i="22"/>
  <c r="AZ56" i="22"/>
  <c r="AZ42" i="22"/>
  <c r="AZ52" i="22"/>
  <c r="AZ48" i="22"/>
  <c r="AZ38" i="22"/>
  <c r="AZ36" i="22"/>
  <c r="AZ46" i="22"/>
  <c r="AZ41" i="22"/>
  <c r="AZ51" i="22"/>
  <c r="AZ58" i="22"/>
  <c r="AZ54" i="22"/>
  <c r="AZ53" i="22"/>
  <c r="AZ50" i="22"/>
  <c r="AZ21" i="22"/>
  <c r="AZ13" i="22"/>
  <c r="AZ11" i="22"/>
  <c r="AZ9" i="22"/>
  <c r="AZ18" i="22"/>
  <c r="AZ31" i="22"/>
  <c r="AZ15" i="22"/>
  <c r="AZ23" i="22"/>
  <c r="AZ16" i="22"/>
  <c r="AZ39" i="22"/>
  <c r="AZ19" i="22"/>
  <c r="AZ33" i="22"/>
  <c r="AZ32" i="22"/>
  <c r="AZ26" i="22"/>
  <c r="AZ22" i="22"/>
  <c r="AZ28" i="22"/>
  <c r="AZ25" i="22"/>
  <c r="AZ20" i="22"/>
  <c r="AZ14" i="22"/>
  <c r="AZ12" i="22"/>
  <c r="AZ10" i="22"/>
  <c r="AZ34" i="22"/>
  <c r="AZ27" i="22"/>
  <c r="AZ24" i="22"/>
  <c r="AZ44" i="22"/>
  <c r="AZ40" i="22"/>
  <c r="AZ29" i="22"/>
  <c r="AZ30" i="22"/>
  <c r="AZ17" i="22"/>
  <c r="J5" i="8"/>
  <c r="J43" i="8" s="1"/>
  <c r="J10" i="20"/>
  <c r="J8" i="20"/>
  <c r="J9" i="20"/>
  <c r="R47" i="8"/>
  <c r="R48" i="8" s="1"/>
  <c r="K5" i="8"/>
  <c r="K9" i="20"/>
  <c r="K8" i="20"/>
  <c r="K10" i="20"/>
  <c r="J82" i="9"/>
  <c r="AA44" i="8"/>
  <c r="AA47" i="8" s="1"/>
  <c r="AA48" i="8" s="1"/>
  <c r="AA19" i="8"/>
  <c r="AA27" i="8" s="1"/>
  <c r="AA38" i="8" s="1"/>
  <c r="K83" i="9"/>
  <c r="AW306" i="7"/>
  <c r="AW307" i="7" s="1"/>
  <c r="AW345" i="7" s="1"/>
  <c r="AW311" i="7"/>
  <c r="AW312" i="7" s="1"/>
  <c r="AW324" i="7" s="1"/>
  <c r="AW350" i="7"/>
  <c r="AW365" i="7" s="1"/>
  <c r="AW380" i="7" s="1"/>
  <c r="AW316" i="7"/>
  <c r="AW317" i="7" s="1"/>
  <c r="AW328" i="7" s="1"/>
  <c r="AW302" i="7"/>
  <c r="AW320" i="7"/>
  <c r="AW321" i="7" s="1"/>
  <c r="AW339" i="7" s="1"/>
  <c r="AW256" i="7"/>
  <c r="AW271" i="7" s="1"/>
  <c r="AW286" i="7" s="1"/>
  <c r="AW48" i="7"/>
  <c r="AW26" i="7"/>
  <c r="AW64" i="7"/>
  <c r="AW46" i="7"/>
  <c r="AU323" i="7"/>
  <c r="AU388" i="7" s="1"/>
  <c r="AU142" i="14" s="1"/>
  <c r="AU143" i="14" s="1"/>
  <c r="AU147" i="14" s="1"/>
  <c r="AU148" i="14" s="1"/>
  <c r="AU149" i="14" s="1"/>
  <c r="AW110" i="7"/>
  <c r="AV41" i="7"/>
  <c r="AV99" i="7" s="1"/>
  <c r="AV67" i="14" s="1"/>
  <c r="AV68" i="14" s="1"/>
  <c r="AV72" i="14" s="1"/>
  <c r="AV73" i="14" s="1"/>
  <c r="AV74" i="14" s="1"/>
  <c r="AW114" i="7"/>
  <c r="AW115" i="7" s="1"/>
  <c r="AW153" i="7" s="1"/>
  <c r="AW124" i="7"/>
  <c r="AW125" i="7" s="1"/>
  <c r="AW59" i="7"/>
  <c r="AW158" i="7"/>
  <c r="AW173" i="7" s="1"/>
  <c r="AW188" i="7" s="1"/>
  <c r="AW128" i="7"/>
  <c r="AW129" i="7" s="1"/>
  <c r="AW147" i="7" s="1"/>
  <c r="AS4" i="7"/>
  <c r="AS13" i="13" s="1"/>
  <c r="AT72" i="21"/>
  <c r="AW222" i="7"/>
  <c r="AW217" i="7"/>
  <c r="AW232" i="7" s="1"/>
  <c r="AW226" i="7"/>
  <c r="AW244" i="7" s="1"/>
  <c r="AW208" i="7"/>
  <c r="AW212" i="7"/>
  <c r="AW213" i="7" s="1"/>
  <c r="AW119" i="7"/>
  <c r="AW120" i="7" s="1"/>
  <c r="AW132" i="7" s="1"/>
  <c r="AW61" i="7"/>
  <c r="AT89" i="14"/>
  <c r="AW36" i="7"/>
  <c r="AW54" i="7"/>
  <c r="AW65" i="7"/>
  <c r="AW42" i="7"/>
  <c r="AW52" i="7"/>
  <c r="AW58" i="7"/>
  <c r="AW60" i="7"/>
  <c r="AW47" i="7"/>
  <c r="AW57" i="7"/>
  <c r="AW44" i="7"/>
  <c r="AW51" i="7"/>
  <c r="AY80" i="7"/>
  <c r="AY95" i="7" s="1"/>
  <c r="AW55" i="7"/>
  <c r="AY76" i="7"/>
  <c r="AY91" i="7" s="1"/>
  <c r="AT64" i="21"/>
  <c r="AY69" i="7"/>
  <c r="AY84" i="7" s="1"/>
  <c r="AW63" i="7"/>
  <c r="AT11" i="21"/>
  <c r="AT14" i="21"/>
  <c r="AT20" i="21" s="1"/>
  <c r="AT17" i="21"/>
  <c r="AT61" i="21"/>
  <c r="AT78" i="21"/>
  <c r="AT60" i="21"/>
  <c r="AW49" i="7"/>
  <c r="AW53" i="7"/>
  <c r="AW62" i="7"/>
  <c r="AU194" i="14"/>
  <c r="AU195" i="14" s="1"/>
  <c r="AU196" i="14" s="1"/>
  <c r="AU197" i="14" s="1"/>
  <c r="AU201" i="14" s="1"/>
  <c r="AU205" i="14" s="1"/>
  <c r="AT62" i="21"/>
  <c r="AT77" i="21"/>
  <c r="AU229" i="7"/>
  <c r="AU288" i="7" s="1"/>
  <c r="AU117" i="14" s="1"/>
  <c r="AU118" i="14" s="1"/>
  <c r="AU122" i="14" s="1"/>
  <c r="AU123" i="14" s="1"/>
  <c r="AU124" i="14" s="1"/>
  <c r="AU125" i="14" s="1"/>
  <c r="AU126" i="14" s="1"/>
  <c r="AU127" i="14" s="1"/>
  <c r="AU132" i="14" s="1"/>
  <c r="AU135" i="14" s="1"/>
  <c r="AT71" i="21"/>
  <c r="AW50" i="7"/>
  <c r="AT63" i="21"/>
  <c r="AT76" i="21"/>
  <c r="AT79" i="21"/>
  <c r="AT61" i="14"/>
  <c r="AT64" i="14" s="1"/>
  <c r="AT65" i="14" s="1"/>
  <c r="BA12" i="14"/>
  <c r="AK170" i="14"/>
  <c r="AK185" i="14" s="1"/>
  <c r="AK52" i="14"/>
  <c r="AK53" i="14" s="1"/>
  <c r="AV61" i="14"/>
  <c r="AV64" i="14" s="1"/>
  <c r="AV65" i="14" s="1"/>
  <c r="AW58" i="14"/>
  <c r="AW59" i="14" s="1"/>
  <c r="AW60" i="14" s="1"/>
  <c r="AW62" i="14" s="1"/>
  <c r="AW63" i="14" s="1"/>
  <c r="AW53" i="14"/>
  <c r="AM170" i="14"/>
  <c r="AM185" i="14" s="1"/>
  <c r="AM52" i="14"/>
  <c r="AM53" i="14" s="1"/>
  <c r="AW190" i="14"/>
  <c r="AW191" i="14" s="1"/>
  <c r="AJ214" i="14"/>
  <c r="AJ187" i="14"/>
  <c r="AJ188" i="14" s="1"/>
  <c r="AJ190" i="14" s="1"/>
  <c r="AR201" i="14"/>
  <c r="AR205" i="14" s="1"/>
  <c r="AR199" i="14"/>
  <c r="AR202" i="14" s="1"/>
  <c r="AR206" i="14" s="1"/>
  <c r="AT193" i="14"/>
  <c r="AT194" i="14"/>
  <c r="AT195" i="14" s="1"/>
  <c r="AS208" i="14"/>
  <c r="AV193" i="14"/>
  <c r="AV194" i="14"/>
  <c r="AV195" i="14" s="1"/>
  <c r="AZ177" i="14"/>
  <c r="AZ176" i="14"/>
  <c r="AZ179" i="14" s="1"/>
  <c r="AZ181" i="14" s="1"/>
  <c r="AZ178" i="14"/>
  <c r="AZ10" i="14"/>
  <c r="T24" i="13"/>
  <c r="T50" i="8"/>
  <c r="T25" i="13" s="1"/>
  <c r="AZ174" i="14"/>
  <c r="BA169" i="14"/>
  <c r="BA11" i="14"/>
  <c r="AY14" i="14"/>
  <c r="AY25" i="14" s="1"/>
  <c r="AY171" i="14"/>
  <c r="AY184" i="14" s="1"/>
  <c r="AJ14" i="14"/>
  <c r="AJ25" i="14" s="1"/>
  <c r="AX14" i="14"/>
  <c r="AX25" i="14" s="1"/>
  <c r="AX171" i="14"/>
  <c r="AX184" i="14" s="1"/>
  <c r="AQ46" i="21"/>
  <c r="AQ47" i="21" s="1"/>
  <c r="AQ48" i="21" s="1"/>
  <c r="AU79" i="21"/>
  <c r="AY77" i="7"/>
  <c r="AY92" i="7" s="1"/>
  <c r="BA9" i="14"/>
  <c r="BA6" i="14"/>
  <c r="BA173" i="14" s="1"/>
  <c r="BA5" i="14"/>
  <c r="BA172" i="14" s="1"/>
  <c r="BA8" i="14"/>
  <c r="BA7" i="14"/>
  <c r="BA174" i="14" s="1"/>
  <c r="AQ43" i="21"/>
  <c r="AY81" i="7"/>
  <c r="AY96" i="7" s="1"/>
  <c r="AY70" i="7"/>
  <c r="AY85" i="7" s="1"/>
  <c r="AY74" i="7"/>
  <c r="AY89" i="7" s="1"/>
  <c r="AY103" i="7"/>
  <c r="AY106" i="7" s="1"/>
  <c r="AY171" i="7" s="1"/>
  <c r="AY186" i="7" s="1"/>
  <c r="AY295" i="7"/>
  <c r="AY296" i="7" s="1"/>
  <c r="AY361" i="7" s="1"/>
  <c r="AY376" i="7" s="1"/>
  <c r="AY71" i="7"/>
  <c r="AY86" i="7" s="1"/>
  <c r="AZ17" i="14"/>
  <c r="AZ16" i="14"/>
  <c r="AZ18" i="14" s="1"/>
  <c r="AZ19" i="14" s="1"/>
  <c r="AZ21" i="14" s="1"/>
  <c r="AZ13" i="7"/>
  <c r="AZ14" i="7" s="1"/>
  <c r="AZ15" i="7" s="1"/>
  <c r="AY79" i="7"/>
  <c r="AY94" i="7" s="1"/>
  <c r="AY73" i="7"/>
  <c r="AY88" i="7" s="1"/>
  <c r="AY75" i="7"/>
  <c r="AY90" i="7" s="1"/>
  <c r="AY72" i="7"/>
  <c r="AY87" i="7" s="1"/>
  <c r="AY17" i="7"/>
  <c r="AY201" i="7"/>
  <c r="AY202" i="7" s="1"/>
  <c r="AK28" i="14"/>
  <c r="AK29" i="14" s="1"/>
  <c r="AK30" i="14" s="1"/>
  <c r="AK31" i="14" s="1"/>
  <c r="AK18" i="13" s="1"/>
  <c r="AM4" i="13"/>
  <c r="AX26" i="7"/>
  <c r="AS22" i="15"/>
  <c r="AS43" i="15" s="1"/>
  <c r="AY49" i="14"/>
  <c r="AY50" i="14" s="1"/>
  <c r="AY6" i="24" s="1"/>
  <c r="AS21" i="15"/>
  <c r="AS5" i="9" s="1"/>
  <c r="AU61" i="21"/>
  <c r="AT79" i="14"/>
  <c r="AT90" i="14" s="1"/>
  <c r="AT4" i="7" s="1"/>
  <c r="AT13" i="13" s="1"/>
  <c r="AU69" i="14"/>
  <c r="AU86" i="14" s="1"/>
  <c r="AU87" i="14" s="1"/>
  <c r="AU89" i="14" s="1"/>
  <c r="AR5" i="7"/>
  <c r="AR14" i="13" s="1"/>
  <c r="AT119" i="14"/>
  <c r="AT136" i="14" s="1"/>
  <c r="AT137" i="14" s="1"/>
  <c r="AT144" i="14"/>
  <c r="AT161" i="14" s="1"/>
  <c r="AT162" i="14" s="1"/>
  <c r="AT164" i="14" s="1"/>
  <c r="AU94" i="14"/>
  <c r="AU111" i="14" s="1"/>
  <c r="AU112" i="14" s="1"/>
  <c r="AU113" i="14" s="1"/>
  <c r="AX302" i="7"/>
  <c r="AT94" i="14"/>
  <c r="AS113" i="14"/>
  <c r="AQ53" i="21"/>
  <c r="AQ54" i="21" s="1"/>
  <c r="AQ10" i="8" s="1"/>
  <c r="AS104" i="14"/>
  <c r="AS115" i="14" s="1"/>
  <c r="AS5" i="7" s="1"/>
  <c r="AS14" i="13" s="1"/>
  <c r="AY44" i="14"/>
  <c r="AY19" i="13" s="1"/>
  <c r="AZ48" i="14"/>
  <c r="AU100" i="14"/>
  <c r="AU101" i="14" s="1"/>
  <c r="AU102" i="14" s="1"/>
  <c r="AU107" i="14" s="1"/>
  <c r="AU110" i="14" s="1"/>
  <c r="AP10" i="8"/>
  <c r="AP55" i="21"/>
  <c r="AP56" i="21" s="1"/>
  <c r="AV15" i="17"/>
  <c r="AV27" i="13" s="1"/>
  <c r="AZ47" i="14"/>
  <c r="AZ42" i="14"/>
  <c r="AZ36" i="14"/>
  <c r="AV8" i="21"/>
  <c r="AS8" i="8"/>
  <c r="AU64" i="21"/>
  <c r="AU63" i="21"/>
  <c r="AP49" i="21"/>
  <c r="AP50" i="21" s="1"/>
  <c r="AP11" i="8"/>
  <c r="AV15" i="15"/>
  <c r="BB9" i="11" s="1"/>
  <c r="AV9" i="15"/>
  <c r="BB6" i="11" s="1"/>
  <c r="AV19" i="15"/>
  <c r="BB11" i="11" s="1"/>
  <c r="AV17" i="15"/>
  <c r="BB10" i="11" s="1"/>
  <c r="AV13" i="15"/>
  <c r="BB8" i="11" s="1"/>
  <c r="AV31" i="15"/>
  <c r="AV32" i="15" s="1"/>
  <c r="AV33" i="15" s="1"/>
  <c r="AV34" i="15" s="1"/>
  <c r="AV11" i="15"/>
  <c r="BB7" i="11" s="1"/>
  <c r="AV10" i="13"/>
  <c r="AV29" i="15"/>
  <c r="AV37" i="15" s="1"/>
  <c r="AV38" i="15" s="1"/>
  <c r="AV39" i="15" s="1"/>
  <c r="AV40" i="15" s="1"/>
  <c r="AV7" i="15"/>
  <c r="BB5" i="11" s="1"/>
  <c r="AP4" i="8"/>
  <c r="AP71" i="9"/>
  <c r="AU62" i="21"/>
  <c r="AS48" i="9"/>
  <c r="AS57" i="9"/>
  <c r="AS56" i="9"/>
  <c r="AS35" i="21"/>
  <c r="AS36" i="21" s="1"/>
  <c r="AS26" i="21"/>
  <c r="AQ47" i="9"/>
  <c r="AQ51" i="9" s="1"/>
  <c r="AQ64" i="9" s="1"/>
  <c r="AS9" i="8"/>
  <c r="AQ53" i="9"/>
  <c r="AQ60" i="9" s="1"/>
  <c r="AQ66" i="9" s="1"/>
  <c r="AU26" i="15"/>
  <c r="AU25" i="15"/>
  <c r="AS7" i="8"/>
  <c r="AU78" i="21"/>
  <c r="AU76" i="21"/>
  <c r="AT125" i="14"/>
  <c r="AT126" i="14" s="1"/>
  <c r="AT127" i="14" s="1"/>
  <c r="AT132" i="14" s="1"/>
  <c r="AT135" i="14" s="1"/>
  <c r="AX128" i="7"/>
  <c r="AX129" i="7" s="1"/>
  <c r="AX147" i="7" s="1"/>
  <c r="AQ62" i="9"/>
  <c r="AQ68" i="9" s="1"/>
  <c r="AU71" i="21"/>
  <c r="AX119" i="7"/>
  <c r="AX120" i="7" s="1"/>
  <c r="AP5" i="20"/>
  <c r="AP86" i="9"/>
  <c r="AP74" i="9"/>
  <c r="AP3" i="20" s="1"/>
  <c r="AP80" i="9"/>
  <c r="AU77" i="21"/>
  <c r="AU60" i="21"/>
  <c r="BA12" i="7"/>
  <c r="BA9" i="7"/>
  <c r="BA10" i="7"/>
  <c r="AX110" i="7"/>
  <c r="AU72" i="21"/>
  <c r="AU14" i="21"/>
  <c r="AU11" i="21"/>
  <c r="AU17" i="21"/>
  <c r="AU34" i="21"/>
  <c r="AU14" i="17"/>
  <c r="AU28" i="13" s="1"/>
  <c r="AU17" i="17"/>
  <c r="AS54" i="9"/>
  <c r="AS59" i="9"/>
  <c r="AS58" i="9"/>
  <c r="AS49" i="9"/>
  <c r="AX158" i="7"/>
  <c r="AX173" i="7" s="1"/>
  <c r="AT150" i="14"/>
  <c r="AT151" i="14" s="1"/>
  <c r="AT152" i="14" s="1"/>
  <c r="AT157" i="14" s="1"/>
  <c r="AT160" i="14" s="1"/>
  <c r="AU3" i="8"/>
  <c r="AU3" i="9"/>
  <c r="AY6" i="10" s="1"/>
  <c r="AW3" i="21"/>
  <c r="AW7" i="21" s="1"/>
  <c r="AW3" i="15"/>
  <c r="AW5" i="15" s="1"/>
  <c r="BC4" i="11" s="1"/>
  <c r="AW4" i="17"/>
  <c r="AW7" i="17" s="1"/>
  <c r="AW8" i="17" s="1"/>
  <c r="AW9" i="17" s="1"/>
  <c r="AW11" i="17" s="1"/>
  <c r="AW12" i="17" s="1"/>
  <c r="AX114" i="7"/>
  <c r="AX115" i="7" s="1"/>
  <c r="AX153" i="7" s="1"/>
  <c r="AQ40" i="8"/>
  <c r="AQ22" i="13"/>
  <c r="AQ41" i="8"/>
  <c r="AQ23" i="13" s="1"/>
  <c r="AS136" i="14"/>
  <c r="AS137" i="14" s="1"/>
  <c r="AS138" i="14" s="1"/>
  <c r="BC3" i="13"/>
  <c r="BC3" i="24" s="1"/>
  <c r="BB3" i="7"/>
  <c r="BB3" i="14"/>
  <c r="BB3" i="17"/>
  <c r="BB5" i="17" s="1"/>
  <c r="AU75" i="14"/>
  <c r="AU76" i="14" s="1"/>
  <c r="AU77" i="14" s="1"/>
  <c r="AU82" i="14" s="1"/>
  <c r="AU85" i="14" s="1"/>
  <c r="AX124" i="7"/>
  <c r="AS125" i="14"/>
  <c r="AS126" i="14" s="1"/>
  <c r="AS127" i="14" s="1"/>
  <c r="AS132" i="14" s="1"/>
  <c r="AS135" i="14" s="1"/>
  <c r="AO24" i="13"/>
  <c r="AO50" i="8"/>
  <c r="AO25" i="13" s="1"/>
  <c r="H24" i="13"/>
  <c r="H50" i="8"/>
  <c r="H25" i="13" s="1"/>
  <c r="AN83" i="9"/>
  <c r="AN89" i="9"/>
  <c r="AN44" i="8"/>
  <c r="AN47" i="8" s="1"/>
  <c r="AN48" i="8" s="1"/>
  <c r="AN19" i="8"/>
  <c r="AN27" i="8" s="1"/>
  <c r="AN38" i="8" s="1"/>
  <c r="AM28" i="14"/>
  <c r="AM29" i="14" s="1"/>
  <c r="AM30" i="14" s="1"/>
  <c r="AM31" i="14" s="1"/>
  <c r="AM18" i="13" s="1"/>
  <c r="AJ136" i="7"/>
  <c r="AJ156" i="7"/>
  <c r="AJ155" i="7"/>
  <c r="AJ137" i="7"/>
  <c r="AJ150" i="7"/>
  <c r="AJ139" i="7"/>
  <c r="AJ141" i="7"/>
  <c r="AJ152" i="7"/>
  <c r="AJ149" i="7"/>
  <c r="AK4" i="13"/>
  <c r="AJ154" i="7"/>
  <c r="AJ135" i="7"/>
  <c r="AJ145" i="7"/>
  <c r="AJ41" i="7"/>
  <c r="AJ99" i="7" s="1"/>
  <c r="AJ67" i="14" s="1"/>
  <c r="AJ338" i="7"/>
  <c r="AJ142" i="7"/>
  <c r="AJ148" i="7"/>
  <c r="AJ231" i="7"/>
  <c r="AJ143" i="7"/>
  <c r="AJ133" i="7"/>
  <c r="AJ146" i="7"/>
  <c r="AJ140" i="7"/>
  <c r="AJ144" i="7"/>
  <c r="AJ132" i="7"/>
  <c r="AJ134" i="7"/>
  <c r="AJ138" i="7"/>
  <c r="AJ151" i="7"/>
  <c r="AJ192" i="7"/>
  <c r="AJ337" i="7"/>
  <c r="AJ239" i="7"/>
  <c r="AJ334" i="7"/>
  <c r="AJ386" i="7"/>
  <c r="AJ330" i="7"/>
  <c r="AJ223" i="7"/>
  <c r="AJ233" i="7"/>
  <c r="AJ329" i="7"/>
  <c r="AJ326" i="7"/>
  <c r="AJ242" i="7"/>
  <c r="AJ335" i="7"/>
  <c r="AJ234" i="7"/>
  <c r="AJ236" i="7"/>
  <c r="AJ331" i="7"/>
  <c r="AJ344" i="7"/>
  <c r="AJ333" i="7"/>
  <c r="AJ347" i="7"/>
  <c r="AJ324" i="7"/>
  <c r="AJ340" i="7"/>
  <c r="AJ341" i="7"/>
  <c r="AJ348" i="7"/>
  <c r="AJ332" i="7"/>
  <c r="AJ342" i="7"/>
  <c r="AJ346" i="7"/>
  <c r="AJ327" i="7"/>
  <c r="AJ343" i="7"/>
  <c r="AJ244" i="7"/>
  <c r="AJ227" i="7"/>
  <c r="AJ243" i="7"/>
  <c r="AJ336" i="7"/>
  <c r="AJ235" i="7"/>
  <c r="AJ232" i="7"/>
  <c r="AJ238" i="7"/>
  <c r="AJ250" i="7"/>
  <c r="AJ246" i="7"/>
  <c r="AJ251" i="7"/>
  <c r="AJ248" i="7"/>
  <c r="AJ245" i="7"/>
  <c r="AJ252" i="7"/>
  <c r="AJ237" i="7"/>
  <c r="AJ254" i="7"/>
  <c r="AJ240" i="7"/>
  <c r="AJ230" i="7"/>
  <c r="AJ249" i="7"/>
  <c r="AJ253" i="7"/>
  <c r="AJ218" i="7"/>
  <c r="AJ241" i="7"/>
  <c r="AJ325" i="7"/>
  <c r="AW75" i="9"/>
  <c r="AX75" i="9"/>
  <c r="E89" i="9"/>
  <c r="O47" i="8"/>
  <c r="O48" i="8" s="1"/>
  <c r="X19" i="8"/>
  <c r="X27" i="8" s="1"/>
  <c r="X44" i="8"/>
  <c r="X47" i="8" s="1"/>
  <c r="X48" i="8" s="1"/>
  <c r="X24" i="13" s="1"/>
  <c r="E82" i="9"/>
  <c r="X10" i="20"/>
  <c r="X9" i="20"/>
  <c r="X8" i="20"/>
  <c r="AX48" i="7" l="1"/>
  <c r="AX316" i="7"/>
  <c r="AX317" i="7" s="1"/>
  <c r="AX328" i="7" s="1"/>
  <c r="AX311" i="7"/>
  <c r="AX312" i="7" s="1"/>
  <c r="AX333" i="7" s="1"/>
  <c r="AX306" i="7"/>
  <c r="AX307" i="7" s="1"/>
  <c r="AX345" i="7" s="1"/>
  <c r="AX43" i="7"/>
  <c r="AX350" i="7"/>
  <c r="AX365" i="7" s="1"/>
  <c r="AV131" i="7"/>
  <c r="AV194" i="7" s="1"/>
  <c r="AV92" i="14" s="1"/>
  <c r="AV93" i="14" s="1"/>
  <c r="AV97" i="14" s="1"/>
  <c r="AV98" i="14" s="1"/>
  <c r="AV99" i="14" s="1"/>
  <c r="AX40" i="7"/>
  <c r="AK4" i="17"/>
  <c r="AK7" i="17" s="1"/>
  <c r="AK8" i="17" s="1"/>
  <c r="AK9" i="17" s="1"/>
  <c r="AK11" i="17" s="1"/>
  <c r="AK12" i="17" s="1"/>
  <c r="AO3" i="22"/>
  <c r="AQ3" i="11"/>
  <c r="AM78" i="7"/>
  <c r="AM93" i="7" s="1"/>
  <c r="AM79" i="7"/>
  <c r="AM94" i="7" s="1"/>
  <c r="AM295" i="7"/>
  <c r="AM296" i="7" s="1"/>
  <c r="AM80" i="7"/>
  <c r="AM95" i="7" s="1"/>
  <c r="AM81" i="7"/>
  <c r="AM96" i="7" s="1"/>
  <c r="AM76" i="7"/>
  <c r="AM91" i="7" s="1"/>
  <c r="AM69" i="7"/>
  <c r="AM84" i="7" s="1"/>
  <c r="AM70" i="7"/>
  <c r="AM85" i="7" s="1"/>
  <c r="AM103" i="7"/>
  <c r="AM106" i="7" s="1"/>
  <c r="AM72" i="7"/>
  <c r="AM87" i="7" s="1"/>
  <c r="AM71" i="7"/>
  <c r="AM86" i="7" s="1"/>
  <c r="AM17" i="7"/>
  <c r="AM74" i="7"/>
  <c r="AM89" i="7" s="1"/>
  <c r="AM201" i="7"/>
  <c r="AM202" i="7" s="1"/>
  <c r="AM77" i="7"/>
  <c r="AM92" i="7" s="1"/>
  <c r="AM75" i="7"/>
  <c r="AM90" i="7" s="1"/>
  <c r="AM73" i="7"/>
  <c r="AM88" i="7" s="1"/>
  <c r="AK79" i="7"/>
  <c r="AK94" i="7" s="1"/>
  <c r="AK201" i="7"/>
  <c r="AK202" i="7" s="1"/>
  <c r="AK81" i="7"/>
  <c r="AK96" i="7" s="1"/>
  <c r="AK76" i="7"/>
  <c r="AK91" i="7" s="1"/>
  <c r="AK77" i="7"/>
  <c r="AK92" i="7" s="1"/>
  <c r="AK69" i="7"/>
  <c r="AK84" i="7" s="1"/>
  <c r="AK72" i="7"/>
  <c r="AK87" i="7" s="1"/>
  <c r="AK17" i="7"/>
  <c r="AK75" i="7"/>
  <c r="AK90" i="7" s="1"/>
  <c r="AK78" i="7"/>
  <c r="AK93" i="7" s="1"/>
  <c r="AK71" i="7"/>
  <c r="AK86" i="7" s="1"/>
  <c r="AK74" i="7"/>
  <c r="AK89" i="7" s="1"/>
  <c r="AK80" i="7"/>
  <c r="AK95" i="7" s="1"/>
  <c r="AK70" i="7"/>
  <c r="AK85" i="7" s="1"/>
  <c r="AK295" i="7"/>
  <c r="AK296" i="7" s="1"/>
  <c r="AK103" i="7"/>
  <c r="AK106" i="7" s="1"/>
  <c r="AK73" i="7"/>
  <c r="AK88" i="7" s="1"/>
  <c r="AM3" i="15"/>
  <c r="AM5" i="15" s="1"/>
  <c r="AS4" i="11" s="1"/>
  <c r="AS3" i="11"/>
  <c r="AQ3" i="22"/>
  <c r="AY22" i="7"/>
  <c r="AX209" i="7"/>
  <c r="AX256" i="7"/>
  <c r="AX271" i="7" s="1"/>
  <c r="AX286" i="7" s="1"/>
  <c r="AX226" i="7"/>
  <c r="AX227" i="7" s="1"/>
  <c r="AX65" i="7"/>
  <c r="AW227" i="7"/>
  <c r="AX208" i="7"/>
  <c r="AX51" i="7"/>
  <c r="AX212" i="7"/>
  <c r="AX213" i="7" s="1"/>
  <c r="AW240" i="7"/>
  <c r="AY260" i="7"/>
  <c r="AY275" i="7" s="1"/>
  <c r="AZ69" i="7"/>
  <c r="AZ84" i="7" s="1"/>
  <c r="AX217" i="7"/>
  <c r="AX232" i="7" s="1"/>
  <c r="AX222" i="7"/>
  <c r="AW247" i="7"/>
  <c r="AY20" i="13"/>
  <c r="AY11" i="7"/>
  <c r="AT3" i="9"/>
  <c r="AT11" i="9" s="1"/>
  <c r="AT12" i="9" s="1"/>
  <c r="AX61" i="7"/>
  <c r="AX55" i="7"/>
  <c r="AX66" i="7"/>
  <c r="AX44" i="7"/>
  <c r="AX31" i="7"/>
  <c r="AV323" i="7"/>
  <c r="AV388" i="7" s="1"/>
  <c r="AV142" i="14" s="1"/>
  <c r="AV143" i="14" s="1"/>
  <c r="AV147" i="14" s="1"/>
  <c r="AV148" i="14" s="1"/>
  <c r="AV149" i="14" s="1"/>
  <c r="AV150" i="14" s="1"/>
  <c r="AV151" i="14" s="1"/>
  <c r="AV152" i="14" s="1"/>
  <c r="AV157" i="14" s="1"/>
  <c r="AV160" i="14" s="1"/>
  <c r="AX64" i="7"/>
  <c r="AX42" i="7"/>
  <c r="AW254" i="7"/>
  <c r="AX47" i="7"/>
  <c r="AX60" i="7"/>
  <c r="AX49" i="7"/>
  <c r="AW325" i="7"/>
  <c r="AX53" i="7"/>
  <c r="AX58" i="7"/>
  <c r="AX54" i="7"/>
  <c r="AX36" i="7"/>
  <c r="AX63" i="7"/>
  <c r="AX50" i="7"/>
  <c r="AX45" i="7"/>
  <c r="AX62" i="7"/>
  <c r="AX320" i="7"/>
  <c r="AX321" i="7" s="1"/>
  <c r="AX339" i="7" s="1"/>
  <c r="AW330" i="7"/>
  <c r="AX46" i="7"/>
  <c r="AX57" i="7"/>
  <c r="AX380" i="7"/>
  <c r="AY269" i="7"/>
  <c r="AY284" i="7" s="1"/>
  <c r="AW218" i="7"/>
  <c r="AY262" i="7"/>
  <c r="AY277" i="7" s="1"/>
  <c r="AY204" i="7"/>
  <c r="AY217" i="7" s="1"/>
  <c r="AY263" i="7"/>
  <c r="AY278" i="7" s="1"/>
  <c r="AY267" i="7"/>
  <c r="AY282" i="7" s="1"/>
  <c r="AW326" i="7"/>
  <c r="AW245" i="7"/>
  <c r="AW230" i="7"/>
  <c r="AW336" i="7"/>
  <c r="AY265" i="7"/>
  <c r="AY280" i="7" s="1"/>
  <c r="AY21" i="7"/>
  <c r="AW236" i="7"/>
  <c r="AY68" i="7"/>
  <c r="AY83" i="7" s="1"/>
  <c r="AY98" i="7" s="1"/>
  <c r="AR4" i="20"/>
  <c r="AR44" i="15"/>
  <c r="AR45" i="15" s="1"/>
  <c r="AR46" i="15" s="1"/>
  <c r="AW329" i="7"/>
  <c r="AW333" i="7"/>
  <c r="AW346" i="7"/>
  <c r="AW334" i="7"/>
  <c r="AW136" i="7"/>
  <c r="AW348" i="7"/>
  <c r="AW386" i="7"/>
  <c r="AY163" i="7"/>
  <c r="AY178" i="7" s="1"/>
  <c r="AW331" i="7"/>
  <c r="AW342" i="7"/>
  <c r="AY264" i="7"/>
  <c r="AY279" i="7" s="1"/>
  <c r="E50" i="21"/>
  <c r="E51" i="21"/>
  <c r="AY259" i="7"/>
  <c r="AY274" i="7" s="1"/>
  <c r="AW144" i="7"/>
  <c r="E44" i="8"/>
  <c r="E43" i="8"/>
  <c r="E19" i="8"/>
  <c r="E27" i="8" s="1"/>
  <c r="E38" i="8" s="1"/>
  <c r="AY268" i="7"/>
  <c r="AY283" i="7" s="1"/>
  <c r="AW337" i="7"/>
  <c r="AW133" i="7"/>
  <c r="AR4" i="9"/>
  <c r="AW338" i="7"/>
  <c r="AW347" i="7"/>
  <c r="AY257" i="7"/>
  <c r="AY272" i="7" s="1"/>
  <c r="AW246" i="7"/>
  <c r="BB135" i="11"/>
  <c r="AW341" i="7"/>
  <c r="AW340" i="7"/>
  <c r="AW332" i="7"/>
  <c r="AW344" i="7"/>
  <c r="AY258" i="7"/>
  <c r="AY273" i="7" s="1"/>
  <c r="AW138" i="7"/>
  <c r="AY266" i="7"/>
  <c r="AY281" i="7" s="1"/>
  <c r="AW327" i="7"/>
  <c r="AY261" i="7"/>
  <c r="AY276" i="7" s="1"/>
  <c r="AW335" i="7"/>
  <c r="BB29" i="11"/>
  <c r="AT26" i="15"/>
  <c r="BB115" i="11"/>
  <c r="BB57" i="11"/>
  <c r="BB84" i="11"/>
  <c r="AT25" i="15"/>
  <c r="BB91" i="11"/>
  <c r="BB129" i="11"/>
  <c r="BB66" i="11"/>
  <c r="AS7" i="7"/>
  <c r="AS16" i="13" s="1"/>
  <c r="BB28" i="11"/>
  <c r="BB125" i="11"/>
  <c r="BB100" i="11"/>
  <c r="BB110" i="11"/>
  <c r="BB63" i="11"/>
  <c r="BB124" i="11"/>
  <c r="BB54" i="11"/>
  <c r="AW233" i="7"/>
  <c r="BA13" i="11"/>
  <c r="BA15" i="11" s="1"/>
  <c r="BB35" i="11"/>
  <c r="BB32" i="11"/>
  <c r="BB81" i="11"/>
  <c r="BB99" i="11"/>
  <c r="BB120" i="11"/>
  <c r="BB62" i="11"/>
  <c r="BB88" i="11"/>
  <c r="AW223" i="7"/>
  <c r="BB42" i="11"/>
  <c r="BB60" i="11"/>
  <c r="BB50" i="11"/>
  <c r="BB107" i="11"/>
  <c r="BB131" i="11"/>
  <c r="BB39" i="11"/>
  <c r="BB126" i="11"/>
  <c r="BB20" i="11"/>
  <c r="BB134" i="11"/>
  <c r="BB113" i="11"/>
  <c r="BB133" i="11"/>
  <c r="BB37" i="11"/>
  <c r="BB103" i="11"/>
  <c r="BB104" i="11"/>
  <c r="BB114" i="11"/>
  <c r="BB24" i="11"/>
  <c r="BB52" i="11"/>
  <c r="BB74" i="11"/>
  <c r="BB23" i="11"/>
  <c r="BB61" i="11"/>
  <c r="BB117" i="11"/>
  <c r="BB116" i="11"/>
  <c r="BB43" i="11"/>
  <c r="BB122" i="11"/>
  <c r="BB77" i="11"/>
  <c r="BB80" i="11"/>
  <c r="BB75" i="11"/>
  <c r="BB73" i="11"/>
  <c r="AW238" i="7"/>
  <c r="BA12" i="11"/>
  <c r="BA14" i="11" s="1"/>
  <c r="BB51" i="11"/>
  <c r="BB85" i="11"/>
  <c r="BB45" i="11"/>
  <c r="BB86" i="11"/>
  <c r="BB69" i="11"/>
  <c r="BB105" i="11"/>
  <c r="BB64" i="11"/>
  <c r="AW251" i="7"/>
  <c r="BB27" i="11"/>
  <c r="BB89" i="11"/>
  <c r="BB128" i="11"/>
  <c r="BB94" i="11"/>
  <c r="BB95" i="11"/>
  <c r="BB132" i="11"/>
  <c r="BB137" i="11"/>
  <c r="BB68" i="11"/>
  <c r="AZ24" i="11"/>
  <c r="AZ21" i="11"/>
  <c r="AZ135" i="11"/>
  <c r="AZ101" i="11"/>
  <c r="AZ81" i="11"/>
  <c r="AZ83" i="11"/>
  <c r="AZ34" i="11"/>
  <c r="AZ43" i="11"/>
  <c r="AZ132" i="11"/>
  <c r="AZ130" i="11"/>
  <c r="AZ100" i="11"/>
  <c r="AZ102" i="11"/>
  <c r="AZ112" i="11"/>
  <c r="AZ26" i="11"/>
  <c r="AZ40" i="11"/>
  <c r="AZ124" i="11"/>
  <c r="AZ129" i="11"/>
  <c r="AZ84" i="11"/>
  <c r="AZ56" i="11"/>
  <c r="AZ103" i="11"/>
  <c r="AZ104" i="11"/>
  <c r="AZ137" i="11"/>
  <c r="AZ128" i="11"/>
  <c r="AZ70" i="11"/>
  <c r="AZ98" i="11"/>
  <c r="AZ76" i="11"/>
  <c r="AZ134" i="11"/>
  <c r="AZ97" i="11"/>
  <c r="AZ127" i="11"/>
  <c r="AZ74" i="11"/>
  <c r="AZ47" i="11"/>
  <c r="AZ36" i="11"/>
  <c r="AZ32" i="11"/>
  <c r="AZ126" i="11"/>
  <c r="AZ119" i="11"/>
  <c r="AZ105" i="11"/>
  <c r="AZ77" i="11"/>
  <c r="AZ73" i="11"/>
  <c r="AZ28" i="11"/>
  <c r="AZ118" i="11"/>
  <c r="AZ120" i="11"/>
  <c r="AZ72" i="11"/>
  <c r="AZ58" i="11"/>
  <c r="AZ80" i="11"/>
  <c r="AZ60" i="11"/>
  <c r="AZ131" i="11"/>
  <c r="AZ110" i="11"/>
  <c r="AZ90" i="11"/>
  <c r="AZ71" i="11"/>
  <c r="AZ67" i="11"/>
  <c r="AZ33" i="11"/>
  <c r="AZ123" i="11"/>
  <c r="AZ133" i="11"/>
  <c r="AZ89" i="11"/>
  <c r="AZ94" i="11"/>
  <c r="AZ59" i="11"/>
  <c r="AZ68" i="11"/>
  <c r="AZ136" i="11"/>
  <c r="AZ115" i="11"/>
  <c r="AZ88" i="11"/>
  <c r="AZ92" i="11"/>
  <c r="AZ51" i="11"/>
  <c r="AZ48" i="11"/>
  <c r="AZ125" i="11"/>
  <c r="AZ107" i="11"/>
  <c r="AZ82" i="11"/>
  <c r="AZ86" i="11"/>
  <c r="AZ64" i="11"/>
  <c r="AZ42" i="11"/>
  <c r="AZ121" i="11"/>
  <c r="AZ96" i="11"/>
  <c r="AZ91" i="11"/>
  <c r="AZ75" i="11"/>
  <c r="AZ138" i="11"/>
  <c r="AZ116" i="11"/>
  <c r="AZ95" i="11"/>
  <c r="AZ69" i="11"/>
  <c r="AZ93" i="11"/>
  <c r="AZ54" i="11"/>
  <c r="AZ122" i="11"/>
  <c r="AZ114" i="11"/>
  <c r="AZ106" i="11"/>
  <c r="AZ63" i="11"/>
  <c r="AZ66" i="11"/>
  <c r="AZ53" i="11"/>
  <c r="AZ55" i="11"/>
  <c r="AZ65" i="11"/>
  <c r="AZ37" i="11"/>
  <c r="AZ61" i="11"/>
  <c r="AZ39" i="11"/>
  <c r="AZ57" i="11"/>
  <c r="AZ41" i="11"/>
  <c r="AZ45" i="11"/>
  <c r="AZ31" i="11"/>
  <c r="AZ44" i="11"/>
  <c r="AZ109" i="11"/>
  <c r="AZ117" i="11"/>
  <c r="AZ111" i="11"/>
  <c r="AZ49" i="11"/>
  <c r="AZ46" i="11"/>
  <c r="AZ113" i="11"/>
  <c r="AZ99" i="11"/>
  <c r="AZ85" i="11"/>
  <c r="AZ35" i="11"/>
  <c r="AZ29" i="11"/>
  <c r="AZ87" i="11"/>
  <c r="AZ20" i="11"/>
  <c r="AZ108" i="11"/>
  <c r="AZ30" i="11"/>
  <c r="AZ19" i="11"/>
  <c r="AZ62" i="11"/>
  <c r="AZ23" i="11"/>
  <c r="AZ27" i="11"/>
  <c r="AZ22" i="11"/>
  <c r="AZ25" i="11"/>
  <c r="AZ52" i="11"/>
  <c r="AZ50" i="11"/>
  <c r="AZ38" i="11"/>
  <c r="BB36" i="11"/>
  <c r="BB58" i="11"/>
  <c r="BB44" i="11"/>
  <c r="BB38" i="11"/>
  <c r="BB127" i="11"/>
  <c r="BB118" i="11"/>
  <c r="BB40" i="11"/>
  <c r="BB92" i="11"/>
  <c r="AW237" i="7"/>
  <c r="BB26" i="11"/>
  <c r="BB70" i="11"/>
  <c r="BB55" i="11"/>
  <c r="BB76" i="11"/>
  <c r="BB136" i="11"/>
  <c r="BB121" i="11"/>
  <c r="BB49" i="11"/>
  <c r="BB111" i="11"/>
  <c r="BB34" i="11"/>
  <c r="BB96" i="11"/>
  <c r="BB48" i="11"/>
  <c r="BB82" i="11"/>
  <c r="BB108" i="11"/>
  <c r="BB46" i="11"/>
  <c r="BB109" i="11"/>
  <c r="BB106" i="11"/>
  <c r="AW249" i="7"/>
  <c r="BB59" i="11"/>
  <c r="BB101" i="11"/>
  <c r="BB97" i="11"/>
  <c r="BB87" i="11"/>
  <c r="BB123" i="11"/>
  <c r="BB31" i="11"/>
  <c r="BB98" i="11"/>
  <c r="BB47" i="11"/>
  <c r="AX188" i="7"/>
  <c r="BB41" i="11"/>
  <c r="BB112" i="11"/>
  <c r="BB30" i="11"/>
  <c r="BB93" i="11"/>
  <c r="BB22" i="11"/>
  <c r="BB90" i="11"/>
  <c r="BB83" i="11"/>
  <c r="BB21" i="11"/>
  <c r="AW343" i="7"/>
  <c r="BB65" i="11"/>
  <c r="BB72" i="11"/>
  <c r="BB102" i="11"/>
  <c r="BB138" i="11"/>
  <c r="BB56" i="11"/>
  <c r="BB53" i="11"/>
  <c r="BB119" i="11"/>
  <c r="BB19" i="11"/>
  <c r="BB130" i="11"/>
  <c r="BB33" i="11"/>
  <c r="BB25" i="11"/>
  <c r="BB71" i="11"/>
  <c r="BB67" i="11"/>
  <c r="AV4" i="10"/>
  <c r="AR9" i="8"/>
  <c r="AR48" i="9"/>
  <c r="AR57" i="9"/>
  <c r="AR56" i="9"/>
  <c r="AS4" i="20"/>
  <c r="AW4" i="22"/>
  <c r="AV3" i="10"/>
  <c r="AR8" i="8"/>
  <c r="AW9" i="10"/>
  <c r="AW10" i="10"/>
  <c r="AR4" i="21"/>
  <c r="AV4" i="22"/>
  <c r="AR49" i="9"/>
  <c r="AR59" i="9"/>
  <c r="AR54" i="9"/>
  <c r="AR58" i="9"/>
  <c r="AW8" i="10"/>
  <c r="AY359" i="7"/>
  <c r="AY374" i="7" s="1"/>
  <c r="AT41" i="9"/>
  <c r="AT42" i="9" s="1"/>
  <c r="AT50" i="9" s="1"/>
  <c r="AX6" i="10"/>
  <c r="AY355" i="7"/>
  <c r="AY370" i="7" s="1"/>
  <c r="AV2" i="10"/>
  <c r="AR7" i="8"/>
  <c r="AX327" i="7"/>
  <c r="AV69" i="14"/>
  <c r="AV86" i="14" s="1"/>
  <c r="AV87" i="14" s="1"/>
  <c r="AV88" i="14" s="1"/>
  <c r="U50" i="8"/>
  <c r="U25" i="13" s="1"/>
  <c r="K14" i="20"/>
  <c r="K15" i="20" s="1"/>
  <c r="J19" i="8"/>
  <c r="J27" i="8" s="1"/>
  <c r="J38" i="8" s="1"/>
  <c r="J44" i="8"/>
  <c r="J47" i="8" s="1"/>
  <c r="J48" i="8" s="1"/>
  <c r="J24" i="13" s="1"/>
  <c r="AT66" i="21"/>
  <c r="AT68" i="21" s="1"/>
  <c r="AT73" i="21"/>
  <c r="AT28" i="21"/>
  <c r="AT31" i="21" s="1"/>
  <c r="BA224" i="22"/>
  <c r="BA219" i="22"/>
  <c r="BA217" i="22"/>
  <c r="BA215" i="22"/>
  <c r="BA211" i="22"/>
  <c r="BA209" i="22"/>
  <c r="BA223" i="22"/>
  <c r="BA227" i="22"/>
  <c r="AW80" i="21" s="1"/>
  <c r="BA206" i="22"/>
  <c r="BA218" i="22"/>
  <c r="BA207" i="22"/>
  <c r="BA199" i="22"/>
  <c r="BA198" i="22"/>
  <c r="BA210" i="22"/>
  <c r="BA197" i="22"/>
  <c r="BA212" i="22"/>
  <c r="BA200" i="22"/>
  <c r="BA203" i="22"/>
  <c r="BA220" i="22"/>
  <c r="BA205" i="22"/>
  <c r="BA192" i="22"/>
  <c r="BA185" i="22"/>
  <c r="BA208" i="22"/>
  <c r="BA194" i="22"/>
  <c r="BA189" i="22"/>
  <c r="BA204" i="22"/>
  <c r="BA182" i="22"/>
  <c r="BA180" i="22"/>
  <c r="BA178" i="22"/>
  <c r="BA176" i="22"/>
  <c r="BA174" i="22"/>
  <c r="BA172" i="22"/>
  <c r="BA184" i="22"/>
  <c r="BA193" i="22"/>
  <c r="BA191" i="22"/>
  <c r="BA216" i="22"/>
  <c r="BA195" i="22"/>
  <c r="BA196" i="22"/>
  <c r="BA190" i="22"/>
  <c r="BA188" i="22"/>
  <c r="BA169" i="22"/>
  <c r="BA167" i="22"/>
  <c r="BA165" i="22"/>
  <c r="BA163" i="22"/>
  <c r="BA161" i="22"/>
  <c r="BA186" i="22"/>
  <c r="BA177" i="22"/>
  <c r="BA179" i="22"/>
  <c r="BA183" i="22"/>
  <c r="BA181" i="22"/>
  <c r="BA158" i="22"/>
  <c r="BA171" i="22"/>
  <c r="BA170" i="22"/>
  <c r="BA162" i="22"/>
  <c r="BA157" i="22"/>
  <c r="BA153" i="22"/>
  <c r="BA151" i="22"/>
  <c r="BA147" i="22"/>
  <c r="AW65" i="21" s="1"/>
  <c r="BA143" i="22"/>
  <c r="BA168" i="22"/>
  <c r="BA187" i="22"/>
  <c r="BA154" i="22"/>
  <c r="BA150" i="22"/>
  <c r="BA137" i="22"/>
  <c r="BA134" i="22"/>
  <c r="BA130" i="22"/>
  <c r="BA128" i="22"/>
  <c r="BA126" i="22"/>
  <c r="BA124" i="22"/>
  <c r="BA122" i="22"/>
  <c r="BA120" i="22"/>
  <c r="BA118" i="22"/>
  <c r="BA116" i="22"/>
  <c r="BA175" i="22"/>
  <c r="BA139" i="22"/>
  <c r="BA164" i="22"/>
  <c r="BA152" i="22"/>
  <c r="BA166" i="22"/>
  <c r="BA133" i="22"/>
  <c r="BA129" i="22"/>
  <c r="BA173" i="22"/>
  <c r="BA144" i="22"/>
  <c r="BA135" i="22"/>
  <c r="BA136" i="22"/>
  <c r="BA115" i="22"/>
  <c r="BA127" i="22"/>
  <c r="BA114" i="22"/>
  <c r="BA112" i="22"/>
  <c r="BA108" i="22"/>
  <c r="BA106" i="22"/>
  <c r="BA104" i="22"/>
  <c r="BA142" i="22"/>
  <c r="BA138" i="22"/>
  <c r="BA125" i="22"/>
  <c r="BA123" i="22"/>
  <c r="BA119" i="22"/>
  <c r="BA96" i="22"/>
  <c r="BA121" i="22"/>
  <c r="BA99" i="22"/>
  <c r="BA113" i="22"/>
  <c r="BA95" i="22"/>
  <c r="BA92" i="22"/>
  <c r="BA90" i="22"/>
  <c r="BA88" i="22"/>
  <c r="BA117" i="22"/>
  <c r="BA105" i="22"/>
  <c r="BA101" i="22"/>
  <c r="BA111" i="22"/>
  <c r="BA102" i="22"/>
  <c r="BA97" i="22"/>
  <c r="BA100" i="22"/>
  <c r="BA91" i="22"/>
  <c r="BA103" i="22"/>
  <c r="BA83" i="22"/>
  <c r="BA82" i="22"/>
  <c r="BA107" i="22"/>
  <c r="BA84" i="22"/>
  <c r="BA93" i="22"/>
  <c r="BA94" i="22"/>
  <c r="BA89" i="22"/>
  <c r="BA80" i="22"/>
  <c r="BA85" i="22"/>
  <c r="BA76" i="22"/>
  <c r="BA86" i="22"/>
  <c r="BA79" i="22"/>
  <c r="BA87" i="22"/>
  <c r="BA98" i="22"/>
  <c r="BA70" i="22"/>
  <c r="BA69" i="22"/>
  <c r="BA68" i="22"/>
  <c r="BA57" i="22"/>
  <c r="BA55" i="22"/>
  <c r="BA53" i="22"/>
  <c r="BA51" i="22"/>
  <c r="BA49" i="22"/>
  <c r="BA47" i="22"/>
  <c r="BA45" i="22"/>
  <c r="BA43" i="22"/>
  <c r="BA41" i="22"/>
  <c r="BA39" i="22"/>
  <c r="BA67" i="22"/>
  <c r="BA66" i="22"/>
  <c r="BA78" i="22"/>
  <c r="BA71" i="22"/>
  <c r="BA65" i="22"/>
  <c r="BA64" i="22"/>
  <c r="BA75" i="22"/>
  <c r="BA72" i="22"/>
  <c r="BA63" i="22"/>
  <c r="BA62" i="22"/>
  <c r="BA61" i="22"/>
  <c r="BA60" i="22"/>
  <c r="BA56" i="22"/>
  <c r="BA54" i="22"/>
  <c r="BA52" i="22"/>
  <c r="BA81" i="22"/>
  <c r="BA59" i="22"/>
  <c r="BA58" i="22"/>
  <c r="BA77" i="22"/>
  <c r="BA42" i="22"/>
  <c r="BA48" i="22"/>
  <c r="BA38" i="22"/>
  <c r="BA36" i="22"/>
  <c r="BA34" i="22"/>
  <c r="BA32" i="22"/>
  <c r="BA30" i="22"/>
  <c r="BA28" i="22"/>
  <c r="BA26" i="22"/>
  <c r="BA24" i="22"/>
  <c r="BA22" i="22"/>
  <c r="BA46" i="22"/>
  <c r="BA50" i="22"/>
  <c r="BA44" i="22"/>
  <c r="BA40" i="22"/>
  <c r="BA37" i="22"/>
  <c r="BA35" i="22"/>
  <c r="BA33" i="22"/>
  <c r="BA31" i="22"/>
  <c r="BA15" i="22"/>
  <c r="BA23" i="22"/>
  <c r="BA19" i="22"/>
  <c r="BA25" i="22"/>
  <c r="BA20" i="22"/>
  <c r="BA14" i="22"/>
  <c r="BA12" i="22"/>
  <c r="BA10" i="22"/>
  <c r="BA27" i="22"/>
  <c r="BA29" i="22"/>
  <c r="BA17" i="22"/>
  <c r="BA18" i="22"/>
  <c r="BA16" i="22"/>
  <c r="BA13" i="22"/>
  <c r="BA9" i="22"/>
  <c r="BA11" i="22"/>
  <c r="BA21" i="22"/>
  <c r="K43" i="8"/>
  <c r="K44" i="8"/>
  <c r="K19" i="8"/>
  <c r="K27" i="8" s="1"/>
  <c r="K38" i="8" s="1"/>
  <c r="R50" i="8"/>
  <c r="R25" i="13" s="1"/>
  <c r="R24" i="13"/>
  <c r="AA24" i="13"/>
  <c r="AA50" i="8"/>
  <c r="AA25" i="13" s="1"/>
  <c r="AW156" i="7"/>
  <c r="AW143" i="7"/>
  <c r="AW231" i="7"/>
  <c r="AW140" i="7"/>
  <c r="AW134" i="7"/>
  <c r="AW250" i="7"/>
  <c r="AW150" i="7"/>
  <c r="AW145" i="7"/>
  <c r="AW141" i="7"/>
  <c r="AW235" i="7"/>
  <c r="AW135" i="7"/>
  <c r="AW253" i="7"/>
  <c r="AW152" i="7"/>
  <c r="AW139" i="7"/>
  <c r="AW149" i="7"/>
  <c r="AW243" i="7"/>
  <c r="AW146" i="7"/>
  <c r="AW151" i="7"/>
  <c r="AW239" i="7"/>
  <c r="AW142" i="7"/>
  <c r="AW192" i="7"/>
  <c r="AW137" i="7"/>
  <c r="AW242" i="7"/>
  <c r="AW154" i="7"/>
  <c r="AW252" i="7"/>
  <c r="AW155" i="7"/>
  <c r="AW234" i="7"/>
  <c r="AW241" i="7"/>
  <c r="AW248" i="7"/>
  <c r="AX324" i="7"/>
  <c r="AT81" i="21"/>
  <c r="AT12" i="8" s="1"/>
  <c r="AT13" i="8" s="1"/>
  <c r="AW148" i="7"/>
  <c r="AT25" i="21"/>
  <c r="AT35" i="21" s="1"/>
  <c r="AT36" i="21" s="1"/>
  <c r="AY170" i="7"/>
  <c r="AY185" i="7" s="1"/>
  <c r="AY108" i="7"/>
  <c r="AY111" i="7" s="1"/>
  <c r="AY165" i="7"/>
  <c r="AY180" i="7" s="1"/>
  <c r="AY161" i="7"/>
  <c r="AY176" i="7" s="1"/>
  <c r="AY167" i="7"/>
  <c r="AY182" i="7" s="1"/>
  <c r="AY164" i="7"/>
  <c r="AY179" i="7" s="1"/>
  <c r="AW41" i="7"/>
  <c r="AW99" i="7" s="1"/>
  <c r="AY169" i="7"/>
  <c r="AY184" i="7" s="1"/>
  <c r="AY160" i="7"/>
  <c r="AY175" i="7" s="1"/>
  <c r="AY30" i="7"/>
  <c r="AY66" i="7" s="1"/>
  <c r="AY168" i="7"/>
  <c r="AY183" i="7" s="1"/>
  <c r="AY162" i="7"/>
  <c r="AY177" i="7" s="1"/>
  <c r="AY166" i="7"/>
  <c r="AY181" i="7" s="1"/>
  <c r="AZ17" i="7"/>
  <c r="AZ71" i="7"/>
  <c r="AZ86" i="7" s="1"/>
  <c r="AY159" i="7"/>
  <c r="AY174" i="7" s="1"/>
  <c r="AZ70" i="7"/>
  <c r="AZ85" i="7" s="1"/>
  <c r="AZ81" i="7"/>
  <c r="AZ96" i="7" s="1"/>
  <c r="AZ73" i="7"/>
  <c r="AZ88" i="7" s="1"/>
  <c r="AZ78" i="7"/>
  <c r="AZ93" i="7" s="1"/>
  <c r="AZ74" i="7"/>
  <c r="AZ89" i="7" s="1"/>
  <c r="AZ201" i="7"/>
  <c r="AZ202" i="7" s="1"/>
  <c r="AZ295" i="7"/>
  <c r="AZ296" i="7" s="1"/>
  <c r="AZ354" i="7" s="1"/>
  <c r="AZ369" i="7" s="1"/>
  <c r="AU119" i="14"/>
  <c r="AU136" i="14" s="1"/>
  <c r="AU137" i="14" s="1"/>
  <c r="AZ75" i="7"/>
  <c r="AZ90" i="7" s="1"/>
  <c r="AZ103" i="7"/>
  <c r="AZ106" i="7" s="1"/>
  <c r="AZ167" i="7" s="1"/>
  <c r="AZ182" i="7" s="1"/>
  <c r="AW61" i="14"/>
  <c r="AW64" i="14" s="1"/>
  <c r="AW65" i="14" s="1"/>
  <c r="AY25" i="7"/>
  <c r="AY59" i="7" s="1"/>
  <c r="AZ79" i="7"/>
  <c r="AZ94" i="7" s="1"/>
  <c r="AY39" i="7"/>
  <c r="AY56" i="7" s="1"/>
  <c r="AY35" i="7"/>
  <c r="AY45" i="7" s="1"/>
  <c r="AZ72" i="7"/>
  <c r="AZ87" i="7" s="1"/>
  <c r="AY360" i="7"/>
  <c r="AY375" i="7" s="1"/>
  <c r="AY354" i="7"/>
  <c r="AY369" i="7" s="1"/>
  <c r="AY356" i="7"/>
  <c r="AY371" i="7" s="1"/>
  <c r="AY357" i="7"/>
  <c r="AY372" i="7" s="1"/>
  <c r="AY353" i="7"/>
  <c r="AY368" i="7" s="1"/>
  <c r="AY352" i="7"/>
  <c r="AY367" i="7" s="1"/>
  <c r="AY358" i="7"/>
  <c r="AY373" i="7" s="1"/>
  <c r="AY351" i="7"/>
  <c r="AY366" i="7" s="1"/>
  <c r="AY298" i="7"/>
  <c r="AY303" i="7" s="1"/>
  <c r="AY363" i="7"/>
  <c r="AY378" i="7" s="1"/>
  <c r="AY362" i="7"/>
  <c r="AY377" i="7" s="1"/>
  <c r="AZ76" i="7"/>
  <c r="AZ91" i="7" s="1"/>
  <c r="AZ77" i="7"/>
  <c r="AZ92" i="7" s="1"/>
  <c r="AZ80" i="7"/>
  <c r="AZ95" i="7" s="1"/>
  <c r="BB12" i="14"/>
  <c r="AJ189" i="14"/>
  <c r="AW192" i="14"/>
  <c r="AW193" i="14" s="1"/>
  <c r="AM54" i="14"/>
  <c r="AM55" i="14" s="1"/>
  <c r="AM56" i="14"/>
  <c r="AM57" i="14" s="1"/>
  <c r="AX28" i="14"/>
  <c r="AX29" i="14" s="1"/>
  <c r="AX30" i="14" s="1"/>
  <c r="AX31" i="14" s="1"/>
  <c r="AX18" i="13" s="1"/>
  <c r="AX52" i="14"/>
  <c r="AX54" i="14" s="1"/>
  <c r="AX55" i="14" s="1"/>
  <c r="AX56" i="14" s="1"/>
  <c r="AX57" i="14" s="1"/>
  <c r="AJ4" i="13"/>
  <c r="AJ52" i="14"/>
  <c r="AJ53" i="14" s="1"/>
  <c r="AK54" i="14"/>
  <c r="AK55" i="14" s="1"/>
  <c r="AK56" i="14" s="1"/>
  <c r="AK57" i="14" s="1"/>
  <c r="AY52" i="14"/>
  <c r="AT196" i="14"/>
  <c r="AT197" i="14" s="1"/>
  <c r="AT201" i="14" s="1"/>
  <c r="AT205" i="14" s="1"/>
  <c r="AU199" i="14"/>
  <c r="AU202" i="14" s="1"/>
  <c r="AU206" i="14" s="1"/>
  <c r="AU208" i="14" s="1"/>
  <c r="AY187" i="14"/>
  <c r="AY188" i="14" s="1"/>
  <c r="AY190" i="14" s="1"/>
  <c r="AY214" i="14"/>
  <c r="AX187" i="14"/>
  <c r="AX188" i="14" s="1"/>
  <c r="AX214" i="14"/>
  <c r="AR208" i="14"/>
  <c r="AV196" i="14"/>
  <c r="AV197" i="14" s="1"/>
  <c r="AV201" i="14" s="1"/>
  <c r="AV205" i="14" s="1"/>
  <c r="AJ192" i="14"/>
  <c r="AJ191" i="14"/>
  <c r="AS210" i="14"/>
  <c r="AS211" i="14" s="1"/>
  <c r="AS213" i="14" s="1"/>
  <c r="AS215" i="14" s="1"/>
  <c r="AM3" i="21"/>
  <c r="AM7" i="21" s="1"/>
  <c r="AM4" i="17"/>
  <c r="AM7" i="17" s="1"/>
  <c r="AM8" i="17" s="1"/>
  <c r="AM9" i="17" s="1"/>
  <c r="AX4" i="13"/>
  <c r="BA177" i="14"/>
  <c r="BA176" i="14"/>
  <c r="BA179" i="14" s="1"/>
  <c r="BA181" i="14" s="1"/>
  <c r="BA178" i="14"/>
  <c r="BA10" i="14"/>
  <c r="BB169" i="14"/>
  <c r="BB11" i="14"/>
  <c r="AZ171" i="14"/>
  <c r="AZ184" i="14" s="1"/>
  <c r="AY170" i="14"/>
  <c r="AY185" i="14" s="1"/>
  <c r="AX170" i="14"/>
  <c r="AX185" i="14" s="1"/>
  <c r="AJ28" i="14"/>
  <c r="AJ29" i="14" s="1"/>
  <c r="AJ30" i="14" s="1"/>
  <c r="AJ31" i="14" s="1"/>
  <c r="AJ18" i="13" s="1"/>
  <c r="AJ170" i="14"/>
  <c r="AJ185" i="14" s="1"/>
  <c r="BB9" i="14"/>
  <c r="BB6" i="14"/>
  <c r="BB173" i="14" s="1"/>
  <c r="BB8" i="14"/>
  <c r="BB5" i="14"/>
  <c r="BB10" i="14" s="1"/>
  <c r="BB7" i="14"/>
  <c r="BB174" i="14" s="1"/>
  <c r="BA16" i="14"/>
  <c r="BA18" i="14" s="1"/>
  <c r="BA19" i="14" s="1"/>
  <c r="BA21" i="14" s="1"/>
  <c r="BA17" i="14"/>
  <c r="AS4" i="21"/>
  <c r="AS46" i="21" s="1"/>
  <c r="AS47" i="21" s="1"/>
  <c r="AS48" i="21" s="1"/>
  <c r="AS4" i="9"/>
  <c r="AS44" i="15"/>
  <c r="AS45" i="15" s="1"/>
  <c r="AS46" i="15" s="1"/>
  <c r="BA13" i="7"/>
  <c r="BA14" i="7" s="1"/>
  <c r="BA15" i="7" s="1"/>
  <c r="AS36" i="8"/>
  <c r="AS39" i="8" s="1"/>
  <c r="AS41" i="8" s="1"/>
  <c r="AS23" i="13" s="1"/>
  <c r="AV72" i="21"/>
  <c r="AU81" i="21"/>
  <c r="AU12" i="8" s="1"/>
  <c r="AU13" i="8" s="1"/>
  <c r="AV64" i="21"/>
  <c r="AV78" i="21"/>
  <c r="AZ44" i="14"/>
  <c r="AZ19" i="13" s="1"/>
  <c r="AP51" i="21"/>
  <c r="AT100" i="7"/>
  <c r="AT3" i="23" s="1"/>
  <c r="AX146" i="7"/>
  <c r="AS195" i="7"/>
  <c r="AX346" i="7"/>
  <c r="AX332" i="7"/>
  <c r="AP57" i="21"/>
  <c r="AX331" i="7"/>
  <c r="AQ55" i="21"/>
  <c r="AQ56" i="21" s="1"/>
  <c r="AU88" i="14"/>
  <c r="AX340" i="7"/>
  <c r="AX386" i="7"/>
  <c r="AX338" i="7"/>
  <c r="AX329" i="7"/>
  <c r="AX341" i="7"/>
  <c r="AT138" i="14"/>
  <c r="AX342" i="7"/>
  <c r="AT111" i="14"/>
  <c r="AT112" i="14" s="1"/>
  <c r="AT113" i="14" s="1"/>
  <c r="AT104" i="14"/>
  <c r="AT115" i="14" s="1"/>
  <c r="AX326" i="7"/>
  <c r="AS139" i="14"/>
  <c r="AX348" i="7"/>
  <c r="AX335" i="7"/>
  <c r="AU79" i="14"/>
  <c r="AU90" i="14" s="1"/>
  <c r="AU100" i="7" s="1"/>
  <c r="AU3" i="23" s="1"/>
  <c r="AT163" i="14"/>
  <c r="AX330" i="7"/>
  <c r="AP12" i="20"/>
  <c r="AP6" i="8" s="1"/>
  <c r="AT129" i="14"/>
  <c r="AT140" i="14" s="1"/>
  <c r="AT289" i="7" s="1"/>
  <c r="AT13" i="23" s="1"/>
  <c r="AT139" i="14"/>
  <c r="AU114" i="14"/>
  <c r="AX145" i="7"/>
  <c r="AU104" i="14"/>
  <c r="AU115" i="14" s="1"/>
  <c r="AU5" i="7" s="1"/>
  <c r="AU14" i="13" s="1"/>
  <c r="AP87" i="9"/>
  <c r="AP88" i="9" s="1"/>
  <c r="BA42" i="14"/>
  <c r="BA36" i="14"/>
  <c r="AY28" i="14"/>
  <c r="AY29" i="14" s="1"/>
  <c r="AY30" i="14" s="1"/>
  <c r="AY31" i="14" s="1"/>
  <c r="AY18" i="13" s="1"/>
  <c r="AY4" i="13"/>
  <c r="AV125" i="14"/>
  <c r="AV126" i="14" s="1"/>
  <c r="AV127" i="14" s="1"/>
  <c r="AV132" i="14" s="1"/>
  <c r="AV135" i="14" s="1"/>
  <c r="AW8" i="21"/>
  <c r="AV17" i="17"/>
  <c r="AV14" i="17"/>
  <c r="AV28" i="13" s="1"/>
  <c r="AT154" i="14"/>
  <c r="AT165" i="14" s="1"/>
  <c r="AV62" i="21"/>
  <c r="AV75" i="14"/>
  <c r="AV76" i="14" s="1"/>
  <c r="AV77" i="14" s="1"/>
  <c r="AV82" i="14" s="1"/>
  <c r="AV85" i="14" s="1"/>
  <c r="AV3" i="8"/>
  <c r="AV3" i="9"/>
  <c r="AZ6" i="10" s="1"/>
  <c r="AX135" i="7"/>
  <c r="AX148" i="7"/>
  <c r="AX155" i="7"/>
  <c r="AX149" i="7"/>
  <c r="AX139" i="7"/>
  <c r="AX151" i="7"/>
  <c r="AX152" i="7"/>
  <c r="AX141" i="7"/>
  <c r="AX140" i="7"/>
  <c r="AX154" i="7"/>
  <c r="AX150" i="7"/>
  <c r="AX132" i="7"/>
  <c r="AX156" i="7"/>
  <c r="AU73" i="21"/>
  <c r="AV76" i="21"/>
  <c r="BB9" i="7"/>
  <c r="BB10" i="7"/>
  <c r="BB12" i="7"/>
  <c r="AQ74" i="9"/>
  <c r="AQ3" i="20" s="1"/>
  <c r="AQ80" i="9"/>
  <c r="AU38" i="9"/>
  <c r="AU39" i="9" s="1"/>
  <c r="AU27" i="9"/>
  <c r="AU28" i="9" s="1"/>
  <c r="AY4" i="10" s="1"/>
  <c r="AU36" i="9"/>
  <c r="AY7" i="10" s="1"/>
  <c r="AU33" i="9"/>
  <c r="AU34" i="9" s="1"/>
  <c r="AY5" i="10" s="1"/>
  <c r="AU22" i="9"/>
  <c r="AU23" i="9" s="1"/>
  <c r="AY3" i="10" s="1"/>
  <c r="AU41" i="9"/>
  <c r="AU42" i="9" s="1"/>
  <c r="AU50" i="9" s="1"/>
  <c r="AU11" i="9"/>
  <c r="AU12" i="9" s="1"/>
  <c r="AU44" i="9"/>
  <c r="AU45" i="9" s="1"/>
  <c r="AU55" i="9" s="1"/>
  <c r="AU17" i="9"/>
  <c r="AU18" i="9" s="1"/>
  <c r="AY2" i="10" s="1"/>
  <c r="AU66" i="21"/>
  <c r="AU68" i="21" s="1"/>
  <c r="AQ5" i="20"/>
  <c r="AQ86" i="9"/>
  <c r="AS129" i="14"/>
  <c r="AS140" i="14" s="1"/>
  <c r="BD3" i="13"/>
  <c r="BD3" i="24" s="1"/>
  <c r="BC3" i="7"/>
  <c r="BC3" i="17"/>
  <c r="BC5" i="17" s="1"/>
  <c r="BC3" i="14"/>
  <c r="AX233" i="7"/>
  <c r="AX223" i="7"/>
  <c r="AQ11" i="8"/>
  <c r="AQ49" i="21"/>
  <c r="AQ50" i="21" s="1"/>
  <c r="AV34" i="21"/>
  <c r="AV11" i="21"/>
  <c r="AV14" i="21"/>
  <c r="AV17" i="21"/>
  <c r="AV63" i="21"/>
  <c r="AV61" i="21"/>
  <c r="AX138" i="7"/>
  <c r="AX143" i="7"/>
  <c r="AV25" i="15"/>
  <c r="AV26" i="15"/>
  <c r="AV71" i="21"/>
  <c r="AV60" i="21"/>
  <c r="AT54" i="9"/>
  <c r="AQ71" i="9"/>
  <c r="AQ4" i="8"/>
  <c r="AX134" i="7"/>
  <c r="AX244" i="7"/>
  <c r="BA47" i="14"/>
  <c r="AZ49" i="14"/>
  <c r="AZ50" i="14" s="1"/>
  <c r="AZ6" i="24" s="1"/>
  <c r="AX142" i="7"/>
  <c r="AW15" i="17"/>
  <c r="AW27" i="13" s="1"/>
  <c r="AV77" i="21"/>
  <c r="AX137" i="7"/>
  <c r="AX125" i="7"/>
  <c r="AX192" i="7" s="1"/>
  <c r="AX136" i="7"/>
  <c r="AX249" i="7"/>
  <c r="AP81" i="9"/>
  <c r="AP82" i="9" s="1"/>
  <c r="BA48" i="14"/>
  <c r="AU144" i="14"/>
  <c r="AX144" i="7"/>
  <c r="AV94" i="14"/>
  <c r="AW11" i="15"/>
  <c r="BC7" i="11" s="1"/>
  <c r="AW7" i="15"/>
  <c r="BC5" i="11" s="1"/>
  <c r="AW15" i="15"/>
  <c r="BC9" i="11" s="1"/>
  <c r="AW31" i="15"/>
  <c r="AW32" i="15" s="1"/>
  <c r="AW33" i="15" s="1"/>
  <c r="AW34" i="15" s="1"/>
  <c r="AW19" i="15"/>
  <c r="BC11" i="11" s="1"/>
  <c r="AW17" i="15"/>
  <c r="BC10" i="11" s="1"/>
  <c r="AW10" i="13"/>
  <c r="AW29" i="15"/>
  <c r="AW37" i="15" s="1"/>
  <c r="AW13" i="15"/>
  <c r="BC8" i="11" s="1"/>
  <c r="AW9" i="15"/>
  <c r="BC6" i="11" s="1"/>
  <c r="AU20" i="21"/>
  <c r="AU25" i="21" s="1"/>
  <c r="AP7" i="20"/>
  <c r="AP5" i="8" s="1"/>
  <c r="AV119" i="14"/>
  <c r="AU150" i="14"/>
  <c r="AU151" i="14" s="1"/>
  <c r="AU152" i="14" s="1"/>
  <c r="AU157" i="14" s="1"/>
  <c r="AU160" i="14" s="1"/>
  <c r="AV79" i="21"/>
  <c r="AX133" i="7"/>
  <c r="AV100" i="14"/>
  <c r="AV101" i="14" s="1"/>
  <c r="AV102" i="14" s="1"/>
  <c r="AV107" i="14" s="1"/>
  <c r="AV110" i="14" s="1"/>
  <c r="O24" i="13"/>
  <c r="O50" i="8"/>
  <c r="O25" i="13" s="1"/>
  <c r="AN24" i="13"/>
  <c r="AN50" i="8"/>
  <c r="AN25" i="13" s="1"/>
  <c r="AJ68" i="14"/>
  <c r="AJ69" i="14" s="1"/>
  <c r="X39" i="8"/>
  <c r="X40" i="8" s="1"/>
  <c r="X38" i="8"/>
  <c r="AK3" i="15"/>
  <c r="AK3" i="21"/>
  <c r="AK7" i="21" s="1"/>
  <c r="AM13" i="15"/>
  <c r="AS8" i="11" s="1"/>
  <c r="AM9" i="15"/>
  <c r="AS6" i="11" s="1"/>
  <c r="AJ131" i="7"/>
  <c r="AJ194" i="7" s="1"/>
  <c r="AJ92" i="14" s="1"/>
  <c r="AJ229" i="7"/>
  <c r="AJ288" i="7" s="1"/>
  <c r="AJ117" i="14" s="1"/>
  <c r="AJ323" i="7"/>
  <c r="AJ388" i="7" s="1"/>
  <c r="AJ142" i="14" s="1"/>
  <c r="AY75" i="9"/>
  <c r="AZ75" i="9" s="1"/>
  <c r="AM7" i="15" l="1"/>
  <c r="AS5" i="11" s="1"/>
  <c r="AM29" i="15"/>
  <c r="AM37" i="15" s="1"/>
  <c r="AM11" i="15"/>
  <c r="AS7" i="11" s="1"/>
  <c r="AS92" i="11" s="1"/>
  <c r="AM19" i="15"/>
  <c r="AS11" i="11" s="1"/>
  <c r="AM17" i="15"/>
  <c r="AS10" i="11" s="1"/>
  <c r="AM31" i="15"/>
  <c r="AM10" i="13"/>
  <c r="AM15" i="15"/>
  <c r="AS9" i="11" s="1"/>
  <c r="AS127" i="11" s="1"/>
  <c r="AX344" i="7"/>
  <c r="AX325" i="7"/>
  <c r="AX347" i="7"/>
  <c r="AX337" i="7"/>
  <c r="AX343" i="7"/>
  <c r="AX336" i="7"/>
  <c r="AX334" i="7"/>
  <c r="AX323" i="7" s="1"/>
  <c r="AX388" i="7" s="1"/>
  <c r="AX142" i="14" s="1"/>
  <c r="AX143" i="14" s="1"/>
  <c r="AX147" i="14" s="1"/>
  <c r="AX148" i="14" s="1"/>
  <c r="AX149" i="14" s="1"/>
  <c r="AX252" i="7"/>
  <c r="AV144" i="14"/>
  <c r="AK15" i="17"/>
  <c r="AK27" i="13" s="1"/>
  <c r="AY128" i="7"/>
  <c r="AY129" i="7" s="1"/>
  <c r="AY147" i="7" s="1"/>
  <c r="AK168" i="7"/>
  <c r="AK183" i="7" s="1"/>
  <c r="AK108" i="7"/>
  <c r="AK165" i="7"/>
  <c r="AK180" i="7" s="1"/>
  <c r="AK167" i="7"/>
  <c r="AK182" i="7" s="1"/>
  <c r="AK162" i="7"/>
  <c r="AK177" i="7" s="1"/>
  <c r="AK166" i="7"/>
  <c r="AK181" i="7" s="1"/>
  <c r="AK171" i="7"/>
  <c r="AK186" i="7" s="1"/>
  <c r="AK164" i="7"/>
  <c r="AK179" i="7" s="1"/>
  <c r="AK170" i="7"/>
  <c r="AK185" i="7" s="1"/>
  <c r="AK169" i="7"/>
  <c r="AK184" i="7" s="1"/>
  <c r="AK163" i="7"/>
  <c r="AK178" i="7" s="1"/>
  <c r="AK161" i="7"/>
  <c r="AK176" i="7" s="1"/>
  <c r="AK160" i="7"/>
  <c r="AK175" i="7" s="1"/>
  <c r="AK159" i="7"/>
  <c r="AK174" i="7" s="1"/>
  <c r="AK359" i="7"/>
  <c r="AK374" i="7" s="1"/>
  <c r="AK355" i="7"/>
  <c r="AK370" i="7" s="1"/>
  <c r="AK351" i="7"/>
  <c r="AK366" i="7" s="1"/>
  <c r="AK361" i="7"/>
  <c r="AK376" i="7" s="1"/>
  <c r="AK354" i="7"/>
  <c r="AK369" i="7" s="1"/>
  <c r="AK357" i="7"/>
  <c r="AK372" i="7" s="1"/>
  <c r="AK360" i="7"/>
  <c r="AK375" i="7" s="1"/>
  <c r="AK358" i="7"/>
  <c r="AK373" i="7" s="1"/>
  <c r="AK356" i="7"/>
  <c r="AK371" i="7" s="1"/>
  <c r="AK362" i="7"/>
  <c r="AK377" i="7" s="1"/>
  <c r="AK352" i="7"/>
  <c r="AK367" i="7" s="1"/>
  <c r="AK298" i="7"/>
  <c r="AK316" i="7" s="1"/>
  <c r="AK317" i="7" s="1"/>
  <c r="AK328" i="7" s="1"/>
  <c r="AK363" i="7"/>
  <c r="AK378" i="7" s="1"/>
  <c r="AK302" i="7"/>
  <c r="AK353" i="7"/>
  <c r="AK368" i="7" s="1"/>
  <c r="AY256" i="7"/>
  <c r="AY271" i="7" s="1"/>
  <c r="AY286" i="7" s="1"/>
  <c r="AX242" i="7"/>
  <c r="AY226" i="7"/>
  <c r="AY227" i="7" s="1"/>
  <c r="AM168" i="7"/>
  <c r="AM183" i="7" s="1"/>
  <c r="AM161" i="7"/>
  <c r="AM176" i="7" s="1"/>
  <c r="AM166" i="7"/>
  <c r="AM181" i="7" s="1"/>
  <c r="AM163" i="7"/>
  <c r="AM178" i="7" s="1"/>
  <c r="AM160" i="7"/>
  <c r="AM175" i="7" s="1"/>
  <c r="AM170" i="7"/>
  <c r="AM185" i="7" s="1"/>
  <c r="AM165" i="7"/>
  <c r="AM180" i="7" s="1"/>
  <c r="AM162" i="7"/>
  <c r="AM177" i="7" s="1"/>
  <c r="AM169" i="7"/>
  <c r="AM184" i="7" s="1"/>
  <c r="AM164" i="7"/>
  <c r="AM179" i="7" s="1"/>
  <c r="AM159" i="7"/>
  <c r="AM174" i="7" s="1"/>
  <c r="AM171" i="7"/>
  <c r="AM186" i="7" s="1"/>
  <c r="AM108" i="7"/>
  <c r="AM167" i="7"/>
  <c r="AM182" i="7" s="1"/>
  <c r="AY208" i="7"/>
  <c r="AX235" i="7"/>
  <c r="AY212" i="7"/>
  <c r="AY213" i="7" s="1"/>
  <c r="AY222" i="7"/>
  <c r="AY246" i="7" s="1"/>
  <c r="AX231" i="7"/>
  <c r="AK208" i="7"/>
  <c r="AK267" i="7"/>
  <c r="AK282" i="7" s="1"/>
  <c r="AK260" i="7"/>
  <c r="AK275" i="7" s="1"/>
  <c r="AK266" i="7"/>
  <c r="AK281" i="7" s="1"/>
  <c r="AK258" i="7"/>
  <c r="AK273" i="7" s="1"/>
  <c r="AK262" i="7"/>
  <c r="AK277" i="7" s="1"/>
  <c r="AK259" i="7"/>
  <c r="AK274" i="7" s="1"/>
  <c r="AK269" i="7"/>
  <c r="AK284" i="7" s="1"/>
  <c r="AK261" i="7"/>
  <c r="AK276" i="7" s="1"/>
  <c r="AK257" i="7"/>
  <c r="AK272" i="7" s="1"/>
  <c r="AK204" i="7"/>
  <c r="AK217" i="7" s="1"/>
  <c r="AK265" i="7"/>
  <c r="AK280" i="7" s="1"/>
  <c r="AK264" i="7"/>
  <c r="AK279" i="7" s="1"/>
  <c r="AK268" i="7"/>
  <c r="AK283" i="7" s="1"/>
  <c r="AK263" i="7"/>
  <c r="AK278" i="7" s="1"/>
  <c r="AJ4" i="17"/>
  <c r="AJ7" i="17" s="1"/>
  <c r="AJ8" i="17" s="1"/>
  <c r="AJ9" i="17" s="1"/>
  <c r="AJ11" i="17" s="1"/>
  <c r="AJ12" i="17" s="1"/>
  <c r="AJ14" i="17" s="1"/>
  <c r="AJ28" i="13" s="1"/>
  <c r="AN3" i="22"/>
  <c r="AP3" i="11"/>
  <c r="AM22" i="7"/>
  <c r="AM25" i="7"/>
  <c r="AM68" i="7"/>
  <c r="AM83" i="7" s="1"/>
  <c r="AM98" i="7" s="1"/>
  <c r="AM30" i="7"/>
  <c r="AM39" i="7"/>
  <c r="AM35" i="7"/>
  <c r="AM21" i="7"/>
  <c r="AX241" i="7"/>
  <c r="AK22" i="7"/>
  <c r="AK21" i="7"/>
  <c r="AK68" i="7"/>
  <c r="AK83" i="7" s="1"/>
  <c r="AK98" i="7" s="1"/>
  <c r="AK39" i="7"/>
  <c r="AK35" i="7"/>
  <c r="AK30" i="7"/>
  <c r="AK25" i="7"/>
  <c r="AM354" i="7"/>
  <c r="AM369" i="7" s="1"/>
  <c r="AM359" i="7"/>
  <c r="AM374" i="7" s="1"/>
  <c r="AM358" i="7"/>
  <c r="AM373" i="7" s="1"/>
  <c r="AM355" i="7"/>
  <c r="AM370" i="7" s="1"/>
  <c r="AM360" i="7"/>
  <c r="AM375" i="7" s="1"/>
  <c r="AM298" i="7"/>
  <c r="AM352" i="7"/>
  <c r="AM367" i="7" s="1"/>
  <c r="AM361" i="7"/>
  <c r="AM376" i="7" s="1"/>
  <c r="AM357" i="7"/>
  <c r="AM372" i="7" s="1"/>
  <c r="AM351" i="7"/>
  <c r="AM366" i="7" s="1"/>
  <c r="AM362" i="7"/>
  <c r="AM377" i="7" s="1"/>
  <c r="AM353" i="7"/>
  <c r="AM368" i="7" s="1"/>
  <c r="AM356" i="7"/>
  <c r="AM371" i="7" s="1"/>
  <c r="AM363" i="7"/>
  <c r="AM378" i="7" s="1"/>
  <c r="AX236" i="7"/>
  <c r="AM204" i="7"/>
  <c r="AM226" i="7" s="1"/>
  <c r="AM260" i="7"/>
  <c r="AM275" i="7" s="1"/>
  <c r="AM258" i="7"/>
  <c r="AM273" i="7" s="1"/>
  <c r="AM267" i="7"/>
  <c r="AM282" i="7" s="1"/>
  <c r="AM264" i="7"/>
  <c r="AM279" i="7" s="1"/>
  <c r="AM263" i="7"/>
  <c r="AM278" i="7" s="1"/>
  <c r="AM268" i="7"/>
  <c r="AM283" i="7" s="1"/>
  <c r="AM265" i="7"/>
  <c r="AM280" i="7" s="1"/>
  <c r="AM262" i="7"/>
  <c r="AM277" i="7" s="1"/>
  <c r="AM266" i="7"/>
  <c r="AM281" i="7" s="1"/>
  <c r="AM259" i="7"/>
  <c r="AM274" i="7" s="1"/>
  <c r="AM257" i="7"/>
  <c r="AM272" i="7" s="1"/>
  <c r="AM269" i="7"/>
  <c r="AM284" i="7" s="1"/>
  <c r="AM261" i="7"/>
  <c r="AM276" i="7" s="1"/>
  <c r="AX247" i="7"/>
  <c r="AY209" i="7"/>
  <c r="AZ22" i="7"/>
  <c r="AT17" i="9"/>
  <c r="AT18" i="9" s="1"/>
  <c r="AX2" i="10" s="1"/>
  <c r="AT44" i="9"/>
  <c r="AT45" i="9" s="1"/>
  <c r="AT55" i="9" s="1"/>
  <c r="AT22" i="9"/>
  <c r="AT23" i="9" s="1"/>
  <c r="AX3" i="10" s="1"/>
  <c r="AT27" i="9"/>
  <c r="AT28" i="9" s="1"/>
  <c r="AX4" i="10" s="1"/>
  <c r="AT33" i="9"/>
  <c r="AT34" i="9" s="1"/>
  <c r="AX5" i="10" s="1"/>
  <c r="AT36" i="9"/>
  <c r="AX7" i="10" s="1"/>
  <c r="AT38" i="9"/>
  <c r="AT39" i="9" s="1"/>
  <c r="AX251" i="7"/>
  <c r="AX218" i="7"/>
  <c r="AX237" i="7"/>
  <c r="AX230" i="7"/>
  <c r="AX250" i="7"/>
  <c r="AX254" i="7"/>
  <c r="AX246" i="7"/>
  <c r="AX243" i="7"/>
  <c r="AX240" i="7"/>
  <c r="AX245" i="7"/>
  <c r="AX234" i="7"/>
  <c r="AX239" i="7"/>
  <c r="AX238" i="7"/>
  <c r="AX253" i="7"/>
  <c r="AX248" i="7"/>
  <c r="AW67" i="14"/>
  <c r="AW68" i="14" s="1"/>
  <c r="AW72" i="14" s="1"/>
  <c r="AW73" i="14" s="1"/>
  <c r="AW74" i="14" s="1"/>
  <c r="AW75" i="14" s="1"/>
  <c r="AW76" i="14" s="1"/>
  <c r="AW77" i="14" s="1"/>
  <c r="AW82" i="14" s="1"/>
  <c r="AW85" i="14" s="1"/>
  <c r="AZ259" i="7"/>
  <c r="AZ274" i="7" s="1"/>
  <c r="BA76" i="7"/>
  <c r="BA91" i="7" s="1"/>
  <c r="AZ20" i="13"/>
  <c r="AZ11" i="7"/>
  <c r="AX3" i="21"/>
  <c r="AX7" i="21" s="1"/>
  <c r="BB209" i="22" s="1"/>
  <c r="BD3" i="11"/>
  <c r="BB3" i="22"/>
  <c r="BE3" i="11"/>
  <c r="BC3" i="22"/>
  <c r="AX41" i="7"/>
  <c r="AX99" i="7" s="1"/>
  <c r="AZ166" i="7"/>
  <c r="AZ181" i="7" s="1"/>
  <c r="E47" i="8"/>
  <c r="E48" i="8" s="1"/>
  <c r="AW323" i="7"/>
  <c r="AW388" i="7" s="1"/>
  <c r="AW142" i="14" s="1"/>
  <c r="AW143" i="14" s="1"/>
  <c r="AW147" i="14" s="1"/>
  <c r="AW148" i="14" s="1"/>
  <c r="AW149" i="14" s="1"/>
  <c r="AW150" i="14" s="1"/>
  <c r="AW151" i="14" s="1"/>
  <c r="AW152" i="14" s="1"/>
  <c r="AW157" i="14" s="1"/>
  <c r="AW160" i="14" s="1"/>
  <c r="BA71" i="7"/>
  <c r="BA86" i="7" s="1"/>
  <c r="AZ164" i="7"/>
  <c r="AZ179" i="7" s="1"/>
  <c r="AZ161" i="7"/>
  <c r="AZ176" i="7" s="1"/>
  <c r="AZ162" i="7"/>
  <c r="AZ177" i="7" s="1"/>
  <c r="AZ160" i="7"/>
  <c r="AZ175" i="7" s="1"/>
  <c r="AZ159" i="7"/>
  <c r="AZ174" i="7" s="1"/>
  <c r="AZ169" i="7"/>
  <c r="AZ184" i="7" s="1"/>
  <c r="AY350" i="7"/>
  <c r="AY365" i="7" s="1"/>
  <c r="AY380" i="7" s="1"/>
  <c r="AZ163" i="7"/>
  <c r="AZ178" i="7" s="1"/>
  <c r="AZ204" i="7"/>
  <c r="AZ256" i="7" s="1"/>
  <c r="AZ271" i="7" s="1"/>
  <c r="AZ170" i="7"/>
  <c r="AZ185" i="7" s="1"/>
  <c r="AZ353" i="7"/>
  <c r="AZ368" i="7" s="1"/>
  <c r="AZ108" i="7"/>
  <c r="AZ111" i="7" s="1"/>
  <c r="AZ355" i="7"/>
  <c r="AZ370" i="7" s="1"/>
  <c r="AZ171" i="7"/>
  <c r="AZ186" i="7" s="1"/>
  <c r="AZ165" i="7"/>
  <c r="AZ180" i="7" s="1"/>
  <c r="AZ168" i="7"/>
  <c r="AZ183" i="7" s="1"/>
  <c r="AY114" i="7"/>
  <c r="AY115" i="7" s="1"/>
  <c r="AY153" i="7" s="1"/>
  <c r="AS20" i="11"/>
  <c r="AS63" i="11"/>
  <c r="BC132" i="11"/>
  <c r="AY46" i="10"/>
  <c r="AR36" i="8"/>
  <c r="AR39" i="8" s="1"/>
  <c r="BC119" i="11"/>
  <c r="AV71" i="10"/>
  <c r="AY158" i="7"/>
  <c r="AY173" i="7" s="1"/>
  <c r="AY188" i="7" s="1"/>
  <c r="BC23" i="11"/>
  <c r="AZ30" i="7"/>
  <c r="AZ66" i="7" s="1"/>
  <c r="BC90" i="11"/>
  <c r="BC50" i="11"/>
  <c r="BC37" i="11"/>
  <c r="BC57" i="11"/>
  <c r="BC93" i="11"/>
  <c r="BC63" i="11"/>
  <c r="BC91" i="11"/>
  <c r="BC21" i="11"/>
  <c r="AS132" i="11"/>
  <c r="AS61" i="11"/>
  <c r="AS53" i="11"/>
  <c r="AS48" i="11"/>
  <c r="BC136" i="11"/>
  <c r="AS124" i="11"/>
  <c r="AZ35" i="7"/>
  <c r="AZ45" i="7" s="1"/>
  <c r="BC19" i="11"/>
  <c r="BC82" i="11"/>
  <c r="BC70" i="11"/>
  <c r="BC61" i="11"/>
  <c r="BC115" i="11"/>
  <c r="BC97" i="11"/>
  <c r="BC104" i="11"/>
  <c r="AS80" i="11"/>
  <c r="AS87" i="11"/>
  <c r="AS101" i="11"/>
  <c r="AS136" i="11"/>
  <c r="AS93" i="11"/>
  <c r="AS89" i="11"/>
  <c r="AS128" i="11"/>
  <c r="AZ21" i="7"/>
  <c r="BC65" i="11"/>
  <c r="BC111" i="11"/>
  <c r="BC51" i="11"/>
  <c r="BC81" i="11"/>
  <c r="BC121" i="11"/>
  <c r="BC105" i="11"/>
  <c r="BC88" i="11"/>
  <c r="AS73" i="11"/>
  <c r="AS110" i="11"/>
  <c r="AS77" i="11"/>
  <c r="AS70" i="11"/>
  <c r="AS115" i="11"/>
  <c r="AS117" i="11"/>
  <c r="BC28" i="11"/>
  <c r="BC30" i="11"/>
  <c r="BC103" i="11"/>
  <c r="BC125" i="11"/>
  <c r="BC54" i="11"/>
  <c r="BC131" i="11"/>
  <c r="BC92" i="11"/>
  <c r="AS59" i="11"/>
  <c r="AS57" i="11"/>
  <c r="AS94" i="11"/>
  <c r="AS30" i="11"/>
  <c r="AS125" i="11"/>
  <c r="AS104" i="11"/>
  <c r="BB13" i="11"/>
  <c r="BB15" i="11" s="1"/>
  <c r="BC29" i="11"/>
  <c r="BC55" i="11"/>
  <c r="BC123" i="11"/>
  <c r="BC62" i="11"/>
  <c r="BC31" i="11"/>
  <c r="BC129" i="11"/>
  <c r="BC127" i="11"/>
  <c r="AS111" i="11"/>
  <c r="AS60" i="11"/>
  <c r="AS109" i="11"/>
  <c r="AS68" i="11"/>
  <c r="AS24" i="11"/>
  <c r="AS137" i="11"/>
  <c r="BC53" i="11"/>
  <c r="AS44" i="11"/>
  <c r="BC20" i="11"/>
  <c r="BC85" i="11"/>
  <c r="BC45" i="11"/>
  <c r="BC47" i="11"/>
  <c r="BC102" i="11"/>
  <c r="BC130" i="11"/>
  <c r="BC112" i="11"/>
  <c r="AS50" i="11"/>
  <c r="AS85" i="11"/>
  <c r="AS82" i="11"/>
  <c r="AS126" i="11"/>
  <c r="AS54" i="11"/>
  <c r="AS25" i="11"/>
  <c r="AS21" i="11"/>
  <c r="BC32" i="11"/>
  <c r="BC106" i="11"/>
  <c r="BC25" i="11"/>
  <c r="BC58" i="11"/>
  <c r="BC110" i="11"/>
  <c r="BC89" i="11"/>
  <c r="BC68" i="11"/>
  <c r="AS116" i="11"/>
  <c r="AS26" i="11"/>
  <c r="AS45" i="11"/>
  <c r="AS52" i="11"/>
  <c r="AS86" i="11"/>
  <c r="AS28" i="11"/>
  <c r="BC40" i="11"/>
  <c r="BC41" i="11"/>
  <c r="BC24" i="11"/>
  <c r="BC98" i="11"/>
  <c r="BC87" i="11"/>
  <c r="BC137" i="11"/>
  <c r="BC86" i="11"/>
  <c r="BC100" i="11"/>
  <c r="AS135" i="11"/>
  <c r="AS64" i="11"/>
  <c r="AS123" i="11"/>
  <c r="AS97" i="11"/>
  <c r="AS121" i="11"/>
  <c r="AS113" i="11"/>
  <c r="AS27" i="11"/>
  <c r="BC126" i="11"/>
  <c r="BC22" i="11"/>
  <c r="AV60" i="10"/>
  <c r="BC48" i="11"/>
  <c r="BC38" i="11"/>
  <c r="BC107" i="11"/>
  <c r="BC133" i="11"/>
  <c r="BC73" i="11"/>
  <c r="BC114" i="11"/>
  <c r="BC109" i="11"/>
  <c r="AS36" i="11"/>
  <c r="AS130" i="11"/>
  <c r="AS90" i="11"/>
  <c r="AS96" i="11"/>
  <c r="AS29" i="11"/>
  <c r="AS98" i="11"/>
  <c r="AS19" i="11"/>
  <c r="AS75" i="11"/>
  <c r="AV93" i="10"/>
  <c r="BB12" i="11"/>
  <c r="BB14" i="11" s="1"/>
  <c r="BC69" i="11"/>
  <c r="BC66" i="11"/>
  <c r="BC118" i="11"/>
  <c r="BC43" i="11"/>
  <c r="BC39" i="11"/>
  <c r="BC116" i="11"/>
  <c r="BC138" i="11"/>
  <c r="AS56" i="11"/>
  <c r="AS34" i="11"/>
  <c r="AS46" i="11"/>
  <c r="AS129" i="11"/>
  <c r="AS38" i="11"/>
  <c r="AS103" i="11"/>
  <c r="AS42" i="11"/>
  <c r="AS107" i="11"/>
  <c r="AV73" i="10"/>
  <c r="BC52" i="11"/>
  <c r="BC77" i="11"/>
  <c r="BC46" i="11"/>
  <c r="BC56" i="11"/>
  <c r="BC80" i="11"/>
  <c r="BC96" i="11"/>
  <c r="BC36" i="11"/>
  <c r="AS84" i="11"/>
  <c r="AS62" i="11"/>
  <c r="AS83" i="11"/>
  <c r="AS120" i="11"/>
  <c r="AS69" i="11"/>
  <c r="AS41" i="11"/>
  <c r="AS35" i="11"/>
  <c r="AZ25" i="7"/>
  <c r="AZ26" i="7" s="1"/>
  <c r="AV155" i="10"/>
  <c r="BC84" i="11"/>
  <c r="BC124" i="11"/>
  <c r="BC33" i="11"/>
  <c r="BC71" i="11"/>
  <c r="BC122" i="11"/>
  <c r="BC101" i="11"/>
  <c r="BC128" i="11"/>
  <c r="AS65" i="11"/>
  <c r="AS133" i="11"/>
  <c r="AS119" i="11"/>
  <c r="AS102" i="11"/>
  <c r="AS49" i="11"/>
  <c r="AS91" i="11"/>
  <c r="AS88" i="11"/>
  <c r="AS31" i="11"/>
  <c r="BC95" i="11"/>
  <c r="AS58" i="11"/>
  <c r="AV191" i="10"/>
  <c r="BC26" i="11"/>
  <c r="BC75" i="11"/>
  <c r="BC67" i="11"/>
  <c r="BC76" i="11"/>
  <c r="BC113" i="11"/>
  <c r="BC27" i="11"/>
  <c r="BC83" i="11"/>
  <c r="BC94" i="11"/>
  <c r="AZ12" i="11"/>
  <c r="AZ14" i="11" s="1"/>
  <c r="AT21" i="15" s="1"/>
  <c r="AT5" i="9" s="1"/>
  <c r="AS106" i="11"/>
  <c r="AS71" i="11"/>
  <c r="AS72" i="11"/>
  <c r="AS100" i="11"/>
  <c r="AS22" i="11"/>
  <c r="AS112" i="11"/>
  <c r="AS95" i="11"/>
  <c r="AS39" i="11"/>
  <c r="BC35" i="11"/>
  <c r="AV129" i="10"/>
  <c r="BC34" i="11"/>
  <c r="BC108" i="11"/>
  <c r="BC42" i="11"/>
  <c r="BC74" i="11"/>
  <c r="BC134" i="11"/>
  <c r="BC49" i="11"/>
  <c r="BC117" i="11"/>
  <c r="BC99" i="11"/>
  <c r="AS55" i="11"/>
  <c r="AS47" i="11"/>
  <c r="AS81" i="11"/>
  <c r="AS74" i="11"/>
  <c r="AS67" i="11"/>
  <c r="AS134" i="11"/>
  <c r="AS99" i="11"/>
  <c r="AS43" i="11"/>
  <c r="AV101" i="10"/>
  <c r="BC59" i="11"/>
  <c r="BC120" i="11"/>
  <c r="BC64" i="11"/>
  <c r="BC135" i="11"/>
  <c r="BC44" i="11"/>
  <c r="BC60" i="11"/>
  <c r="BC72" i="11"/>
  <c r="AZ13" i="11"/>
  <c r="AZ15" i="11" s="1"/>
  <c r="AT22" i="15" s="1"/>
  <c r="AT43" i="15" s="1"/>
  <c r="AS76" i="11"/>
  <c r="AS108" i="11"/>
  <c r="AS105" i="11"/>
  <c r="AS138" i="11"/>
  <c r="AS66" i="11"/>
  <c r="AS37" i="11"/>
  <c r="AS114" i="11"/>
  <c r="AS23" i="11"/>
  <c r="J50" i="8"/>
  <c r="J25" i="13" s="1"/>
  <c r="AZ264" i="7"/>
  <c r="AZ279" i="7" s="1"/>
  <c r="AV180" i="10"/>
  <c r="AV186" i="10"/>
  <c r="AV200" i="10"/>
  <c r="AV49" i="10"/>
  <c r="AZ266" i="7"/>
  <c r="AZ281" i="7" s="1"/>
  <c r="AR46" i="21"/>
  <c r="AR47" i="21" s="1"/>
  <c r="AR48" i="21" s="1"/>
  <c r="AR39" i="21"/>
  <c r="AR43" i="21"/>
  <c r="AR53" i="21"/>
  <c r="AR54" i="21" s="1"/>
  <c r="AV162" i="10"/>
  <c r="AV64" i="10"/>
  <c r="AV163" i="10"/>
  <c r="AV95" i="10"/>
  <c r="AZ263" i="7"/>
  <c r="AZ278" i="7" s="1"/>
  <c r="AV90" i="10"/>
  <c r="AV166" i="10"/>
  <c r="AV58" i="10"/>
  <c r="AV177" i="10"/>
  <c r="AV139" i="10"/>
  <c r="AZ261" i="7"/>
  <c r="AZ276" i="7" s="1"/>
  <c r="AV127" i="10"/>
  <c r="AV188" i="10"/>
  <c r="AV105" i="10"/>
  <c r="AV195" i="10"/>
  <c r="AV165" i="10"/>
  <c r="AV152" i="10"/>
  <c r="AV99" i="10"/>
  <c r="AV184" i="10"/>
  <c r="AV48" i="10"/>
  <c r="AY26" i="10"/>
  <c r="AY16" i="10"/>
  <c r="AY24" i="10"/>
  <c r="AY18" i="10"/>
  <c r="AY22" i="10"/>
  <c r="AY32" i="10"/>
  <c r="AY42" i="10"/>
  <c r="AY160" i="10"/>
  <c r="AY98" i="10"/>
  <c r="AY69" i="10"/>
  <c r="AY19" i="10"/>
  <c r="AY202" i="10"/>
  <c r="AY143" i="10"/>
  <c r="AY133" i="10"/>
  <c r="AY118" i="10"/>
  <c r="AY87" i="10"/>
  <c r="AY31" i="10"/>
  <c r="AY154" i="10"/>
  <c r="AY145" i="10"/>
  <c r="AY100" i="10"/>
  <c r="AY117" i="10"/>
  <c r="AY86" i="10"/>
  <c r="AY44" i="10"/>
  <c r="AY169" i="10"/>
  <c r="AY197" i="10"/>
  <c r="AY92" i="10"/>
  <c r="AY85" i="10"/>
  <c r="AY54" i="10"/>
  <c r="AY21" i="10"/>
  <c r="AY173" i="10"/>
  <c r="AY149" i="10"/>
  <c r="AY181" i="10"/>
  <c r="AY192" i="10"/>
  <c r="AY156" i="10"/>
  <c r="AY144" i="10"/>
  <c r="AY116" i="10"/>
  <c r="AY29" i="10"/>
  <c r="AY196" i="10"/>
  <c r="AY167" i="10"/>
  <c r="AY137" i="10"/>
  <c r="AY91" i="10"/>
  <c r="AY55" i="10"/>
  <c r="AY17" i="10"/>
  <c r="AY136" i="10"/>
  <c r="AY148" i="10"/>
  <c r="AY112" i="10"/>
  <c r="AY75" i="10"/>
  <c r="AY89" i="10"/>
  <c r="AY164" i="10"/>
  <c r="AY121" i="10"/>
  <c r="AY146" i="10"/>
  <c r="AY67" i="10"/>
  <c r="AY88" i="10"/>
  <c r="AY81" i="10"/>
  <c r="AY201" i="10"/>
  <c r="AY194" i="10"/>
  <c r="AY161" i="10"/>
  <c r="AY113" i="10"/>
  <c r="AY41" i="10"/>
  <c r="AY179" i="10"/>
  <c r="AY157" i="10"/>
  <c r="AY107" i="10"/>
  <c r="AY65" i="10"/>
  <c r="AY30" i="10"/>
  <c r="AY171" i="10"/>
  <c r="AY151" i="10"/>
  <c r="AY106" i="10"/>
  <c r="AY63" i="10"/>
  <c r="AY52" i="10"/>
  <c r="AY182" i="10"/>
  <c r="AY158" i="10"/>
  <c r="AY130" i="10"/>
  <c r="AY102" i="10"/>
  <c r="AY84" i="10"/>
  <c r="AY70" i="10"/>
  <c r="AY34" i="10"/>
  <c r="AY190" i="10"/>
  <c r="AY111" i="10"/>
  <c r="AY124" i="10"/>
  <c r="AY83" i="10"/>
  <c r="AY33" i="10"/>
  <c r="AY178" i="10"/>
  <c r="AY159" i="10"/>
  <c r="AY115" i="10"/>
  <c r="AY74" i="10"/>
  <c r="AY62" i="10"/>
  <c r="AY27" i="10"/>
  <c r="AY168" i="10"/>
  <c r="AY135" i="10"/>
  <c r="AY110" i="10"/>
  <c r="AY82" i="10"/>
  <c r="AY80" i="10"/>
  <c r="AY51" i="10"/>
  <c r="AY189" i="10"/>
  <c r="AY109" i="10"/>
  <c r="AY108" i="10"/>
  <c r="AY37" i="10"/>
  <c r="AY40" i="10"/>
  <c r="AZ260" i="7"/>
  <c r="AZ275" i="7" s="1"/>
  <c r="BA70" i="7"/>
  <c r="BA85" i="7" s="1"/>
  <c r="AV42" i="10"/>
  <c r="AV31" i="10"/>
  <c r="AV19" i="10"/>
  <c r="AV24" i="10"/>
  <c r="AV27" i="10"/>
  <c r="AV22" i="10"/>
  <c r="AV182" i="10"/>
  <c r="AV164" i="10"/>
  <c r="AV111" i="10"/>
  <c r="AV159" i="10"/>
  <c r="AV69" i="10"/>
  <c r="AV54" i="10"/>
  <c r="AV190" i="10"/>
  <c r="AV161" i="10"/>
  <c r="AV143" i="10"/>
  <c r="AV51" i="10"/>
  <c r="AV55" i="10"/>
  <c r="AV197" i="10"/>
  <c r="AV178" i="10"/>
  <c r="AV157" i="10"/>
  <c r="AV137" i="10"/>
  <c r="AV81" i="10"/>
  <c r="AV173" i="10"/>
  <c r="AV130" i="10"/>
  <c r="AV116" i="10"/>
  <c r="AV86" i="10"/>
  <c r="AV167" i="10"/>
  <c r="AV100" i="10"/>
  <c r="AV92" i="10"/>
  <c r="AV82" i="10"/>
  <c r="AV70" i="10"/>
  <c r="AV41" i="10"/>
  <c r="AV136" i="10"/>
  <c r="AV75" i="10"/>
  <c r="AV63" i="10"/>
  <c r="AV30" i="10"/>
  <c r="AV189" i="10"/>
  <c r="AV192" i="10"/>
  <c r="AV133" i="10"/>
  <c r="AV117" i="10"/>
  <c r="AV112" i="10"/>
  <c r="AV67" i="10"/>
  <c r="AV202" i="10"/>
  <c r="AV160" i="10"/>
  <c r="AV151" i="10"/>
  <c r="AV115" i="10"/>
  <c r="AV124" i="10"/>
  <c r="AV37" i="10"/>
  <c r="AV181" i="10"/>
  <c r="AV135" i="10"/>
  <c r="AV121" i="10"/>
  <c r="AV102" i="10"/>
  <c r="AV52" i="10"/>
  <c r="AV21" i="10"/>
  <c r="AV29" i="10"/>
  <c r="AV194" i="10"/>
  <c r="AV168" i="10"/>
  <c r="AV146" i="10"/>
  <c r="AV113" i="10"/>
  <c r="AV108" i="10"/>
  <c r="AV87" i="10"/>
  <c r="AV32" i="10"/>
  <c r="AV196" i="10"/>
  <c r="AV154" i="10"/>
  <c r="AV144" i="10"/>
  <c r="AV88" i="10"/>
  <c r="AV107" i="10"/>
  <c r="AV89" i="10"/>
  <c r="AV62" i="10"/>
  <c r="AV149" i="10"/>
  <c r="AV80" i="10"/>
  <c r="AV106" i="10"/>
  <c r="AV85" i="10"/>
  <c r="AV74" i="10"/>
  <c r="AV40" i="10"/>
  <c r="AV158" i="10"/>
  <c r="AV110" i="10"/>
  <c r="AV84" i="10"/>
  <c r="AV201" i="10"/>
  <c r="AV169" i="10"/>
  <c r="AV145" i="10"/>
  <c r="AV98" i="10"/>
  <c r="AV109" i="10"/>
  <c r="AV83" i="10"/>
  <c r="AV18" i="10"/>
  <c r="AV33" i="10"/>
  <c r="AV179" i="10"/>
  <c r="AV156" i="10"/>
  <c r="AV46" i="10"/>
  <c r="AV171" i="10"/>
  <c r="AV148" i="10"/>
  <c r="AV118" i="10"/>
  <c r="AV65" i="10"/>
  <c r="AV91" i="10"/>
  <c r="AV34" i="10"/>
  <c r="AV17" i="10"/>
  <c r="AV44" i="10"/>
  <c r="AV193" i="10"/>
  <c r="AV126" i="10"/>
  <c r="AV199" i="10"/>
  <c r="AV35" i="10"/>
  <c r="AV57" i="10"/>
  <c r="AZ267" i="7"/>
  <c r="AZ282" i="7" s="1"/>
  <c r="AZ268" i="7"/>
  <c r="AZ283" i="7" s="1"/>
  <c r="BA74" i="7"/>
  <c r="BA89" i="7" s="1"/>
  <c r="AV61" i="10"/>
  <c r="AV170" i="10"/>
  <c r="AV47" i="10"/>
  <c r="AV94" i="10"/>
  <c r="AV103" i="10"/>
  <c r="AZ265" i="7"/>
  <c r="AZ280" i="7" s="1"/>
  <c r="AV134" i="10"/>
  <c r="AV45" i="10"/>
  <c r="AV66" i="10"/>
  <c r="AV131" i="10"/>
  <c r="AV198" i="10"/>
  <c r="AZ269" i="7"/>
  <c r="AZ284" i="7" s="1"/>
  <c r="AV20" i="10"/>
  <c r="AV150" i="10"/>
  <c r="AV72" i="10"/>
  <c r="AV59" i="10"/>
  <c r="AV172" i="10"/>
  <c r="AV39" i="10"/>
  <c r="AZ257" i="7"/>
  <c r="AZ272" i="7" s="1"/>
  <c r="AV38" i="10"/>
  <c r="AV26" i="10"/>
  <c r="AV96" i="10"/>
  <c r="AV153" i="10"/>
  <c r="AV175" i="10"/>
  <c r="AV23" i="10"/>
  <c r="AZ258" i="7"/>
  <c r="AZ273" i="7" s="1"/>
  <c r="AV28" i="10"/>
  <c r="AV56" i="10"/>
  <c r="AV183" i="10"/>
  <c r="AV68" i="10"/>
  <c r="AV25" i="10"/>
  <c r="AY20" i="10"/>
  <c r="AY187" i="10"/>
  <c r="AY162" i="10"/>
  <c r="AY163" i="10"/>
  <c r="AY139" i="10"/>
  <c r="AY172" i="10"/>
  <c r="AY119" i="10"/>
  <c r="AY73" i="10"/>
  <c r="AY35" i="10"/>
  <c r="AY177" i="10"/>
  <c r="AY191" i="10"/>
  <c r="AY61" i="10"/>
  <c r="AY23" i="10"/>
  <c r="AY147" i="10"/>
  <c r="AY125" i="10"/>
  <c r="AY104" i="10"/>
  <c r="AY60" i="10"/>
  <c r="AY39" i="10"/>
  <c r="AY183" i="10"/>
  <c r="AY166" i="10"/>
  <c r="AY129" i="10"/>
  <c r="AY131" i="10"/>
  <c r="AY95" i="10"/>
  <c r="AY72" i="10"/>
  <c r="AY49" i="10"/>
  <c r="AY38" i="10"/>
  <c r="AY94" i="10"/>
  <c r="AY93" i="10"/>
  <c r="AY71" i="10"/>
  <c r="AY25" i="10"/>
  <c r="AY174" i="10"/>
  <c r="AY184" i="10"/>
  <c r="AY114" i="10"/>
  <c r="AY101" i="10"/>
  <c r="AY188" i="10"/>
  <c r="AY186" i="10"/>
  <c r="AY153" i="10"/>
  <c r="AY47" i="10"/>
  <c r="AY50" i="10"/>
  <c r="AY180" i="10"/>
  <c r="AY199" i="10"/>
  <c r="AY97" i="10"/>
  <c r="AY43" i="10"/>
  <c r="AY134" i="10"/>
  <c r="AY122" i="10"/>
  <c r="AY59" i="10"/>
  <c r="AY103" i="10"/>
  <c r="AY68" i="10"/>
  <c r="AY193" i="10"/>
  <c r="AY105" i="10"/>
  <c r="AY127" i="10"/>
  <c r="AY99" i="10"/>
  <c r="AY66" i="10"/>
  <c r="AY185" i="10"/>
  <c r="AY152" i="10"/>
  <c r="AY132" i="10"/>
  <c r="AY96" i="10"/>
  <c r="AY48" i="10"/>
  <c r="AY198" i="10"/>
  <c r="AY138" i="10"/>
  <c r="AY58" i="10"/>
  <c r="AY165" i="10"/>
  <c r="AY175" i="10"/>
  <c r="AY123" i="10"/>
  <c r="AY57" i="10"/>
  <c r="AY64" i="10"/>
  <c r="AY195" i="10"/>
  <c r="AY90" i="10"/>
  <c r="AY126" i="10"/>
  <c r="AY53" i="10"/>
  <c r="AY200" i="10"/>
  <c r="AY155" i="10"/>
  <c r="AY128" i="10"/>
  <c r="AY45" i="10"/>
  <c r="AY176" i="10"/>
  <c r="AY170" i="10"/>
  <c r="AY150" i="10"/>
  <c r="AY120" i="10"/>
  <c r="AY36" i="10"/>
  <c r="AY28" i="10"/>
  <c r="AY56" i="10"/>
  <c r="AZ262" i="7"/>
  <c r="AZ277" i="7" s="1"/>
  <c r="AV50" i="10"/>
  <c r="AV125" i="10"/>
  <c r="AV36" i="10"/>
  <c r="AV114" i="10"/>
  <c r="AV43" i="10"/>
  <c r="AV119" i="10"/>
  <c r="AV123" i="10"/>
  <c r="AV53" i="10"/>
  <c r="AV128" i="10"/>
  <c r="AV97" i="10"/>
  <c r="AV187" i="10"/>
  <c r="AV147" i="10"/>
  <c r="AV122" i="10"/>
  <c r="AV174" i="10"/>
  <c r="AV120" i="10"/>
  <c r="AT26" i="21"/>
  <c r="AW229" i="7"/>
  <c r="AW288" i="7" s="1"/>
  <c r="AW117" i="14" s="1"/>
  <c r="AW118" i="14" s="1"/>
  <c r="AW122" i="14" s="1"/>
  <c r="AW123" i="14" s="1"/>
  <c r="AW124" i="14" s="1"/>
  <c r="AW125" i="14" s="1"/>
  <c r="AW126" i="14" s="1"/>
  <c r="AW127" i="14" s="1"/>
  <c r="AW132" i="14" s="1"/>
  <c r="AW135" i="14" s="1"/>
  <c r="AV185" i="10"/>
  <c r="AV138" i="10"/>
  <c r="AV104" i="10"/>
  <c r="AV176" i="10"/>
  <c r="AV132" i="10"/>
  <c r="AV16" i="10"/>
  <c r="AO219" i="22"/>
  <c r="AO217" i="22"/>
  <c r="AO215" i="22"/>
  <c r="AO211" i="22"/>
  <c r="AO209" i="22"/>
  <c r="AO207" i="22"/>
  <c r="AO205" i="22"/>
  <c r="AO203" i="22"/>
  <c r="AO199" i="22"/>
  <c r="AO223" i="22"/>
  <c r="AO227" i="22"/>
  <c r="AO220" i="22"/>
  <c r="AO218" i="22"/>
  <c r="AO216" i="22"/>
  <c r="AO212" i="22"/>
  <c r="AO224" i="22"/>
  <c r="AO200" i="22"/>
  <c r="AO197" i="22"/>
  <c r="AO208" i="22"/>
  <c r="AO194" i="22"/>
  <c r="AO192" i="22"/>
  <c r="AO190" i="22"/>
  <c r="AO204" i="22"/>
  <c r="AO196" i="22"/>
  <c r="AO210" i="22"/>
  <c r="AO206" i="22"/>
  <c r="AO198" i="22"/>
  <c r="AO188" i="22"/>
  <c r="AO183" i="22"/>
  <c r="AO187" i="22"/>
  <c r="AO193" i="22"/>
  <c r="AO189" i="22"/>
  <c r="AO185" i="22"/>
  <c r="AO172" i="22"/>
  <c r="AO173" i="22"/>
  <c r="AO178" i="22"/>
  <c r="AO195" i="22"/>
  <c r="AO186" i="22"/>
  <c r="AO168" i="22"/>
  <c r="AO191" i="22"/>
  <c r="AO176" i="22"/>
  <c r="AO157" i="22"/>
  <c r="AO153" i="22"/>
  <c r="AO151" i="22"/>
  <c r="AO147" i="22"/>
  <c r="AK65" i="21" s="1"/>
  <c r="AO143" i="22"/>
  <c r="AO139" i="22"/>
  <c r="AO137" i="22"/>
  <c r="AO135" i="22"/>
  <c r="AO166" i="22"/>
  <c r="AO163" i="22"/>
  <c r="AO175" i="22"/>
  <c r="AO184" i="22"/>
  <c r="AO164" i="22"/>
  <c r="AO171" i="22"/>
  <c r="AO154" i="22"/>
  <c r="AO181" i="22"/>
  <c r="AO158" i="22"/>
  <c r="AO177" i="22"/>
  <c r="AO167" i="22"/>
  <c r="AO162" i="22"/>
  <c r="AO144" i="22"/>
  <c r="AO161" i="22"/>
  <c r="AO133" i="22"/>
  <c r="AO129" i="22"/>
  <c r="AO127" i="22"/>
  <c r="AO125" i="22"/>
  <c r="AO180" i="22"/>
  <c r="AO150" i="22"/>
  <c r="AO169" i="22"/>
  <c r="AO136" i="22"/>
  <c r="AO174" i="22"/>
  <c r="AO152" i="22"/>
  <c r="AO138" i="22"/>
  <c r="AO182" i="22"/>
  <c r="AO170" i="22"/>
  <c r="AO165" i="22"/>
  <c r="AO123" i="22"/>
  <c r="AO122" i="22"/>
  <c r="AO121" i="22"/>
  <c r="AO120" i="22"/>
  <c r="AO119" i="22"/>
  <c r="AO179" i="22"/>
  <c r="AO130" i="22"/>
  <c r="AO142" i="22"/>
  <c r="AO134" i="22"/>
  <c r="AO128" i="22"/>
  <c r="AO124" i="22"/>
  <c r="AO118" i="22"/>
  <c r="AO117" i="22"/>
  <c r="AO126" i="22"/>
  <c r="AO107" i="22"/>
  <c r="AO95" i="22"/>
  <c r="AO105" i="22"/>
  <c r="AO111" i="22"/>
  <c r="AO98" i="22"/>
  <c r="AO101" i="22"/>
  <c r="AO94" i="22"/>
  <c r="AO116" i="22"/>
  <c r="AO103" i="22"/>
  <c r="AO106" i="22"/>
  <c r="AO100" i="22"/>
  <c r="AO108" i="22"/>
  <c r="AO96" i="22"/>
  <c r="AO104" i="22"/>
  <c r="AO99" i="22"/>
  <c r="AO76" i="22"/>
  <c r="AO86" i="22"/>
  <c r="AO90" i="22"/>
  <c r="AO87" i="22"/>
  <c r="AO79" i="22"/>
  <c r="AO102" i="22"/>
  <c r="AO97" i="22"/>
  <c r="AO114" i="22"/>
  <c r="AO88" i="22"/>
  <c r="AO75" i="22"/>
  <c r="AO112" i="22"/>
  <c r="AO93" i="22"/>
  <c r="AO91" i="22"/>
  <c r="AO78" i="22"/>
  <c r="AO83" i="22"/>
  <c r="AO84" i="22"/>
  <c r="AO113" i="22"/>
  <c r="AO89" i="22"/>
  <c r="AO80" i="22"/>
  <c r="AO64" i="22"/>
  <c r="AO63" i="22"/>
  <c r="AO115" i="22"/>
  <c r="AO92" i="22"/>
  <c r="AO62" i="22"/>
  <c r="AO61" i="22"/>
  <c r="AO77" i="22"/>
  <c r="AO60" i="22"/>
  <c r="AO59" i="22"/>
  <c r="AO56" i="22"/>
  <c r="AO54" i="22"/>
  <c r="AO52" i="22"/>
  <c r="AO50" i="22"/>
  <c r="AO48" i="22"/>
  <c r="AO46" i="22"/>
  <c r="AO44" i="22"/>
  <c r="AO58" i="22"/>
  <c r="AO85" i="22"/>
  <c r="AO70" i="22"/>
  <c r="AO69" i="22"/>
  <c r="AO82" i="22"/>
  <c r="AO81" i="22"/>
  <c r="AO72" i="22"/>
  <c r="AO68" i="22"/>
  <c r="AO67" i="22"/>
  <c r="AO57" i="22"/>
  <c r="AO55" i="22"/>
  <c r="AO71" i="22"/>
  <c r="AO66" i="22"/>
  <c r="AO65" i="22"/>
  <c r="AO53" i="22"/>
  <c r="AO38" i="22"/>
  <c r="AO36" i="22"/>
  <c r="AO34" i="22"/>
  <c r="AO32" i="22"/>
  <c r="AO30" i="22"/>
  <c r="AO28" i="22"/>
  <c r="AO26" i="22"/>
  <c r="AO24" i="22"/>
  <c r="AO22" i="22"/>
  <c r="AO20" i="22"/>
  <c r="AO18" i="22"/>
  <c r="AO41" i="22"/>
  <c r="AO47" i="22"/>
  <c r="AO40" i="22"/>
  <c r="AO49" i="22"/>
  <c r="AO43" i="22"/>
  <c r="AO37" i="22"/>
  <c r="AO35" i="22"/>
  <c r="AO39" i="22"/>
  <c r="AO51" i="22"/>
  <c r="AO42" i="22"/>
  <c r="AO12" i="22"/>
  <c r="AO10" i="22"/>
  <c r="AO14" i="22"/>
  <c r="AO9" i="22"/>
  <c r="AO33" i="22"/>
  <c r="AO17" i="22"/>
  <c r="AO45" i="22"/>
  <c r="AO31" i="22"/>
  <c r="AO16" i="22"/>
  <c r="AO21" i="22"/>
  <c r="AO23" i="22"/>
  <c r="AO13" i="22"/>
  <c r="AO11" i="22"/>
  <c r="AO25" i="22"/>
  <c r="AO19" i="22"/>
  <c r="AO15" i="22"/>
  <c r="AO27" i="22"/>
  <c r="AO29" i="22"/>
  <c r="BB211" i="22"/>
  <c r="BB220" i="22"/>
  <c r="BB190" i="22"/>
  <c r="BB153" i="22"/>
  <c r="BB96" i="22"/>
  <c r="BB49" i="22"/>
  <c r="BB51" i="22"/>
  <c r="BB29" i="22"/>
  <c r="AQ219" i="22"/>
  <c r="AQ217" i="22"/>
  <c r="AQ215" i="22"/>
  <c r="AQ211" i="22"/>
  <c r="AQ209" i="22"/>
  <c r="AQ207" i="22"/>
  <c r="AQ205" i="22"/>
  <c r="AQ203" i="22"/>
  <c r="AQ199" i="22"/>
  <c r="AQ197" i="22"/>
  <c r="AQ223" i="22"/>
  <c r="AQ227" i="22"/>
  <c r="AM80" i="21" s="1"/>
  <c r="AQ220" i="22"/>
  <c r="AQ224" i="22"/>
  <c r="AQ208" i="22"/>
  <c r="AQ194" i="22"/>
  <c r="AQ192" i="22"/>
  <c r="AQ190" i="22"/>
  <c r="AQ188" i="22"/>
  <c r="AQ186" i="22"/>
  <c r="AQ184" i="22"/>
  <c r="AQ218" i="22"/>
  <c r="AQ204" i="22"/>
  <c r="AQ196" i="22"/>
  <c r="AQ210" i="22"/>
  <c r="AQ212" i="22"/>
  <c r="AQ206" i="22"/>
  <c r="AQ216" i="22"/>
  <c r="AQ200" i="22"/>
  <c r="AQ198" i="22"/>
  <c r="AQ183" i="22"/>
  <c r="AQ181" i="22"/>
  <c r="AQ179" i="22"/>
  <c r="AQ177" i="22"/>
  <c r="AQ175" i="22"/>
  <c r="AQ173" i="22"/>
  <c r="AQ187" i="22"/>
  <c r="AQ193" i="22"/>
  <c r="AQ195" i="22"/>
  <c r="AQ191" i="22"/>
  <c r="AQ171" i="22"/>
  <c r="AQ178" i="22"/>
  <c r="AQ176" i="22"/>
  <c r="AQ180" i="22"/>
  <c r="AQ174" i="22"/>
  <c r="AQ189" i="22"/>
  <c r="AQ182" i="22"/>
  <c r="AQ166" i="22"/>
  <c r="AQ163" i="22"/>
  <c r="AQ164" i="22"/>
  <c r="AQ154" i="22"/>
  <c r="AQ152" i="22"/>
  <c r="AQ170" i="22"/>
  <c r="AQ158" i="22"/>
  <c r="AQ169" i="22"/>
  <c r="AQ161" i="22"/>
  <c r="AQ165" i="22"/>
  <c r="AQ153" i="22"/>
  <c r="AQ142" i="22"/>
  <c r="AQ168" i="22"/>
  <c r="AQ162" i="22"/>
  <c r="AQ185" i="22"/>
  <c r="AQ150" i="22"/>
  <c r="AQ136" i="22"/>
  <c r="AQ172" i="22"/>
  <c r="AQ135" i="22"/>
  <c r="AQ137" i="22"/>
  <c r="AQ157" i="22"/>
  <c r="AQ147" i="22"/>
  <c r="AM65" i="21" s="1"/>
  <c r="AQ167" i="22"/>
  <c r="AQ139" i="22"/>
  <c r="AQ125" i="22"/>
  <c r="AQ123" i="22"/>
  <c r="AQ122" i="22"/>
  <c r="AQ121" i="22"/>
  <c r="AQ120" i="22"/>
  <c r="AQ119" i="22"/>
  <c r="AQ130" i="22"/>
  <c r="AQ113" i="22"/>
  <c r="AQ134" i="22"/>
  <c r="AQ133" i="22"/>
  <c r="AQ129" i="22"/>
  <c r="AQ128" i="22"/>
  <c r="AQ124" i="22"/>
  <c r="AQ118" i="22"/>
  <c r="AQ117" i="22"/>
  <c r="AQ116" i="22"/>
  <c r="AQ115" i="22"/>
  <c r="AQ144" i="22"/>
  <c r="AQ143" i="22"/>
  <c r="AQ138" i="22"/>
  <c r="AQ127" i="22"/>
  <c r="AQ151" i="22"/>
  <c r="AQ126" i="22"/>
  <c r="AQ112" i="22"/>
  <c r="AQ107" i="22"/>
  <c r="AQ105" i="22"/>
  <c r="AQ111" i="22"/>
  <c r="AQ101" i="22"/>
  <c r="AQ94" i="22"/>
  <c r="AQ102" i="22"/>
  <c r="AQ97" i="22"/>
  <c r="AQ103" i="22"/>
  <c r="AQ106" i="22"/>
  <c r="AQ100" i="22"/>
  <c r="AQ108" i="22"/>
  <c r="AQ104" i="22"/>
  <c r="AQ99" i="22"/>
  <c r="AQ76" i="22"/>
  <c r="AQ86" i="22"/>
  <c r="AQ98" i="22"/>
  <c r="AQ90" i="22"/>
  <c r="AQ87" i="22"/>
  <c r="AQ79" i="22"/>
  <c r="AQ114" i="22"/>
  <c r="AQ75" i="22"/>
  <c r="AQ91" i="22"/>
  <c r="AQ88" i="22"/>
  <c r="AQ93" i="22"/>
  <c r="AQ78" i="22"/>
  <c r="AQ83" i="22"/>
  <c r="AQ89" i="22"/>
  <c r="AQ95" i="22"/>
  <c r="AQ85" i="22"/>
  <c r="AQ92" i="22"/>
  <c r="AQ80" i="22"/>
  <c r="AQ62" i="22"/>
  <c r="AQ61" i="22"/>
  <c r="AQ96" i="22"/>
  <c r="AQ77" i="22"/>
  <c r="AQ60" i="22"/>
  <c r="AQ59" i="22"/>
  <c r="AQ56" i="22"/>
  <c r="AQ54" i="22"/>
  <c r="AQ52" i="22"/>
  <c r="AQ50" i="22"/>
  <c r="AQ48" i="22"/>
  <c r="AQ46" i="22"/>
  <c r="AQ44" i="22"/>
  <c r="AQ58" i="22"/>
  <c r="AQ70" i="22"/>
  <c r="AQ69" i="22"/>
  <c r="AQ81" i="22"/>
  <c r="AQ72" i="22"/>
  <c r="AQ68" i="22"/>
  <c r="AQ67" i="22"/>
  <c r="AQ57" i="22"/>
  <c r="AQ84" i="22"/>
  <c r="AQ71" i="22"/>
  <c r="AQ66" i="22"/>
  <c r="AQ65" i="22"/>
  <c r="AQ64" i="22"/>
  <c r="AQ63" i="22"/>
  <c r="AQ38" i="22"/>
  <c r="AQ36" i="22"/>
  <c r="AQ34" i="22"/>
  <c r="AQ32" i="22"/>
  <c r="AQ30" i="22"/>
  <c r="AQ28" i="22"/>
  <c r="AQ26" i="22"/>
  <c r="AQ24" i="22"/>
  <c r="AQ22" i="22"/>
  <c r="AQ20" i="22"/>
  <c r="AQ18" i="22"/>
  <c r="AQ16" i="22"/>
  <c r="AQ55" i="22"/>
  <c r="AQ47" i="22"/>
  <c r="AQ40" i="22"/>
  <c r="AQ49" i="22"/>
  <c r="AQ43" i="22"/>
  <c r="AQ37" i="22"/>
  <c r="AQ35" i="22"/>
  <c r="AQ33" i="22"/>
  <c r="AQ31" i="22"/>
  <c r="AQ29" i="22"/>
  <c r="AQ27" i="22"/>
  <c r="AQ25" i="22"/>
  <c r="AQ45" i="22"/>
  <c r="AQ39" i="22"/>
  <c r="AQ51" i="22"/>
  <c r="AQ42" i="22"/>
  <c r="AQ53" i="22"/>
  <c r="AQ17" i="22"/>
  <c r="AQ14" i="22"/>
  <c r="AQ12" i="22"/>
  <c r="AQ10" i="22"/>
  <c r="AQ41" i="22"/>
  <c r="AQ21" i="22"/>
  <c r="AQ11" i="22"/>
  <c r="AQ23" i="22"/>
  <c r="AQ9" i="22"/>
  <c r="AQ19" i="22"/>
  <c r="AQ15" i="22"/>
  <c r="AQ13" i="22"/>
  <c r="AQ82" i="22"/>
  <c r="K47" i="8"/>
  <c r="K48" i="8" s="1"/>
  <c r="K50" i="8" s="1"/>
  <c r="K25" i="13" s="1"/>
  <c r="AK5" i="15"/>
  <c r="AK13" i="15" s="1"/>
  <c r="AQ8" i="11" s="1"/>
  <c r="AY119" i="7"/>
  <c r="AY120" i="7" s="1"/>
  <c r="AY141" i="7" s="1"/>
  <c r="AY124" i="7"/>
  <c r="AY125" i="7" s="1"/>
  <c r="AY110" i="7"/>
  <c r="AW131" i="7"/>
  <c r="AW194" i="7" s="1"/>
  <c r="AW92" i="14" s="1"/>
  <c r="AW93" i="14" s="1"/>
  <c r="AW97" i="14" s="1"/>
  <c r="AW98" i="14" s="1"/>
  <c r="AW99" i="14" s="1"/>
  <c r="AW100" i="14" s="1"/>
  <c r="AW101" i="14" s="1"/>
  <c r="AW102" i="14" s="1"/>
  <c r="AW107" i="14" s="1"/>
  <c r="AW110" i="14" s="1"/>
  <c r="AY40" i="7"/>
  <c r="AY31" i="7"/>
  <c r="AY53" i="7"/>
  <c r="AY43" i="7"/>
  <c r="AY42" i="7"/>
  <c r="AY52" i="7"/>
  <c r="AY44" i="7"/>
  <c r="AY60" i="7"/>
  <c r="AZ359" i="7"/>
  <c r="AZ374" i="7" s="1"/>
  <c r="AZ361" i="7"/>
  <c r="AZ376" i="7" s="1"/>
  <c r="AZ360" i="7"/>
  <c r="AZ375" i="7" s="1"/>
  <c r="AZ358" i="7"/>
  <c r="AZ373" i="7" s="1"/>
  <c r="AU129" i="14"/>
  <c r="AU140" i="14" s="1"/>
  <c r="AU289" i="7" s="1"/>
  <c r="AU13" i="23" s="1"/>
  <c r="AZ298" i="7"/>
  <c r="AZ303" i="7" s="1"/>
  <c r="AZ362" i="7"/>
  <c r="AZ377" i="7" s="1"/>
  <c r="AZ357" i="7"/>
  <c r="AZ372" i="7" s="1"/>
  <c r="AZ363" i="7"/>
  <c r="AZ378" i="7" s="1"/>
  <c r="AZ351" i="7"/>
  <c r="AZ366" i="7" s="1"/>
  <c r="AZ356" i="7"/>
  <c r="AZ371" i="7" s="1"/>
  <c r="AU139" i="14"/>
  <c r="AZ352" i="7"/>
  <c r="AZ367" i="7" s="1"/>
  <c r="AZ68" i="7"/>
  <c r="AZ83" i="7" s="1"/>
  <c r="AZ98" i="7" s="1"/>
  <c r="BA75" i="7"/>
  <c r="BA90" i="7" s="1"/>
  <c r="AZ39" i="7"/>
  <c r="AZ40" i="7" s="1"/>
  <c r="AY320" i="7"/>
  <c r="AY321" i="7" s="1"/>
  <c r="AY339" i="7" s="1"/>
  <c r="AY316" i="7"/>
  <c r="AY317" i="7" s="1"/>
  <c r="AY328" i="7" s="1"/>
  <c r="AY311" i="7"/>
  <c r="AY312" i="7" s="1"/>
  <c r="AY333" i="7" s="1"/>
  <c r="AY302" i="7"/>
  <c r="AY306" i="7"/>
  <c r="AY307" i="7" s="1"/>
  <c r="AY345" i="7" s="1"/>
  <c r="BA80" i="7"/>
  <c r="BA95" i="7" s="1"/>
  <c r="AY65" i="7"/>
  <c r="AY54" i="7"/>
  <c r="AY55" i="7"/>
  <c r="AY64" i="7"/>
  <c r="AY62" i="7"/>
  <c r="AY61" i="7"/>
  <c r="AY63" i="7"/>
  <c r="AY46" i="7"/>
  <c r="AY57" i="7"/>
  <c r="AY50" i="7"/>
  <c r="AY26" i="7"/>
  <c r="AY47" i="7"/>
  <c r="AY49" i="7"/>
  <c r="AY36" i="7"/>
  <c r="AY51" i="7"/>
  <c r="AY48" i="7"/>
  <c r="AY58" i="7"/>
  <c r="AU138" i="14"/>
  <c r="AM11" i="17"/>
  <c r="AM12" i="17" s="1"/>
  <c r="AM14" i="17" s="1"/>
  <c r="AM28" i="13" s="1"/>
  <c r="AT199" i="14"/>
  <c r="AT202" i="14" s="1"/>
  <c r="AT206" i="14" s="1"/>
  <c r="AT208" i="14" s="1"/>
  <c r="AT210" i="14" s="1"/>
  <c r="AT211" i="14" s="1"/>
  <c r="AT213" i="14" s="1"/>
  <c r="AT215" i="14" s="1"/>
  <c r="BA77" i="7"/>
  <c r="BA92" i="7" s="1"/>
  <c r="BA17" i="7"/>
  <c r="BA79" i="7"/>
  <c r="BA94" i="7" s="1"/>
  <c r="BA73" i="7"/>
  <c r="BA88" i="7" s="1"/>
  <c r="BA201" i="7"/>
  <c r="BA202" i="7" s="1"/>
  <c r="BA295" i="7"/>
  <c r="BA296" i="7" s="1"/>
  <c r="BA359" i="7" s="1"/>
  <c r="BA374" i="7" s="1"/>
  <c r="BA103" i="7"/>
  <c r="BA106" i="7" s="1"/>
  <c r="BA159" i="7" s="1"/>
  <c r="BA174" i="7" s="1"/>
  <c r="BA78" i="7"/>
  <c r="BA93" i="7" s="1"/>
  <c r="BA69" i="7"/>
  <c r="BA84" i="7" s="1"/>
  <c r="BA81" i="7"/>
  <c r="BA96" i="7" s="1"/>
  <c r="BA72" i="7"/>
  <c r="BA87" i="7" s="1"/>
  <c r="BC12" i="14"/>
  <c r="AW194" i="14"/>
  <c r="AW195" i="14" s="1"/>
  <c r="AW196" i="14" s="1"/>
  <c r="AW197" i="14" s="1"/>
  <c r="AJ3" i="15"/>
  <c r="AJ3" i="21"/>
  <c r="AJ7" i="21" s="1"/>
  <c r="AY54" i="14"/>
  <c r="AY55" i="14" s="1"/>
  <c r="AY56" i="14" s="1"/>
  <c r="AY57" i="14" s="1"/>
  <c r="AY53" i="14"/>
  <c r="AK58" i="14"/>
  <c r="AK59" i="14" s="1"/>
  <c r="AK60" i="14" s="1"/>
  <c r="AK62" i="14" s="1"/>
  <c r="AK63" i="14" s="1"/>
  <c r="AJ54" i="14"/>
  <c r="AJ55" i="14"/>
  <c r="AJ56" i="14" s="1"/>
  <c r="AJ57" i="14" s="1"/>
  <c r="AX58" i="14"/>
  <c r="AX59" i="14" s="1"/>
  <c r="AX60" i="14" s="1"/>
  <c r="AX62" i="14" s="1"/>
  <c r="AX63" i="14" s="1"/>
  <c r="AX53" i="14"/>
  <c r="AM58" i="14"/>
  <c r="AM59" i="14" s="1"/>
  <c r="AM60" i="14" s="1"/>
  <c r="AM62" i="14" s="1"/>
  <c r="AM63" i="14" s="1"/>
  <c r="AY189" i="14"/>
  <c r="AM8" i="21"/>
  <c r="AM17" i="21" s="1"/>
  <c r="AR210" i="14"/>
  <c r="AR211" i="14" s="1"/>
  <c r="AR213" i="14" s="1"/>
  <c r="AR215" i="14" s="1"/>
  <c r="AZ14" i="14"/>
  <c r="AZ25" i="14" s="1"/>
  <c r="AZ4" i="13" s="1"/>
  <c r="AV199" i="14"/>
  <c r="AV202" i="14" s="1"/>
  <c r="AV206" i="14" s="1"/>
  <c r="AV208" i="14" s="1"/>
  <c r="AV210" i="14" s="1"/>
  <c r="AZ187" i="14"/>
  <c r="AZ188" i="14" s="1"/>
  <c r="AZ190" i="14" s="1"/>
  <c r="AZ214" i="14"/>
  <c r="AX190" i="14"/>
  <c r="AX189" i="14"/>
  <c r="AU210" i="14"/>
  <c r="AU211" i="14" s="1"/>
  <c r="AU213" i="14" s="1"/>
  <c r="AU215" i="14" s="1"/>
  <c r="AJ194" i="14"/>
  <c r="AJ195" i="14" s="1"/>
  <c r="AJ193" i="14"/>
  <c r="AY192" i="14"/>
  <c r="AY191" i="14"/>
  <c r="AX4" i="17"/>
  <c r="AX7" i="17" s="1"/>
  <c r="AX8" i="17" s="1"/>
  <c r="AX9" i="17" s="1"/>
  <c r="AX3" i="15"/>
  <c r="AV73" i="21"/>
  <c r="BB172" i="14"/>
  <c r="BC169" i="14"/>
  <c r="BC11" i="14"/>
  <c r="AS43" i="21"/>
  <c r="AS39" i="21"/>
  <c r="BA14" i="14"/>
  <c r="BA25" i="14" s="1"/>
  <c r="BA171" i="14"/>
  <c r="BA184" i="14" s="1"/>
  <c r="AS53" i="21"/>
  <c r="AS54" i="21" s="1"/>
  <c r="AS10" i="8" s="1"/>
  <c r="AS40" i="8"/>
  <c r="AS22" i="13"/>
  <c r="BB13" i="7"/>
  <c r="BB14" i="7" s="1"/>
  <c r="BB15" i="7" s="1"/>
  <c r="BB17" i="14"/>
  <c r="BB16" i="14"/>
  <c r="BB18" i="14" s="1"/>
  <c r="BB19" i="14" s="1"/>
  <c r="BB21" i="14" s="1"/>
  <c r="BC9" i="14"/>
  <c r="BC6" i="14"/>
  <c r="BC173" i="14" s="1"/>
  <c r="BC8" i="14"/>
  <c r="BC5" i="14"/>
  <c r="BC10" i="14" s="1"/>
  <c r="BC7" i="14"/>
  <c r="BC174" i="14" s="1"/>
  <c r="AU21" i="15"/>
  <c r="AU5" i="9" s="1"/>
  <c r="BA49" i="14"/>
  <c r="BA50" i="14" s="1"/>
  <c r="BA6" i="24" s="1"/>
  <c r="AW64" i="21"/>
  <c r="AW72" i="21"/>
  <c r="AV66" i="21"/>
  <c r="AV68" i="21" s="1"/>
  <c r="AQ57" i="21"/>
  <c r="AP19" i="8"/>
  <c r="AP27" i="8" s="1"/>
  <c r="AP38" i="8" s="1"/>
  <c r="AP89" i="9"/>
  <c r="AQ12" i="20"/>
  <c r="AQ6" i="8" s="1"/>
  <c r="AU4" i="7"/>
  <c r="AU13" i="13" s="1"/>
  <c r="AT6" i="7"/>
  <c r="AT15" i="13" s="1"/>
  <c r="AV129" i="14"/>
  <c r="AV140" i="14" s="1"/>
  <c r="AV6" i="7" s="1"/>
  <c r="AV15" i="13" s="1"/>
  <c r="AV161" i="14"/>
  <c r="AV154" i="14"/>
  <c r="AV165" i="14" s="1"/>
  <c r="AV7" i="7" s="1"/>
  <c r="AV16" i="13" s="1"/>
  <c r="AV89" i="14"/>
  <c r="AT114" i="14"/>
  <c r="AP83" i="9"/>
  <c r="AT195" i="7"/>
  <c r="AT5" i="7"/>
  <c r="AT14" i="13" s="1"/>
  <c r="AY244" i="7"/>
  <c r="AV79" i="14"/>
  <c r="AV90" i="14" s="1"/>
  <c r="AV100" i="7" s="1"/>
  <c r="AV3" i="23" s="1"/>
  <c r="AP43" i="8"/>
  <c r="AU195" i="7"/>
  <c r="AU161" i="14"/>
  <c r="AU162" i="14" s="1"/>
  <c r="AU164" i="14" s="1"/>
  <c r="AW17" i="17"/>
  <c r="AW14" i="17"/>
  <c r="AW28" i="13" s="1"/>
  <c r="AU9" i="8"/>
  <c r="AP44" i="8"/>
  <c r="AT7" i="7"/>
  <c r="AT16" i="13" s="1"/>
  <c r="AT389" i="7"/>
  <c r="AW60" i="21"/>
  <c r="BA44" i="14"/>
  <c r="BA19" i="13" s="1"/>
  <c r="AU26" i="21"/>
  <c r="AU35" i="21"/>
  <c r="AU36" i="21" s="1"/>
  <c r="AU56" i="9"/>
  <c r="AU48" i="9"/>
  <c r="AU57" i="9"/>
  <c r="AY223" i="7"/>
  <c r="AV104" i="14"/>
  <c r="AV115" i="14" s="1"/>
  <c r="AU22" i="15"/>
  <c r="AU43" i="15" s="1"/>
  <c r="AY4" i="22" s="1"/>
  <c r="AU28" i="21"/>
  <c r="AU31" i="21" s="1"/>
  <c r="AW14" i="21"/>
  <c r="AW20" i="21" s="1"/>
  <c r="AW28" i="21" s="1"/>
  <c r="AW11" i="21"/>
  <c r="AW34" i="21"/>
  <c r="AW17" i="21"/>
  <c r="AX131" i="7"/>
  <c r="AX194" i="7" s="1"/>
  <c r="AX92" i="14" s="1"/>
  <c r="AX93" i="14" s="1"/>
  <c r="AW63" i="21"/>
  <c r="AS11" i="8"/>
  <c r="AS49" i="21"/>
  <c r="AS51" i="21" s="1"/>
  <c r="AW38" i="15"/>
  <c r="AW39" i="15" s="1"/>
  <c r="BC9" i="7"/>
  <c r="BC10" i="7"/>
  <c r="BC12" i="7"/>
  <c r="BB48" i="14"/>
  <c r="AW71" i="21"/>
  <c r="AW3" i="9"/>
  <c r="BA6" i="10" s="1"/>
  <c r="AW3" i="8"/>
  <c r="AV81" i="21"/>
  <c r="AV12" i="8" s="1"/>
  <c r="AV13" i="8" s="1"/>
  <c r="AW61" i="21"/>
  <c r="AV111" i="14"/>
  <c r="AV112" i="14" s="1"/>
  <c r="AV113" i="14" s="1"/>
  <c r="AY230" i="7"/>
  <c r="AY218" i="7"/>
  <c r="AY253" i="7"/>
  <c r="AY232" i="7"/>
  <c r="AY245" i="7"/>
  <c r="AY251" i="7"/>
  <c r="AY237" i="7"/>
  <c r="AY240" i="7"/>
  <c r="AY254" i="7"/>
  <c r="AV20" i="21"/>
  <c r="AV25" i="21" s="1"/>
  <c r="BB42" i="14"/>
  <c r="BB36" i="14"/>
  <c r="AW77" i="21"/>
  <c r="BE3" i="13"/>
  <c r="BE3" i="24" s="1"/>
  <c r="BD3" i="17"/>
  <c r="BD5" i="17" s="1"/>
  <c r="BD3" i="7"/>
  <c r="BD3" i="14"/>
  <c r="BB47" i="14"/>
  <c r="AS6" i="7"/>
  <c r="AS15" i="13" s="1"/>
  <c r="AS289" i="7"/>
  <c r="AS13" i="23" s="1"/>
  <c r="AU7" i="8"/>
  <c r="AV44" i="9"/>
  <c r="AV45" i="9" s="1"/>
  <c r="AV55" i="9" s="1"/>
  <c r="AV41" i="9"/>
  <c r="AV42" i="9" s="1"/>
  <c r="AV50" i="9" s="1"/>
  <c r="AV33" i="9"/>
  <c r="AV34" i="9" s="1"/>
  <c r="AZ5" i="10" s="1"/>
  <c r="AV27" i="9"/>
  <c r="AV28" i="9" s="1"/>
  <c r="AZ4" i="10" s="1"/>
  <c r="AV38" i="9"/>
  <c r="AV39" i="9" s="1"/>
  <c r="AV36" i="9"/>
  <c r="AZ7" i="10" s="1"/>
  <c r="AV11" i="9"/>
  <c r="AV12" i="9" s="1"/>
  <c r="AV22" i="9"/>
  <c r="AV23" i="9" s="1"/>
  <c r="AZ3" i="10" s="1"/>
  <c r="AV17" i="9"/>
  <c r="AV18" i="9" s="1"/>
  <c r="AZ2" i="10" s="1"/>
  <c r="AW78" i="21"/>
  <c r="AW25" i="15"/>
  <c r="AW26" i="15"/>
  <c r="AS47" i="9"/>
  <c r="AS51" i="9" s="1"/>
  <c r="AS64" i="9" s="1"/>
  <c r="AW79" i="21"/>
  <c r="AW62" i="21"/>
  <c r="AU154" i="14"/>
  <c r="AU165" i="14" s="1"/>
  <c r="AU49" i="9"/>
  <c r="AU58" i="9"/>
  <c r="AU54" i="9"/>
  <c r="AU59" i="9"/>
  <c r="AS53" i="9"/>
  <c r="AS60" i="9" s="1"/>
  <c r="AS66" i="9" s="1"/>
  <c r="AS62" i="9"/>
  <c r="AS68" i="9" s="1"/>
  <c r="AW76" i="21"/>
  <c r="AY4" i="17"/>
  <c r="AY7" i="17" s="1"/>
  <c r="AY8" i="17" s="1"/>
  <c r="AY9" i="17" s="1"/>
  <c r="AY11" i="17" s="1"/>
  <c r="AY12" i="17" s="1"/>
  <c r="AY3" i="21"/>
  <c r="AY7" i="21" s="1"/>
  <c r="AY3" i="15"/>
  <c r="AY5" i="15" s="1"/>
  <c r="BE4" i="11" s="1"/>
  <c r="AV136" i="14"/>
  <c r="AV137" i="14" s="1"/>
  <c r="AU8" i="8"/>
  <c r="AQ81" i="9"/>
  <c r="AQ82" i="9" s="1"/>
  <c r="AQ51" i="21"/>
  <c r="AQ87" i="9"/>
  <c r="AQ88" i="9" s="1"/>
  <c r="AQ7" i="20"/>
  <c r="AQ5" i="8" s="1"/>
  <c r="AQ43" i="8" s="1"/>
  <c r="AJ143" i="14"/>
  <c r="AJ144" i="14" s="1"/>
  <c r="AJ118" i="14"/>
  <c r="AJ93" i="14"/>
  <c r="AJ72" i="14"/>
  <c r="AJ73" i="14" s="1"/>
  <c r="AJ74" i="14" s="1"/>
  <c r="AJ86" i="14"/>
  <c r="AJ87" i="14" s="1"/>
  <c r="AJ88" i="14" s="1"/>
  <c r="X22" i="13"/>
  <c r="X41" i="8"/>
  <c r="AK80" i="21"/>
  <c r="AK8" i="21"/>
  <c r="AK17" i="21" s="1"/>
  <c r="AM3" i="8"/>
  <c r="AM3" i="9"/>
  <c r="AQ6" i="10" s="1"/>
  <c r="AM25" i="15"/>
  <c r="AM26" i="15"/>
  <c r="AM38" i="15"/>
  <c r="AM39" i="15" s="1"/>
  <c r="AM40" i="15" s="1"/>
  <c r="AM32" i="15"/>
  <c r="AM33" i="15" s="1"/>
  <c r="AM34" i="15" s="1"/>
  <c r="AK17" i="17"/>
  <c r="AK14" i="17"/>
  <c r="AK28" i="13" s="1"/>
  <c r="BA75" i="9"/>
  <c r="AS122" i="11" l="1"/>
  <c r="AS32" i="11"/>
  <c r="AS118" i="11"/>
  <c r="AS131" i="11"/>
  <c r="AS40" i="11"/>
  <c r="AS51" i="11"/>
  <c r="AS33" i="11"/>
  <c r="AY243" i="7"/>
  <c r="AY234" i="7"/>
  <c r="AY231" i="7"/>
  <c r="AY236" i="7"/>
  <c r="AY239" i="7"/>
  <c r="AY235" i="7"/>
  <c r="AY241" i="7"/>
  <c r="AZ320" i="7"/>
  <c r="AZ321" i="7" s="1"/>
  <c r="AZ339" i="7" s="1"/>
  <c r="BB68" i="22"/>
  <c r="BB86" i="22"/>
  <c r="BB102" i="22"/>
  <c r="AZ316" i="7"/>
  <c r="AZ317" i="7" s="1"/>
  <c r="AZ328" i="7" s="1"/>
  <c r="BB152" i="22"/>
  <c r="AM222" i="7"/>
  <c r="AX137" i="10"/>
  <c r="AT49" i="9"/>
  <c r="AX27" i="10"/>
  <c r="AT8" i="8"/>
  <c r="AX61" i="10"/>
  <c r="AX38" i="10"/>
  <c r="AX116" i="10"/>
  <c r="AX58" i="10"/>
  <c r="AX34" i="10"/>
  <c r="AX48" i="10"/>
  <c r="AX146" i="10"/>
  <c r="AX49" i="10"/>
  <c r="AX195" i="10"/>
  <c r="AX167" i="10"/>
  <c r="AM256" i="7"/>
  <c r="AM271" i="7" s="1"/>
  <c r="AM286" i="7" s="1"/>
  <c r="AX55" i="10"/>
  <c r="AM208" i="7"/>
  <c r="AX52" i="10"/>
  <c r="AY325" i="7"/>
  <c r="AY154" i="7"/>
  <c r="AX83" i="10"/>
  <c r="AX129" i="10"/>
  <c r="AX42" i="10"/>
  <c r="AM217" i="7"/>
  <c r="AM254" i="7" s="1"/>
  <c r="AX97" i="10"/>
  <c r="AX98" i="10"/>
  <c r="AX122" i="10"/>
  <c r="AX125" i="10"/>
  <c r="AK218" i="7"/>
  <c r="AK232" i="7"/>
  <c r="AK254" i="7"/>
  <c r="AK240" i="7"/>
  <c r="AK230" i="7"/>
  <c r="AY248" i="7"/>
  <c r="AY233" i="7"/>
  <c r="AW69" i="14"/>
  <c r="AW79" i="14" s="1"/>
  <c r="AW90" i="14" s="1"/>
  <c r="AX183" i="10"/>
  <c r="AX155" i="10"/>
  <c r="AX96" i="10"/>
  <c r="AX139" i="10"/>
  <c r="AX189" i="10"/>
  <c r="AX156" i="10"/>
  <c r="AX22" i="10"/>
  <c r="AX128" i="10"/>
  <c r="AX117" i="10"/>
  <c r="AX185" i="10"/>
  <c r="AX191" i="10"/>
  <c r="AX110" i="10"/>
  <c r="AT58" i="9"/>
  <c r="AX182" i="10"/>
  <c r="AK209" i="7"/>
  <c r="AX31" i="10"/>
  <c r="AX153" i="10"/>
  <c r="AX62" i="10"/>
  <c r="AX176" i="10"/>
  <c r="AX147" i="10"/>
  <c r="AX66" i="10"/>
  <c r="AM227" i="7"/>
  <c r="AM244" i="7"/>
  <c r="AX57" i="10"/>
  <c r="AX70" i="10"/>
  <c r="AX51" i="10"/>
  <c r="AX157" i="10"/>
  <c r="AX105" i="10"/>
  <c r="AX197" i="10"/>
  <c r="AX19" i="10"/>
  <c r="AX29" i="10"/>
  <c r="AM36" i="7"/>
  <c r="AM45" i="7"/>
  <c r="AX92" i="10"/>
  <c r="AX188" i="10"/>
  <c r="AX179" i="10"/>
  <c r="AX56" i="10"/>
  <c r="AX160" i="10"/>
  <c r="AX85" i="10"/>
  <c r="AM233" i="7"/>
  <c r="AM223" i="7"/>
  <c r="AK48" i="7"/>
  <c r="AK26" i="7"/>
  <c r="AK59" i="7"/>
  <c r="AM40" i="7"/>
  <c r="AM56" i="7"/>
  <c r="AK212" i="7"/>
  <c r="AK213" i="7" s="1"/>
  <c r="AK251" i="7" s="1"/>
  <c r="AX36" i="10"/>
  <c r="AX169" i="10"/>
  <c r="AX123" i="10"/>
  <c r="AX149" i="10"/>
  <c r="AX107" i="10"/>
  <c r="AX46" i="10"/>
  <c r="AX148" i="10"/>
  <c r="AK42" i="7"/>
  <c r="AK62" i="7"/>
  <c r="AK44" i="7"/>
  <c r="AK31" i="7"/>
  <c r="AK66" i="7"/>
  <c r="AK63" i="7"/>
  <c r="AK65" i="7"/>
  <c r="AK50" i="7"/>
  <c r="AK52" i="7"/>
  <c r="AK57" i="7"/>
  <c r="AK64" i="7"/>
  <c r="AK49" i="7"/>
  <c r="AK60" i="7"/>
  <c r="AK58" i="7"/>
  <c r="AK61" i="7"/>
  <c r="AM66" i="7"/>
  <c r="AM49" i="7"/>
  <c r="AM52" i="7"/>
  <c r="AM31" i="7"/>
  <c r="AM57" i="7"/>
  <c r="AM60" i="7"/>
  <c r="AM61" i="7"/>
  <c r="AM63" i="7"/>
  <c r="AM62" i="7"/>
  <c r="AM65" i="7"/>
  <c r="AM42" i="7"/>
  <c r="AM44" i="7"/>
  <c r="AM50" i="7"/>
  <c r="AM64" i="7"/>
  <c r="AM58" i="7"/>
  <c r="AK303" i="7"/>
  <c r="AK306" i="7"/>
  <c r="AK307" i="7" s="1"/>
  <c r="AK345" i="7" s="1"/>
  <c r="AY242" i="7"/>
  <c r="AY238" i="7"/>
  <c r="AX127" i="10"/>
  <c r="AX106" i="10"/>
  <c r="AX43" i="10"/>
  <c r="AX119" i="10"/>
  <c r="AX201" i="10"/>
  <c r="AX150" i="10"/>
  <c r="AX161" i="10"/>
  <c r="AM209" i="7"/>
  <c r="AK36" i="7"/>
  <c r="AK45" i="7"/>
  <c r="AK311" i="7"/>
  <c r="AK312" i="7" s="1"/>
  <c r="AK111" i="7"/>
  <c r="AK119" i="7"/>
  <c r="AK120" i="7" s="1"/>
  <c r="AK124" i="7"/>
  <c r="AK114" i="7"/>
  <c r="AK115" i="7" s="1"/>
  <c r="AK153" i="7" s="1"/>
  <c r="AK158" i="7"/>
  <c r="AK173" i="7" s="1"/>
  <c r="AK188" i="7" s="1"/>
  <c r="AK110" i="7"/>
  <c r="AK128" i="7"/>
  <c r="AK129" i="7" s="1"/>
  <c r="AK147" i="7" s="1"/>
  <c r="AY249" i="7"/>
  <c r="AX25" i="10"/>
  <c r="AX93" i="10"/>
  <c r="AX64" i="10"/>
  <c r="AX90" i="10"/>
  <c r="AX159" i="10"/>
  <c r="AX95" i="10"/>
  <c r="AX88" i="10"/>
  <c r="AK56" i="7"/>
  <c r="AK40" i="7"/>
  <c r="AM48" i="7"/>
  <c r="AM59" i="7"/>
  <c r="AM26" i="7"/>
  <c r="AY250" i="7"/>
  <c r="AX172" i="10"/>
  <c r="AX192" i="10"/>
  <c r="AX101" i="10"/>
  <c r="AX151" i="10"/>
  <c r="AX91" i="10"/>
  <c r="AX200" i="10"/>
  <c r="AX202" i="10"/>
  <c r="AK226" i="7"/>
  <c r="AM303" i="7"/>
  <c r="AM302" i="7"/>
  <c r="AM350" i="7"/>
  <c r="AM365" i="7" s="1"/>
  <c r="AM380" i="7" s="1"/>
  <c r="AM311" i="7"/>
  <c r="AM312" i="7" s="1"/>
  <c r="AM306" i="7"/>
  <c r="AM307" i="7" s="1"/>
  <c r="AM345" i="7" s="1"/>
  <c r="AM320" i="7"/>
  <c r="AM321" i="7" s="1"/>
  <c r="AM339" i="7" s="1"/>
  <c r="AM316" i="7"/>
  <c r="AM317" i="7" s="1"/>
  <c r="AM328" i="7" s="1"/>
  <c r="AX53" i="10"/>
  <c r="AY252" i="7"/>
  <c r="AX99" i="10"/>
  <c r="AX74" i="10"/>
  <c r="AX196" i="10"/>
  <c r="AX112" i="10"/>
  <c r="AX33" i="10"/>
  <c r="AX166" i="10"/>
  <c r="AX16" i="10"/>
  <c r="AM51" i="7"/>
  <c r="AM53" i="7"/>
  <c r="AM46" i="7"/>
  <c r="AM47" i="7"/>
  <c r="AM43" i="7"/>
  <c r="AM55" i="7"/>
  <c r="AM54" i="7"/>
  <c r="AM111" i="7"/>
  <c r="AM128" i="7"/>
  <c r="AM129" i="7" s="1"/>
  <c r="AM147" i="7" s="1"/>
  <c r="AM124" i="7"/>
  <c r="AM110" i="7"/>
  <c r="AM158" i="7"/>
  <c r="AM173" i="7" s="1"/>
  <c r="AM188" i="7" s="1"/>
  <c r="AM114" i="7"/>
  <c r="AM115" i="7" s="1"/>
  <c r="AM153" i="7" s="1"/>
  <c r="AM119" i="7"/>
  <c r="AM120" i="7" s="1"/>
  <c r="AX71" i="10"/>
  <c r="AX24" i="10"/>
  <c r="AX86" i="10"/>
  <c r="AX111" i="10"/>
  <c r="AX108" i="10"/>
  <c r="AX20" i="10"/>
  <c r="AX21" i="10"/>
  <c r="AT7" i="8"/>
  <c r="AY247" i="7"/>
  <c r="AK256" i="7"/>
  <c r="AK271" i="7" s="1"/>
  <c r="AK286" i="7" s="1"/>
  <c r="AK222" i="7"/>
  <c r="AK252" i="7" s="1"/>
  <c r="AX138" i="10"/>
  <c r="AX89" i="10"/>
  <c r="AX67" i="10"/>
  <c r="AX133" i="10"/>
  <c r="AX100" i="10"/>
  <c r="AX80" i="10"/>
  <c r="AX131" i="10"/>
  <c r="AX178" i="10"/>
  <c r="AK46" i="7"/>
  <c r="AK55" i="7"/>
  <c r="AK51" i="7"/>
  <c r="AK53" i="7"/>
  <c r="AK47" i="7"/>
  <c r="AK43" i="7"/>
  <c r="AK54" i="7"/>
  <c r="AX165" i="10"/>
  <c r="AX154" i="10"/>
  <c r="AX65" i="10"/>
  <c r="AX168" i="10"/>
  <c r="AX104" i="10"/>
  <c r="AX171" i="10"/>
  <c r="AX194" i="10"/>
  <c r="AX102" i="10"/>
  <c r="AM212" i="7"/>
  <c r="AM213" i="7" s="1"/>
  <c r="AK350" i="7"/>
  <c r="AK365" i="7" s="1"/>
  <c r="AK380" i="7" s="1"/>
  <c r="AK320" i="7"/>
  <c r="AK321" i="7" s="1"/>
  <c r="AK339" i="7" s="1"/>
  <c r="BB41" i="22"/>
  <c r="BB70" i="22"/>
  <c r="BB196" i="22"/>
  <c r="BB15" i="22"/>
  <c r="BB27" i="22"/>
  <c r="BB46" i="22"/>
  <c r="BB55" i="22"/>
  <c r="BB79" i="22"/>
  <c r="BB72" i="22"/>
  <c r="BB90" i="22"/>
  <c r="BB106" i="22"/>
  <c r="BB164" i="22"/>
  <c r="BB162" i="22"/>
  <c r="BB195" i="22"/>
  <c r="BB192" i="22"/>
  <c r="BB217" i="22"/>
  <c r="BB35" i="22"/>
  <c r="BB39" i="22"/>
  <c r="BB88" i="22"/>
  <c r="BB215" i="22"/>
  <c r="BB31" i="22"/>
  <c r="BB10" i="22"/>
  <c r="BB52" i="22"/>
  <c r="BB80" i="22"/>
  <c r="BB100" i="22"/>
  <c r="BB77" i="22"/>
  <c r="BB92" i="22"/>
  <c r="BB108" i="22"/>
  <c r="BB185" i="22"/>
  <c r="BB170" i="22"/>
  <c r="BB216" i="22"/>
  <c r="BB194" i="22"/>
  <c r="BB219" i="22"/>
  <c r="BB9" i="22"/>
  <c r="BB12" i="22"/>
  <c r="BB26" i="22"/>
  <c r="BB59" i="22"/>
  <c r="BB105" i="22"/>
  <c r="BB97" i="22"/>
  <c r="BB95" i="22"/>
  <c r="BB112" i="22"/>
  <c r="BB187" i="22"/>
  <c r="BB161" i="22"/>
  <c r="BB191" i="22"/>
  <c r="BB200" i="22"/>
  <c r="BB224" i="22"/>
  <c r="BB158" i="22"/>
  <c r="BB76" i="22"/>
  <c r="BB193" i="22"/>
  <c r="BB13" i="22"/>
  <c r="BB20" i="22"/>
  <c r="BB30" i="22"/>
  <c r="BB63" i="22"/>
  <c r="BB85" i="22"/>
  <c r="BB103" i="22"/>
  <c r="BB99" i="22"/>
  <c r="BB127" i="22"/>
  <c r="BB168" i="22"/>
  <c r="BB173" i="22"/>
  <c r="BB184" i="22"/>
  <c r="BB197" i="22"/>
  <c r="BB203" i="22"/>
  <c r="BB166" i="22"/>
  <c r="BB21" i="22"/>
  <c r="BB25" i="22"/>
  <c r="BB32" i="22"/>
  <c r="BB91" i="22"/>
  <c r="BB89" i="22"/>
  <c r="BB120" i="22"/>
  <c r="BB129" i="22"/>
  <c r="BB134" i="22"/>
  <c r="BB179" i="22"/>
  <c r="BB175" i="22"/>
  <c r="BB172" i="22"/>
  <c r="BB210" i="22"/>
  <c r="BB14" i="22"/>
  <c r="AX8" i="21"/>
  <c r="AX34" i="21" s="1"/>
  <c r="BB33" i="22"/>
  <c r="BB22" i="22"/>
  <c r="BB34" i="22"/>
  <c r="BB75" i="22"/>
  <c r="BB81" i="22"/>
  <c r="BB94" i="22"/>
  <c r="BB133" i="22"/>
  <c r="BB128" i="22"/>
  <c r="BB181" i="22"/>
  <c r="BB183" i="22"/>
  <c r="BB174" i="22"/>
  <c r="BB198" i="22"/>
  <c r="AZ209" i="7"/>
  <c r="BB83" i="22"/>
  <c r="BB37" i="22"/>
  <c r="BB19" i="22"/>
  <c r="BB36" i="22"/>
  <c r="BB65" i="22"/>
  <c r="BB93" i="22"/>
  <c r="BB107" i="22"/>
  <c r="BB121" i="22"/>
  <c r="BB130" i="22"/>
  <c r="BB188" i="22"/>
  <c r="BB177" i="22"/>
  <c r="BB176" i="22"/>
  <c r="BB199" i="22"/>
  <c r="AX229" i="7"/>
  <c r="AX288" i="7" s="1"/>
  <c r="AX117" i="14" s="1"/>
  <c r="AX118" i="14" s="1"/>
  <c r="AX122" i="14" s="1"/>
  <c r="AX123" i="14" s="1"/>
  <c r="AX124" i="14" s="1"/>
  <c r="BB157" i="22"/>
  <c r="BB114" i="22"/>
  <c r="BB16" i="22"/>
  <c r="BB23" i="22"/>
  <c r="BB38" i="22"/>
  <c r="BB71" i="22"/>
  <c r="BB101" i="22"/>
  <c r="BB116" i="22"/>
  <c r="BB122" i="22"/>
  <c r="BB115" i="22"/>
  <c r="BB135" i="22"/>
  <c r="BB186" i="22"/>
  <c r="BB178" i="22"/>
  <c r="BB207" i="22"/>
  <c r="BB11" i="22"/>
  <c r="BB61" i="22"/>
  <c r="BB171" i="22"/>
  <c r="BB18" i="22"/>
  <c r="BB43" i="22"/>
  <c r="BB48" i="22"/>
  <c r="BB78" i="22"/>
  <c r="BB58" i="22"/>
  <c r="BB117" i="22"/>
  <c r="BB123" i="22"/>
  <c r="BB124" i="22"/>
  <c r="BB137" i="22"/>
  <c r="BB163" i="22"/>
  <c r="BB180" i="22"/>
  <c r="BB218" i="22"/>
  <c r="BB113" i="22"/>
  <c r="BB17" i="22"/>
  <c r="BB47" i="22"/>
  <c r="BB57" i="22"/>
  <c r="BB67" i="22"/>
  <c r="BB60" i="22"/>
  <c r="BB118" i="22"/>
  <c r="BB125" i="22"/>
  <c r="BB150" i="22"/>
  <c r="BB139" i="22"/>
  <c r="BB165" i="22"/>
  <c r="BB182" i="22"/>
  <c r="BB206" i="22"/>
  <c r="BA22" i="7"/>
  <c r="BB40" i="22"/>
  <c r="BB53" i="22"/>
  <c r="BB56" i="22"/>
  <c r="BB69" i="22"/>
  <c r="BB62" i="22"/>
  <c r="BB98" i="22"/>
  <c r="BB126" i="22"/>
  <c r="BB154" i="22"/>
  <c r="BB143" i="22"/>
  <c r="BB167" i="22"/>
  <c r="BB204" i="22"/>
  <c r="BB227" i="22"/>
  <c r="AX80" i="21" s="1"/>
  <c r="BB104" i="22"/>
  <c r="BB28" i="22"/>
  <c r="BB44" i="22"/>
  <c r="BB54" i="22"/>
  <c r="BB42" i="22"/>
  <c r="BB111" i="22"/>
  <c r="BB64" i="22"/>
  <c r="BB82" i="22"/>
  <c r="BB138" i="22"/>
  <c r="BB136" i="22"/>
  <c r="BB147" i="22"/>
  <c r="AX65" i="21" s="1"/>
  <c r="BB169" i="22"/>
  <c r="BB189" i="22"/>
  <c r="BB223" i="22"/>
  <c r="BB87" i="22"/>
  <c r="BB212" i="22"/>
  <c r="BB24" i="22"/>
  <c r="BB50" i="22"/>
  <c r="BB45" i="22"/>
  <c r="BB119" i="22"/>
  <c r="BB66" i="22"/>
  <c r="BB84" i="22"/>
  <c r="BB142" i="22"/>
  <c r="BB144" i="22"/>
  <c r="BB151" i="22"/>
  <c r="BB205" i="22"/>
  <c r="BB208" i="22"/>
  <c r="AT57" i="9"/>
  <c r="AT56" i="9"/>
  <c r="AT48" i="9"/>
  <c r="AX115" i="10"/>
  <c r="AX54" i="10"/>
  <c r="AX199" i="10"/>
  <c r="AT9" i="8"/>
  <c r="AX60" i="10"/>
  <c r="AX109" i="10"/>
  <c r="AX63" i="10"/>
  <c r="AX47" i="10"/>
  <c r="AX87" i="10"/>
  <c r="AX23" i="10"/>
  <c r="AX198" i="10"/>
  <c r="AX69" i="10"/>
  <c r="AX37" i="10"/>
  <c r="AX45" i="10"/>
  <c r="AX177" i="10"/>
  <c r="AX158" i="10"/>
  <c r="AX184" i="10"/>
  <c r="AX114" i="10"/>
  <c r="AX193" i="10"/>
  <c r="AX18" i="10"/>
  <c r="AX173" i="10"/>
  <c r="AX170" i="10"/>
  <c r="AX164" i="10"/>
  <c r="AX190" i="10"/>
  <c r="AX28" i="10"/>
  <c r="AX124" i="10"/>
  <c r="AX135" i="10"/>
  <c r="AX187" i="10"/>
  <c r="AX30" i="10"/>
  <c r="AX134" i="10"/>
  <c r="AX118" i="10"/>
  <c r="AX40" i="10"/>
  <c r="AX59" i="10"/>
  <c r="AX144" i="10"/>
  <c r="AX180" i="10"/>
  <c r="AX44" i="10"/>
  <c r="AX145" i="10"/>
  <c r="AX163" i="10"/>
  <c r="AT59" i="9"/>
  <c r="AX152" i="10"/>
  <c r="AX132" i="10"/>
  <c r="AX181" i="10"/>
  <c r="AX126" i="10"/>
  <c r="AX136" i="10"/>
  <c r="AX75" i="10"/>
  <c r="AX175" i="10"/>
  <c r="AX143" i="10"/>
  <c r="AX73" i="10"/>
  <c r="AX94" i="10"/>
  <c r="AX35" i="10"/>
  <c r="AX17" i="10"/>
  <c r="AX186" i="10"/>
  <c r="AX103" i="10"/>
  <c r="AX84" i="10"/>
  <c r="AX113" i="10"/>
  <c r="AX174" i="10"/>
  <c r="AX121" i="10"/>
  <c r="AX50" i="10"/>
  <c r="AX72" i="10"/>
  <c r="AX130" i="10"/>
  <c r="AX26" i="10"/>
  <c r="AX32" i="10"/>
  <c r="AX81" i="10"/>
  <c r="AX120" i="10"/>
  <c r="AX82" i="10"/>
  <c r="AX39" i="10"/>
  <c r="AX68" i="10"/>
  <c r="AX41" i="10"/>
  <c r="AX162" i="10"/>
  <c r="AX67" i="14"/>
  <c r="AX68" i="14" s="1"/>
  <c r="AX72" i="14" s="1"/>
  <c r="AX73" i="14" s="1"/>
  <c r="AX74" i="14" s="1"/>
  <c r="AX75" i="14" s="1"/>
  <c r="AX76" i="14" s="1"/>
  <c r="AX77" i="14" s="1"/>
  <c r="AX82" i="14" s="1"/>
  <c r="AX85" i="14" s="1"/>
  <c r="AZ208" i="7"/>
  <c r="AZ212" i="7"/>
  <c r="AZ213" i="7" s="1"/>
  <c r="BA204" i="7"/>
  <c r="BA256" i="7" s="1"/>
  <c r="BA271" i="7" s="1"/>
  <c r="AZ217" i="7"/>
  <c r="AZ240" i="7" s="1"/>
  <c r="AZ222" i="7"/>
  <c r="AZ223" i="7" s="1"/>
  <c r="AZ226" i="7"/>
  <c r="AZ227" i="7" s="1"/>
  <c r="BA261" i="7"/>
  <c r="BA276" i="7" s="1"/>
  <c r="BA265" i="7"/>
  <c r="BA280" i="7" s="1"/>
  <c r="BB78" i="7"/>
  <c r="BB93" i="7" s="1"/>
  <c r="BA20" i="13"/>
  <c r="BA11" i="7"/>
  <c r="AZ3" i="15"/>
  <c r="AZ5" i="15" s="1"/>
  <c r="BF4" i="11" s="1"/>
  <c r="BD3" i="22"/>
  <c r="BF3" i="11"/>
  <c r="AK11" i="15"/>
  <c r="AQ7" i="11" s="1"/>
  <c r="AK29" i="15"/>
  <c r="AK37" i="15" s="1"/>
  <c r="AK38" i="15" s="1"/>
  <c r="AK39" i="15" s="1"/>
  <c r="AK40" i="15" s="1"/>
  <c r="AK17" i="15"/>
  <c r="AQ10" i="11" s="1"/>
  <c r="AK7" i="15"/>
  <c r="AQ5" i="11" s="1"/>
  <c r="AK31" i="15"/>
  <c r="AK32" i="15" s="1"/>
  <c r="AK33" i="15" s="1"/>
  <c r="AK34" i="15" s="1"/>
  <c r="AW119" i="14"/>
  <c r="AW129" i="14" s="1"/>
  <c r="AW140" i="14" s="1"/>
  <c r="AW6" i="7" s="1"/>
  <c r="AW15" i="13" s="1"/>
  <c r="BA267" i="7"/>
  <c r="BA282" i="7" s="1"/>
  <c r="AZ158" i="7"/>
  <c r="AZ173" i="7" s="1"/>
  <c r="AZ188" i="7" s="1"/>
  <c r="BA262" i="7"/>
  <c r="BA277" i="7" s="1"/>
  <c r="BA264" i="7"/>
  <c r="BA279" i="7" s="1"/>
  <c r="AY149" i="7"/>
  <c r="BA269" i="7"/>
  <c r="BA284" i="7" s="1"/>
  <c r="BA263" i="7"/>
  <c r="BA278" i="7" s="1"/>
  <c r="BA268" i="7"/>
  <c r="BA283" i="7" s="1"/>
  <c r="BA266" i="7"/>
  <c r="BA281" i="7" s="1"/>
  <c r="AW144" i="14"/>
  <c r="AW161" i="14" s="1"/>
  <c r="AW162" i="14" s="1"/>
  <c r="AW163" i="14" s="1"/>
  <c r="AZ350" i="7"/>
  <c r="AZ365" i="7" s="1"/>
  <c r="AZ56" i="7"/>
  <c r="AK10" i="13"/>
  <c r="AK3" i="8" s="1"/>
  <c r="AK15" i="15"/>
  <c r="AQ9" i="11" s="1"/>
  <c r="AK9" i="15"/>
  <c r="AQ6" i="11" s="1"/>
  <c r="AZ302" i="7"/>
  <c r="BA260" i="7"/>
  <c r="BA275" i="7" s="1"/>
  <c r="AY132" i="7"/>
  <c r="AM14" i="21"/>
  <c r="AZ306" i="7"/>
  <c r="AZ307" i="7" s="1"/>
  <c r="AZ345" i="7" s="1"/>
  <c r="AY140" i="7"/>
  <c r="AY330" i="7"/>
  <c r="AY138" i="7"/>
  <c r="AY133" i="7"/>
  <c r="AZ36" i="7"/>
  <c r="AY155" i="7"/>
  <c r="AY192" i="7"/>
  <c r="AY150" i="7"/>
  <c r="AY152" i="7"/>
  <c r="AY142" i="7"/>
  <c r="AY148" i="7"/>
  <c r="AY143" i="7"/>
  <c r="E24" i="13"/>
  <c r="E50" i="8"/>
  <c r="E25" i="13" s="1"/>
  <c r="AM17" i="17"/>
  <c r="BA257" i="7"/>
  <c r="BA272" i="7" s="1"/>
  <c r="AY145" i="7"/>
  <c r="AY156" i="7"/>
  <c r="BA259" i="7"/>
  <c r="BA274" i="7" s="1"/>
  <c r="AY146" i="7"/>
  <c r="AY137" i="7"/>
  <c r="AZ119" i="7"/>
  <c r="AZ120" i="7" s="1"/>
  <c r="AZ141" i="7" s="1"/>
  <c r="AZ114" i="7"/>
  <c r="AZ115" i="7" s="1"/>
  <c r="AZ153" i="7" s="1"/>
  <c r="AZ110" i="7"/>
  <c r="AZ124" i="7"/>
  <c r="AZ136" i="7" s="1"/>
  <c r="AZ128" i="7"/>
  <c r="AZ129" i="7" s="1"/>
  <c r="AZ147" i="7" s="1"/>
  <c r="AM72" i="21"/>
  <c r="BA258" i="7"/>
  <c r="BA273" i="7" s="1"/>
  <c r="AW94" i="14"/>
  <c r="AW111" i="14" s="1"/>
  <c r="AW112" i="14" s="1"/>
  <c r="AW113" i="14" s="1"/>
  <c r="AZ63" i="7"/>
  <c r="AZ52" i="7"/>
  <c r="AZ44" i="7"/>
  <c r="AZ31" i="7"/>
  <c r="AR41" i="8"/>
  <c r="AR23" i="13" s="1"/>
  <c r="AR40" i="8"/>
  <c r="AR22" i="13"/>
  <c r="AZ50" i="7"/>
  <c r="AZ49" i="7"/>
  <c r="AZ51" i="7"/>
  <c r="AZ58" i="7"/>
  <c r="AY139" i="7"/>
  <c r="AZ42" i="7"/>
  <c r="AZ61" i="7"/>
  <c r="AZ59" i="7"/>
  <c r="AS12" i="11"/>
  <c r="AS14" i="11" s="1"/>
  <c r="AZ60" i="7"/>
  <c r="AS13" i="11"/>
  <c r="AS15" i="11" s="1"/>
  <c r="AZ54" i="7"/>
  <c r="AZ48" i="7"/>
  <c r="AZ62" i="7"/>
  <c r="AZ55" i="7"/>
  <c r="AK19" i="15"/>
  <c r="AQ11" i="11" s="1"/>
  <c r="AQ4" i="11"/>
  <c r="AZ43" i="7"/>
  <c r="AZ53" i="7"/>
  <c r="AZ64" i="7"/>
  <c r="AZ65" i="7"/>
  <c r="AZ57" i="7"/>
  <c r="BC13" i="11"/>
  <c r="BC15" i="11" s="1"/>
  <c r="BC12" i="11"/>
  <c r="BC14" i="11" s="1"/>
  <c r="AW86" i="14"/>
  <c r="AW87" i="14" s="1"/>
  <c r="AW89" i="14" s="1"/>
  <c r="AY151" i="7"/>
  <c r="AY135" i="7"/>
  <c r="AZ311" i="7"/>
  <c r="AZ312" i="7" s="1"/>
  <c r="AZ333" i="7" s="1"/>
  <c r="AY134" i="7"/>
  <c r="AY144" i="7"/>
  <c r="AZ47" i="7"/>
  <c r="AZ46" i="7"/>
  <c r="K24" i="13"/>
  <c r="AZ39" i="10"/>
  <c r="AZ25" i="10"/>
  <c r="AZ26" i="10"/>
  <c r="AZ198" i="10"/>
  <c r="AZ191" i="10"/>
  <c r="AZ71" i="10"/>
  <c r="AZ94" i="10"/>
  <c r="AZ28" i="10"/>
  <c r="AZ200" i="10"/>
  <c r="AZ180" i="10"/>
  <c r="AZ72" i="10"/>
  <c r="AZ176" i="10"/>
  <c r="AZ163" i="10"/>
  <c r="AZ129" i="10"/>
  <c r="AZ97" i="10"/>
  <c r="AZ59" i="10"/>
  <c r="AZ162" i="10"/>
  <c r="AZ127" i="10"/>
  <c r="AZ134" i="10"/>
  <c r="AZ122" i="10"/>
  <c r="AZ99" i="10"/>
  <c r="AZ47" i="10"/>
  <c r="AZ172" i="10"/>
  <c r="AZ105" i="10"/>
  <c r="AZ177" i="10"/>
  <c r="AZ183" i="10"/>
  <c r="AZ153" i="10"/>
  <c r="AZ66" i="10"/>
  <c r="AZ38" i="10"/>
  <c r="AZ166" i="10"/>
  <c r="AZ165" i="10"/>
  <c r="AZ90" i="10"/>
  <c r="AZ53" i="10"/>
  <c r="AZ49" i="10"/>
  <c r="AZ36" i="10"/>
  <c r="AZ193" i="10"/>
  <c r="AZ199" i="10"/>
  <c r="AZ150" i="10"/>
  <c r="AZ45" i="10"/>
  <c r="AZ35" i="10"/>
  <c r="AZ185" i="10"/>
  <c r="AZ128" i="10"/>
  <c r="AZ132" i="10"/>
  <c r="AZ188" i="10"/>
  <c r="AZ126" i="10"/>
  <c r="AZ57" i="10"/>
  <c r="AZ120" i="10"/>
  <c r="AZ119" i="10"/>
  <c r="AZ56" i="10"/>
  <c r="AZ125" i="10"/>
  <c r="AZ104" i="10"/>
  <c r="AZ73" i="10"/>
  <c r="AZ152" i="10"/>
  <c r="AZ101" i="10"/>
  <c r="AZ61" i="10"/>
  <c r="AZ184" i="10"/>
  <c r="AZ60" i="10"/>
  <c r="AZ131" i="10"/>
  <c r="AZ96" i="10"/>
  <c r="AZ68" i="10"/>
  <c r="AZ175" i="10"/>
  <c r="AZ170" i="10"/>
  <c r="AZ174" i="10"/>
  <c r="AZ64" i="10"/>
  <c r="AZ147" i="10"/>
  <c r="AZ139" i="10"/>
  <c r="AZ95" i="10"/>
  <c r="AZ20" i="10"/>
  <c r="AZ93" i="10"/>
  <c r="AZ50" i="10"/>
  <c r="AZ186" i="10"/>
  <c r="AZ114" i="10"/>
  <c r="AZ43" i="10"/>
  <c r="AZ155" i="10"/>
  <c r="AZ103" i="10"/>
  <c r="AZ48" i="10"/>
  <c r="AZ195" i="10"/>
  <c r="AZ138" i="10"/>
  <c r="AZ187" i="10"/>
  <c r="AZ123" i="10"/>
  <c r="AZ58" i="10"/>
  <c r="AZ23" i="10"/>
  <c r="AY9" i="10"/>
  <c r="AT4" i="20"/>
  <c r="AX4" i="22"/>
  <c r="AY10" i="10"/>
  <c r="AR10" i="8"/>
  <c r="AR55" i="21"/>
  <c r="AV10" i="10"/>
  <c r="AR53" i="9" s="1"/>
  <c r="AR60" i="9" s="1"/>
  <c r="AR66" i="9" s="1"/>
  <c r="AY8" i="10"/>
  <c r="AY136" i="7"/>
  <c r="AR11" i="8"/>
  <c r="AR49" i="21"/>
  <c r="AY343" i="7"/>
  <c r="AZ286" i="7"/>
  <c r="AV8" i="10"/>
  <c r="AR47" i="9" s="1"/>
  <c r="AR51" i="9" s="1"/>
  <c r="AR64" i="9" s="1"/>
  <c r="AV9" i="10"/>
  <c r="AR62" i="9" s="1"/>
  <c r="AR68" i="9" s="1"/>
  <c r="AZ46" i="10"/>
  <c r="AZ16" i="10"/>
  <c r="AZ40" i="10"/>
  <c r="AZ31" i="10"/>
  <c r="AZ24" i="10"/>
  <c r="AZ19" i="10"/>
  <c r="AZ18" i="10"/>
  <c r="AZ29" i="10"/>
  <c r="AZ179" i="10"/>
  <c r="AZ151" i="10"/>
  <c r="AZ159" i="10"/>
  <c r="AZ190" i="10"/>
  <c r="AZ181" i="10"/>
  <c r="AZ171" i="10"/>
  <c r="AZ145" i="10"/>
  <c r="AZ100" i="10"/>
  <c r="AZ117" i="10"/>
  <c r="AZ182" i="10"/>
  <c r="AZ167" i="10"/>
  <c r="AZ158" i="10"/>
  <c r="AZ168" i="10"/>
  <c r="AZ136" i="10"/>
  <c r="AZ146" i="10"/>
  <c r="AZ112" i="10"/>
  <c r="AZ67" i="10"/>
  <c r="AZ89" i="10"/>
  <c r="AZ41" i="10"/>
  <c r="AZ192" i="10"/>
  <c r="AZ121" i="10"/>
  <c r="AZ88" i="10"/>
  <c r="AZ55" i="10"/>
  <c r="AZ30" i="10"/>
  <c r="AZ197" i="10"/>
  <c r="AZ113" i="10"/>
  <c r="AZ81" i="10"/>
  <c r="AZ22" i="10"/>
  <c r="AZ202" i="10"/>
  <c r="AZ144" i="10"/>
  <c r="AZ135" i="10"/>
  <c r="AZ130" i="10"/>
  <c r="AZ106" i="10"/>
  <c r="AZ69" i="10"/>
  <c r="AZ65" i="10"/>
  <c r="AZ34" i="10"/>
  <c r="AZ169" i="10"/>
  <c r="AZ173" i="10"/>
  <c r="AZ21" i="10"/>
  <c r="AZ201" i="10"/>
  <c r="AZ196" i="10"/>
  <c r="AZ164" i="10"/>
  <c r="AZ110" i="10"/>
  <c r="AZ108" i="10"/>
  <c r="AZ161" i="10"/>
  <c r="AZ156" i="10"/>
  <c r="AZ82" i="10"/>
  <c r="AZ109" i="10"/>
  <c r="AZ87" i="10"/>
  <c r="AZ62" i="10"/>
  <c r="AZ44" i="10"/>
  <c r="AZ194" i="10"/>
  <c r="AZ157" i="10"/>
  <c r="AZ189" i="10"/>
  <c r="AZ133" i="10"/>
  <c r="AZ86" i="10"/>
  <c r="AZ37" i="10"/>
  <c r="AZ54" i="10"/>
  <c r="AZ32" i="10"/>
  <c r="AZ115" i="10"/>
  <c r="AZ51" i="10"/>
  <c r="AZ178" i="10"/>
  <c r="AZ42" i="10"/>
  <c r="AZ160" i="10"/>
  <c r="AZ149" i="10"/>
  <c r="AZ137" i="10"/>
  <c r="AZ75" i="10"/>
  <c r="AZ17" i="10"/>
  <c r="AZ143" i="10"/>
  <c r="AZ84" i="10"/>
  <c r="AZ52" i="10"/>
  <c r="AZ111" i="10"/>
  <c r="AZ83" i="10"/>
  <c r="AZ70" i="10"/>
  <c r="AZ154" i="10"/>
  <c r="AZ98" i="10"/>
  <c r="AZ74" i="10"/>
  <c r="AZ118" i="10"/>
  <c r="AZ85" i="10"/>
  <c r="AZ80" i="10"/>
  <c r="AZ92" i="10"/>
  <c r="AZ148" i="10"/>
  <c r="AZ116" i="10"/>
  <c r="AZ91" i="10"/>
  <c r="AZ107" i="10"/>
  <c r="AZ102" i="10"/>
  <c r="AZ63" i="10"/>
  <c r="AZ33" i="10"/>
  <c r="AZ124" i="10"/>
  <c r="AZ27" i="10"/>
  <c r="AM11" i="21"/>
  <c r="BC219" i="22"/>
  <c r="BC217" i="22"/>
  <c r="BC215" i="22"/>
  <c r="BC211" i="22"/>
  <c r="BC209" i="22"/>
  <c r="BC223" i="22"/>
  <c r="BC227" i="22"/>
  <c r="AY80" i="21" s="1"/>
  <c r="BC218" i="22"/>
  <c r="BC207" i="22"/>
  <c r="BC199" i="22"/>
  <c r="BC198" i="22"/>
  <c r="BC210" i="22"/>
  <c r="BC197" i="22"/>
  <c r="BC212" i="22"/>
  <c r="BC200" i="22"/>
  <c r="BC194" i="22"/>
  <c r="BC192" i="22"/>
  <c r="BC190" i="22"/>
  <c r="BC203" i="22"/>
  <c r="BC220" i="22"/>
  <c r="BC216" i="22"/>
  <c r="BC208" i="22"/>
  <c r="BC204" i="22"/>
  <c r="BC206" i="22"/>
  <c r="BC224" i="22"/>
  <c r="BC182" i="22"/>
  <c r="BC180" i="22"/>
  <c r="BC178" i="22"/>
  <c r="BC176" i="22"/>
  <c r="BC174" i="22"/>
  <c r="BC172" i="22"/>
  <c r="BC170" i="22"/>
  <c r="BC184" i="22"/>
  <c r="BC193" i="22"/>
  <c r="BC191" i="22"/>
  <c r="BC195" i="22"/>
  <c r="BC196" i="22"/>
  <c r="BC205" i="22"/>
  <c r="BC187" i="22"/>
  <c r="BC169" i="22"/>
  <c r="BC167" i="22"/>
  <c r="BC165" i="22"/>
  <c r="BC163" i="22"/>
  <c r="BC161" i="22"/>
  <c r="BC186" i="22"/>
  <c r="BC177" i="22"/>
  <c r="BC179" i="22"/>
  <c r="BC183" i="22"/>
  <c r="BC175" i="22"/>
  <c r="BC173" i="22"/>
  <c r="BC188" i="22"/>
  <c r="BC189" i="22"/>
  <c r="BC162" i="22"/>
  <c r="BC157" i="22"/>
  <c r="BC153" i="22"/>
  <c r="BC151" i="22"/>
  <c r="BC147" i="22"/>
  <c r="AY65" i="21" s="1"/>
  <c r="BC143" i="22"/>
  <c r="BC181" i="22"/>
  <c r="BC168" i="22"/>
  <c r="BC185" i="22"/>
  <c r="BC154" i="22"/>
  <c r="BC152" i="22"/>
  <c r="BC164" i="22"/>
  <c r="BC134" i="22"/>
  <c r="BC130" i="22"/>
  <c r="BC128" i="22"/>
  <c r="BC126" i="22"/>
  <c r="BC124" i="22"/>
  <c r="BC122" i="22"/>
  <c r="BC120" i="22"/>
  <c r="BC118" i="22"/>
  <c r="BC116" i="22"/>
  <c r="BC138" i="22"/>
  <c r="BC158" i="22"/>
  <c r="BC133" i="22"/>
  <c r="BC129" i="22"/>
  <c r="BC127" i="22"/>
  <c r="BC125" i="22"/>
  <c r="BC142" i="22"/>
  <c r="BC136" i="22"/>
  <c r="BC135" i="22"/>
  <c r="BC150" i="22"/>
  <c r="BC137" i="22"/>
  <c r="BC171" i="22"/>
  <c r="BC139" i="22"/>
  <c r="BC123" i="22"/>
  <c r="BC144" i="22"/>
  <c r="BC121" i="22"/>
  <c r="BC166" i="22"/>
  <c r="BC106" i="22"/>
  <c r="BC108" i="22"/>
  <c r="BC114" i="22"/>
  <c r="BC113" i="22"/>
  <c r="BC104" i="22"/>
  <c r="BC95" i="22"/>
  <c r="BC92" i="22"/>
  <c r="BC90" i="22"/>
  <c r="BC88" i="22"/>
  <c r="BC86" i="22"/>
  <c r="BC84" i="22"/>
  <c r="BC98" i="22"/>
  <c r="BC117" i="22"/>
  <c r="BC107" i="22"/>
  <c r="BC119" i="22"/>
  <c r="BC112" i="22"/>
  <c r="BC105" i="22"/>
  <c r="BC101" i="22"/>
  <c r="BC115" i="22"/>
  <c r="BC111" i="22"/>
  <c r="BC97" i="22"/>
  <c r="BC100" i="22"/>
  <c r="BC93" i="22"/>
  <c r="BC103" i="22"/>
  <c r="BC82" i="22"/>
  <c r="BC77" i="22"/>
  <c r="BC72" i="22"/>
  <c r="BC70" i="22"/>
  <c r="BC68" i="22"/>
  <c r="BC66" i="22"/>
  <c r="BC64" i="22"/>
  <c r="BC62" i="22"/>
  <c r="BC60" i="22"/>
  <c r="BC58" i="22"/>
  <c r="BC102" i="22"/>
  <c r="BC81" i="22"/>
  <c r="BC89" i="22"/>
  <c r="BC80" i="22"/>
  <c r="BC94" i="22"/>
  <c r="BC85" i="22"/>
  <c r="BC76" i="22"/>
  <c r="BC79" i="22"/>
  <c r="BC71" i="22"/>
  <c r="BC87" i="22"/>
  <c r="BC99" i="22"/>
  <c r="BC96" i="22"/>
  <c r="BC91" i="22"/>
  <c r="BC67" i="22"/>
  <c r="BC83" i="22"/>
  <c r="BC78" i="22"/>
  <c r="BC65" i="22"/>
  <c r="BC75" i="22"/>
  <c r="BC63" i="22"/>
  <c r="BC61" i="22"/>
  <c r="BC56" i="22"/>
  <c r="BC54" i="22"/>
  <c r="BC52" i="22"/>
  <c r="BC50" i="22"/>
  <c r="BC48" i="22"/>
  <c r="BC59" i="22"/>
  <c r="BC69" i="22"/>
  <c r="BC57" i="22"/>
  <c r="BC39" i="22"/>
  <c r="BC49" i="22"/>
  <c r="BC45" i="22"/>
  <c r="BC42" i="22"/>
  <c r="BC38" i="22"/>
  <c r="BC36" i="22"/>
  <c r="BC34" i="22"/>
  <c r="BC32" i="22"/>
  <c r="BC30" i="22"/>
  <c r="BC28" i="22"/>
  <c r="BC26" i="22"/>
  <c r="BC24" i="22"/>
  <c r="BC22" i="22"/>
  <c r="BC20" i="22"/>
  <c r="BC18" i="22"/>
  <c r="BC46" i="22"/>
  <c r="BC41" i="22"/>
  <c r="BC51" i="22"/>
  <c r="BC53" i="22"/>
  <c r="BC44" i="22"/>
  <c r="BC40" i="22"/>
  <c r="BC37" i="22"/>
  <c r="BC35" i="22"/>
  <c r="BC33" i="22"/>
  <c r="BC31" i="22"/>
  <c r="BC55" i="22"/>
  <c r="BC43" i="22"/>
  <c r="BC23" i="22"/>
  <c r="BC19" i="22"/>
  <c r="BC25" i="22"/>
  <c r="BC14" i="22"/>
  <c r="BC12" i="22"/>
  <c r="BC10" i="22"/>
  <c r="BC27" i="22"/>
  <c r="BC29" i="22"/>
  <c r="BC17" i="22"/>
  <c r="BC16" i="22"/>
  <c r="BC47" i="22"/>
  <c r="BC21" i="22"/>
  <c r="BC13" i="22"/>
  <c r="BC11" i="22"/>
  <c r="BC9" i="22"/>
  <c r="BC15" i="22"/>
  <c r="AN219" i="22"/>
  <c r="AN217" i="22"/>
  <c r="AN215" i="22"/>
  <c r="AN211" i="22"/>
  <c r="AN223" i="22"/>
  <c r="AN227" i="22"/>
  <c r="AJ80" i="21" s="1"/>
  <c r="AN200" i="22"/>
  <c r="AN209" i="22"/>
  <c r="AN203" i="22"/>
  <c r="AN197" i="22"/>
  <c r="AN208" i="22"/>
  <c r="AN194" i="22"/>
  <c r="AN192" i="22"/>
  <c r="AN218" i="22"/>
  <c r="AN204" i="22"/>
  <c r="AN205" i="22"/>
  <c r="AN196" i="22"/>
  <c r="AN210" i="22"/>
  <c r="AN212" i="22"/>
  <c r="AN224" i="22"/>
  <c r="AN216" i="22"/>
  <c r="AN199" i="22"/>
  <c r="AN190" i="22"/>
  <c r="AN206" i="22"/>
  <c r="AN198" i="22"/>
  <c r="AN220" i="22"/>
  <c r="AN187" i="22"/>
  <c r="AN186" i="22"/>
  <c r="AN191" i="22"/>
  <c r="AN184" i="22"/>
  <c r="AN182" i="22"/>
  <c r="AN181" i="22"/>
  <c r="AN175" i="22"/>
  <c r="AN185" i="22"/>
  <c r="AN172" i="22"/>
  <c r="AN171" i="22"/>
  <c r="AN193" i="22"/>
  <c r="AN178" i="22"/>
  <c r="AN195" i="22"/>
  <c r="AN180" i="22"/>
  <c r="AN207" i="22"/>
  <c r="AN179" i="22"/>
  <c r="AN168" i="22"/>
  <c r="AN165" i="22"/>
  <c r="AN176" i="22"/>
  <c r="AN157" i="22"/>
  <c r="AN153" i="22"/>
  <c r="AN151" i="22"/>
  <c r="AN147" i="22"/>
  <c r="AJ65" i="21" s="1"/>
  <c r="AN143" i="22"/>
  <c r="AN139" i="22"/>
  <c r="AN137" i="22"/>
  <c r="AN189" i="22"/>
  <c r="AN166" i="22"/>
  <c r="AN163" i="22"/>
  <c r="AN164" i="22"/>
  <c r="AN174" i="22"/>
  <c r="AN170" i="22"/>
  <c r="AN169" i="22"/>
  <c r="AN173" i="22"/>
  <c r="AN154" i="22"/>
  <c r="AN142" i="22"/>
  <c r="AN162" i="22"/>
  <c r="AN144" i="22"/>
  <c r="AN161" i="22"/>
  <c r="AN133" i="22"/>
  <c r="AN129" i="22"/>
  <c r="AN127" i="22"/>
  <c r="AN177" i="22"/>
  <c r="AN158" i="22"/>
  <c r="AN150" i="22"/>
  <c r="AN135" i="22"/>
  <c r="AN188" i="22"/>
  <c r="AN152" i="22"/>
  <c r="AN138" i="22"/>
  <c r="AN134" i="22"/>
  <c r="AN126" i="22"/>
  <c r="AN114" i="22"/>
  <c r="AN112" i="22"/>
  <c r="AN108" i="22"/>
  <c r="AN106" i="22"/>
  <c r="AN104" i="22"/>
  <c r="AN102" i="22"/>
  <c r="AN100" i="22"/>
  <c r="AN98" i="22"/>
  <c r="AN96" i="22"/>
  <c r="AN94" i="22"/>
  <c r="AN125" i="22"/>
  <c r="AN123" i="22"/>
  <c r="AN183" i="22"/>
  <c r="AN122" i="22"/>
  <c r="AN121" i="22"/>
  <c r="AN120" i="22"/>
  <c r="AN119" i="22"/>
  <c r="AN130" i="22"/>
  <c r="AN128" i="22"/>
  <c r="AN124" i="22"/>
  <c r="AN118" i="22"/>
  <c r="AN117" i="22"/>
  <c r="AN136" i="22"/>
  <c r="AN105" i="22"/>
  <c r="AN167" i="22"/>
  <c r="AN111" i="22"/>
  <c r="AN101" i="22"/>
  <c r="AN97" i="22"/>
  <c r="AN113" i="22"/>
  <c r="AN115" i="22"/>
  <c r="AN92" i="22"/>
  <c r="AN85" i="22"/>
  <c r="AN80" i="22"/>
  <c r="AN86" i="22"/>
  <c r="AN103" i="22"/>
  <c r="AN90" i="22"/>
  <c r="AN107" i="22"/>
  <c r="AN87" i="22"/>
  <c r="AN79" i="22"/>
  <c r="AN71" i="22"/>
  <c r="AN88" i="22"/>
  <c r="AN75" i="22"/>
  <c r="AN116" i="22"/>
  <c r="AN93" i="22"/>
  <c r="AN91" i="22"/>
  <c r="AN78" i="22"/>
  <c r="AN89" i="22"/>
  <c r="AN82" i="22"/>
  <c r="AN84" i="22"/>
  <c r="AN66" i="22"/>
  <c r="AN65" i="22"/>
  <c r="AN64" i="22"/>
  <c r="AN63" i="22"/>
  <c r="AN83" i="22"/>
  <c r="AN62" i="22"/>
  <c r="AN61" i="22"/>
  <c r="AN77" i="22"/>
  <c r="AN95" i="22"/>
  <c r="AN60" i="22"/>
  <c r="AN59" i="22"/>
  <c r="AN56" i="22"/>
  <c r="AN54" i="22"/>
  <c r="AN52" i="22"/>
  <c r="AN58" i="22"/>
  <c r="AN99" i="22"/>
  <c r="AN76" i="22"/>
  <c r="AN51" i="22"/>
  <c r="AN48" i="22"/>
  <c r="AN42" i="22"/>
  <c r="AN70" i="22"/>
  <c r="AN53" i="22"/>
  <c r="AN46" i="22"/>
  <c r="AN50" i="22"/>
  <c r="AN67" i="22"/>
  <c r="AN38" i="22"/>
  <c r="AN36" i="22"/>
  <c r="AN34" i="22"/>
  <c r="AN32" i="22"/>
  <c r="AN30" i="22"/>
  <c r="AN28" i="22"/>
  <c r="AN26" i="22"/>
  <c r="AN24" i="22"/>
  <c r="AN22" i="22"/>
  <c r="AN20" i="22"/>
  <c r="AN41" i="22"/>
  <c r="AN55" i="22"/>
  <c r="AN69" i="22"/>
  <c r="AN44" i="22"/>
  <c r="AN72" i="22"/>
  <c r="AN57" i="22"/>
  <c r="AN47" i="22"/>
  <c r="AN40" i="22"/>
  <c r="AN49" i="22"/>
  <c r="AN45" i="22"/>
  <c r="AN81" i="22"/>
  <c r="AN43" i="22"/>
  <c r="AN19" i="22"/>
  <c r="AN11" i="22"/>
  <c r="AN33" i="22"/>
  <c r="AN17" i="22"/>
  <c r="AN14" i="22"/>
  <c r="AN12" i="22"/>
  <c r="AN10" i="22"/>
  <c r="AN39" i="22"/>
  <c r="AN31" i="22"/>
  <c r="AN18" i="22"/>
  <c r="AN16" i="22"/>
  <c r="AN21" i="22"/>
  <c r="AN13" i="22"/>
  <c r="AN23" i="22"/>
  <c r="AN37" i="22"/>
  <c r="AN68" i="22"/>
  <c r="AN15" i="22"/>
  <c r="AN35" i="22"/>
  <c r="AN9" i="22"/>
  <c r="AN25" i="22"/>
  <c r="AN29" i="22"/>
  <c r="AN27" i="22"/>
  <c r="AJ5" i="15"/>
  <c r="AJ29" i="15" s="1"/>
  <c r="AJ37" i="15" s="1"/>
  <c r="AJ38" i="15" s="1"/>
  <c r="AJ39" i="15" s="1"/>
  <c r="AJ40" i="15" s="1"/>
  <c r="AX5" i="15"/>
  <c r="AX15" i="15" s="1"/>
  <c r="BD9" i="11" s="1"/>
  <c r="AY341" i="7"/>
  <c r="AY347" i="7"/>
  <c r="AY326" i="7"/>
  <c r="AY334" i="7"/>
  <c r="AY344" i="7"/>
  <c r="BA164" i="7"/>
  <c r="BA179" i="7" s="1"/>
  <c r="AY337" i="7"/>
  <c r="AY346" i="7"/>
  <c r="AY386" i="7"/>
  <c r="AY338" i="7"/>
  <c r="AY324" i="7"/>
  <c r="AY329" i="7"/>
  <c r="AY340" i="7"/>
  <c r="AY336" i="7"/>
  <c r="AY342" i="7"/>
  <c r="AY327" i="7"/>
  <c r="AY348" i="7"/>
  <c r="AY335" i="7"/>
  <c r="AY331" i="7"/>
  <c r="AY332" i="7"/>
  <c r="AU6" i="7"/>
  <c r="AU15" i="13" s="1"/>
  <c r="AZ380" i="7"/>
  <c r="AT4" i="21"/>
  <c r="AT39" i="21" s="1"/>
  <c r="AM34" i="21"/>
  <c r="AT4" i="9"/>
  <c r="AT44" i="15"/>
  <c r="BA360" i="7"/>
  <c r="BA375" i="7" s="1"/>
  <c r="BA108" i="7"/>
  <c r="BA111" i="7" s="1"/>
  <c r="BA167" i="7"/>
  <c r="BA182" i="7" s="1"/>
  <c r="BA166" i="7"/>
  <c r="BA181" i="7" s="1"/>
  <c r="BA162" i="7"/>
  <c r="BA177" i="7" s="1"/>
  <c r="BA161" i="7"/>
  <c r="BA176" i="7" s="1"/>
  <c r="BA160" i="7"/>
  <c r="BA175" i="7" s="1"/>
  <c r="BA170" i="7"/>
  <c r="BA185" i="7" s="1"/>
  <c r="BA163" i="7"/>
  <c r="BA178" i="7" s="1"/>
  <c r="BA169" i="7"/>
  <c r="BA184" i="7" s="1"/>
  <c r="BA165" i="7"/>
  <c r="BA180" i="7" s="1"/>
  <c r="BA168" i="7"/>
  <c r="BA183" i="7" s="1"/>
  <c r="BA171" i="7"/>
  <c r="BA186" i="7" s="1"/>
  <c r="AY41" i="7"/>
  <c r="AY99" i="7" s="1"/>
  <c r="AX61" i="14"/>
  <c r="AX64" i="14" s="1"/>
  <c r="AX65" i="14" s="1"/>
  <c r="BB74" i="7"/>
  <c r="BB89" i="7" s="1"/>
  <c r="AZ28" i="14"/>
  <c r="AZ29" i="14" s="1"/>
  <c r="AZ30" i="14" s="1"/>
  <c r="AZ31" i="14" s="1"/>
  <c r="AZ18" i="13" s="1"/>
  <c r="BA298" i="7"/>
  <c r="BA303" i="7" s="1"/>
  <c r="BA357" i="7"/>
  <c r="BA372" i="7" s="1"/>
  <c r="BA358" i="7"/>
  <c r="BA373" i="7" s="1"/>
  <c r="BA356" i="7"/>
  <c r="BA371" i="7" s="1"/>
  <c r="BA352" i="7"/>
  <c r="BA367" i="7" s="1"/>
  <c r="BA361" i="7"/>
  <c r="BA376" i="7" s="1"/>
  <c r="BA355" i="7"/>
  <c r="BA370" i="7" s="1"/>
  <c r="BA354" i="7"/>
  <c r="BA369" i="7" s="1"/>
  <c r="BA353" i="7"/>
  <c r="BA368" i="7" s="1"/>
  <c r="BA363" i="7"/>
  <c r="BA378" i="7" s="1"/>
  <c r="BA362" i="7"/>
  <c r="BA377" i="7" s="1"/>
  <c r="BA351" i="7"/>
  <c r="BA366" i="7" s="1"/>
  <c r="AJ17" i="17"/>
  <c r="AJ8" i="21"/>
  <c r="AJ34" i="21" s="1"/>
  <c r="AJ15" i="17"/>
  <c r="AJ27" i="13" s="1"/>
  <c r="BA30" i="7"/>
  <c r="BA42" i="7" s="1"/>
  <c r="BA25" i="7"/>
  <c r="BA21" i="7"/>
  <c r="AX11" i="17"/>
  <c r="AX12" i="17" s="1"/>
  <c r="AX17" i="17" s="1"/>
  <c r="BA68" i="7"/>
  <c r="BA83" i="7" s="1"/>
  <c r="BA98" i="7" s="1"/>
  <c r="AM63" i="21"/>
  <c r="BA39" i="7"/>
  <c r="BA40" i="7" s="1"/>
  <c r="BA35" i="7"/>
  <c r="BA45" i="7" s="1"/>
  <c r="AM15" i="17"/>
  <c r="AM27" i="13" s="1"/>
  <c r="AK61" i="14"/>
  <c r="AK64" i="14" s="1"/>
  <c r="BD12" i="14"/>
  <c r="AM64" i="21"/>
  <c r="AM78" i="21"/>
  <c r="AM77" i="21"/>
  <c r="AM79" i="21"/>
  <c r="AM71" i="21"/>
  <c r="AM73" i="21" s="1"/>
  <c r="AM60" i="21"/>
  <c r="AM76" i="21"/>
  <c r="AM62" i="21"/>
  <c r="AM61" i="21"/>
  <c r="AZ170" i="14"/>
  <c r="AZ185" i="14" s="1"/>
  <c r="AZ52" i="14"/>
  <c r="AZ53" i="14" s="1"/>
  <c r="BA52" i="14"/>
  <c r="BA53" i="14" s="1"/>
  <c r="AM61" i="14"/>
  <c r="AM64" i="14" s="1"/>
  <c r="AJ58" i="14"/>
  <c r="AJ59" i="14" s="1"/>
  <c r="AY58" i="14"/>
  <c r="AY59" i="14" s="1"/>
  <c r="AY60" i="14" s="1"/>
  <c r="AV211" i="14"/>
  <c r="AV213" i="14" s="1"/>
  <c r="AV215" i="14" s="1"/>
  <c r="AZ189" i="14"/>
  <c r="AW201" i="14"/>
  <c r="AW205" i="14" s="1"/>
  <c r="BA214" i="14"/>
  <c r="BA187" i="14"/>
  <c r="BA188" i="14" s="1"/>
  <c r="BA189" i="14" s="1"/>
  <c r="AJ196" i="14"/>
  <c r="AJ197" i="14" s="1"/>
  <c r="AJ201" i="14" s="1"/>
  <c r="AJ205" i="14" s="1"/>
  <c r="AX192" i="14"/>
  <c r="AX191" i="14"/>
  <c r="AW199" i="14"/>
  <c r="AW202" i="14" s="1"/>
  <c r="AW206" i="14" s="1"/>
  <c r="AY193" i="14"/>
  <c r="AY194" i="14"/>
  <c r="AY195" i="14" s="1"/>
  <c r="AZ192" i="14"/>
  <c r="AZ191" i="14"/>
  <c r="AZ3" i="21"/>
  <c r="AZ7" i="21" s="1"/>
  <c r="AZ4" i="17"/>
  <c r="AZ7" i="17" s="1"/>
  <c r="AZ8" i="17" s="1"/>
  <c r="AZ9" i="17" s="1"/>
  <c r="AZ11" i="17" s="1"/>
  <c r="AZ12" i="17" s="1"/>
  <c r="AS55" i="21"/>
  <c r="AS56" i="21" s="1"/>
  <c r="BB177" i="14"/>
  <c r="BB176" i="14"/>
  <c r="BB179" i="14" s="1"/>
  <c r="BB181" i="14" s="1"/>
  <c r="BB178" i="14"/>
  <c r="BD169" i="14"/>
  <c r="BD11" i="14"/>
  <c r="BC172" i="14"/>
  <c r="BB14" i="14"/>
  <c r="BB25" i="14" s="1"/>
  <c r="BB171" i="14"/>
  <c r="BA170" i="14"/>
  <c r="BA185" i="14" s="1"/>
  <c r="AW73" i="21"/>
  <c r="BB80" i="7"/>
  <c r="BB95" i="7" s="1"/>
  <c r="BB71" i="7"/>
  <c r="BB86" i="7" s="1"/>
  <c r="BB103" i="7"/>
  <c r="BB106" i="7" s="1"/>
  <c r="BB167" i="7" s="1"/>
  <c r="BB182" i="7" s="1"/>
  <c r="BB17" i="7"/>
  <c r="BB72" i="7"/>
  <c r="BB87" i="7" s="1"/>
  <c r="BA4" i="13"/>
  <c r="BB201" i="7"/>
  <c r="BB202" i="7" s="1"/>
  <c r="BB75" i="7"/>
  <c r="BB90" i="7" s="1"/>
  <c r="BB295" i="7"/>
  <c r="BB296" i="7" s="1"/>
  <c r="BB357" i="7" s="1"/>
  <c r="BB372" i="7" s="1"/>
  <c r="BB73" i="7"/>
  <c r="BB88" i="7" s="1"/>
  <c r="BB79" i="7"/>
  <c r="BB94" i="7" s="1"/>
  <c r="BB70" i="7"/>
  <c r="BB85" i="7" s="1"/>
  <c r="BB76" i="7"/>
  <c r="BB91" i="7" s="1"/>
  <c r="BB81" i="7"/>
  <c r="BB96" i="7" s="1"/>
  <c r="BB69" i="7"/>
  <c r="BB84" i="7" s="1"/>
  <c r="BA28" i="14"/>
  <c r="BA29" i="14" s="1"/>
  <c r="BA30" i="14" s="1"/>
  <c r="BA31" i="14" s="1"/>
  <c r="BA18" i="13" s="1"/>
  <c r="BB77" i="7"/>
  <c r="BB92" i="7" s="1"/>
  <c r="BD9" i="14"/>
  <c r="BD6" i="14"/>
  <c r="BD173" i="14" s="1"/>
  <c r="BD8" i="14"/>
  <c r="BD5" i="14"/>
  <c r="BD172" i="14" s="1"/>
  <c r="BD7" i="14"/>
  <c r="BD174" i="14" s="1"/>
  <c r="BC17" i="14"/>
  <c r="BC16" i="14"/>
  <c r="BC18" i="14" s="1"/>
  <c r="BC19" i="14" s="1"/>
  <c r="BC21" i="14" s="1"/>
  <c r="BC13" i="7"/>
  <c r="BC14" i="7" s="1"/>
  <c r="BC15" i="7" s="1"/>
  <c r="BB44" i="14"/>
  <c r="BB19" i="13" s="1"/>
  <c r="AW66" i="21"/>
  <c r="AW68" i="21" s="1"/>
  <c r="AW40" i="15"/>
  <c r="AZ244" i="7"/>
  <c r="AV389" i="7"/>
  <c r="AV289" i="7"/>
  <c r="AV13" i="23" s="1"/>
  <c r="AV162" i="14"/>
  <c r="AV164" i="14" s="1"/>
  <c r="AP47" i="8"/>
  <c r="AP48" i="8" s="1"/>
  <c r="AP24" i="13" s="1"/>
  <c r="AV4" i="7"/>
  <c r="AV13" i="13" s="1"/>
  <c r="AQ89" i="9"/>
  <c r="AZ233" i="7"/>
  <c r="AZ232" i="7"/>
  <c r="AS50" i="21"/>
  <c r="AX144" i="14"/>
  <c r="AX161" i="14" s="1"/>
  <c r="AX162" i="14" s="1"/>
  <c r="AX164" i="14" s="1"/>
  <c r="AU163" i="14"/>
  <c r="AW25" i="21"/>
  <c r="AW26" i="21" s="1"/>
  <c r="AV22" i="15"/>
  <c r="AV43" i="15" s="1"/>
  <c r="AZ4" i="22" s="1"/>
  <c r="AV28" i="21"/>
  <c r="AV31" i="21" s="1"/>
  <c r="AV26" i="21"/>
  <c r="AV35" i="21"/>
  <c r="AV36" i="21" s="1"/>
  <c r="BB49" i="14"/>
  <c r="BB50" i="14" s="1"/>
  <c r="BB6" i="24" s="1"/>
  <c r="AZ15" i="15"/>
  <c r="BF9" i="11" s="1"/>
  <c r="AS71" i="9"/>
  <c r="AS4" i="8"/>
  <c r="AS5" i="20"/>
  <c r="AS86" i="9"/>
  <c r="AV7" i="8"/>
  <c r="AV8" i="8"/>
  <c r="BC48" i="14"/>
  <c r="AZ325" i="7"/>
  <c r="AW31" i="21"/>
  <c r="AV54" i="9"/>
  <c r="AV58" i="9"/>
  <c r="AV59" i="9"/>
  <c r="AV49" i="9"/>
  <c r="AX94" i="14"/>
  <c r="AX97" i="14"/>
  <c r="AX98" i="14" s="1"/>
  <c r="AX99" i="14" s="1"/>
  <c r="BC47" i="14"/>
  <c r="AQ83" i="9"/>
  <c r="AU7" i="7"/>
  <c r="AU16" i="13" s="1"/>
  <c r="AU389" i="7"/>
  <c r="AX150" i="14"/>
  <c r="AX151" i="14" s="1"/>
  <c r="AX152" i="14" s="1"/>
  <c r="AX157" i="14" s="1"/>
  <c r="AX160" i="14" s="1"/>
  <c r="AV114" i="14"/>
  <c r="AZ330" i="7"/>
  <c r="BC42" i="14"/>
  <c r="BC36" i="14"/>
  <c r="AQ44" i="8"/>
  <c r="AQ47" i="8" s="1"/>
  <c r="AQ48" i="8" s="1"/>
  <c r="AV48" i="9"/>
  <c r="AV57" i="9"/>
  <c r="AV56" i="9"/>
  <c r="BD12" i="7"/>
  <c r="BD10" i="7"/>
  <c r="BD9" i="7"/>
  <c r="AQ19" i="8"/>
  <c r="AQ27" i="8" s="1"/>
  <c r="AQ38" i="8" s="1"/>
  <c r="AV139" i="14"/>
  <c r="AV9" i="8"/>
  <c r="AV138" i="14"/>
  <c r="AX72" i="21"/>
  <c r="AU4" i="20"/>
  <c r="AU4" i="9"/>
  <c r="AU4" i="21"/>
  <c r="AU44" i="15"/>
  <c r="AU45" i="15" s="1"/>
  <c r="AU46" i="15" s="1"/>
  <c r="BF3" i="13"/>
  <c r="BF3" i="24" s="1"/>
  <c r="BE3" i="17"/>
  <c r="BE5" i="17" s="1"/>
  <c r="BE3" i="7"/>
  <c r="BE3" i="14"/>
  <c r="AY19" i="15"/>
  <c r="BE11" i="11" s="1"/>
  <c r="AY10" i="13"/>
  <c r="AY9" i="15"/>
  <c r="BE6" i="11" s="1"/>
  <c r="AY13" i="15"/>
  <c r="BE8" i="11" s="1"/>
  <c r="AY29" i="15"/>
  <c r="AY37" i="15" s="1"/>
  <c r="AY38" i="15" s="1"/>
  <c r="AY39" i="15" s="1"/>
  <c r="AY40" i="15" s="1"/>
  <c r="AY7" i="15"/>
  <c r="BE5" i="11" s="1"/>
  <c r="AY31" i="15"/>
  <c r="AY32" i="15" s="1"/>
  <c r="AY33" i="15" s="1"/>
  <c r="AY34" i="15" s="1"/>
  <c r="AY17" i="15"/>
  <c r="BE10" i="11" s="1"/>
  <c r="AY11" i="15"/>
  <c r="BE7" i="11" s="1"/>
  <c r="AY15" i="15"/>
  <c r="BE9" i="11" s="1"/>
  <c r="AS74" i="9"/>
  <c r="AS3" i="20" s="1"/>
  <c r="AS80" i="9"/>
  <c r="AW38" i="9"/>
  <c r="AW39" i="9" s="1"/>
  <c r="AW33" i="9"/>
  <c r="AW34" i="9" s="1"/>
  <c r="BA5" i="10" s="1"/>
  <c r="AW44" i="9"/>
  <c r="AW45" i="9" s="1"/>
  <c r="AW55" i="9" s="1"/>
  <c r="AW17" i="9"/>
  <c r="AW18" i="9" s="1"/>
  <c r="BA2" i="10" s="1"/>
  <c r="AW22" i="9"/>
  <c r="AW23" i="9" s="1"/>
  <c r="BA3" i="10" s="1"/>
  <c r="AW41" i="9"/>
  <c r="AW42" i="9" s="1"/>
  <c r="AW50" i="9" s="1"/>
  <c r="AW27" i="9"/>
  <c r="AW28" i="9" s="1"/>
  <c r="BA4" i="10" s="1"/>
  <c r="AW36" i="9"/>
  <c r="BA7" i="10" s="1"/>
  <c r="AW11" i="9"/>
  <c r="AW12" i="9" s="1"/>
  <c r="AV5" i="7"/>
  <c r="AV14" i="13" s="1"/>
  <c r="AV195" i="7"/>
  <c r="AY8" i="21"/>
  <c r="AW4" i="7"/>
  <c r="AW13" i="13" s="1"/>
  <c r="AW100" i="7"/>
  <c r="AW3" i="23" s="1"/>
  <c r="AU36" i="8"/>
  <c r="AU39" i="8" s="1"/>
  <c r="AV21" i="15"/>
  <c r="AV5" i="9" s="1"/>
  <c r="AY15" i="17"/>
  <c r="AY27" i="13" s="1"/>
  <c r="AW81" i="21"/>
  <c r="AW12" i="8" s="1"/>
  <c r="AW13" i="8" s="1"/>
  <c r="X23" i="13"/>
  <c r="X50" i="8"/>
  <c r="X25" i="13" s="1"/>
  <c r="AJ89" i="14"/>
  <c r="AJ97" i="14"/>
  <c r="AJ98" i="14" s="1"/>
  <c r="AJ99" i="14" s="1"/>
  <c r="AJ94" i="14"/>
  <c r="AJ122" i="14"/>
  <c r="AJ123" i="14" s="1"/>
  <c r="AJ124" i="14" s="1"/>
  <c r="AJ119" i="14"/>
  <c r="AJ161" i="14"/>
  <c r="AJ162" i="14" s="1"/>
  <c r="AJ164" i="14" s="1"/>
  <c r="AJ75" i="14"/>
  <c r="AJ76" i="14" s="1"/>
  <c r="AJ77" i="14" s="1"/>
  <c r="AJ147" i="14"/>
  <c r="AJ148" i="14" s="1"/>
  <c r="AJ149" i="14" s="1"/>
  <c r="AK72" i="21"/>
  <c r="AK79" i="21"/>
  <c r="AK64" i="21"/>
  <c r="AK71" i="21"/>
  <c r="AK63" i="21"/>
  <c r="AK11" i="21"/>
  <c r="AK62" i="21"/>
  <c r="AK76" i="21"/>
  <c r="AK78" i="21"/>
  <c r="AK77" i="21"/>
  <c r="AK34" i="21"/>
  <c r="AK14" i="21"/>
  <c r="AK20" i="21" s="1"/>
  <c r="AK61" i="21"/>
  <c r="AK60" i="21"/>
  <c r="AM44" i="9"/>
  <c r="AM45" i="9" s="1"/>
  <c r="AM55" i="9" s="1"/>
  <c r="AM27" i="9"/>
  <c r="AM28" i="9" s="1"/>
  <c r="AQ4" i="10" s="1"/>
  <c r="AM33" i="9"/>
  <c r="AM34" i="9" s="1"/>
  <c r="AQ5" i="10" s="1"/>
  <c r="AM41" i="9"/>
  <c r="AM42" i="9" s="1"/>
  <c r="AM50" i="9" s="1"/>
  <c r="AM36" i="9"/>
  <c r="AQ7" i="10" s="1"/>
  <c r="AM17" i="9"/>
  <c r="AM18" i="9" s="1"/>
  <c r="AQ2" i="10" s="1"/>
  <c r="AM22" i="9"/>
  <c r="AM23" i="9" s="1"/>
  <c r="AQ3" i="10" s="1"/>
  <c r="AM11" i="9"/>
  <c r="AM12" i="9" s="1"/>
  <c r="AM38" i="9"/>
  <c r="AM39" i="9" s="1"/>
  <c r="AM20" i="21"/>
  <c r="AM28" i="21" s="1"/>
  <c r="AM31" i="21" s="1"/>
  <c r="BB75" i="9"/>
  <c r="AT36" i="8" l="1"/>
  <c r="AT39" i="8" s="1"/>
  <c r="AZ335" i="7"/>
  <c r="AZ336" i="7"/>
  <c r="AZ135" i="7"/>
  <c r="AZ132" i="7"/>
  <c r="AX79" i="21"/>
  <c r="AX78" i="21"/>
  <c r="AX71" i="21"/>
  <c r="AK3" i="9"/>
  <c r="AM249" i="7"/>
  <c r="AM218" i="7"/>
  <c r="AM232" i="7"/>
  <c r="AK245" i="7"/>
  <c r="AK253" i="7"/>
  <c r="AM238" i="7"/>
  <c r="AX11" i="21"/>
  <c r="AM230" i="7"/>
  <c r="AX14" i="21"/>
  <c r="AX20" i="21" s="1"/>
  <c r="AM237" i="7"/>
  <c r="AX17" i="21"/>
  <c r="AM240" i="7"/>
  <c r="AM246" i="7"/>
  <c r="AW136" i="14"/>
  <c r="AW137" i="14" s="1"/>
  <c r="AZ218" i="7"/>
  <c r="AX77" i="21"/>
  <c r="AZ254" i="7"/>
  <c r="AZ249" i="7"/>
  <c r="AY229" i="7"/>
  <c r="AY288" i="7" s="1"/>
  <c r="AY117" i="14" s="1"/>
  <c r="AY118" i="14" s="1"/>
  <c r="AY122" i="14" s="1"/>
  <c r="AY123" i="14" s="1"/>
  <c r="AY124" i="14" s="1"/>
  <c r="AX64" i="21"/>
  <c r="AZ237" i="7"/>
  <c r="AZ246" i="7"/>
  <c r="AM252" i="7"/>
  <c r="AZ251" i="7"/>
  <c r="AM250" i="7"/>
  <c r="AZ238" i="7"/>
  <c r="AZ230" i="7"/>
  <c r="AK326" i="7"/>
  <c r="AK338" i="7"/>
  <c r="AK335" i="7"/>
  <c r="AK325" i="7"/>
  <c r="AK337" i="7"/>
  <c r="AK329" i="7"/>
  <c r="AK386" i="7"/>
  <c r="AK330" i="7"/>
  <c r="AK336" i="7"/>
  <c r="AK334" i="7"/>
  <c r="AZ250" i="7"/>
  <c r="AZ253" i="7"/>
  <c r="AZ242" i="7"/>
  <c r="AX69" i="14"/>
  <c r="AX63" i="21"/>
  <c r="AM136" i="7"/>
  <c r="AM125" i="7"/>
  <c r="AM192" i="7" s="1"/>
  <c r="AZ248" i="7"/>
  <c r="AK223" i="7"/>
  <c r="AK233" i="7"/>
  <c r="AM234" i="7"/>
  <c r="AM236" i="7"/>
  <c r="AM239" i="7"/>
  <c r="AM235" i="7"/>
  <c r="AM231" i="7"/>
  <c r="AM243" i="7"/>
  <c r="AM242" i="7"/>
  <c r="AM241" i="7"/>
  <c r="AK238" i="7"/>
  <c r="AM138" i="7"/>
  <c r="AM145" i="7"/>
  <c r="AM144" i="7"/>
  <c r="AM143" i="7"/>
  <c r="AM134" i="7"/>
  <c r="AM133" i="7"/>
  <c r="AM137" i="7"/>
  <c r="AM146" i="7"/>
  <c r="AM142" i="7"/>
  <c r="AM41" i="7"/>
  <c r="AM99" i="7" s="1"/>
  <c r="AM67" i="14" s="1"/>
  <c r="AM68" i="14" s="1"/>
  <c r="BA217" i="7"/>
  <c r="BA240" i="7" s="1"/>
  <c r="BA226" i="7"/>
  <c r="BA244" i="7" s="1"/>
  <c r="AX9" i="10"/>
  <c r="AT62" i="9" s="1"/>
  <c r="AT68" i="9" s="1"/>
  <c r="AT71" i="9" s="1"/>
  <c r="AX76" i="21"/>
  <c r="AM247" i="7"/>
  <c r="AK237" i="7"/>
  <c r="BA208" i="7"/>
  <c r="AX8" i="10"/>
  <c r="AT47" i="9" s="1"/>
  <c r="AT51" i="9" s="1"/>
  <c r="AT64" i="9" s="1"/>
  <c r="BA212" i="7"/>
  <c r="BA213" i="7" s="1"/>
  <c r="AM253" i="7"/>
  <c r="AZ231" i="7"/>
  <c r="AZ234" i="7"/>
  <c r="BA222" i="7"/>
  <c r="BA233" i="7" s="1"/>
  <c r="AZ236" i="7"/>
  <c r="AX60" i="21"/>
  <c r="AK247" i="7"/>
  <c r="AK250" i="7"/>
  <c r="AK248" i="7"/>
  <c r="AK249" i="7"/>
  <c r="AK246" i="7"/>
  <c r="AZ243" i="7"/>
  <c r="AX62" i="21"/>
  <c r="AM251" i="7"/>
  <c r="AK340" i="7"/>
  <c r="AK342" i="7"/>
  <c r="AK347" i="7"/>
  <c r="AK331" i="7"/>
  <c r="AK333" i="7"/>
  <c r="AK332" i="7"/>
  <c r="AK344" i="7"/>
  <c r="AK341" i="7"/>
  <c r="AK324" i="7"/>
  <c r="AK348" i="7"/>
  <c r="AK327" i="7"/>
  <c r="AK346" i="7"/>
  <c r="AK343" i="7"/>
  <c r="AZ239" i="7"/>
  <c r="AX10" i="10"/>
  <c r="AT53" i="9" s="1"/>
  <c r="AT60" i="9" s="1"/>
  <c r="AT66" i="9" s="1"/>
  <c r="AT86" i="9" s="1"/>
  <c r="AT87" i="9" s="1"/>
  <c r="AT88" i="9" s="1"/>
  <c r="AT89" i="9" s="1"/>
  <c r="AM341" i="7"/>
  <c r="AM324" i="7"/>
  <c r="AM343" i="7"/>
  <c r="AM332" i="7"/>
  <c r="AM348" i="7"/>
  <c r="AM347" i="7"/>
  <c r="AM346" i="7"/>
  <c r="AM331" i="7"/>
  <c r="AM327" i="7"/>
  <c r="AM342" i="7"/>
  <c r="AM340" i="7"/>
  <c r="AM344" i="7"/>
  <c r="AM333" i="7"/>
  <c r="AM245" i="7"/>
  <c r="AZ235" i="7"/>
  <c r="AK136" i="7"/>
  <c r="AK125" i="7"/>
  <c r="AK192" i="7" s="1"/>
  <c r="AK231" i="7"/>
  <c r="AK243" i="7"/>
  <c r="AK235" i="7"/>
  <c r="AK241" i="7"/>
  <c r="AK236" i="7"/>
  <c r="AK234" i="7"/>
  <c r="AK242" i="7"/>
  <c r="AK239" i="7"/>
  <c r="AZ252" i="7"/>
  <c r="AX61" i="21"/>
  <c r="AM329" i="7"/>
  <c r="AM334" i="7"/>
  <c r="AM386" i="7"/>
  <c r="AM338" i="7"/>
  <c r="AM335" i="7"/>
  <c r="AM336" i="7"/>
  <c r="AM326" i="7"/>
  <c r="AM325" i="7"/>
  <c r="AM330" i="7"/>
  <c r="AM337" i="7"/>
  <c r="AK141" i="7"/>
  <c r="AK154" i="7"/>
  <c r="AK132" i="7"/>
  <c r="AK148" i="7"/>
  <c r="AK152" i="7"/>
  <c r="AK156" i="7"/>
  <c r="AK140" i="7"/>
  <c r="AK149" i="7"/>
  <c r="AK150" i="7"/>
  <c r="AK139" i="7"/>
  <c r="AK135" i="7"/>
  <c r="AK151" i="7"/>
  <c r="AK155" i="7"/>
  <c r="AK41" i="7"/>
  <c r="AK99" i="7" s="1"/>
  <c r="AK67" i="14" s="1"/>
  <c r="AK68" i="14" s="1"/>
  <c r="AM248" i="7"/>
  <c r="AZ140" i="7"/>
  <c r="AZ241" i="7"/>
  <c r="AZ245" i="7"/>
  <c r="AM132" i="7"/>
  <c r="AM148" i="7"/>
  <c r="AM152" i="7"/>
  <c r="AM150" i="7"/>
  <c r="AM149" i="7"/>
  <c r="AM135" i="7"/>
  <c r="AM155" i="7"/>
  <c r="AM140" i="7"/>
  <c r="AM154" i="7"/>
  <c r="AM151" i="7"/>
  <c r="AM141" i="7"/>
  <c r="AM139" i="7"/>
  <c r="AM156" i="7"/>
  <c r="AK244" i="7"/>
  <c r="AK227" i="7"/>
  <c r="AK146" i="7"/>
  <c r="AK133" i="7"/>
  <c r="AK134" i="7"/>
  <c r="AK145" i="7"/>
  <c r="AK137" i="7"/>
  <c r="AK138" i="7"/>
  <c r="AK142" i="7"/>
  <c r="AK144" i="7"/>
  <c r="AK143" i="7"/>
  <c r="AW279" i="23"/>
  <c r="AZ10" i="13"/>
  <c r="AZ3" i="9" s="1"/>
  <c r="BD6" i="10" s="1"/>
  <c r="AZ11" i="15"/>
  <c r="BF7" i="11" s="1"/>
  <c r="AZ7" i="15"/>
  <c r="BF5" i="11" s="1"/>
  <c r="AZ29" i="15"/>
  <c r="AZ37" i="15" s="1"/>
  <c r="AZ38" i="15" s="1"/>
  <c r="AZ39" i="15" s="1"/>
  <c r="AZ40" i="15" s="1"/>
  <c r="AZ31" i="15"/>
  <c r="AZ32" i="15" s="1"/>
  <c r="AZ33" i="15" s="1"/>
  <c r="AZ34" i="15" s="1"/>
  <c r="AZ9" i="15"/>
  <c r="BF6" i="11" s="1"/>
  <c r="AZ13" i="15"/>
  <c r="BF8" i="11" s="1"/>
  <c r="AZ19" i="15"/>
  <c r="BF11" i="11" s="1"/>
  <c r="BA209" i="7"/>
  <c r="AZ17" i="15"/>
  <c r="BF10" i="11" s="1"/>
  <c r="BB22" i="7"/>
  <c r="AW88" i="14"/>
  <c r="AW114" i="14"/>
  <c r="AW104" i="14"/>
  <c r="AW115" i="14" s="1"/>
  <c r="AW5" i="7" s="1"/>
  <c r="AW14" i="13" s="1"/>
  <c r="AY67" i="14"/>
  <c r="AY68" i="14" s="1"/>
  <c r="AY72" i="14" s="1"/>
  <c r="AY73" i="14" s="1"/>
  <c r="AY74" i="14" s="1"/>
  <c r="AY75" i="14" s="1"/>
  <c r="AY76" i="14" s="1"/>
  <c r="AY77" i="14" s="1"/>
  <c r="AY82" i="14" s="1"/>
  <c r="AY85" i="14" s="1"/>
  <c r="BB264" i="7"/>
  <c r="BB279" i="7" s="1"/>
  <c r="AZ247" i="7"/>
  <c r="BA247" i="7"/>
  <c r="BC103" i="7"/>
  <c r="BC106" i="7" s="1"/>
  <c r="BE3" i="22"/>
  <c r="BG3" i="11"/>
  <c r="BB20" i="13"/>
  <c r="BB11" i="7"/>
  <c r="AW164" i="14"/>
  <c r="AW154" i="14"/>
  <c r="AW165" i="14" s="1"/>
  <c r="AW389" i="7" s="1"/>
  <c r="BA286" i="7"/>
  <c r="AQ23" i="11"/>
  <c r="BB351" i="7"/>
  <c r="BB366" i="7" s="1"/>
  <c r="BB298" i="7"/>
  <c r="BB303" i="7" s="1"/>
  <c r="BB361" i="7"/>
  <c r="BB376" i="7" s="1"/>
  <c r="BB355" i="7"/>
  <c r="BB370" i="7" s="1"/>
  <c r="AZ154" i="7"/>
  <c r="AZ149" i="7"/>
  <c r="AZ139" i="7"/>
  <c r="AZ125" i="7"/>
  <c r="AZ142" i="7"/>
  <c r="BB352" i="7"/>
  <c r="BB367" i="7" s="1"/>
  <c r="AZ144" i="7"/>
  <c r="AZ148" i="7"/>
  <c r="AZ150" i="7"/>
  <c r="AZ151" i="7"/>
  <c r="AZ152" i="7"/>
  <c r="AZ138" i="7"/>
  <c r="AZ156" i="7"/>
  <c r="AZ133" i="7"/>
  <c r="AZ146" i="7"/>
  <c r="AZ143" i="7"/>
  <c r="AZ134" i="7"/>
  <c r="AZ145" i="7"/>
  <c r="AZ155" i="7"/>
  <c r="AZ192" i="7"/>
  <c r="AZ137" i="7"/>
  <c r="AZ337" i="7"/>
  <c r="AJ72" i="21"/>
  <c r="BA56" i="7"/>
  <c r="AK26" i="15"/>
  <c r="AK25" i="15"/>
  <c r="AJ64" i="21"/>
  <c r="AZ41" i="7"/>
  <c r="AZ99" i="7" s="1"/>
  <c r="AZ347" i="7"/>
  <c r="AX17" i="15"/>
  <c r="BD10" i="11" s="1"/>
  <c r="AY131" i="7"/>
  <c r="AY194" i="7" s="1"/>
  <c r="AY92" i="14" s="1"/>
  <c r="AY93" i="14" s="1"/>
  <c r="AY97" i="14" s="1"/>
  <c r="AY98" i="14" s="1"/>
  <c r="AY99" i="14" s="1"/>
  <c r="AY100" i="14" s="1"/>
  <c r="AY101" i="14" s="1"/>
  <c r="AY102" i="14" s="1"/>
  <c r="AY107" i="14" s="1"/>
  <c r="AY110" i="14" s="1"/>
  <c r="AZ340" i="7"/>
  <c r="AZ346" i="7"/>
  <c r="AX7" i="15"/>
  <c r="BD5" i="11" s="1"/>
  <c r="AJ7" i="15"/>
  <c r="AP5" i="11" s="1"/>
  <c r="AJ11" i="15"/>
  <c r="AP7" i="11" s="1"/>
  <c r="AX11" i="15"/>
  <c r="BD7" i="11" s="1"/>
  <c r="AJ9" i="15"/>
  <c r="AP6" i="11" s="1"/>
  <c r="AZ386" i="7"/>
  <c r="AZ332" i="7"/>
  <c r="BE36" i="11"/>
  <c r="AZ343" i="7"/>
  <c r="AZ324" i="7"/>
  <c r="AZ331" i="7"/>
  <c r="AZ344" i="7"/>
  <c r="AZ348" i="7"/>
  <c r="AZ329" i="7"/>
  <c r="AZ334" i="7"/>
  <c r="AZ327" i="7"/>
  <c r="BE76" i="11"/>
  <c r="AZ342" i="7"/>
  <c r="AZ326" i="7"/>
  <c r="AZ338" i="7"/>
  <c r="AZ341" i="7"/>
  <c r="BE58" i="11"/>
  <c r="BE120" i="11"/>
  <c r="BE72" i="11"/>
  <c r="BE81" i="11"/>
  <c r="BE104" i="11"/>
  <c r="BE38" i="11"/>
  <c r="BE111" i="11"/>
  <c r="BE44" i="11"/>
  <c r="BE75" i="11"/>
  <c r="BE48" i="11"/>
  <c r="BE108" i="11"/>
  <c r="BE95" i="11"/>
  <c r="BE133" i="11"/>
  <c r="BE103" i="11"/>
  <c r="BE101" i="11"/>
  <c r="BE19" i="11"/>
  <c r="BE24" i="11"/>
  <c r="BE102" i="11"/>
  <c r="BE119" i="11"/>
  <c r="BE130" i="11"/>
  <c r="BE53" i="11"/>
  <c r="BE121" i="11"/>
  <c r="BE56" i="11"/>
  <c r="BE97" i="11"/>
  <c r="BE29" i="11"/>
  <c r="BE27" i="11"/>
  <c r="BE99" i="11"/>
  <c r="BE39" i="11"/>
  <c r="BE55" i="11"/>
  <c r="BE42" i="11"/>
  <c r="BE88" i="11"/>
  <c r="BE34" i="11"/>
  <c r="BE98" i="11"/>
  <c r="BE50" i="11"/>
  <c r="BE91" i="11"/>
  <c r="BE129" i="11"/>
  <c r="BE59" i="11"/>
  <c r="BE69" i="11"/>
  <c r="BE62" i="11"/>
  <c r="BE137" i="11"/>
  <c r="BE25" i="11"/>
  <c r="BE46" i="11"/>
  <c r="BE23" i="11"/>
  <c r="BE106" i="11"/>
  <c r="BE60" i="11"/>
  <c r="BE20" i="11"/>
  <c r="BE68" i="11"/>
  <c r="BE107" i="11"/>
  <c r="BE21" i="11"/>
  <c r="BE26" i="11"/>
  <c r="AQ22" i="11"/>
  <c r="AQ28" i="11"/>
  <c r="AQ31" i="11"/>
  <c r="AQ47" i="11"/>
  <c r="AQ131" i="11"/>
  <c r="AQ125" i="11"/>
  <c r="AQ104" i="11"/>
  <c r="AQ80" i="11"/>
  <c r="AQ48" i="11"/>
  <c r="AQ100" i="11"/>
  <c r="AQ40" i="11"/>
  <c r="AQ136" i="11"/>
  <c r="AQ121" i="11"/>
  <c r="AQ81" i="11"/>
  <c r="AQ91" i="11"/>
  <c r="AQ88" i="11"/>
  <c r="AQ54" i="11"/>
  <c r="AQ29" i="11"/>
  <c r="AQ30" i="11"/>
  <c r="AQ130" i="11"/>
  <c r="AQ124" i="11"/>
  <c r="AQ96" i="11"/>
  <c r="AQ107" i="11"/>
  <c r="AQ64" i="11"/>
  <c r="AQ55" i="11"/>
  <c r="AQ86" i="11"/>
  <c r="AQ135" i="11"/>
  <c r="AQ114" i="11"/>
  <c r="AQ116" i="11"/>
  <c r="AQ66" i="11"/>
  <c r="AQ65" i="11"/>
  <c r="AQ52" i="11"/>
  <c r="AQ39" i="11"/>
  <c r="AQ127" i="11"/>
  <c r="AQ93" i="11"/>
  <c r="AQ108" i="11"/>
  <c r="AQ97" i="11"/>
  <c r="AQ57" i="11"/>
  <c r="AQ43" i="11"/>
  <c r="AQ58" i="11"/>
  <c r="AQ132" i="11"/>
  <c r="AQ85" i="11"/>
  <c r="AQ94" i="11"/>
  <c r="AQ74" i="11"/>
  <c r="AQ61" i="11"/>
  <c r="AQ42" i="11"/>
  <c r="AQ118" i="11"/>
  <c r="AQ92" i="11"/>
  <c r="AQ106" i="11"/>
  <c r="AQ77" i="11"/>
  <c r="AQ72" i="11"/>
  <c r="AQ27" i="11"/>
  <c r="AQ41" i="11"/>
  <c r="AQ128" i="11"/>
  <c r="AQ84" i="11"/>
  <c r="AQ59" i="11"/>
  <c r="AQ19" i="11"/>
  <c r="AQ119" i="11"/>
  <c r="AQ113" i="11"/>
  <c r="AQ70" i="11"/>
  <c r="AQ51" i="11"/>
  <c r="AQ133" i="11"/>
  <c r="AQ129" i="11"/>
  <c r="AQ68" i="11"/>
  <c r="AQ50" i="11"/>
  <c r="AQ126" i="11"/>
  <c r="AQ120" i="11"/>
  <c r="AQ69" i="11"/>
  <c r="AQ46" i="11"/>
  <c r="AQ34" i="11"/>
  <c r="AQ137" i="11"/>
  <c r="AQ90" i="11"/>
  <c r="AQ60" i="11"/>
  <c r="AQ45" i="11"/>
  <c r="AQ26" i="11"/>
  <c r="AQ134" i="11"/>
  <c r="AQ95" i="11"/>
  <c r="AQ44" i="11"/>
  <c r="AQ32" i="11"/>
  <c r="AQ122" i="11"/>
  <c r="AQ98" i="11"/>
  <c r="AQ63" i="11"/>
  <c r="AQ37" i="11"/>
  <c r="AQ111" i="11"/>
  <c r="AQ73" i="11"/>
  <c r="AQ49" i="11"/>
  <c r="AQ76" i="11"/>
  <c r="AQ102" i="11"/>
  <c r="AQ67" i="11"/>
  <c r="AQ56" i="11"/>
  <c r="AQ101" i="11"/>
  <c r="AQ62" i="11"/>
  <c r="AQ89" i="11"/>
  <c r="AQ38" i="11"/>
  <c r="AQ103" i="11"/>
  <c r="AQ112" i="11"/>
  <c r="AQ82" i="11"/>
  <c r="AQ123" i="11"/>
  <c r="AQ110" i="11"/>
  <c r="AQ109" i="11"/>
  <c r="AQ33" i="11"/>
  <c r="AQ115" i="11"/>
  <c r="AQ105" i="11"/>
  <c r="AQ75" i="11"/>
  <c r="AQ25" i="11"/>
  <c r="AQ71" i="11"/>
  <c r="AQ83" i="11"/>
  <c r="AQ53" i="11"/>
  <c r="AQ35" i="11"/>
  <c r="AQ21" i="11"/>
  <c r="AQ36" i="11"/>
  <c r="AQ138" i="11"/>
  <c r="AQ87" i="11"/>
  <c r="AQ117" i="11"/>
  <c r="AQ20" i="11"/>
  <c r="AQ99" i="11"/>
  <c r="AQ24" i="11"/>
  <c r="BE92" i="11"/>
  <c r="BE94" i="11"/>
  <c r="BE128" i="11"/>
  <c r="BE112" i="11"/>
  <c r="BE87" i="11"/>
  <c r="BE115" i="11"/>
  <c r="BE117" i="11"/>
  <c r="BE63" i="11"/>
  <c r="BE47" i="11"/>
  <c r="BE86" i="11"/>
  <c r="BE134" i="11"/>
  <c r="BE82" i="11"/>
  <c r="BE100" i="11"/>
  <c r="BE138" i="11"/>
  <c r="BE131" i="11"/>
  <c r="BE74" i="11"/>
  <c r="BE49" i="11"/>
  <c r="BE136" i="11"/>
  <c r="BE51" i="11"/>
  <c r="BE123" i="11"/>
  <c r="BE109" i="11"/>
  <c r="BE32" i="11"/>
  <c r="BE33" i="11"/>
  <c r="BE90" i="11"/>
  <c r="AY323" i="7"/>
  <c r="AY388" i="7" s="1"/>
  <c r="AY142" i="14" s="1"/>
  <c r="AY143" i="14" s="1"/>
  <c r="AY147" i="14" s="1"/>
  <c r="AY148" i="14" s="1"/>
  <c r="AY149" i="14" s="1"/>
  <c r="BE31" i="11"/>
  <c r="BE35" i="11"/>
  <c r="BE70" i="11"/>
  <c r="BE65" i="11"/>
  <c r="BE73" i="11"/>
  <c r="BE45" i="11"/>
  <c r="BE85" i="11"/>
  <c r="BE127" i="11"/>
  <c r="BE77" i="11"/>
  <c r="BE67" i="11"/>
  <c r="BE28" i="11"/>
  <c r="BE83" i="11"/>
  <c r="BE30" i="11"/>
  <c r="BE116" i="11"/>
  <c r="BE22" i="11"/>
  <c r="BE118" i="11"/>
  <c r="BE71" i="11"/>
  <c r="BE89" i="11"/>
  <c r="BE57" i="11"/>
  <c r="BE110" i="11"/>
  <c r="BE93" i="11"/>
  <c r="BE124" i="11"/>
  <c r="BB354" i="7"/>
  <c r="BB369" i="7" s="1"/>
  <c r="AX13" i="15"/>
  <c r="BD8" i="11" s="1"/>
  <c r="BD4" i="11"/>
  <c r="BE126" i="11"/>
  <c r="BE132" i="11"/>
  <c r="BE114" i="11"/>
  <c r="BE113" i="11"/>
  <c r="BE125" i="11"/>
  <c r="BE96" i="11"/>
  <c r="BE54" i="11"/>
  <c r="AJ17" i="15"/>
  <c r="AP10" i="11" s="1"/>
  <c r="AP4" i="11"/>
  <c r="BE61" i="11"/>
  <c r="BE41" i="11"/>
  <c r="BE37" i="11"/>
  <c r="BE122" i="11"/>
  <c r="BE40" i="11"/>
  <c r="BE80" i="11"/>
  <c r="BE66" i="11"/>
  <c r="BE43" i="11"/>
  <c r="BE105" i="11"/>
  <c r="BE64" i="11"/>
  <c r="BE52" i="11"/>
  <c r="BE84" i="11"/>
  <c r="BE135" i="11"/>
  <c r="AR74" i="9"/>
  <c r="AR3" i="20" s="1"/>
  <c r="AR80" i="9"/>
  <c r="AR81" i="9" s="1"/>
  <c r="AR83" i="9" s="1"/>
  <c r="AZ9" i="10"/>
  <c r="AK33" i="9"/>
  <c r="AK34" i="9" s="1"/>
  <c r="AO5" i="10" s="1"/>
  <c r="AO6" i="10"/>
  <c r="BA29" i="10"/>
  <c r="BA16" i="10"/>
  <c r="BA40" i="10"/>
  <c r="BA31" i="10"/>
  <c r="BA19" i="10"/>
  <c r="BA24" i="10"/>
  <c r="BA18" i="10"/>
  <c r="BA159" i="10"/>
  <c r="BA168" i="10"/>
  <c r="BA130" i="10"/>
  <c r="BA124" i="10"/>
  <c r="BA74" i="10"/>
  <c r="BA69" i="10"/>
  <c r="BA51" i="10"/>
  <c r="BA181" i="10"/>
  <c r="BA173" i="10"/>
  <c r="BA146" i="10"/>
  <c r="BA160" i="10"/>
  <c r="BA161" i="10"/>
  <c r="BA109" i="10"/>
  <c r="BA21" i="10"/>
  <c r="BA133" i="10"/>
  <c r="BA136" i="10"/>
  <c r="BA108" i="10"/>
  <c r="BA111" i="10"/>
  <c r="BA201" i="10"/>
  <c r="BA196" i="10"/>
  <c r="BA179" i="10"/>
  <c r="BA117" i="10"/>
  <c r="BA85" i="10"/>
  <c r="BA145" i="10"/>
  <c r="BA87" i="10"/>
  <c r="BA115" i="10"/>
  <c r="BA82" i="10"/>
  <c r="BA194" i="10"/>
  <c r="BA158" i="10"/>
  <c r="BA92" i="10"/>
  <c r="BA52" i="10"/>
  <c r="BA190" i="10"/>
  <c r="BA156" i="10"/>
  <c r="BA182" i="10"/>
  <c r="BA149" i="10"/>
  <c r="BA121" i="10"/>
  <c r="BA113" i="10"/>
  <c r="BA91" i="10"/>
  <c r="BA44" i="10"/>
  <c r="BA41" i="10"/>
  <c r="BA37" i="10"/>
  <c r="BA189" i="10"/>
  <c r="BA151" i="10"/>
  <c r="BA137" i="10"/>
  <c r="BA116" i="10"/>
  <c r="BA89" i="10"/>
  <c r="BA75" i="10"/>
  <c r="BA30" i="10"/>
  <c r="BA63" i="10"/>
  <c r="BA148" i="10"/>
  <c r="BA88" i="10"/>
  <c r="BA22" i="10"/>
  <c r="BA46" i="10"/>
  <c r="BA192" i="10"/>
  <c r="BA197" i="10"/>
  <c r="BA144" i="10"/>
  <c r="BA118" i="10"/>
  <c r="BA164" i="10"/>
  <c r="BA106" i="10"/>
  <c r="BA98" i="10"/>
  <c r="BA54" i="10"/>
  <c r="BA27" i="10"/>
  <c r="BA202" i="10"/>
  <c r="BA135" i="10"/>
  <c r="BA110" i="10"/>
  <c r="BA143" i="10"/>
  <c r="BA84" i="10"/>
  <c r="BA67" i="10"/>
  <c r="BA102" i="10"/>
  <c r="BA83" i="10"/>
  <c r="BA80" i="10"/>
  <c r="BA171" i="10"/>
  <c r="BA178" i="10"/>
  <c r="BA107" i="10"/>
  <c r="BA33" i="10"/>
  <c r="BA169" i="10"/>
  <c r="BA32" i="10"/>
  <c r="BA167" i="10"/>
  <c r="BA157" i="10"/>
  <c r="BA154" i="10"/>
  <c r="BA86" i="10"/>
  <c r="BA81" i="10"/>
  <c r="BA100" i="10"/>
  <c r="BA42" i="10"/>
  <c r="BA112" i="10"/>
  <c r="BA34" i="10"/>
  <c r="BA70" i="10"/>
  <c r="BA62" i="10"/>
  <c r="BA65" i="10"/>
  <c r="BA55" i="10"/>
  <c r="BA17" i="10"/>
  <c r="AZ8" i="10"/>
  <c r="AR51" i="21"/>
  <c r="AR50" i="21"/>
  <c r="AJ13" i="15"/>
  <c r="AP8" i="11" s="1"/>
  <c r="AJ10" i="13"/>
  <c r="AJ3" i="8" s="1"/>
  <c r="AZ10" i="10"/>
  <c r="AR86" i="9"/>
  <c r="AR87" i="9" s="1"/>
  <c r="AR88" i="9" s="1"/>
  <c r="AR89" i="9" s="1"/>
  <c r="AR5" i="20"/>
  <c r="AJ15" i="15"/>
  <c r="AP9" i="11" s="1"/>
  <c r="AR57" i="21"/>
  <c r="AR56" i="21"/>
  <c r="AJ31" i="15"/>
  <c r="AJ32" i="15" s="1"/>
  <c r="AJ33" i="15" s="1"/>
  <c r="AJ34" i="15" s="1"/>
  <c r="AX19" i="15"/>
  <c r="BD11" i="11" s="1"/>
  <c r="AX31" i="15"/>
  <c r="AX32" i="15" s="1"/>
  <c r="AX33" i="15" s="1"/>
  <c r="AQ18" i="10"/>
  <c r="AQ151" i="10"/>
  <c r="AQ136" i="10"/>
  <c r="AQ106" i="10"/>
  <c r="AQ75" i="10"/>
  <c r="AQ31" i="10"/>
  <c r="AQ192" i="10"/>
  <c r="AQ178" i="10"/>
  <c r="AQ148" i="10"/>
  <c r="AQ130" i="10"/>
  <c r="AQ86" i="10"/>
  <c r="AQ34" i="10"/>
  <c r="AQ54" i="10"/>
  <c r="AQ190" i="10"/>
  <c r="AQ110" i="10"/>
  <c r="AQ92" i="10"/>
  <c r="AQ27" i="10"/>
  <c r="AQ197" i="10"/>
  <c r="AQ168" i="10"/>
  <c r="AQ91" i="10"/>
  <c r="AQ19" i="10"/>
  <c r="AQ189" i="10"/>
  <c r="AQ161" i="10"/>
  <c r="AQ160" i="10"/>
  <c r="AQ82" i="10"/>
  <c r="AQ62" i="10"/>
  <c r="AQ202" i="10"/>
  <c r="AQ154" i="10"/>
  <c r="AQ137" i="10"/>
  <c r="AQ115" i="10"/>
  <c r="AQ88" i="10"/>
  <c r="AQ83" i="10"/>
  <c r="AQ85" i="10"/>
  <c r="AQ194" i="10"/>
  <c r="AQ149" i="10"/>
  <c r="AQ133" i="10"/>
  <c r="AQ113" i="10"/>
  <c r="AQ87" i="10"/>
  <c r="AQ84" i="10"/>
  <c r="AQ74" i="10"/>
  <c r="AQ44" i="10"/>
  <c r="AQ111" i="10"/>
  <c r="AQ42" i="10"/>
  <c r="AQ158" i="10"/>
  <c r="AQ63" i="10"/>
  <c r="AQ41" i="10"/>
  <c r="AQ100" i="10"/>
  <c r="AQ40" i="10"/>
  <c r="AQ146" i="10"/>
  <c r="AQ144" i="10"/>
  <c r="AQ89" i="10"/>
  <c r="AQ33" i="10"/>
  <c r="AQ196" i="10"/>
  <c r="AQ169" i="10"/>
  <c r="AQ157" i="10"/>
  <c r="AQ124" i="10"/>
  <c r="AQ112" i="10"/>
  <c r="AQ69" i="10"/>
  <c r="AQ81" i="10"/>
  <c r="AQ29" i="10"/>
  <c r="AQ32" i="10"/>
  <c r="AQ201" i="10"/>
  <c r="AQ181" i="10"/>
  <c r="AQ159" i="10"/>
  <c r="AQ145" i="10"/>
  <c r="AQ121" i="10"/>
  <c r="AQ80" i="10"/>
  <c r="AQ67" i="10"/>
  <c r="AQ70" i="10"/>
  <c r="AQ21" i="10"/>
  <c r="AQ167" i="10"/>
  <c r="AQ156" i="10"/>
  <c r="AQ135" i="10"/>
  <c r="AQ118" i="10"/>
  <c r="AQ51" i="10"/>
  <c r="AQ46" i="10"/>
  <c r="AQ182" i="10"/>
  <c r="AQ117" i="10"/>
  <c r="AQ108" i="10"/>
  <c r="AQ116" i="10"/>
  <c r="AQ65" i="10"/>
  <c r="AQ52" i="10"/>
  <c r="AQ173" i="10"/>
  <c r="AQ179" i="10"/>
  <c r="AQ109" i="10"/>
  <c r="AQ107" i="10"/>
  <c r="AQ55" i="10"/>
  <c r="AQ171" i="10"/>
  <c r="AQ164" i="10"/>
  <c r="AQ143" i="10"/>
  <c r="AQ102" i="10"/>
  <c r="AQ98" i="10"/>
  <c r="AQ17" i="10"/>
  <c r="AQ16" i="10"/>
  <c r="AQ30" i="10"/>
  <c r="AQ37" i="10"/>
  <c r="AQ22" i="10"/>
  <c r="AQ24" i="10"/>
  <c r="BB362" i="7"/>
  <c r="BB377" i="7" s="1"/>
  <c r="AQ36" i="10"/>
  <c r="AQ200" i="10"/>
  <c r="AQ193" i="10"/>
  <c r="AQ183" i="10"/>
  <c r="AQ94" i="10"/>
  <c r="AQ114" i="10"/>
  <c r="AQ35" i="10"/>
  <c r="AQ188" i="10"/>
  <c r="AQ122" i="10"/>
  <c r="AQ97" i="10"/>
  <c r="AQ60" i="10"/>
  <c r="AQ184" i="10"/>
  <c r="AQ187" i="10"/>
  <c r="AQ138" i="10"/>
  <c r="AQ129" i="10"/>
  <c r="AQ103" i="10"/>
  <c r="AQ59" i="10"/>
  <c r="AQ50" i="10"/>
  <c r="AQ177" i="10"/>
  <c r="AQ131" i="10"/>
  <c r="AQ147" i="10"/>
  <c r="AQ128" i="10"/>
  <c r="AQ90" i="10"/>
  <c r="AQ58" i="10"/>
  <c r="AQ45" i="10"/>
  <c r="AQ163" i="10"/>
  <c r="AQ134" i="10"/>
  <c r="AQ123" i="10"/>
  <c r="AQ99" i="10"/>
  <c r="AQ53" i="10"/>
  <c r="AQ48" i="10"/>
  <c r="AQ174" i="10"/>
  <c r="AQ127" i="10"/>
  <c r="AQ95" i="10"/>
  <c r="AQ66" i="10"/>
  <c r="AQ180" i="10"/>
  <c r="AQ119" i="10"/>
  <c r="AQ186" i="10"/>
  <c r="AQ166" i="10"/>
  <c r="AQ176" i="10"/>
  <c r="AQ155" i="10"/>
  <c r="AQ104" i="10"/>
  <c r="AQ71" i="10"/>
  <c r="AQ49" i="10"/>
  <c r="AQ56" i="10"/>
  <c r="AQ199" i="10"/>
  <c r="AQ165" i="10"/>
  <c r="AQ152" i="10"/>
  <c r="AQ139" i="10"/>
  <c r="AQ96" i="10"/>
  <c r="AQ191" i="10"/>
  <c r="AQ198" i="10"/>
  <c r="AQ162" i="10"/>
  <c r="AQ132" i="10"/>
  <c r="AQ61" i="10"/>
  <c r="AQ39" i="10"/>
  <c r="AQ185" i="10"/>
  <c r="AQ101" i="10"/>
  <c r="AQ150" i="10"/>
  <c r="AQ195" i="10"/>
  <c r="AQ125" i="10"/>
  <c r="AQ73" i="10"/>
  <c r="AQ93" i="10"/>
  <c r="AQ175" i="10"/>
  <c r="AQ153" i="10"/>
  <c r="AQ43" i="10"/>
  <c r="AQ68" i="10"/>
  <c r="AQ172" i="10"/>
  <c r="AQ126" i="10"/>
  <c r="AQ105" i="10"/>
  <c r="AQ57" i="10"/>
  <c r="AQ26" i="10"/>
  <c r="AQ170" i="10"/>
  <c r="AQ120" i="10"/>
  <c r="AQ72" i="10"/>
  <c r="AQ47" i="10"/>
  <c r="AQ64" i="10"/>
  <c r="AQ25" i="10"/>
  <c r="AQ23" i="10"/>
  <c r="AQ38" i="10"/>
  <c r="AQ20" i="10"/>
  <c r="AQ28" i="10"/>
  <c r="BA57" i="10"/>
  <c r="BA25" i="10"/>
  <c r="BA183" i="10"/>
  <c r="BA150" i="10"/>
  <c r="BA60" i="10"/>
  <c r="BA66" i="10"/>
  <c r="BA59" i="10"/>
  <c r="BA28" i="10"/>
  <c r="BA36" i="10"/>
  <c r="BA174" i="10"/>
  <c r="BA184" i="10"/>
  <c r="BA132" i="10"/>
  <c r="BA50" i="10"/>
  <c r="BA20" i="10"/>
  <c r="BA35" i="10"/>
  <c r="BA186" i="10"/>
  <c r="BA193" i="10"/>
  <c r="BA147" i="10"/>
  <c r="BA155" i="10"/>
  <c r="BA95" i="10"/>
  <c r="BA71" i="10"/>
  <c r="BA49" i="10"/>
  <c r="BA53" i="10"/>
  <c r="BA185" i="10"/>
  <c r="BA199" i="10"/>
  <c r="BA165" i="10"/>
  <c r="BA139" i="10"/>
  <c r="BA68" i="10"/>
  <c r="BA45" i="10"/>
  <c r="BA39" i="10"/>
  <c r="BA198" i="10"/>
  <c r="BA134" i="10"/>
  <c r="BA125" i="10"/>
  <c r="BA127" i="10"/>
  <c r="BA93" i="10"/>
  <c r="BA43" i="10"/>
  <c r="BA38" i="10"/>
  <c r="BA191" i="10"/>
  <c r="BA195" i="10"/>
  <c r="BA170" i="10"/>
  <c r="BA72" i="10"/>
  <c r="BA187" i="10"/>
  <c r="BA180" i="10"/>
  <c r="BA166" i="10"/>
  <c r="BA122" i="10"/>
  <c r="BA114" i="10"/>
  <c r="BA64" i="10"/>
  <c r="BA101" i="10"/>
  <c r="BA200" i="10"/>
  <c r="BA175" i="10"/>
  <c r="BA26" i="10"/>
  <c r="BA176" i="10"/>
  <c r="BA94" i="10"/>
  <c r="BA162" i="10"/>
  <c r="BA105" i="10"/>
  <c r="BA73" i="10"/>
  <c r="BA90" i="10"/>
  <c r="BA188" i="10"/>
  <c r="BA172" i="10"/>
  <c r="BA152" i="10"/>
  <c r="BA138" i="10"/>
  <c r="BA131" i="10"/>
  <c r="BA61" i="10"/>
  <c r="BA58" i="10"/>
  <c r="BA97" i="10"/>
  <c r="BA48" i="10"/>
  <c r="BA99" i="10"/>
  <c r="BA177" i="10"/>
  <c r="BA119" i="10"/>
  <c r="BA47" i="10"/>
  <c r="BA163" i="10"/>
  <c r="BA56" i="10"/>
  <c r="BA96" i="10"/>
  <c r="BA104" i="10"/>
  <c r="BA153" i="10"/>
  <c r="BA126" i="10"/>
  <c r="BA120" i="10"/>
  <c r="BA129" i="10"/>
  <c r="BA128" i="10"/>
  <c r="BA123" i="10"/>
  <c r="BA103" i="10"/>
  <c r="BA23" i="10"/>
  <c r="BB356" i="7"/>
  <c r="BB371" i="7" s="1"/>
  <c r="AX9" i="15"/>
  <c r="BD6" i="11" s="1"/>
  <c r="AJ19" i="15"/>
  <c r="AP11" i="11" s="1"/>
  <c r="AR71" i="9"/>
  <c r="AR4" i="8"/>
  <c r="AJ79" i="21"/>
  <c r="BD219" i="22"/>
  <c r="BD217" i="22"/>
  <c r="BD215" i="22"/>
  <c r="BD211" i="22"/>
  <c r="BD223" i="22"/>
  <c r="BD227" i="22"/>
  <c r="AZ80" i="21" s="1"/>
  <c r="BD207" i="22"/>
  <c r="BD199" i="22"/>
  <c r="BD198" i="22"/>
  <c r="BD210" i="22"/>
  <c r="BD197" i="22"/>
  <c r="BD212" i="22"/>
  <c r="BD200" i="22"/>
  <c r="BD194" i="22"/>
  <c r="BD192" i="22"/>
  <c r="BD203" i="22"/>
  <c r="BD220" i="22"/>
  <c r="BD216" i="22"/>
  <c r="BD208" i="22"/>
  <c r="BD204" i="22"/>
  <c r="BD224" i="22"/>
  <c r="BD209" i="22"/>
  <c r="BD205" i="22"/>
  <c r="BD218" i="22"/>
  <c r="BD184" i="22"/>
  <c r="BD206" i="22"/>
  <c r="BD193" i="22"/>
  <c r="BD191" i="22"/>
  <c r="BD195" i="22"/>
  <c r="BD196" i="22"/>
  <c r="BD190" i="22"/>
  <c r="BD188" i="22"/>
  <c r="BD186" i="22"/>
  <c r="BD177" i="22"/>
  <c r="BD174" i="22"/>
  <c r="BD179" i="22"/>
  <c r="BD183" i="22"/>
  <c r="BD172" i="22"/>
  <c r="BD182" i="22"/>
  <c r="BD181" i="22"/>
  <c r="BD171" i="22"/>
  <c r="BD185" i="22"/>
  <c r="BD187" i="22"/>
  <c r="BD167" i="22"/>
  <c r="BD161" i="22"/>
  <c r="BD189" i="22"/>
  <c r="BD170" i="22"/>
  <c r="BD162" i="22"/>
  <c r="BD157" i="22"/>
  <c r="BD153" i="22"/>
  <c r="BD151" i="22"/>
  <c r="BD147" i="22"/>
  <c r="AZ65" i="21" s="1"/>
  <c r="BD143" i="22"/>
  <c r="BD139" i="22"/>
  <c r="BD137" i="22"/>
  <c r="BD169" i="22"/>
  <c r="BD165" i="22"/>
  <c r="BD168" i="22"/>
  <c r="BD180" i="22"/>
  <c r="BD178" i="22"/>
  <c r="BD173" i="22"/>
  <c r="BD166" i="22"/>
  <c r="BD163" i="22"/>
  <c r="BD175" i="22"/>
  <c r="BD164" i="22"/>
  <c r="BD158" i="22"/>
  <c r="BD152" i="22"/>
  <c r="BD133" i="22"/>
  <c r="BD129" i="22"/>
  <c r="BD127" i="22"/>
  <c r="BD125" i="22"/>
  <c r="BD150" i="22"/>
  <c r="BD154" i="22"/>
  <c r="BD134" i="22"/>
  <c r="BD130" i="22"/>
  <c r="BD128" i="22"/>
  <c r="BD114" i="22"/>
  <c r="BD112" i="22"/>
  <c r="BD108" i="22"/>
  <c r="BD106" i="22"/>
  <c r="BD104" i="22"/>
  <c r="BD102" i="22"/>
  <c r="BD100" i="22"/>
  <c r="BD98" i="22"/>
  <c r="BD96" i="22"/>
  <c r="BD94" i="22"/>
  <c r="BD142" i="22"/>
  <c r="BD138" i="22"/>
  <c r="BD126" i="22"/>
  <c r="BD123" i="22"/>
  <c r="BD144" i="22"/>
  <c r="BD122" i="22"/>
  <c r="BD121" i="22"/>
  <c r="BD136" i="22"/>
  <c r="BD176" i="22"/>
  <c r="BD120" i="22"/>
  <c r="BD119" i="22"/>
  <c r="BD135" i="22"/>
  <c r="BD124" i="22"/>
  <c r="BD99" i="22"/>
  <c r="BD113" i="22"/>
  <c r="BD117" i="22"/>
  <c r="BD118" i="22"/>
  <c r="BD116" i="22"/>
  <c r="BD107" i="22"/>
  <c r="BD105" i="22"/>
  <c r="BD103" i="22"/>
  <c r="BD97" i="22"/>
  <c r="BD81" i="22"/>
  <c r="BD101" i="22"/>
  <c r="BD93" i="22"/>
  <c r="BD89" i="22"/>
  <c r="BD84" i="22"/>
  <c r="BD80" i="22"/>
  <c r="BD85" i="22"/>
  <c r="BD92" i="22"/>
  <c r="BD86" i="22"/>
  <c r="BD79" i="22"/>
  <c r="BD95" i="22"/>
  <c r="BD71" i="22"/>
  <c r="BD90" i="22"/>
  <c r="BD87" i="22"/>
  <c r="BD75" i="22"/>
  <c r="BD115" i="22"/>
  <c r="BD111" i="22"/>
  <c r="BD91" i="22"/>
  <c r="BD83" i="22"/>
  <c r="BD68" i="22"/>
  <c r="BD67" i="22"/>
  <c r="BD78" i="22"/>
  <c r="BD66" i="22"/>
  <c r="BD65" i="22"/>
  <c r="BD64" i="22"/>
  <c r="BD63" i="22"/>
  <c r="BD88" i="22"/>
  <c r="BD72" i="22"/>
  <c r="BD62" i="22"/>
  <c r="BD61" i="22"/>
  <c r="BD56" i="22"/>
  <c r="BD54" i="22"/>
  <c r="BD52" i="22"/>
  <c r="BD76" i="22"/>
  <c r="BD60" i="22"/>
  <c r="BD59" i="22"/>
  <c r="BD58" i="22"/>
  <c r="BD82" i="22"/>
  <c r="BD70" i="22"/>
  <c r="BD49" i="22"/>
  <c r="BD45" i="22"/>
  <c r="BD42" i="22"/>
  <c r="BD38" i="22"/>
  <c r="BD36" i="22"/>
  <c r="BD34" i="22"/>
  <c r="BD32" i="22"/>
  <c r="BD30" i="22"/>
  <c r="BD28" i="22"/>
  <c r="BD26" i="22"/>
  <c r="BD24" i="22"/>
  <c r="BD22" i="22"/>
  <c r="BD20" i="22"/>
  <c r="BD18" i="22"/>
  <c r="BD57" i="22"/>
  <c r="BD48" i="22"/>
  <c r="BD46" i="22"/>
  <c r="BD69" i="22"/>
  <c r="BD41" i="22"/>
  <c r="BD51" i="22"/>
  <c r="BD53" i="22"/>
  <c r="BD50" i="22"/>
  <c r="BD77" i="22"/>
  <c r="BD44" i="22"/>
  <c r="BD40" i="22"/>
  <c r="BD47" i="22"/>
  <c r="BD43" i="22"/>
  <c r="BD39" i="22"/>
  <c r="BD19" i="22"/>
  <c r="BD9" i="22"/>
  <c r="BD21" i="22"/>
  <c r="BD11" i="22"/>
  <c r="BD13" i="22"/>
  <c r="BD25" i="22"/>
  <c r="BD14" i="22"/>
  <c r="BD12" i="22"/>
  <c r="BD10" i="22"/>
  <c r="BD27" i="22"/>
  <c r="BD29" i="22"/>
  <c r="BD35" i="22"/>
  <c r="BD17" i="22"/>
  <c r="BD55" i="22"/>
  <c r="BD16" i="22"/>
  <c r="BD37" i="22"/>
  <c r="BD33" i="22"/>
  <c r="BD15" i="22"/>
  <c r="BD31" i="22"/>
  <c r="BD23" i="22"/>
  <c r="AT43" i="21"/>
  <c r="AT46" i="21"/>
  <c r="AT47" i="21" s="1"/>
  <c r="AT48" i="21" s="1"/>
  <c r="AT11" i="8" s="1"/>
  <c r="AX10" i="13"/>
  <c r="AX29" i="15"/>
  <c r="AX37" i="15" s="1"/>
  <c r="AX38" i="15" s="1"/>
  <c r="AX39" i="15" s="1"/>
  <c r="AX40" i="15" s="1"/>
  <c r="AT53" i="21"/>
  <c r="AT54" i="21" s="1"/>
  <c r="BA128" i="7"/>
  <c r="BA129" i="7" s="1"/>
  <c r="BA147" i="7" s="1"/>
  <c r="BA316" i="7"/>
  <c r="BA317" i="7" s="1"/>
  <c r="BA328" i="7" s="1"/>
  <c r="AX14" i="17"/>
  <c r="AX28" i="13" s="1"/>
  <c r="BA110" i="7"/>
  <c r="BA124" i="7"/>
  <c r="BA125" i="7" s="1"/>
  <c r="BB363" i="7"/>
  <c r="BB378" i="7" s="1"/>
  <c r="BB353" i="7"/>
  <c r="BB368" i="7" s="1"/>
  <c r="BA306" i="7"/>
  <c r="BA307" i="7" s="1"/>
  <c r="BA345" i="7" s="1"/>
  <c r="BA114" i="7"/>
  <c r="BA115" i="7" s="1"/>
  <c r="BA153" i="7" s="1"/>
  <c r="BB358" i="7"/>
  <c r="BB373" i="7" s="1"/>
  <c r="BA119" i="7"/>
  <c r="BA120" i="7" s="1"/>
  <c r="BA141" i="7" s="1"/>
  <c r="BA320" i="7"/>
  <c r="BA321" i="7" s="1"/>
  <c r="BA339" i="7" s="1"/>
  <c r="AJ71" i="21"/>
  <c r="BB261" i="7"/>
  <c r="BB276" i="7" s="1"/>
  <c r="BA158" i="7"/>
  <c r="BA173" i="7" s="1"/>
  <c r="BA188" i="7" s="1"/>
  <c r="BA311" i="7"/>
  <c r="BA312" i="7" s="1"/>
  <c r="BA324" i="7" s="1"/>
  <c r="BA350" i="7"/>
  <c r="BA365" i="7" s="1"/>
  <c r="BA380" i="7" s="1"/>
  <c r="AT45" i="15"/>
  <c r="AT46" i="15" s="1"/>
  <c r="BA53" i="7"/>
  <c r="BB260" i="7"/>
  <c r="BB275" i="7" s="1"/>
  <c r="BB359" i="7"/>
  <c r="BB374" i="7" s="1"/>
  <c r="BB265" i="7"/>
  <c r="BB280" i="7" s="1"/>
  <c r="AJ11" i="21"/>
  <c r="AJ14" i="21"/>
  <c r="AJ20" i="21" s="1"/>
  <c r="AJ17" i="21"/>
  <c r="BB169" i="7"/>
  <c r="BB184" i="7" s="1"/>
  <c r="AJ77" i="21"/>
  <c r="BB360" i="7"/>
  <c r="BB375" i="7" s="1"/>
  <c r="BA54" i="7"/>
  <c r="AJ62" i="21"/>
  <c r="BB263" i="7"/>
  <c r="BB278" i="7" s="1"/>
  <c r="BA26" i="7"/>
  <c r="BB258" i="7"/>
  <c r="BB273" i="7" s="1"/>
  <c r="BB204" i="7"/>
  <c r="BB256" i="7" s="1"/>
  <c r="BB271" i="7" s="1"/>
  <c r="BA59" i="7"/>
  <c r="BA48" i="7"/>
  <c r="BB267" i="7"/>
  <c r="BB282" i="7" s="1"/>
  <c r="BB30" i="7"/>
  <c r="BB44" i="7" s="1"/>
  <c r="BA43" i="7"/>
  <c r="BB159" i="7"/>
  <c r="BB174" i="7" s="1"/>
  <c r="BB161" i="7"/>
  <c r="BB176" i="7" s="1"/>
  <c r="BB164" i="7"/>
  <c r="BB179" i="7" s="1"/>
  <c r="BB170" i="7"/>
  <c r="BB185" i="7" s="1"/>
  <c r="BB165" i="7"/>
  <c r="BB180" i="7" s="1"/>
  <c r="BA64" i="7"/>
  <c r="BA36" i="7"/>
  <c r="BB163" i="7"/>
  <c r="BB178" i="7" s="1"/>
  <c r="BB171" i="7"/>
  <c r="BB186" i="7" s="1"/>
  <c r="BB108" i="7"/>
  <c r="BB111" i="7" s="1"/>
  <c r="BB166" i="7"/>
  <c r="BB181" i="7" s="1"/>
  <c r="BB162" i="7"/>
  <c r="BB177" i="7" s="1"/>
  <c r="BB160" i="7"/>
  <c r="BB175" i="7" s="1"/>
  <c r="BB168" i="7"/>
  <c r="BB183" i="7" s="1"/>
  <c r="BA302" i="7"/>
  <c r="BA66" i="7"/>
  <c r="BA51" i="7"/>
  <c r="BA44" i="7"/>
  <c r="BA55" i="7"/>
  <c r="BA65" i="7"/>
  <c r="BB68" i="7"/>
  <c r="BB83" i="7" s="1"/>
  <c r="BB98" i="7" s="1"/>
  <c r="BA62" i="7"/>
  <c r="BA50" i="7"/>
  <c r="BA60" i="7"/>
  <c r="BA57" i="7"/>
  <c r="BB25" i="7"/>
  <c r="BB59" i="7" s="1"/>
  <c r="BA31" i="7"/>
  <c r="BA63" i="7"/>
  <c r="BA58" i="7"/>
  <c r="BA49" i="7"/>
  <c r="BA46" i="7"/>
  <c r="BA47" i="7"/>
  <c r="BA52" i="7"/>
  <c r="AJ76" i="21"/>
  <c r="AJ63" i="21"/>
  <c r="AJ60" i="21"/>
  <c r="AJ78" i="21"/>
  <c r="AX15" i="17"/>
  <c r="AX27" i="13" s="1"/>
  <c r="BA61" i="7"/>
  <c r="AJ61" i="21"/>
  <c r="BB262" i="7"/>
  <c r="BB277" i="7" s="1"/>
  <c r="BB259" i="7"/>
  <c r="BB274" i="7" s="1"/>
  <c r="BB266" i="7"/>
  <c r="BB281" i="7" s="1"/>
  <c r="BB257" i="7"/>
  <c r="BB272" i="7" s="1"/>
  <c r="AJ60" i="14"/>
  <c r="AJ62" i="14" s="1"/>
  <c r="AJ63" i="14" s="1"/>
  <c r="BC78" i="7"/>
  <c r="BC93" i="7" s="1"/>
  <c r="BC71" i="7"/>
  <c r="BC86" i="7" s="1"/>
  <c r="BB268" i="7"/>
  <c r="BB283" i="7" s="1"/>
  <c r="BB21" i="7"/>
  <c r="BB35" i="7"/>
  <c r="BB45" i="7" s="1"/>
  <c r="BB39" i="7"/>
  <c r="BB40" i="7" s="1"/>
  <c r="BB184" i="14"/>
  <c r="BB187" i="14" s="1"/>
  <c r="BB188" i="14" s="1"/>
  <c r="BB269" i="7"/>
  <c r="BB284" i="7" s="1"/>
  <c r="AM66" i="21"/>
  <c r="AM68" i="21" s="1"/>
  <c r="AM81" i="21"/>
  <c r="AM12" i="8" s="1"/>
  <c r="AM13" i="8" s="1"/>
  <c r="BE12" i="14"/>
  <c r="AY62" i="14"/>
  <c r="AY63" i="14" s="1"/>
  <c r="AY61" i="14"/>
  <c r="AZ54" i="14"/>
  <c r="AZ55" i="14" s="1"/>
  <c r="AZ56" i="14" s="1"/>
  <c r="AZ57" i="14" s="1"/>
  <c r="BB52" i="14"/>
  <c r="BB53" i="14" s="1"/>
  <c r="BA54" i="14"/>
  <c r="BA55" i="14" s="1"/>
  <c r="BA56" i="14" s="1"/>
  <c r="BA57" i="14" s="1"/>
  <c r="AZ8" i="21"/>
  <c r="AZ34" i="21" s="1"/>
  <c r="BA190" i="14"/>
  <c r="BA192" i="14" s="1"/>
  <c r="AW208" i="14"/>
  <c r="AW210" i="14" s="1"/>
  <c r="AW211" i="14" s="1"/>
  <c r="AW213" i="14" s="1"/>
  <c r="AW215" i="14" s="1"/>
  <c r="AJ199" i="14"/>
  <c r="AJ202" i="14" s="1"/>
  <c r="AJ206" i="14" s="1"/>
  <c r="AJ208" i="14" s="1"/>
  <c r="AS57" i="21"/>
  <c r="AY196" i="14"/>
  <c r="AY197" i="14" s="1"/>
  <c r="AY201" i="14" s="1"/>
  <c r="AY205" i="14" s="1"/>
  <c r="AX193" i="14"/>
  <c r="AX194" i="14"/>
  <c r="AX195" i="14" s="1"/>
  <c r="AZ194" i="14"/>
  <c r="AZ195" i="14" s="1"/>
  <c r="AZ193" i="14"/>
  <c r="AZ15" i="17"/>
  <c r="AZ27" i="13" s="1"/>
  <c r="AW7" i="7"/>
  <c r="AW16" i="13" s="1"/>
  <c r="BC177" i="14"/>
  <c r="BC176" i="14"/>
  <c r="BC179" i="14" s="1"/>
  <c r="BC181" i="14" s="1"/>
  <c r="BC178" i="14"/>
  <c r="BD10" i="14"/>
  <c r="BD177" i="14"/>
  <c r="BD176" i="14"/>
  <c r="BD179" i="14" s="1"/>
  <c r="BD181" i="14" s="1"/>
  <c r="BD178" i="14"/>
  <c r="BC171" i="14"/>
  <c r="BC14" i="14"/>
  <c r="BC25" i="14" s="1"/>
  <c r="BE169" i="14"/>
  <c r="BE11" i="14"/>
  <c r="BB170" i="14"/>
  <c r="BA4" i="17"/>
  <c r="BA7" i="17" s="1"/>
  <c r="BA8" i="17" s="1"/>
  <c r="BA9" i="17" s="1"/>
  <c r="BA11" i="17" s="1"/>
  <c r="BA12" i="17" s="1"/>
  <c r="BA3" i="15"/>
  <c r="BA3" i="21"/>
  <c r="BA7" i="21" s="1"/>
  <c r="BC77" i="7"/>
  <c r="BC92" i="7" s="1"/>
  <c r="BC80" i="7"/>
  <c r="BC95" i="7" s="1"/>
  <c r="BC79" i="7"/>
  <c r="BC94" i="7" s="1"/>
  <c r="BC75" i="7"/>
  <c r="BC90" i="7" s="1"/>
  <c r="BC69" i="7"/>
  <c r="BC84" i="7" s="1"/>
  <c r="BC17" i="7"/>
  <c r="BC201" i="7"/>
  <c r="BC202" i="7" s="1"/>
  <c r="BC73" i="7"/>
  <c r="BC88" i="7" s="1"/>
  <c r="BC295" i="7"/>
  <c r="BC296" i="7" s="1"/>
  <c r="BC362" i="7" s="1"/>
  <c r="BC377" i="7" s="1"/>
  <c r="BE6" i="14"/>
  <c r="BE173" i="14" s="1"/>
  <c r="BE8" i="14"/>
  <c r="BE5" i="14"/>
  <c r="BE10" i="14" s="1"/>
  <c r="BE7" i="14"/>
  <c r="BE174" i="14" s="1"/>
  <c r="BE9" i="14"/>
  <c r="BC74" i="7"/>
  <c r="BC89" i="7" s="1"/>
  <c r="BC70" i="7"/>
  <c r="BC85" i="7" s="1"/>
  <c r="BD17" i="14"/>
  <c r="BD16" i="14"/>
  <c r="BD18" i="14" s="1"/>
  <c r="BD19" i="14" s="1"/>
  <c r="BD21" i="14" s="1"/>
  <c r="BC81" i="7"/>
  <c r="BC96" i="7" s="1"/>
  <c r="BC72" i="7"/>
  <c r="BC87" i="7" s="1"/>
  <c r="BC76" i="7"/>
  <c r="BC91" i="7" s="1"/>
  <c r="AY72" i="21"/>
  <c r="BD13" i="7"/>
  <c r="BD14" i="7" s="1"/>
  <c r="BD15" i="7" s="1"/>
  <c r="AY63" i="21"/>
  <c r="BC49" i="14"/>
  <c r="BC50" i="14" s="1"/>
  <c r="BC6" i="24" s="1"/>
  <c r="AY78" i="21"/>
  <c r="AY79" i="21"/>
  <c r="AW22" i="15"/>
  <c r="AW43" i="15" s="1"/>
  <c r="AY76" i="21"/>
  <c r="AY62" i="21"/>
  <c r="AP50" i="8"/>
  <c r="AP25" i="13" s="1"/>
  <c r="AS7" i="20"/>
  <c r="AS5" i="8" s="1"/>
  <c r="AS43" i="8" s="1"/>
  <c r="AW289" i="7"/>
  <c r="AW13" i="23" s="1"/>
  <c r="AW35" i="21"/>
  <c r="AW36" i="21" s="1"/>
  <c r="AV163" i="14"/>
  <c r="BA231" i="7"/>
  <c r="BA236" i="7"/>
  <c r="AW139" i="14"/>
  <c r="AW138" i="14"/>
  <c r="AX163" i="14"/>
  <c r="AX154" i="14"/>
  <c r="AX165" i="14" s="1"/>
  <c r="AX389" i="7" s="1"/>
  <c r="BB28" i="14"/>
  <c r="BB29" i="14" s="1"/>
  <c r="BB30" i="14" s="1"/>
  <c r="BB31" i="14" s="1"/>
  <c r="BB18" i="13" s="1"/>
  <c r="BB4" i="13"/>
  <c r="BD48" i="14"/>
  <c r="AU62" i="9"/>
  <c r="AU68" i="9" s="1"/>
  <c r="AY64" i="21"/>
  <c r="BE9" i="7"/>
  <c r="BE12" i="7"/>
  <c r="BE10" i="7"/>
  <c r="AX119" i="14"/>
  <c r="AX73" i="21"/>
  <c r="AX100" i="14"/>
  <c r="AX101" i="14" s="1"/>
  <c r="AX102" i="14" s="1"/>
  <c r="AX107" i="14" s="1"/>
  <c r="AX110" i="14" s="1"/>
  <c r="BD36" i="14"/>
  <c r="BD42" i="14"/>
  <c r="AU22" i="13"/>
  <c r="AU41" i="8"/>
  <c r="AU23" i="13" s="1"/>
  <c r="AU40" i="8"/>
  <c r="AY3" i="9"/>
  <c r="BC6" i="10" s="1"/>
  <c r="AY3" i="8"/>
  <c r="BC165" i="7"/>
  <c r="BC180" i="7" s="1"/>
  <c r="BC166" i="7"/>
  <c r="BC181" i="7" s="1"/>
  <c r="BC159" i="7"/>
  <c r="BC174" i="7" s="1"/>
  <c r="BC160" i="7"/>
  <c r="BC175" i="7" s="1"/>
  <c r="BC162" i="7"/>
  <c r="BC177" i="7" s="1"/>
  <c r="BC163" i="7"/>
  <c r="BC178" i="7" s="1"/>
  <c r="BC170" i="7"/>
  <c r="BC185" i="7" s="1"/>
  <c r="BC168" i="7"/>
  <c r="BC183" i="7" s="1"/>
  <c r="BC169" i="7"/>
  <c r="BC184" i="7" s="1"/>
  <c r="BC171" i="7"/>
  <c r="BC186" i="7" s="1"/>
  <c r="BC161" i="7"/>
  <c r="BC176" i="7" s="1"/>
  <c r="BC108" i="7"/>
  <c r="BC111" i="7" s="1"/>
  <c r="BC167" i="7"/>
  <c r="BC182" i="7" s="1"/>
  <c r="BC164" i="7"/>
  <c r="BC179" i="7" s="1"/>
  <c r="AU47" i="9"/>
  <c r="AU51" i="9" s="1"/>
  <c r="AU64" i="9" s="1"/>
  <c r="AY60" i="21"/>
  <c r="AY77" i="21"/>
  <c r="BF3" i="17"/>
  <c r="BF5" i="17" s="1"/>
  <c r="BF3" i="7"/>
  <c r="BF3" i="14"/>
  <c r="AS87" i="9"/>
  <c r="AS88" i="9" s="1"/>
  <c r="AV36" i="8"/>
  <c r="AV39" i="8" s="1"/>
  <c r="AY61" i="21"/>
  <c r="AS12" i="20"/>
  <c r="AS6" i="8" s="1"/>
  <c r="AW58" i="9"/>
  <c r="AW59" i="9"/>
  <c r="AW54" i="9"/>
  <c r="AW49" i="9"/>
  <c r="AS81" i="9"/>
  <c r="AS83" i="9" s="1"/>
  <c r="BC44" i="14"/>
  <c r="BC19" i="13" s="1"/>
  <c r="AW56" i="9"/>
  <c r="AW48" i="9"/>
  <c r="AW57" i="9"/>
  <c r="AZ14" i="17"/>
  <c r="AZ28" i="13" s="1"/>
  <c r="AZ17" i="17"/>
  <c r="AV4" i="9"/>
  <c r="AV4" i="21"/>
  <c r="AV44" i="15"/>
  <c r="AV45" i="15" s="1"/>
  <c r="AV46" i="15" s="1"/>
  <c r="AV4" i="20"/>
  <c r="AW9" i="8"/>
  <c r="AY71" i="21"/>
  <c r="AY25" i="15"/>
  <c r="AY26" i="15"/>
  <c r="AX125" i="14"/>
  <c r="AX126" i="14" s="1"/>
  <c r="AX127" i="14" s="1"/>
  <c r="AX132" i="14" s="1"/>
  <c r="AX135" i="14" s="1"/>
  <c r="AW8" i="8"/>
  <c r="AU46" i="21"/>
  <c r="AU47" i="21" s="1"/>
  <c r="AU48" i="21" s="1"/>
  <c r="AU43" i="21"/>
  <c r="AU53" i="21"/>
  <c r="AU54" i="21" s="1"/>
  <c r="AU39" i="21"/>
  <c r="AX111" i="14"/>
  <c r="AX112" i="14" s="1"/>
  <c r="AY17" i="17"/>
  <c r="AY14" i="17"/>
  <c r="AY28" i="13" s="1"/>
  <c r="AU53" i="9"/>
  <c r="AU60" i="9" s="1"/>
  <c r="AU66" i="9" s="1"/>
  <c r="AY11" i="21"/>
  <c r="AY17" i="21"/>
  <c r="AY34" i="21"/>
  <c r="AY14" i="21"/>
  <c r="AW7" i="8"/>
  <c r="AT74" i="9"/>
  <c r="AT3" i="20" s="1"/>
  <c r="AW21" i="15"/>
  <c r="AW5" i="9" s="1"/>
  <c r="AQ24" i="13"/>
  <c r="AQ50" i="8"/>
  <c r="AQ25" i="13" s="1"/>
  <c r="BD47" i="14"/>
  <c r="AJ82" i="14"/>
  <c r="AJ85" i="14" s="1"/>
  <c r="AJ79" i="14"/>
  <c r="AJ136" i="14"/>
  <c r="AJ137" i="14" s="1"/>
  <c r="AJ125" i="14"/>
  <c r="AJ126" i="14" s="1"/>
  <c r="AJ127" i="14" s="1"/>
  <c r="AJ132" i="14" s="1"/>
  <c r="AJ135" i="14" s="1"/>
  <c r="AJ150" i="14"/>
  <c r="AJ151" i="14" s="1"/>
  <c r="AJ111" i="14"/>
  <c r="AJ100" i="14"/>
  <c r="AJ101" i="14" s="1"/>
  <c r="AJ102" i="14" s="1"/>
  <c r="AJ163" i="14"/>
  <c r="AK73" i="21"/>
  <c r="AK17" i="9"/>
  <c r="AK18" i="9" s="1"/>
  <c r="AK66" i="21"/>
  <c r="AK68" i="21" s="1"/>
  <c r="AK25" i="21"/>
  <c r="AK26" i="21" s="1"/>
  <c r="AK81" i="21"/>
  <c r="AK12" i="8" s="1"/>
  <c r="AK13" i="8" s="1"/>
  <c r="AK28" i="21"/>
  <c r="AK31" i="21" s="1"/>
  <c r="AK41" i="9"/>
  <c r="AK42" i="9" s="1"/>
  <c r="AK50" i="9" s="1"/>
  <c r="AK22" i="9"/>
  <c r="AK23" i="9" s="1"/>
  <c r="AK27" i="9"/>
  <c r="AK28" i="9" s="1"/>
  <c r="AK36" i="9"/>
  <c r="AO7" i="10" s="1"/>
  <c r="AK11" i="9"/>
  <c r="AK12" i="9" s="1"/>
  <c r="AK38" i="9"/>
  <c r="AK39" i="9" s="1"/>
  <c r="AK44" i="9"/>
  <c r="AK45" i="9" s="1"/>
  <c r="AK55" i="9" s="1"/>
  <c r="AM22" i="15"/>
  <c r="AM43" i="15" s="1"/>
  <c r="AM21" i="15"/>
  <c r="AM5" i="9" s="1"/>
  <c r="AM25" i="21"/>
  <c r="AM48" i="9"/>
  <c r="AM56" i="9"/>
  <c r="AM57" i="9"/>
  <c r="AM54" i="9"/>
  <c r="AM59" i="9"/>
  <c r="AM49" i="9"/>
  <c r="AM58" i="9"/>
  <c r="AM8" i="8"/>
  <c r="AM7" i="8"/>
  <c r="AM9" i="8"/>
  <c r="BC75" i="9"/>
  <c r="BD75" i="9"/>
  <c r="AW195" i="7" l="1"/>
  <c r="AT22" i="13"/>
  <c r="AT40" i="8"/>
  <c r="AT41" i="8"/>
  <c r="AT23" i="13" s="1"/>
  <c r="BA232" i="7"/>
  <c r="BF105" i="11"/>
  <c r="BA254" i="7"/>
  <c r="BA237" i="7"/>
  <c r="BA239" i="7"/>
  <c r="BA235" i="7"/>
  <c r="BA253" i="7"/>
  <c r="BA243" i="7"/>
  <c r="BA218" i="7"/>
  <c r="BA234" i="7"/>
  <c r="BA230" i="7"/>
  <c r="AX81" i="21"/>
  <c r="AX12" i="8" s="1"/>
  <c r="AX13" i="8" s="1"/>
  <c r="BA245" i="7"/>
  <c r="AX25" i="21"/>
  <c r="BF119" i="11"/>
  <c r="AX34" i="15"/>
  <c r="BF118" i="11"/>
  <c r="BF48" i="11"/>
  <c r="AZ229" i="7"/>
  <c r="AZ288" i="7" s="1"/>
  <c r="AZ117" i="14" s="1"/>
  <c r="BA241" i="7"/>
  <c r="BF28" i="11"/>
  <c r="AT80" i="9"/>
  <c r="AT5" i="20"/>
  <c r="BF89" i="11"/>
  <c r="BF70" i="11"/>
  <c r="BF19" i="11"/>
  <c r="AX66" i="21"/>
  <c r="AX68" i="21" s="1"/>
  <c r="BF66" i="11"/>
  <c r="BF83" i="11"/>
  <c r="BF75" i="11"/>
  <c r="BA252" i="7"/>
  <c r="BF21" i="11"/>
  <c r="AM229" i="7"/>
  <c r="AM288" i="7" s="1"/>
  <c r="AM117" i="14" s="1"/>
  <c r="BA250" i="7"/>
  <c r="BF117" i="11"/>
  <c r="BF43" i="11"/>
  <c r="AZ26" i="15"/>
  <c r="AZ25" i="15"/>
  <c r="BA251" i="7"/>
  <c r="BF61" i="11"/>
  <c r="BF107" i="11"/>
  <c r="BF30" i="11"/>
  <c r="BF126" i="11"/>
  <c r="BF37" i="11"/>
  <c r="BA248" i="7"/>
  <c r="BA249" i="7"/>
  <c r="BA242" i="7"/>
  <c r="BA246" i="7"/>
  <c r="BF24" i="11"/>
  <c r="BA223" i="7"/>
  <c r="BF124" i="11"/>
  <c r="BA238" i="7"/>
  <c r="AM118" i="14"/>
  <c r="AM122" i="14" s="1"/>
  <c r="AM123" i="14" s="1"/>
  <c r="AM124" i="14" s="1"/>
  <c r="BA227" i="7"/>
  <c r="AM131" i="7"/>
  <c r="AM194" i="7" s="1"/>
  <c r="AM92" i="14" s="1"/>
  <c r="AM69" i="14"/>
  <c r="AM72" i="14"/>
  <c r="AM73" i="14" s="1"/>
  <c r="AM74" i="14" s="1"/>
  <c r="AM75" i="14" s="1"/>
  <c r="AM76" i="14" s="1"/>
  <c r="AK131" i="7"/>
  <c r="AK194" i="7" s="1"/>
  <c r="AK92" i="14" s="1"/>
  <c r="AK93" i="14" s="1"/>
  <c r="AM323" i="7"/>
  <c r="AM388" i="7" s="1"/>
  <c r="AM142" i="14" s="1"/>
  <c r="AM143" i="14" s="1"/>
  <c r="AX79" i="14"/>
  <c r="AX90" i="14" s="1"/>
  <c r="AX86" i="14"/>
  <c r="AK69" i="14"/>
  <c r="AK72" i="14"/>
  <c r="AK73" i="14" s="1"/>
  <c r="AK74" i="14" s="1"/>
  <c r="AK75" i="14" s="1"/>
  <c r="AK76" i="14" s="1"/>
  <c r="AK77" i="14" s="1"/>
  <c r="BF49" i="11"/>
  <c r="AT4" i="8"/>
  <c r="BF138" i="11"/>
  <c r="BF64" i="11"/>
  <c r="AK229" i="7"/>
  <c r="AK288" i="7" s="1"/>
  <c r="AK117" i="14" s="1"/>
  <c r="AK118" i="14" s="1"/>
  <c r="AZ3" i="8"/>
  <c r="AK323" i="7"/>
  <c r="AK388" i="7" s="1"/>
  <c r="AK142" i="14" s="1"/>
  <c r="AK143" i="14" s="1"/>
  <c r="AW281" i="23"/>
  <c r="AX279" i="23"/>
  <c r="BF136" i="11"/>
  <c r="BF109" i="11"/>
  <c r="BF115" i="11"/>
  <c r="BF54" i="11"/>
  <c r="AY279" i="23"/>
  <c r="BF38" i="11"/>
  <c r="BF47" i="11"/>
  <c r="BF123" i="11"/>
  <c r="BF116" i="11"/>
  <c r="BF137" i="11"/>
  <c r="BF73" i="11"/>
  <c r="BF45" i="11"/>
  <c r="BF77" i="11"/>
  <c r="BF41" i="11"/>
  <c r="BF133" i="11"/>
  <c r="BF34" i="11"/>
  <c r="BF36" i="11"/>
  <c r="BF26" i="11"/>
  <c r="BF81" i="11"/>
  <c r="BF91" i="11"/>
  <c r="BF74" i="11"/>
  <c r="BF135" i="11"/>
  <c r="BF98" i="11"/>
  <c r="BF56" i="11"/>
  <c r="BF72" i="11"/>
  <c r="BF53" i="11"/>
  <c r="BF113" i="11"/>
  <c r="BF96" i="11"/>
  <c r="BF88" i="11"/>
  <c r="BF130" i="11"/>
  <c r="BF44" i="11"/>
  <c r="BF110" i="11"/>
  <c r="BF112" i="11"/>
  <c r="BF71" i="11"/>
  <c r="BF27" i="11"/>
  <c r="BF82" i="11"/>
  <c r="BF62" i="11"/>
  <c r="BF35" i="11"/>
  <c r="BF46" i="11"/>
  <c r="BF132" i="11"/>
  <c r="BF42" i="11"/>
  <c r="BF114" i="11"/>
  <c r="BF92" i="11"/>
  <c r="BF52" i="11"/>
  <c r="BF22" i="11"/>
  <c r="BB311" i="7"/>
  <c r="BB312" i="7" s="1"/>
  <c r="BB324" i="7" s="1"/>
  <c r="BC22" i="7"/>
  <c r="BF69" i="11"/>
  <c r="BF100" i="11"/>
  <c r="BF80" i="11"/>
  <c r="BF87" i="11"/>
  <c r="BF122" i="11"/>
  <c r="BF127" i="11"/>
  <c r="BF31" i="11"/>
  <c r="BF99" i="11"/>
  <c r="BF103" i="11"/>
  <c r="BF108" i="11"/>
  <c r="BF95" i="11"/>
  <c r="BF86" i="11"/>
  <c r="BF67" i="11"/>
  <c r="BF134" i="11"/>
  <c r="BF51" i="11"/>
  <c r="BF63" i="11"/>
  <c r="BF120" i="11"/>
  <c r="BF94" i="11"/>
  <c r="BF102" i="11"/>
  <c r="BF101" i="11"/>
  <c r="BF59" i="11"/>
  <c r="BF85" i="11"/>
  <c r="BF76" i="11"/>
  <c r="BF68" i="11"/>
  <c r="BF111" i="11"/>
  <c r="BB350" i="7"/>
  <c r="BB365" i="7" s="1"/>
  <c r="BB380" i="7" s="1"/>
  <c r="BF129" i="11"/>
  <c r="BF131" i="11"/>
  <c r="BF25" i="11"/>
  <c r="BF39" i="11"/>
  <c r="BF60" i="11"/>
  <c r="BF40" i="11"/>
  <c r="BF84" i="11"/>
  <c r="BF20" i="11"/>
  <c r="BF65" i="11"/>
  <c r="BB209" i="7"/>
  <c r="BF93" i="11"/>
  <c r="BF128" i="11"/>
  <c r="BF32" i="11"/>
  <c r="BF29" i="11"/>
  <c r="BF23" i="11"/>
  <c r="BF33" i="11"/>
  <c r="BB316" i="7"/>
  <c r="BB317" i="7" s="1"/>
  <c r="BB328" i="7" s="1"/>
  <c r="BF50" i="11"/>
  <c r="AY69" i="14"/>
  <c r="AY86" i="14" s="1"/>
  <c r="BB302" i="7"/>
  <c r="BF104" i="11"/>
  <c r="BB320" i="7"/>
  <c r="BB321" i="7" s="1"/>
  <c r="BB339" i="7" s="1"/>
  <c r="BF55" i="11"/>
  <c r="BF97" i="11"/>
  <c r="BF90" i="11"/>
  <c r="BF58" i="11"/>
  <c r="BF125" i="11"/>
  <c r="BB306" i="7"/>
  <c r="BB307" i="7" s="1"/>
  <c r="BB345" i="7" s="1"/>
  <c r="BF121" i="11"/>
  <c r="BF57" i="11"/>
  <c r="BF106" i="11"/>
  <c r="AZ67" i="14"/>
  <c r="BD81" i="7"/>
  <c r="BD96" i="7" s="1"/>
  <c r="BC259" i="7"/>
  <c r="BC274" i="7" s="1"/>
  <c r="BC20" i="13"/>
  <c r="BC11" i="7"/>
  <c r="BH3" i="11"/>
  <c r="BF3" i="22"/>
  <c r="AJ73" i="21"/>
  <c r="BA136" i="7"/>
  <c r="BA154" i="7"/>
  <c r="AZ131" i="7"/>
  <c r="AZ194" i="7" s="1"/>
  <c r="AZ92" i="14" s="1"/>
  <c r="AZ93" i="14" s="1"/>
  <c r="AZ97" i="14" s="1"/>
  <c r="AZ98" i="14" s="1"/>
  <c r="AZ99" i="14" s="1"/>
  <c r="AZ100" i="14" s="1"/>
  <c r="AZ101" i="14" s="1"/>
  <c r="AZ102" i="14" s="1"/>
  <c r="AZ107" i="14" s="1"/>
  <c r="AZ110" i="14" s="1"/>
  <c r="AY94" i="14"/>
  <c r="AY111" i="14" s="1"/>
  <c r="AY112" i="14" s="1"/>
  <c r="BA140" i="7"/>
  <c r="BA149" i="7"/>
  <c r="BA139" i="7"/>
  <c r="BA135" i="7"/>
  <c r="AJ3" i="9"/>
  <c r="AJ41" i="9" s="1"/>
  <c r="AJ42" i="9" s="1"/>
  <c r="AJ50" i="9" s="1"/>
  <c r="AZ323" i="7"/>
  <c r="AZ388" i="7" s="1"/>
  <c r="AZ142" i="14" s="1"/>
  <c r="AZ143" i="14" s="1"/>
  <c r="AZ147" i="14" s="1"/>
  <c r="AZ148" i="14" s="1"/>
  <c r="AZ149" i="14" s="1"/>
  <c r="AZ150" i="14" s="1"/>
  <c r="AZ151" i="14" s="1"/>
  <c r="AZ152" i="14" s="1"/>
  <c r="AZ157" i="14" s="1"/>
  <c r="AZ160" i="14" s="1"/>
  <c r="BA144" i="7"/>
  <c r="BA134" i="7"/>
  <c r="AX25" i="15"/>
  <c r="BA146" i="7"/>
  <c r="BA137" i="7"/>
  <c r="BA148" i="7"/>
  <c r="BA138" i="7"/>
  <c r="BA337" i="7"/>
  <c r="BA192" i="7"/>
  <c r="AR12" i="20"/>
  <c r="AR6" i="8" s="1"/>
  <c r="BD22" i="11"/>
  <c r="AK56" i="9"/>
  <c r="BA145" i="7"/>
  <c r="AR82" i="9"/>
  <c r="BA150" i="7"/>
  <c r="BA142" i="7"/>
  <c r="BA133" i="7"/>
  <c r="BA152" i="7"/>
  <c r="BA143" i="7"/>
  <c r="AX26" i="15"/>
  <c r="BA336" i="7"/>
  <c r="BE12" i="11"/>
  <c r="BE14" i="11" s="1"/>
  <c r="AQ12" i="11"/>
  <c r="AQ14" i="11" s="1"/>
  <c r="AK21" i="15" s="1"/>
  <c r="AK5" i="9" s="1"/>
  <c r="BE13" i="11"/>
  <c r="BE15" i="11" s="1"/>
  <c r="AQ13" i="11"/>
  <c r="AQ15" i="11" s="1"/>
  <c r="AK22" i="15" s="1"/>
  <c r="AK43" i="15" s="1"/>
  <c r="AO4" i="22" s="1"/>
  <c r="AJ25" i="21"/>
  <c r="AJ26" i="21" s="1"/>
  <c r="BB66" i="7"/>
  <c r="BA325" i="7"/>
  <c r="BA156" i="7"/>
  <c r="BA151" i="7"/>
  <c r="BA155" i="7"/>
  <c r="BA330" i="7"/>
  <c r="AP22" i="11"/>
  <c r="AP23" i="11"/>
  <c r="AP30" i="11"/>
  <c r="AP37" i="11"/>
  <c r="AP31" i="11"/>
  <c r="AP19" i="11"/>
  <c r="AP28" i="11"/>
  <c r="AP29" i="11"/>
  <c r="AP130" i="11"/>
  <c r="AP122" i="11"/>
  <c r="AP92" i="11"/>
  <c r="AP73" i="11"/>
  <c r="AP68" i="11"/>
  <c r="AP44" i="11"/>
  <c r="AP135" i="11"/>
  <c r="AP124" i="11"/>
  <c r="AP69" i="11"/>
  <c r="AP67" i="11"/>
  <c r="AP88" i="11"/>
  <c r="AP43" i="11"/>
  <c r="AP129" i="11"/>
  <c r="AP121" i="11"/>
  <c r="AP97" i="11"/>
  <c r="AP91" i="11"/>
  <c r="AP77" i="11"/>
  <c r="AP42" i="11"/>
  <c r="AP116" i="11"/>
  <c r="AP127" i="11"/>
  <c r="AP86" i="11"/>
  <c r="AP62" i="11"/>
  <c r="AP72" i="11"/>
  <c r="AP35" i="11"/>
  <c r="AP115" i="11"/>
  <c r="AP100" i="11"/>
  <c r="AP80" i="11"/>
  <c r="AP111" i="11"/>
  <c r="AP75" i="11"/>
  <c r="AP27" i="11"/>
  <c r="AP132" i="11"/>
  <c r="AP95" i="11"/>
  <c r="AP71" i="11"/>
  <c r="AP107" i="11"/>
  <c r="AP49" i="11"/>
  <c r="AP51" i="11"/>
  <c r="AP136" i="11"/>
  <c r="AP102" i="11"/>
  <c r="AP93" i="11"/>
  <c r="AP66" i="11"/>
  <c r="AP87" i="11"/>
  <c r="AP50" i="11"/>
  <c r="AP128" i="11"/>
  <c r="AP101" i="11"/>
  <c r="AP85" i="11"/>
  <c r="AP94" i="11"/>
  <c r="AP59" i="11"/>
  <c r="AP46" i="11"/>
  <c r="AP108" i="11"/>
  <c r="AP119" i="11"/>
  <c r="AP114" i="11"/>
  <c r="AP83" i="11"/>
  <c r="AP89" i="11"/>
  <c r="AP45" i="11"/>
  <c r="AP41" i="11"/>
  <c r="AP126" i="11"/>
  <c r="AP110" i="11"/>
  <c r="AP120" i="11"/>
  <c r="AP82" i="11"/>
  <c r="AP64" i="11"/>
  <c r="AP40" i="11"/>
  <c r="AP131" i="11"/>
  <c r="AP137" i="11"/>
  <c r="AP105" i="11"/>
  <c r="AP106" i="11"/>
  <c r="AP74" i="11"/>
  <c r="AP48" i="11"/>
  <c r="AP32" i="11"/>
  <c r="AP123" i="11"/>
  <c r="AP134" i="11"/>
  <c r="AP104" i="11"/>
  <c r="AP63" i="11"/>
  <c r="AP54" i="11"/>
  <c r="AP33" i="11"/>
  <c r="AP47" i="11"/>
  <c r="AP133" i="11"/>
  <c r="AP113" i="11"/>
  <c r="AP99" i="11"/>
  <c r="AP55" i="11"/>
  <c r="AP65" i="11"/>
  <c r="AP25" i="11"/>
  <c r="AP81" i="11"/>
  <c r="AP125" i="11"/>
  <c r="AP112" i="11"/>
  <c r="AP118" i="11"/>
  <c r="AP90" i="11"/>
  <c r="AP53" i="11"/>
  <c r="AP61" i="11"/>
  <c r="AP60" i="11"/>
  <c r="AP103" i="11"/>
  <c r="AP96" i="11"/>
  <c r="AP109" i="11"/>
  <c r="AP98" i="11"/>
  <c r="AP76" i="11"/>
  <c r="AP57" i="11"/>
  <c r="AP84" i="11"/>
  <c r="AP70" i="11"/>
  <c r="AP36" i="11"/>
  <c r="AP56" i="11"/>
  <c r="AP52" i="11"/>
  <c r="AP34" i="11"/>
  <c r="AP39" i="11"/>
  <c r="AP21" i="11"/>
  <c r="AP38" i="11"/>
  <c r="AP58" i="11"/>
  <c r="AP117" i="11"/>
  <c r="AP138" i="11"/>
  <c r="AP24" i="11"/>
  <c r="AP26" i="11"/>
  <c r="AP20" i="11"/>
  <c r="BD21" i="11"/>
  <c r="BD26" i="11"/>
  <c r="BD33" i="11"/>
  <c r="BD44" i="11"/>
  <c r="BD122" i="11"/>
  <c r="BD109" i="11"/>
  <c r="BD92" i="11"/>
  <c r="BD60" i="11"/>
  <c r="BD76" i="11"/>
  <c r="BD41" i="11"/>
  <c r="BD137" i="11"/>
  <c r="BD110" i="11"/>
  <c r="BD124" i="11"/>
  <c r="BD83" i="11"/>
  <c r="BD51" i="11"/>
  <c r="BD35" i="11"/>
  <c r="BD135" i="11"/>
  <c r="BD116" i="11"/>
  <c r="BD80" i="11"/>
  <c r="BD68" i="11"/>
  <c r="BD42" i="11"/>
  <c r="BD27" i="11"/>
  <c r="BD130" i="11"/>
  <c r="BD112" i="11"/>
  <c r="BD101" i="11"/>
  <c r="BD88" i="11"/>
  <c r="BD75" i="11"/>
  <c r="BD62" i="11"/>
  <c r="BD118" i="11"/>
  <c r="BD106" i="11"/>
  <c r="BD86" i="11"/>
  <c r="BD96" i="11"/>
  <c r="BD69" i="11"/>
  <c r="BD53" i="11"/>
  <c r="BD39" i="11"/>
  <c r="BD111" i="11"/>
  <c r="BD97" i="11"/>
  <c r="BD98" i="11"/>
  <c r="BD89" i="11"/>
  <c r="BD105" i="11"/>
  <c r="BD71" i="11"/>
  <c r="BD119" i="11"/>
  <c r="BD114" i="11"/>
  <c r="BD103" i="11"/>
  <c r="BD67" i="11"/>
  <c r="BD56" i="11"/>
  <c r="BD63" i="11"/>
  <c r="BD123" i="11"/>
  <c r="BD90" i="11"/>
  <c r="BD91" i="11"/>
  <c r="BD102" i="11"/>
  <c r="BD47" i="11"/>
  <c r="BD46" i="11"/>
  <c r="BD134" i="11"/>
  <c r="BD131" i="11"/>
  <c r="BD113" i="11"/>
  <c r="BD77" i="11"/>
  <c r="BD93" i="11"/>
  <c r="BD57" i="11"/>
  <c r="BD45" i="11"/>
  <c r="BD126" i="11"/>
  <c r="BD129" i="11"/>
  <c r="BD72" i="11"/>
  <c r="BD70" i="11"/>
  <c r="BD104" i="11"/>
  <c r="BD36" i="11"/>
  <c r="BD55" i="11"/>
  <c r="BD43" i="11"/>
  <c r="BD136" i="11"/>
  <c r="BD132" i="11"/>
  <c r="BD64" i="11"/>
  <c r="BD58" i="11"/>
  <c r="BD121" i="11"/>
  <c r="BD28" i="11"/>
  <c r="BD52" i="11"/>
  <c r="BD128" i="11"/>
  <c r="BD127" i="11"/>
  <c r="BD95" i="11"/>
  <c r="BD50" i="11"/>
  <c r="BD73" i="11"/>
  <c r="BD20" i="11"/>
  <c r="BD65" i="11"/>
  <c r="BD120" i="11"/>
  <c r="BD108" i="11"/>
  <c r="BD138" i="11"/>
  <c r="BD117" i="11"/>
  <c r="BD100" i="11"/>
  <c r="BD82" i="11"/>
  <c r="BD85" i="11"/>
  <c r="BD48" i="11"/>
  <c r="BD94" i="11"/>
  <c r="BD84" i="11"/>
  <c r="BD49" i="11"/>
  <c r="BD24" i="11"/>
  <c r="BD61" i="11"/>
  <c r="BD37" i="11"/>
  <c r="BD54" i="11"/>
  <c r="BD66" i="11"/>
  <c r="BD38" i="11"/>
  <c r="BD30" i="11"/>
  <c r="BD133" i="11"/>
  <c r="BD59" i="11"/>
  <c r="BD125" i="11"/>
  <c r="BD34" i="11"/>
  <c r="BD107" i="11"/>
  <c r="BD99" i="11"/>
  <c r="BD31" i="11"/>
  <c r="BD87" i="11"/>
  <c r="BD32" i="11"/>
  <c r="BD81" i="11"/>
  <c r="BD74" i="11"/>
  <c r="BD115" i="11"/>
  <c r="BD23" i="11"/>
  <c r="BD19" i="11"/>
  <c r="BD40" i="11"/>
  <c r="BD25" i="11"/>
  <c r="BD29" i="11"/>
  <c r="BA335" i="7"/>
  <c r="AQ9" i="10"/>
  <c r="BA9" i="10"/>
  <c r="BB212" i="7"/>
  <c r="BB213" i="7" s="1"/>
  <c r="AJ25" i="15"/>
  <c r="AQ10" i="10"/>
  <c r="AK9" i="8"/>
  <c r="AO4" i="10"/>
  <c r="BA8" i="10"/>
  <c r="AK8" i="8"/>
  <c r="AO3" i="10"/>
  <c r="BB208" i="7"/>
  <c r="BB217" i="7"/>
  <c r="BB240" i="7" s="1"/>
  <c r="AK7" i="8"/>
  <c r="AO2" i="10"/>
  <c r="AJ26" i="15"/>
  <c r="AQ8" i="10"/>
  <c r="BA10" i="10"/>
  <c r="BB222" i="7"/>
  <c r="BB233" i="7" s="1"/>
  <c r="AW4" i="9"/>
  <c r="BA4" i="22"/>
  <c r="AM4" i="9"/>
  <c r="AQ4" i="22"/>
  <c r="BB226" i="7"/>
  <c r="BB227" i="7" s="1"/>
  <c r="AR7" i="20"/>
  <c r="AR5" i="8" s="1"/>
  <c r="BE219" i="22"/>
  <c r="BE217" i="22"/>
  <c r="BE215" i="22"/>
  <c r="BE211" i="22"/>
  <c r="BE209" i="22"/>
  <c r="BE207" i="22"/>
  <c r="BE205" i="22"/>
  <c r="BE203" i="22"/>
  <c r="BE199" i="22"/>
  <c r="BE223" i="22"/>
  <c r="BE227" i="22"/>
  <c r="BA80" i="21" s="1"/>
  <c r="BE220" i="22"/>
  <c r="BE218" i="22"/>
  <c r="BE216" i="22"/>
  <c r="BE212" i="22"/>
  <c r="BE224" i="22"/>
  <c r="BE210" i="22"/>
  <c r="BE197" i="22"/>
  <c r="BE200" i="22"/>
  <c r="BE194" i="22"/>
  <c r="BE192" i="22"/>
  <c r="BE190" i="22"/>
  <c r="BE196" i="22"/>
  <c r="BE208" i="22"/>
  <c r="BE204" i="22"/>
  <c r="BE206" i="22"/>
  <c r="BE193" i="22"/>
  <c r="BE191" i="22"/>
  <c r="BE195" i="22"/>
  <c r="BE183" i="22"/>
  <c r="BE188" i="22"/>
  <c r="BE179" i="22"/>
  <c r="BE175" i="22"/>
  <c r="BE198" i="22"/>
  <c r="BE182" i="22"/>
  <c r="BE181" i="22"/>
  <c r="BE171" i="22"/>
  <c r="BE168" i="22"/>
  <c r="BE184" i="22"/>
  <c r="BE185" i="22"/>
  <c r="BE189" i="22"/>
  <c r="BE178" i="22"/>
  <c r="BE180" i="22"/>
  <c r="BE172" i="22"/>
  <c r="BE170" i="22"/>
  <c r="BE162" i="22"/>
  <c r="BE157" i="22"/>
  <c r="BE153" i="22"/>
  <c r="BE151" i="22"/>
  <c r="BE147" i="22"/>
  <c r="BA65" i="21" s="1"/>
  <c r="BE143" i="22"/>
  <c r="BE139" i="22"/>
  <c r="BE137" i="22"/>
  <c r="BE135" i="22"/>
  <c r="BE169" i="22"/>
  <c r="BE186" i="22"/>
  <c r="BE165" i="22"/>
  <c r="BE174" i="22"/>
  <c r="BE173" i="22"/>
  <c r="BE166" i="22"/>
  <c r="BE163" i="22"/>
  <c r="BE154" i="22"/>
  <c r="BE138" i="22"/>
  <c r="BE164" i="22"/>
  <c r="BE161" i="22"/>
  <c r="BE158" i="22"/>
  <c r="BE152" i="22"/>
  <c r="BE177" i="22"/>
  <c r="BE133" i="22"/>
  <c r="BE129" i="22"/>
  <c r="BE127" i="22"/>
  <c r="BE125" i="22"/>
  <c r="BE142" i="22"/>
  <c r="BE144" i="22"/>
  <c r="BE167" i="22"/>
  <c r="BE187" i="22"/>
  <c r="BE134" i="22"/>
  <c r="BE126" i="22"/>
  <c r="BE123" i="22"/>
  <c r="BE122" i="22"/>
  <c r="BE121" i="22"/>
  <c r="BE150" i="22"/>
  <c r="BE136" i="22"/>
  <c r="BE176" i="22"/>
  <c r="BE120" i="22"/>
  <c r="BE119" i="22"/>
  <c r="BE130" i="22"/>
  <c r="BE128" i="22"/>
  <c r="BE114" i="22"/>
  <c r="BE104" i="22"/>
  <c r="BE117" i="22"/>
  <c r="BE98" i="22"/>
  <c r="BE118" i="22"/>
  <c r="BE116" i="22"/>
  <c r="BE107" i="22"/>
  <c r="BE105" i="22"/>
  <c r="BE101" i="22"/>
  <c r="BE94" i="22"/>
  <c r="BE112" i="22"/>
  <c r="BE115" i="22"/>
  <c r="BE111" i="22"/>
  <c r="BE97" i="22"/>
  <c r="BE102" i="22"/>
  <c r="BE124" i="22"/>
  <c r="BE106" i="22"/>
  <c r="BE93" i="22"/>
  <c r="BE89" i="22"/>
  <c r="BE84" i="22"/>
  <c r="BE80" i="22"/>
  <c r="BE85" i="22"/>
  <c r="BE92" i="22"/>
  <c r="BE100" i="22"/>
  <c r="BE86" i="22"/>
  <c r="BE79" i="22"/>
  <c r="BE95" i="22"/>
  <c r="BE71" i="22"/>
  <c r="BE90" i="22"/>
  <c r="BE87" i="22"/>
  <c r="BE75" i="22"/>
  <c r="BE108" i="22"/>
  <c r="BE99" i="22"/>
  <c r="BE96" i="22"/>
  <c r="BE78" i="22"/>
  <c r="BE88" i="22"/>
  <c r="BE83" i="22"/>
  <c r="BE103" i="22"/>
  <c r="BE66" i="22"/>
  <c r="BE65" i="22"/>
  <c r="BE64" i="22"/>
  <c r="BE63" i="22"/>
  <c r="BE113" i="22"/>
  <c r="BE72" i="22"/>
  <c r="BE91" i="22"/>
  <c r="BE62" i="22"/>
  <c r="BE61" i="22"/>
  <c r="BE56" i="22"/>
  <c r="BE54" i="22"/>
  <c r="BE52" i="22"/>
  <c r="BE50" i="22"/>
  <c r="BE48" i="22"/>
  <c r="BE46" i="22"/>
  <c r="BE44" i="22"/>
  <c r="BE76" i="22"/>
  <c r="BE60" i="22"/>
  <c r="BE59" i="22"/>
  <c r="BE81" i="22"/>
  <c r="BE58" i="22"/>
  <c r="BE82" i="22"/>
  <c r="BE77" i="22"/>
  <c r="BE69" i="22"/>
  <c r="BE57" i="22"/>
  <c r="BE55" i="22"/>
  <c r="BE68" i="22"/>
  <c r="BE67" i="22"/>
  <c r="BE70" i="22"/>
  <c r="BE45" i="22"/>
  <c r="BE42" i="22"/>
  <c r="BE38" i="22"/>
  <c r="BE36" i="22"/>
  <c r="BE34" i="22"/>
  <c r="BE32" i="22"/>
  <c r="BE30" i="22"/>
  <c r="BE28" i="22"/>
  <c r="BE26" i="22"/>
  <c r="BE24" i="22"/>
  <c r="BE22" i="22"/>
  <c r="BE20" i="22"/>
  <c r="BE18" i="22"/>
  <c r="BE41" i="22"/>
  <c r="BE51" i="22"/>
  <c r="BE53" i="22"/>
  <c r="BE40" i="22"/>
  <c r="BE37" i="22"/>
  <c r="BE35" i="22"/>
  <c r="BE33" i="22"/>
  <c r="BE49" i="22"/>
  <c r="BE14" i="22"/>
  <c r="BE12" i="22"/>
  <c r="BE39" i="22"/>
  <c r="BE25" i="22"/>
  <c r="BE10" i="22"/>
  <c r="BE27" i="22"/>
  <c r="BE29" i="22"/>
  <c r="BE9" i="22"/>
  <c r="BE17" i="22"/>
  <c r="BE15" i="22"/>
  <c r="BE16" i="22"/>
  <c r="BE43" i="22"/>
  <c r="BE47" i="22"/>
  <c r="BE19" i="22"/>
  <c r="BE11" i="22"/>
  <c r="BE21" i="22"/>
  <c r="BE13" i="22"/>
  <c r="BE31" i="22"/>
  <c r="BE23" i="22"/>
  <c r="AT49" i="21"/>
  <c r="BA5" i="15"/>
  <c r="BA9" i="15" s="1"/>
  <c r="BG6" i="11" s="1"/>
  <c r="AT55" i="21"/>
  <c r="AT10" i="8"/>
  <c r="AX3" i="8"/>
  <c r="AX3" i="9"/>
  <c r="BB6" i="10" s="1"/>
  <c r="BA344" i="7"/>
  <c r="BA341" i="7"/>
  <c r="BA333" i="7"/>
  <c r="BA342" i="7"/>
  <c r="BA346" i="7"/>
  <c r="BA340" i="7"/>
  <c r="BA327" i="7"/>
  <c r="BA343" i="7"/>
  <c r="BA348" i="7"/>
  <c r="BA334" i="7"/>
  <c r="BA332" i="7"/>
  <c r="BA386" i="7"/>
  <c r="BA329" i="7"/>
  <c r="BA326" i="7"/>
  <c r="BA331" i="7"/>
  <c r="BA132" i="7"/>
  <c r="BA347" i="7"/>
  <c r="BA338" i="7"/>
  <c r="BC25" i="7"/>
  <c r="BB31" i="7"/>
  <c r="BB58" i="7"/>
  <c r="BC68" i="7"/>
  <c r="BC83" i="7" s="1"/>
  <c r="BC98" i="7" s="1"/>
  <c r="BC30" i="7"/>
  <c r="BB42" i="7"/>
  <c r="BC39" i="7"/>
  <c r="BC40" i="7" s="1"/>
  <c r="BB52" i="7"/>
  <c r="BC21" i="7"/>
  <c r="AJ81" i="21"/>
  <c r="AJ12" i="8" s="1"/>
  <c r="AJ13" i="8" s="1"/>
  <c r="BC35" i="7"/>
  <c r="BC36" i="7" s="1"/>
  <c r="BB56" i="7"/>
  <c r="AJ11" i="9"/>
  <c r="AJ12" i="9" s="1"/>
  <c r="AJ27" i="9"/>
  <c r="AJ28" i="9" s="1"/>
  <c r="AN4" i="10" s="1"/>
  <c r="AJ66" i="21"/>
  <c r="AJ68" i="21" s="1"/>
  <c r="BB46" i="7"/>
  <c r="BB65" i="7"/>
  <c r="BB158" i="7"/>
  <c r="BB173" i="7" s="1"/>
  <c r="BB188" i="7" s="1"/>
  <c r="BB43" i="7"/>
  <c r="BB55" i="7"/>
  <c r="BB47" i="7"/>
  <c r="BB48" i="7"/>
  <c r="BB57" i="7"/>
  <c r="AZ11" i="21"/>
  <c r="BB128" i="7"/>
  <c r="BB129" i="7" s="1"/>
  <c r="BB147" i="7" s="1"/>
  <c r="BB114" i="7"/>
  <c r="BB115" i="7" s="1"/>
  <c r="BB153" i="7" s="1"/>
  <c r="BB110" i="7"/>
  <c r="BB51" i="7"/>
  <c r="BB124" i="7"/>
  <c r="BB125" i="7" s="1"/>
  <c r="BB119" i="7"/>
  <c r="BB120" i="7" s="1"/>
  <c r="BD73" i="7"/>
  <c r="BD88" i="7" s="1"/>
  <c r="BB26" i="7"/>
  <c r="AZ71" i="21"/>
  <c r="BA41" i="7"/>
  <c r="BA99" i="7" s="1"/>
  <c r="BC263" i="7"/>
  <c r="BC278" i="7" s="1"/>
  <c r="BC358" i="7"/>
  <c r="BC373" i="7" s="1"/>
  <c r="BC357" i="7"/>
  <c r="BC372" i="7" s="1"/>
  <c r="BC355" i="7"/>
  <c r="BC370" i="7" s="1"/>
  <c r="BC353" i="7"/>
  <c r="BC368" i="7" s="1"/>
  <c r="BC354" i="7"/>
  <c r="BC369" i="7" s="1"/>
  <c r="BC361" i="7"/>
  <c r="BC376" i="7" s="1"/>
  <c r="BC352" i="7"/>
  <c r="BC367" i="7" s="1"/>
  <c r="BC351" i="7"/>
  <c r="BC366" i="7" s="1"/>
  <c r="BC298" i="7"/>
  <c r="BC303" i="7" s="1"/>
  <c r="BC359" i="7"/>
  <c r="BC374" i="7" s="1"/>
  <c r="BC360" i="7"/>
  <c r="BC375" i="7" s="1"/>
  <c r="BC363" i="7"/>
  <c r="BC378" i="7" s="1"/>
  <c r="BC356" i="7"/>
  <c r="BC371" i="7" s="1"/>
  <c r="AY64" i="14"/>
  <c r="AY65" i="14" s="1"/>
  <c r="BB286" i="7"/>
  <c r="BB61" i="7"/>
  <c r="BB36" i="7"/>
  <c r="BB64" i="7"/>
  <c r="BB49" i="7"/>
  <c r="BB63" i="7"/>
  <c r="BB185" i="14"/>
  <c r="BB54" i="7"/>
  <c r="BB214" i="14"/>
  <c r="BB60" i="7"/>
  <c r="BB50" i="7"/>
  <c r="BB53" i="7"/>
  <c r="BB62" i="7"/>
  <c r="BC264" i="7"/>
  <c r="BC279" i="7" s="1"/>
  <c r="BC265" i="7"/>
  <c r="BC280" i="7" s="1"/>
  <c r="BC266" i="7"/>
  <c r="BC281" i="7" s="1"/>
  <c r="BC260" i="7"/>
  <c r="BC275" i="7" s="1"/>
  <c r="BC257" i="7"/>
  <c r="BC272" i="7" s="1"/>
  <c r="BC267" i="7"/>
  <c r="BC282" i="7" s="1"/>
  <c r="BC261" i="7"/>
  <c r="BC276" i="7" s="1"/>
  <c r="BC258" i="7"/>
  <c r="BC273" i="7" s="1"/>
  <c r="BC269" i="7"/>
  <c r="BC284" i="7" s="1"/>
  <c r="BC268" i="7"/>
  <c r="BC283" i="7" s="1"/>
  <c r="AZ79" i="21"/>
  <c r="BC204" i="7"/>
  <c r="BC262" i="7"/>
  <c r="BC277" i="7" s="1"/>
  <c r="AJ61" i="14"/>
  <c r="AJ64" i="14" s="1"/>
  <c r="AJ65" i="14" s="1"/>
  <c r="AZ196" i="14"/>
  <c r="AZ197" i="14" s="1"/>
  <c r="AZ201" i="14" s="1"/>
  <c r="AZ205" i="14" s="1"/>
  <c r="BF12" i="14"/>
  <c r="AZ72" i="21"/>
  <c r="AZ64" i="21"/>
  <c r="BA8" i="21"/>
  <c r="BA34" i="21" s="1"/>
  <c r="AZ62" i="21"/>
  <c r="BA58" i="14"/>
  <c r="BA59" i="14" s="1"/>
  <c r="BA60" i="14" s="1"/>
  <c r="BA62" i="14" s="1"/>
  <c r="BA63" i="14" s="1"/>
  <c r="AZ58" i="14"/>
  <c r="AZ59" i="14" s="1"/>
  <c r="AZ60" i="14" s="1"/>
  <c r="AZ62" i="14" s="1"/>
  <c r="AZ63" i="14" s="1"/>
  <c r="AZ14" i="21"/>
  <c r="AZ20" i="21" s="1"/>
  <c r="AZ17" i="21"/>
  <c r="AZ60" i="21"/>
  <c r="AZ76" i="21"/>
  <c r="BC52" i="14"/>
  <c r="BC53" i="14" s="1"/>
  <c r="AZ78" i="21"/>
  <c r="BA191" i="14"/>
  <c r="AZ77" i="21"/>
  <c r="AZ63" i="21"/>
  <c r="BB54" i="14"/>
  <c r="BB55" i="14" s="1"/>
  <c r="BB56" i="14" s="1"/>
  <c r="BB57" i="14" s="1"/>
  <c r="AZ61" i="21"/>
  <c r="AY199" i="14"/>
  <c r="AY202" i="14" s="1"/>
  <c r="AY206" i="14" s="1"/>
  <c r="AY208" i="14" s="1"/>
  <c r="AJ210" i="14"/>
  <c r="AJ211" i="14" s="1"/>
  <c r="AJ213" i="14" s="1"/>
  <c r="AJ215" i="14" s="1"/>
  <c r="BC184" i="14"/>
  <c r="BC187" i="14" s="1"/>
  <c r="BC188" i="14" s="1"/>
  <c r="AX196" i="14"/>
  <c r="AX197" i="14" s="1"/>
  <c r="BB190" i="14"/>
  <c r="BB189" i="14"/>
  <c r="BA193" i="14"/>
  <c r="BA194" i="14"/>
  <c r="BA195" i="14" s="1"/>
  <c r="AJ28" i="21"/>
  <c r="AJ31" i="21" s="1"/>
  <c r="BE172" i="14"/>
  <c r="BF169" i="14"/>
  <c r="BF11" i="14"/>
  <c r="BE171" i="14"/>
  <c r="BD14" i="14"/>
  <c r="BD25" i="14" s="1"/>
  <c r="BD171" i="14"/>
  <c r="BD184" i="14" s="1"/>
  <c r="BC170" i="14"/>
  <c r="AY73" i="21"/>
  <c r="BA15" i="17"/>
  <c r="BA27" i="13" s="1"/>
  <c r="BD201" i="7"/>
  <c r="BD202" i="7" s="1"/>
  <c r="BD71" i="7"/>
  <c r="BD86" i="7" s="1"/>
  <c r="BD76" i="7"/>
  <c r="BD91" i="7" s="1"/>
  <c r="BD75" i="7"/>
  <c r="BD90" i="7" s="1"/>
  <c r="BD70" i="7"/>
  <c r="BD85" i="7" s="1"/>
  <c r="BD103" i="7"/>
  <c r="BD106" i="7" s="1"/>
  <c r="BD168" i="7" s="1"/>
  <c r="BD183" i="7" s="1"/>
  <c r="BD80" i="7"/>
  <c r="BD95" i="7" s="1"/>
  <c r="BD79" i="7"/>
  <c r="BD94" i="7" s="1"/>
  <c r="BD74" i="7"/>
  <c r="BD89" i="7" s="1"/>
  <c r="BD295" i="7"/>
  <c r="BD296" i="7" s="1"/>
  <c r="BD359" i="7" s="1"/>
  <c r="BD374" i="7" s="1"/>
  <c r="BD17" i="7"/>
  <c r="BD69" i="7"/>
  <c r="BD84" i="7" s="1"/>
  <c r="BD72" i="7"/>
  <c r="BD87" i="7" s="1"/>
  <c r="BD77" i="7"/>
  <c r="BD92" i="7" s="1"/>
  <c r="BD78" i="7"/>
  <c r="BD93" i="7" s="1"/>
  <c r="BF8" i="14"/>
  <c r="BF5" i="14"/>
  <c r="BF172" i="14" s="1"/>
  <c r="BF7" i="14"/>
  <c r="BF174" i="14" s="1"/>
  <c r="BF9" i="14"/>
  <c r="BF6" i="14"/>
  <c r="BF173" i="14" s="1"/>
  <c r="BE17" i="14"/>
  <c r="BE16" i="14"/>
  <c r="BE18" i="14" s="1"/>
  <c r="BE19" i="14" s="1"/>
  <c r="BE21" i="14" s="1"/>
  <c r="BE13" i="7"/>
  <c r="BE14" i="7" s="1"/>
  <c r="BE15" i="7" s="1"/>
  <c r="AW44" i="15"/>
  <c r="AW45" i="15" s="1"/>
  <c r="AW46" i="15" s="1"/>
  <c r="AY66" i="21"/>
  <c r="AY68" i="21" s="1"/>
  <c r="AW4" i="20"/>
  <c r="AW4" i="21"/>
  <c r="AW53" i="21" s="1"/>
  <c r="AW54" i="21" s="1"/>
  <c r="AY81" i="21"/>
  <c r="AY12" i="8" s="1"/>
  <c r="AY13" i="8" s="1"/>
  <c r="BD49" i="14"/>
  <c r="BD50" i="14" s="1"/>
  <c r="BD6" i="24" s="1"/>
  <c r="AX7" i="7"/>
  <c r="AX16" i="13" s="1"/>
  <c r="BB223" i="7"/>
  <c r="BC128" i="7"/>
  <c r="BC129" i="7" s="1"/>
  <c r="BC147" i="7" s="1"/>
  <c r="AX28" i="21"/>
  <c r="AX31" i="21" s="1"/>
  <c r="BC124" i="7"/>
  <c r="BC158" i="7"/>
  <c r="BC173" i="7" s="1"/>
  <c r="BC188" i="7" s="1"/>
  <c r="AS82" i="9"/>
  <c r="BC119" i="7"/>
  <c r="BC120" i="7" s="1"/>
  <c r="AY119" i="14"/>
  <c r="AY136" i="14" s="1"/>
  <c r="AY137" i="14" s="1"/>
  <c r="AX129" i="14"/>
  <c r="AX140" i="14" s="1"/>
  <c r="AX289" i="7" s="1"/>
  <c r="AX13" i="23" s="1"/>
  <c r="AT7" i="20"/>
  <c r="AT5" i="8" s="1"/>
  <c r="AX104" i="14"/>
  <c r="AX115" i="14" s="1"/>
  <c r="AX195" i="7" s="1"/>
  <c r="BB327" i="7"/>
  <c r="BC110" i="7"/>
  <c r="AY144" i="14"/>
  <c r="AY161" i="14" s="1"/>
  <c r="AY162" i="14" s="1"/>
  <c r="AY164" i="14" s="1"/>
  <c r="BC114" i="7"/>
  <c r="BC115" i="7" s="1"/>
  <c r="BC153" i="7" s="1"/>
  <c r="AY20" i="21"/>
  <c r="AY25" i="21" s="1"/>
  <c r="BE47" i="14"/>
  <c r="AX26" i="21"/>
  <c r="AX35" i="21"/>
  <c r="AX36" i="21" s="1"/>
  <c r="AU49" i="21"/>
  <c r="AU51" i="21" s="1"/>
  <c r="AU11" i="8"/>
  <c r="BE42" i="14"/>
  <c r="BE36" i="14"/>
  <c r="AS44" i="8"/>
  <c r="AS47" i="8" s="1"/>
  <c r="AS48" i="8" s="1"/>
  <c r="AS19" i="8"/>
  <c r="AS27" i="8" s="1"/>
  <c r="AS38" i="8" s="1"/>
  <c r="AX136" i="14"/>
  <c r="AX137" i="14" s="1"/>
  <c r="AX138" i="14" s="1"/>
  <c r="AU5" i="20"/>
  <c r="AU86" i="9"/>
  <c r="AU87" i="9" s="1"/>
  <c r="AU88" i="9" s="1"/>
  <c r="AU89" i="9" s="1"/>
  <c r="AV41" i="8"/>
  <c r="AV23" i="13" s="1"/>
  <c r="AV40" i="8"/>
  <c r="AV22" i="13"/>
  <c r="AU74" i="9"/>
  <c r="AU3" i="20" s="1"/>
  <c r="AU80" i="9"/>
  <c r="BD44" i="14"/>
  <c r="BD19" i="13" s="1"/>
  <c r="AR50" i="8"/>
  <c r="AR25" i="13" s="1"/>
  <c r="AZ36" i="9"/>
  <c r="BD7" i="10" s="1"/>
  <c r="AZ33" i="9"/>
  <c r="AZ34" i="9" s="1"/>
  <c r="BD5" i="10" s="1"/>
  <c r="AZ44" i="9"/>
  <c r="AZ45" i="9" s="1"/>
  <c r="AZ55" i="9" s="1"/>
  <c r="AZ17" i="9"/>
  <c r="AZ18" i="9" s="1"/>
  <c r="BD2" i="10" s="1"/>
  <c r="AZ41" i="9"/>
  <c r="AZ42" i="9" s="1"/>
  <c r="AZ50" i="9" s="1"/>
  <c r="AZ38" i="9"/>
  <c r="AZ39" i="9" s="1"/>
  <c r="AZ22" i="9"/>
  <c r="AZ23" i="9" s="1"/>
  <c r="BD3" i="10" s="1"/>
  <c r="AZ27" i="9"/>
  <c r="AZ28" i="9" s="1"/>
  <c r="BD4" i="10" s="1"/>
  <c r="AZ11" i="9"/>
  <c r="AZ12" i="9" s="1"/>
  <c r="AV47" i="9"/>
  <c r="AV51" i="9" s="1"/>
  <c r="AV64" i="9" s="1"/>
  <c r="AT12" i="20"/>
  <c r="AT6" i="8" s="1"/>
  <c r="AY150" i="14"/>
  <c r="AY151" i="14" s="1"/>
  <c r="AY152" i="14" s="1"/>
  <c r="AY157" i="14" s="1"/>
  <c r="AY160" i="14" s="1"/>
  <c r="BA17" i="17"/>
  <c r="BA14" i="17"/>
  <c r="BA28" i="13" s="1"/>
  <c r="AV39" i="21"/>
  <c r="AV46" i="21"/>
  <c r="AV47" i="21" s="1"/>
  <c r="AV48" i="21" s="1"/>
  <c r="AV43" i="21"/>
  <c r="AV53" i="21"/>
  <c r="AV54" i="21" s="1"/>
  <c r="BE48" i="14"/>
  <c r="AV53" i="9"/>
  <c r="AV60" i="9" s="1"/>
  <c r="AV66" i="9" s="1"/>
  <c r="AS89" i="9"/>
  <c r="AX113" i="14"/>
  <c r="BF9" i="7"/>
  <c r="BF12" i="7"/>
  <c r="BF10" i="7"/>
  <c r="AX114" i="14"/>
  <c r="AV62" i="9"/>
  <c r="AV68" i="9" s="1"/>
  <c r="AW36" i="8"/>
  <c r="AW39" i="8" s="1"/>
  <c r="AY11" i="9"/>
  <c r="AY12" i="9" s="1"/>
  <c r="AY22" i="9"/>
  <c r="AY23" i="9" s="1"/>
  <c r="BC3" i="10" s="1"/>
  <c r="AY38" i="9"/>
  <c r="AY39" i="9" s="1"/>
  <c r="AY44" i="9"/>
  <c r="AY45" i="9" s="1"/>
  <c r="AY55" i="9" s="1"/>
  <c r="AY27" i="9"/>
  <c r="AY28" i="9" s="1"/>
  <c r="BC4" i="10" s="1"/>
  <c r="AY33" i="9"/>
  <c r="AY34" i="9" s="1"/>
  <c r="BC5" i="10" s="1"/>
  <c r="AY17" i="9"/>
  <c r="AY18" i="9" s="1"/>
  <c r="BC2" i="10" s="1"/>
  <c r="AY36" i="9"/>
  <c r="BC7" i="10" s="1"/>
  <c r="AY41" i="9"/>
  <c r="AY42" i="9" s="1"/>
  <c r="AY50" i="9" s="1"/>
  <c r="AU71" i="9"/>
  <c r="AU4" i="8"/>
  <c r="BB3" i="21"/>
  <c r="BB7" i="21" s="1"/>
  <c r="BB3" i="15"/>
  <c r="BB5" i="15" s="1"/>
  <c r="BH4" i="11" s="1"/>
  <c r="BB4" i="17"/>
  <c r="BB7" i="17" s="1"/>
  <c r="BB8" i="17" s="1"/>
  <c r="BB9" i="17" s="1"/>
  <c r="BB11" i="17" s="1"/>
  <c r="BB12" i="17" s="1"/>
  <c r="AY125" i="14"/>
  <c r="AY126" i="14" s="1"/>
  <c r="AY127" i="14" s="1"/>
  <c r="AY132" i="14" s="1"/>
  <c r="AY135" i="14" s="1"/>
  <c r="AT81" i="9"/>
  <c r="AT83" i="9" s="1"/>
  <c r="BC28" i="14"/>
  <c r="BC29" i="14" s="1"/>
  <c r="BC30" i="14" s="1"/>
  <c r="BC31" i="14" s="1"/>
  <c r="BC18" i="13" s="1"/>
  <c r="BC4" i="13"/>
  <c r="AU10" i="8"/>
  <c r="AU55" i="21"/>
  <c r="AU57" i="21" s="1"/>
  <c r="AJ138" i="14"/>
  <c r="AJ139" i="14"/>
  <c r="AJ129" i="14"/>
  <c r="AJ140" i="14" s="1"/>
  <c r="AJ107" i="14"/>
  <c r="AJ110" i="14" s="1"/>
  <c r="AJ104" i="14"/>
  <c r="AK82" i="14"/>
  <c r="AK85" i="14" s="1"/>
  <c r="AM125" i="14"/>
  <c r="AM126" i="14" s="1"/>
  <c r="AJ112" i="14"/>
  <c r="AJ113" i="14" s="1"/>
  <c r="AJ90" i="14"/>
  <c r="AJ4" i="7" s="1"/>
  <c r="AJ13" i="13" s="1"/>
  <c r="AJ152" i="14"/>
  <c r="AJ157" i="14" s="1"/>
  <c r="AJ160" i="14" s="1"/>
  <c r="AK35" i="21"/>
  <c r="AK36" i="21" s="1"/>
  <c r="AK59" i="9"/>
  <c r="AK48" i="9"/>
  <c r="AK54" i="9"/>
  <c r="AK57" i="9"/>
  <c r="AK58" i="9"/>
  <c r="AK49" i="9"/>
  <c r="AM44" i="15"/>
  <c r="AM45" i="15" s="1"/>
  <c r="AM4" i="20"/>
  <c r="AM4" i="21"/>
  <c r="AM46" i="21" s="1"/>
  <c r="AM35" i="21"/>
  <c r="AM36" i="21" s="1"/>
  <c r="AM26" i="21"/>
  <c r="AM36" i="8"/>
  <c r="AM39" i="8" s="1"/>
  <c r="AM41" i="8" s="1"/>
  <c r="BE75" i="9"/>
  <c r="BF75" i="9"/>
  <c r="AJ35" i="21" l="1"/>
  <c r="AJ36" i="21" s="1"/>
  <c r="AK4" i="20"/>
  <c r="AY104" i="14"/>
  <c r="AY115" i="14" s="1"/>
  <c r="AZ118" i="14"/>
  <c r="AZ122" i="14" s="1"/>
  <c r="AZ123" i="14" s="1"/>
  <c r="AZ124" i="14" s="1"/>
  <c r="AZ125" i="14" s="1"/>
  <c r="AZ126" i="14" s="1"/>
  <c r="AZ127" i="14" s="1"/>
  <c r="AZ132" i="14" s="1"/>
  <c r="AZ135" i="14" s="1"/>
  <c r="BB238" i="7"/>
  <c r="BB333" i="7"/>
  <c r="AY114" i="14"/>
  <c r="AY113" i="14"/>
  <c r="AM77" i="14"/>
  <c r="AM82" i="14" s="1"/>
  <c r="AM85" i="14" s="1"/>
  <c r="BC48" i="7"/>
  <c r="BA229" i="7"/>
  <c r="BA288" i="7" s="1"/>
  <c r="BA117" i="14" s="1"/>
  <c r="AK79" i="14"/>
  <c r="BB348" i="7"/>
  <c r="AM119" i="14"/>
  <c r="AM136" i="14" s="1"/>
  <c r="AM137" i="14" s="1"/>
  <c r="AM138" i="14" s="1"/>
  <c r="AK44" i="15"/>
  <c r="AK45" i="15" s="1"/>
  <c r="AK46" i="15" s="1"/>
  <c r="AX281" i="23"/>
  <c r="AK4" i="9"/>
  <c r="AK4" i="21"/>
  <c r="AY87" i="14"/>
  <c r="AY88" i="14" s="1"/>
  <c r="AK86" i="14"/>
  <c r="AK87" i="14" s="1"/>
  <c r="AK89" i="14" s="1"/>
  <c r="AM86" i="14"/>
  <c r="AM87" i="14" s="1"/>
  <c r="AM88" i="14" s="1"/>
  <c r="AX87" i="14"/>
  <c r="AX89" i="14" s="1"/>
  <c r="AM93" i="14"/>
  <c r="AM97" i="14" s="1"/>
  <c r="AM98" i="14" s="1"/>
  <c r="AM99" i="14" s="1"/>
  <c r="AM100" i="14" s="1"/>
  <c r="AM101" i="14" s="1"/>
  <c r="AM102" i="14" s="1"/>
  <c r="AM94" i="14"/>
  <c r="AM111" i="14" s="1"/>
  <c r="AM112" i="14" s="1"/>
  <c r="AX4" i="7"/>
  <c r="AX13" i="13" s="1"/>
  <c r="AX100" i="7"/>
  <c r="AX3" i="23" s="1"/>
  <c r="BB325" i="7"/>
  <c r="BB338" i="7"/>
  <c r="AM144" i="14"/>
  <c r="AM147" i="14"/>
  <c r="AM148" i="14" s="1"/>
  <c r="AM149" i="14" s="1"/>
  <c r="AM150" i="14" s="1"/>
  <c r="AM151" i="14" s="1"/>
  <c r="AM152" i="14" s="1"/>
  <c r="AM157" i="14" s="1"/>
  <c r="AM160" i="14" s="1"/>
  <c r="BB326" i="7"/>
  <c r="BF13" i="11"/>
  <c r="BF15" i="11" s="1"/>
  <c r="AZ22" i="15" s="1"/>
  <c r="AZ43" i="15" s="1"/>
  <c r="AK94" i="14"/>
  <c r="AK97" i="14"/>
  <c r="AK98" i="14" s="1"/>
  <c r="AK99" i="14" s="1"/>
  <c r="AK100" i="14" s="1"/>
  <c r="AK101" i="14" s="1"/>
  <c r="AK102" i="14" s="1"/>
  <c r="AK107" i="14" s="1"/>
  <c r="AK110" i="14" s="1"/>
  <c r="BB329" i="7"/>
  <c r="BB330" i="7"/>
  <c r="AK119" i="14"/>
  <c r="AK122" i="14"/>
  <c r="AK123" i="14" s="1"/>
  <c r="AK124" i="14" s="1"/>
  <c r="AK125" i="14" s="1"/>
  <c r="AK126" i="14" s="1"/>
  <c r="AK127" i="14" s="1"/>
  <c r="BB343" i="7"/>
  <c r="BF12" i="11"/>
  <c r="BF14" i="11" s="1"/>
  <c r="AK144" i="14"/>
  <c r="AK154" i="14" s="1"/>
  <c r="AK147" i="14"/>
  <c r="AK148" i="14" s="1"/>
  <c r="AK149" i="14" s="1"/>
  <c r="AK150" i="14" s="1"/>
  <c r="AK151" i="14" s="1"/>
  <c r="AK152" i="14" s="1"/>
  <c r="AK157" i="14" s="1"/>
  <c r="AK160" i="14" s="1"/>
  <c r="BB334" i="7"/>
  <c r="AY79" i="14"/>
  <c r="AY90" i="14" s="1"/>
  <c r="BB337" i="7"/>
  <c r="AY281" i="23"/>
  <c r="BD22" i="7"/>
  <c r="BB342" i="7"/>
  <c r="BB386" i="7"/>
  <c r="BB347" i="7"/>
  <c r="BC209" i="7"/>
  <c r="BB332" i="7"/>
  <c r="BB241" i="7"/>
  <c r="BB331" i="7"/>
  <c r="BB335" i="7"/>
  <c r="BB346" i="7"/>
  <c r="BB341" i="7"/>
  <c r="BB340" i="7"/>
  <c r="BB336" i="7"/>
  <c r="BB344" i="7"/>
  <c r="BB247" i="7"/>
  <c r="BD265" i="7"/>
  <c r="BD280" i="7" s="1"/>
  <c r="BA67" i="14"/>
  <c r="BA68" i="14" s="1"/>
  <c r="BA72" i="14" s="1"/>
  <c r="BA73" i="14" s="1"/>
  <c r="BA74" i="14" s="1"/>
  <c r="BA75" i="14" s="1"/>
  <c r="BA76" i="14" s="1"/>
  <c r="BA77" i="14" s="1"/>
  <c r="BA82" i="14" s="1"/>
  <c r="BA85" i="14" s="1"/>
  <c r="AZ68" i="14"/>
  <c r="AZ72" i="14" s="1"/>
  <c r="AZ73" i="14" s="1"/>
  <c r="AZ74" i="14" s="1"/>
  <c r="BE73" i="7"/>
  <c r="BE88" i="7" s="1"/>
  <c r="BD20" i="13"/>
  <c r="BD11" i="7"/>
  <c r="BG3" i="22"/>
  <c r="BI3" i="11"/>
  <c r="AJ33" i="9"/>
  <c r="AJ34" i="9" s="1"/>
  <c r="AN5" i="10" s="1"/>
  <c r="AZ144" i="14"/>
  <c r="AZ161" i="14" s="1"/>
  <c r="AZ162" i="14" s="1"/>
  <c r="AZ164" i="14" s="1"/>
  <c r="AJ38" i="9"/>
  <c r="AJ39" i="9" s="1"/>
  <c r="AJ48" i="9" s="1"/>
  <c r="AJ17" i="9"/>
  <c r="AJ18" i="9" s="1"/>
  <c r="AN2" i="10" s="1"/>
  <c r="AN201" i="10" s="1"/>
  <c r="AJ36" i="9"/>
  <c r="AN7" i="10" s="1"/>
  <c r="AN6" i="10"/>
  <c r="BA31" i="15"/>
  <c r="BA32" i="15" s="1"/>
  <c r="BA33" i="15" s="1"/>
  <c r="BA34" i="15" s="1"/>
  <c r="AZ94" i="14"/>
  <c r="AZ104" i="14" s="1"/>
  <c r="AZ115" i="14" s="1"/>
  <c r="AJ22" i="9"/>
  <c r="AJ23" i="9" s="1"/>
  <c r="AN3" i="10" s="1"/>
  <c r="AJ44" i="9"/>
  <c r="AJ45" i="9" s="1"/>
  <c r="AJ55" i="9" s="1"/>
  <c r="AK36" i="8"/>
  <c r="AK39" i="8" s="1"/>
  <c r="AK41" i="8" s="1"/>
  <c r="BB244" i="7"/>
  <c r="BB231" i="7"/>
  <c r="BB242" i="7"/>
  <c r="BB133" i="7"/>
  <c r="BB236" i="7"/>
  <c r="BC217" i="7"/>
  <c r="BC254" i="7" s="1"/>
  <c r="BD171" i="7"/>
  <c r="BD186" i="7" s="1"/>
  <c r="BD159" i="7"/>
  <c r="BD174" i="7" s="1"/>
  <c r="BD108" i="7"/>
  <c r="BD111" i="7" s="1"/>
  <c r="BC51" i="7"/>
  <c r="BC46" i="7"/>
  <c r="BC26" i="7"/>
  <c r="BB235" i="7"/>
  <c r="BB234" i="7"/>
  <c r="BB249" i="7"/>
  <c r="BC65" i="7"/>
  <c r="BB252" i="7"/>
  <c r="BC52" i="7"/>
  <c r="BC61" i="7"/>
  <c r="BC55" i="7"/>
  <c r="BC58" i="7"/>
  <c r="BB250" i="7"/>
  <c r="BC44" i="7"/>
  <c r="BB253" i="7"/>
  <c r="BC66" i="7"/>
  <c r="BB243" i="7"/>
  <c r="BB245" i="7"/>
  <c r="BB239" i="7"/>
  <c r="BB232" i="7"/>
  <c r="BB230" i="7"/>
  <c r="BB251" i="7"/>
  <c r="BB246" i="7"/>
  <c r="BB254" i="7"/>
  <c r="BC31" i="7"/>
  <c r="BB218" i="7"/>
  <c r="BB138" i="7"/>
  <c r="BB237" i="7"/>
  <c r="AO183" i="10"/>
  <c r="BA10" i="13"/>
  <c r="BA3" i="8" s="1"/>
  <c r="BA131" i="7"/>
  <c r="BA194" i="7" s="1"/>
  <c r="BA92" i="14" s="1"/>
  <c r="BA93" i="14" s="1"/>
  <c r="BA97" i="14" s="1"/>
  <c r="BA98" i="14" s="1"/>
  <c r="BA99" i="14" s="1"/>
  <c r="BA100" i="14" s="1"/>
  <c r="BA101" i="14" s="1"/>
  <c r="BA102" i="14" s="1"/>
  <c r="BA107" i="14" s="1"/>
  <c r="BA110" i="14" s="1"/>
  <c r="BA14" i="21"/>
  <c r="BA20" i="21" s="1"/>
  <c r="BA28" i="21" s="1"/>
  <c r="BA11" i="21"/>
  <c r="BC316" i="7"/>
  <c r="BC317" i="7" s="1"/>
  <c r="BC328" i="7" s="1"/>
  <c r="BD161" i="7"/>
  <c r="BD176" i="7" s="1"/>
  <c r="BC47" i="7"/>
  <c r="AO56" i="10"/>
  <c r="AO26" i="10"/>
  <c r="AO59" i="10"/>
  <c r="BC57" i="7"/>
  <c r="BC43" i="7"/>
  <c r="BC42" i="7"/>
  <c r="BC59" i="7"/>
  <c r="AP13" i="11"/>
  <c r="AP15" i="11" s="1"/>
  <c r="AJ22" i="15" s="1"/>
  <c r="AJ43" i="15" s="1"/>
  <c r="AJ44" i="15" s="1"/>
  <c r="AJ45" i="15" s="1"/>
  <c r="AJ46" i="15" s="1"/>
  <c r="BA17" i="15"/>
  <c r="BG10" i="11" s="1"/>
  <c r="BG4" i="11"/>
  <c r="BD166" i="7"/>
  <c r="BD181" i="7" s="1"/>
  <c r="BD162" i="7"/>
  <c r="BD177" i="7" s="1"/>
  <c r="AO127" i="10"/>
  <c r="BD170" i="7"/>
  <c r="BD185" i="7" s="1"/>
  <c r="BD13" i="11"/>
  <c r="BD15" i="11" s="1"/>
  <c r="AX22" i="15" s="1"/>
  <c r="AX43" i="15" s="1"/>
  <c r="BB4" i="22" s="1"/>
  <c r="BD169" i="7"/>
  <c r="BD184" i="7" s="1"/>
  <c r="BD167" i="7"/>
  <c r="BD182" i="7" s="1"/>
  <c r="BA29" i="15"/>
  <c r="BA37" i="15" s="1"/>
  <c r="BA38" i="15" s="1"/>
  <c r="BA39" i="15" s="1"/>
  <c r="AO96" i="10"/>
  <c r="BD12" i="11"/>
  <c r="BD14" i="11" s="1"/>
  <c r="AX21" i="15" s="1"/>
  <c r="AX5" i="9" s="1"/>
  <c r="BD160" i="7"/>
  <c r="BD175" i="7" s="1"/>
  <c r="BA15" i="15"/>
  <c r="BG9" i="11" s="1"/>
  <c r="BD165" i="7"/>
  <c r="BD180" i="7" s="1"/>
  <c r="AT43" i="8"/>
  <c r="BA7" i="15"/>
  <c r="BG5" i="11" s="1"/>
  <c r="AP12" i="11"/>
  <c r="AP14" i="11" s="1"/>
  <c r="AJ21" i="15" s="1"/>
  <c r="AJ5" i="9" s="1"/>
  <c r="BD164" i="7"/>
  <c r="BD179" i="7" s="1"/>
  <c r="BA17" i="21"/>
  <c r="BA11" i="15"/>
  <c r="BG7" i="11" s="1"/>
  <c r="BA13" i="15"/>
  <c r="BG8" i="11" s="1"/>
  <c r="AO72" i="10"/>
  <c r="BD163" i="7"/>
  <c r="BD178" i="7" s="1"/>
  <c r="BB248" i="7"/>
  <c r="BA19" i="15"/>
  <c r="BG11" i="11" s="1"/>
  <c r="AO53" i="10"/>
  <c r="AO35" i="10"/>
  <c r="AO139" i="10"/>
  <c r="AO48" i="10"/>
  <c r="AO187" i="10"/>
  <c r="AO39" i="10"/>
  <c r="BC20" i="10"/>
  <c r="BC45" i="10"/>
  <c r="BC23" i="10"/>
  <c r="BC28" i="10"/>
  <c r="BC172" i="10"/>
  <c r="BC150" i="10"/>
  <c r="BC153" i="10"/>
  <c r="BC49" i="10"/>
  <c r="BC199" i="10"/>
  <c r="BC175" i="10"/>
  <c r="BC180" i="10"/>
  <c r="BC128" i="10"/>
  <c r="BC114" i="10"/>
  <c r="BC147" i="10"/>
  <c r="BC138" i="10"/>
  <c r="BC120" i="10"/>
  <c r="BC90" i="10"/>
  <c r="BC95" i="10"/>
  <c r="BC64" i="10"/>
  <c r="BC188" i="10"/>
  <c r="BC198" i="10"/>
  <c r="BC176" i="10"/>
  <c r="BC174" i="10"/>
  <c r="BC131" i="10"/>
  <c r="BC97" i="10"/>
  <c r="BC36" i="10"/>
  <c r="BC56" i="10"/>
  <c r="BC123" i="10"/>
  <c r="BC96" i="10"/>
  <c r="BC35" i="10"/>
  <c r="BC191" i="10"/>
  <c r="BC170" i="10"/>
  <c r="BC127" i="10"/>
  <c r="BC105" i="10"/>
  <c r="BC103" i="10"/>
  <c r="BC186" i="10"/>
  <c r="BC195" i="10"/>
  <c r="BC185" i="10"/>
  <c r="BC163" i="10"/>
  <c r="BC134" i="10"/>
  <c r="BC61" i="10"/>
  <c r="BC101" i="10"/>
  <c r="BC187" i="10"/>
  <c r="BC184" i="10"/>
  <c r="BC165" i="10"/>
  <c r="BC139" i="10"/>
  <c r="BC94" i="10"/>
  <c r="BC50" i="10"/>
  <c r="BC200" i="10"/>
  <c r="BC152" i="10"/>
  <c r="BC47" i="10"/>
  <c r="BC58" i="10"/>
  <c r="BC53" i="10"/>
  <c r="BC129" i="10"/>
  <c r="BC132" i="10"/>
  <c r="BC39" i="10"/>
  <c r="BC57" i="10"/>
  <c r="BC38" i="10"/>
  <c r="BC162" i="10"/>
  <c r="BC155" i="10"/>
  <c r="BC72" i="10"/>
  <c r="BC25" i="10"/>
  <c r="BC183" i="10"/>
  <c r="BC125" i="10"/>
  <c r="BC99" i="10"/>
  <c r="BC71" i="10"/>
  <c r="BC166" i="10"/>
  <c r="BC126" i="10"/>
  <c r="BC68" i="10"/>
  <c r="BC59" i="10"/>
  <c r="BC193" i="10"/>
  <c r="BC177" i="10"/>
  <c r="BC119" i="10"/>
  <c r="BC93" i="10"/>
  <c r="BC73" i="10"/>
  <c r="BC60" i="10"/>
  <c r="BC122" i="10"/>
  <c r="BC104" i="10"/>
  <c r="BC66" i="10"/>
  <c r="BC48" i="10"/>
  <c r="AO122" i="10"/>
  <c r="AO95" i="10"/>
  <c r="AO94" i="10"/>
  <c r="AO68" i="10"/>
  <c r="AO104" i="10"/>
  <c r="BC18" i="10"/>
  <c r="BC16" i="10"/>
  <c r="BC24" i="10"/>
  <c r="BC22" i="10"/>
  <c r="BC178" i="10"/>
  <c r="BC164" i="10"/>
  <c r="BC143" i="10"/>
  <c r="BC133" i="10"/>
  <c r="BC196" i="10"/>
  <c r="BC151" i="10"/>
  <c r="BC201" i="10"/>
  <c r="BC144" i="10"/>
  <c r="BC116" i="10"/>
  <c r="BC113" i="10"/>
  <c r="BC87" i="10"/>
  <c r="BC33" i="10"/>
  <c r="BC42" i="10"/>
  <c r="BC110" i="10"/>
  <c r="BC111" i="10"/>
  <c r="BC81" i="10"/>
  <c r="BC41" i="10"/>
  <c r="BC27" i="10"/>
  <c r="BC40" i="10"/>
  <c r="BC148" i="10"/>
  <c r="BC194" i="10"/>
  <c r="BC146" i="10"/>
  <c r="BC19" i="10"/>
  <c r="BC31" i="10"/>
  <c r="BC154" i="10"/>
  <c r="BC112" i="10"/>
  <c r="BC89" i="10"/>
  <c r="BC62" i="10"/>
  <c r="BC137" i="10"/>
  <c r="BC190" i="10"/>
  <c r="BC168" i="10"/>
  <c r="BC179" i="10"/>
  <c r="BC130" i="10"/>
  <c r="BC106" i="10"/>
  <c r="BC80" i="10"/>
  <c r="BC54" i="10"/>
  <c r="BC21" i="10"/>
  <c r="BC182" i="10"/>
  <c r="BC115" i="10"/>
  <c r="BC69" i="10"/>
  <c r="BC51" i="10"/>
  <c r="BC34" i="10"/>
  <c r="BC107" i="10"/>
  <c r="BC102" i="10"/>
  <c r="BC67" i="10"/>
  <c r="BC32" i="10"/>
  <c r="BC30" i="10"/>
  <c r="BC160" i="10"/>
  <c r="BC98" i="10"/>
  <c r="BC55" i="10"/>
  <c r="BC65" i="10"/>
  <c r="BC83" i="10"/>
  <c r="BC181" i="10"/>
  <c r="BC145" i="10"/>
  <c r="BC136" i="10"/>
  <c r="BC124" i="10"/>
  <c r="BC86" i="10"/>
  <c r="BC192" i="10"/>
  <c r="BC159" i="10"/>
  <c r="BC135" i="10"/>
  <c r="BC109" i="10"/>
  <c r="BC85" i="10"/>
  <c r="BC121" i="10"/>
  <c r="BC197" i="10"/>
  <c r="BC173" i="10"/>
  <c r="BC157" i="10"/>
  <c r="BC108" i="10"/>
  <c r="BC82" i="10"/>
  <c r="BC37" i="10"/>
  <c r="BC91" i="10"/>
  <c r="BC189" i="10"/>
  <c r="BC158" i="10"/>
  <c r="BC100" i="10"/>
  <c r="BC74" i="10"/>
  <c r="BC17" i="10"/>
  <c r="BC29" i="10"/>
  <c r="BC70" i="10"/>
  <c r="BC202" i="10"/>
  <c r="BC169" i="10"/>
  <c r="BC117" i="10"/>
  <c r="BC92" i="10"/>
  <c r="BC63" i="10"/>
  <c r="BC44" i="10"/>
  <c r="BC167" i="10"/>
  <c r="BC149" i="10"/>
  <c r="BC84" i="10"/>
  <c r="BC75" i="10"/>
  <c r="BC52" i="10"/>
  <c r="BC171" i="10"/>
  <c r="BC156" i="10"/>
  <c r="BC161" i="10"/>
  <c r="BC118" i="10"/>
  <c r="BC88" i="10"/>
  <c r="BC46" i="10"/>
  <c r="AO134" i="10"/>
  <c r="AO99" i="10"/>
  <c r="AO126" i="10"/>
  <c r="AO129" i="10"/>
  <c r="AO185" i="10"/>
  <c r="AO184" i="10"/>
  <c r="AO43" i="10"/>
  <c r="AO186" i="10"/>
  <c r="AO195" i="10"/>
  <c r="AO60" i="10"/>
  <c r="AR43" i="8"/>
  <c r="AR44" i="8"/>
  <c r="AR19" i="8"/>
  <c r="AR27" i="8" s="1"/>
  <c r="AR38" i="8" s="1"/>
  <c r="AO57" i="10"/>
  <c r="AO38" i="10"/>
  <c r="AO200" i="10"/>
  <c r="AO61" i="10"/>
  <c r="AO58" i="10"/>
  <c r="AO125" i="10"/>
  <c r="AO49" i="10"/>
  <c r="AO36" i="10"/>
  <c r="AO163" i="10"/>
  <c r="AO138" i="10"/>
  <c r="AO132" i="10"/>
  <c r="AO73" i="10"/>
  <c r="AO97" i="10"/>
  <c r="AO191" i="10"/>
  <c r="BC26" i="10"/>
  <c r="BC56" i="7"/>
  <c r="AO153" i="10"/>
  <c r="AO162" i="10"/>
  <c r="AO103" i="10"/>
  <c r="AO166" i="10"/>
  <c r="AO64" i="10"/>
  <c r="BD28" i="10"/>
  <c r="BD181" i="10"/>
  <c r="BD130" i="10"/>
  <c r="BD106" i="10"/>
  <c r="BD69" i="10"/>
  <c r="BD80" i="10"/>
  <c r="BD54" i="10"/>
  <c r="BD202" i="10"/>
  <c r="BD169" i="10"/>
  <c r="BD167" i="10"/>
  <c r="BD160" i="10"/>
  <c r="BD46" i="10"/>
  <c r="BD194" i="10"/>
  <c r="BD102" i="10"/>
  <c r="BD98" i="10"/>
  <c r="BD51" i="10"/>
  <c r="BD115" i="10"/>
  <c r="BD124" i="10"/>
  <c r="BD86" i="10"/>
  <c r="BD55" i="10"/>
  <c r="BD34" i="10"/>
  <c r="BD161" i="10"/>
  <c r="BD143" i="10"/>
  <c r="BD107" i="10"/>
  <c r="BD157" i="10"/>
  <c r="BD85" i="10"/>
  <c r="BD67" i="10"/>
  <c r="BD32" i="10"/>
  <c r="BD136" i="10"/>
  <c r="BD109" i="10"/>
  <c r="BD82" i="10"/>
  <c r="BD65" i="10"/>
  <c r="BD24" i="10"/>
  <c r="BD171" i="10"/>
  <c r="BD158" i="10"/>
  <c r="BD133" i="10"/>
  <c r="BD108" i="10"/>
  <c r="BD201" i="10"/>
  <c r="BD135" i="10"/>
  <c r="BD100" i="10"/>
  <c r="BD63" i="10"/>
  <c r="BD74" i="10"/>
  <c r="BD196" i="10"/>
  <c r="BD151" i="10"/>
  <c r="BD182" i="10"/>
  <c r="BD92" i="10"/>
  <c r="BD83" i="10"/>
  <c r="BD37" i="10"/>
  <c r="BD190" i="10"/>
  <c r="BD145" i="10"/>
  <c r="BD156" i="10"/>
  <c r="BD117" i="10"/>
  <c r="BD84" i="10"/>
  <c r="BD91" i="10"/>
  <c r="BD75" i="10"/>
  <c r="BD29" i="10"/>
  <c r="BD179" i="10"/>
  <c r="BD178" i="10"/>
  <c r="BD148" i="10"/>
  <c r="BD137" i="10"/>
  <c r="BD121" i="10"/>
  <c r="BD110" i="10"/>
  <c r="BD88" i="10"/>
  <c r="BD70" i="10"/>
  <c r="BD52" i="10"/>
  <c r="BD44" i="10"/>
  <c r="BD168" i="10"/>
  <c r="BD118" i="10"/>
  <c r="BD87" i="10"/>
  <c r="BD192" i="10"/>
  <c r="BD144" i="10"/>
  <c r="BD116" i="10"/>
  <c r="BD113" i="10"/>
  <c r="BD81" i="10"/>
  <c r="BD154" i="10"/>
  <c r="BD111" i="10"/>
  <c r="BD41" i="10"/>
  <c r="BD30" i="10"/>
  <c r="BD197" i="10"/>
  <c r="BD173" i="10"/>
  <c r="BD149" i="10"/>
  <c r="BD146" i="10"/>
  <c r="BD89" i="10"/>
  <c r="BD22" i="10"/>
  <c r="BD189" i="10"/>
  <c r="BD164" i="10"/>
  <c r="BD159" i="10"/>
  <c r="BD112" i="10"/>
  <c r="BD62" i="10"/>
  <c r="BD31" i="10"/>
  <c r="BD40" i="10"/>
  <c r="BD16" i="10"/>
  <c r="BD27" i="10"/>
  <c r="BD21" i="10"/>
  <c r="BD19" i="10"/>
  <c r="BD42" i="10"/>
  <c r="BD33" i="10"/>
  <c r="BD18" i="10"/>
  <c r="BD17" i="10"/>
  <c r="AO174" i="10"/>
  <c r="AO170" i="10"/>
  <c r="AO119" i="10"/>
  <c r="AO155" i="10"/>
  <c r="AO66" i="10"/>
  <c r="AO199" i="10"/>
  <c r="AO45" i="10"/>
  <c r="AO71" i="10"/>
  <c r="AO114" i="10"/>
  <c r="AO123" i="10"/>
  <c r="AO47" i="10"/>
  <c r="AO188" i="10"/>
  <c r="AO101" i="10"/>
  <c r="BD183" i="10"/>
  <c r="BD166" i="10"/>
  <c r="BD176" i="10"/>
  <c r="BD48" i="10"/>
  <c r="BD127" i="10"/>
  <c r="BD105" i="10"/>
  <c r="BD61" i="10"/>
  <c r="BD103" i="10"/>
  <c r="BD36" i="10"/>
  <c r="BD191" i="10"/>
  <c r="BD172" i="10"/>
  <c r="BD123" i="10"/>
  <c r="BD134" i="10"/>
  <c r="BD101" i="10"/>
  <c r="BD35" i="10"/>
  <c r="BD199" i="10"/>
  <c r="BD177" i="10"/>
  <c r="BD150" i="10"/>
  <c r="BD94" i="10"/>
  <c r="BD90" i="10"/>
  <c r="BD193" i="10"/>
  <c r="BD139" i="10"/>
  <c r="BD47" i="10"/>
  <c r="BD186" i="10"/>
  <c r="BD170" i="10"/>
  <c r="BD129" i="10"/>
  <c r="BD152" i="10"/>
  <c r="BD39" i="10"/>
  <c r="BD174" i="10"/>
  <c r="BD132" i="10"/>
  <c r="BD71" i="10"/>
  <c r="BD72" i="10"/>
  <c r="BD58" i="10"/>
  <c r="BD53" i="10"/>
  <c r="BD180" i="10"/>
  <c r="BD138" i="10"/>
  <c r="BD99" i="10"/>
  <c r="BD57" i="10"/>
  <c r="BD38" i="10"/>
  <c r="BD195" i="10"/>
  <c r="BD125" i="10"/>
  <c r="BD126" i="10"/>
  <c r="BD93" i="10"/>
  <c r="BD68" i="10"/>
  <c r="BD187" i="10"/>
  <c r="BD119" i="10"/>
  <c r="BD59" i="10"/>
  <c r="BD198" i="10"/>
  <c r="BD200" i="10"/>
  <c r="BD175" i="10"/>
  <c r="BD153" i="10"/>
  <c r="BD122" i="10"/>
  <c r="BD104" i="10"/>
  <c r="BD66" i="10"/>
  <c r="BD45" i="10"/>
  <c r="BD26" i="10"/>
  <c r="BD162" i="10"/>
  <c r="BD147" i="10"/>
  <c r="BD188" i="10"/>
  <c r="BD49" i="10"/>
  <c r="BD43" i="10"/>
  <c r="BD60" i="10"/>
  <c r="BD23" i="10"/>
  <c r="BD184" i="10"/>
  <c r="BD155" i="10"/>
  <c r="BD165" i="10"/>
  <c r="BD128" i="10"/>
  <c r="BD114" i="10"/>
  <c r="BD95" i="10"/>
  <c r="BD56" i="10"/>
  <c r="BD163" i="10"/>
  <c r="BD120" i="10"/>
  <c r="BD97" i="10"/>
  <c r="BD64" i="10"/>
  <c r="BD185" i="10"/>
  <c r="BD131" i="10"/>
  <c r="BD96" i="10"/>
  <c r="BD73" i="10"/>
  <c r="BD50" i="10"/>
  <c r="BD20" i="10"/>
  <c r="BD25" i="10"/>
  <c r="BA323" i="7"/>
  <c r="BA388" i="7" s="1"/>
  <c r="BA142" i="14" s="1"/>
  <c r="BA143" i="14" s="1"/>
  <c r="BA147" i="14" s="1"/>
  <c r="BA148" i="14" s="1"/>
  <c r="BA149" i="14" s="1"/>
  <c r="BA150" i="14" s="1"/>
  <c r="BA151" i="14" s="1"/>
  <c r="BA152" i="14" s="1"/>
  <c r="BA157" i="14" s="1"/>
  <c r="BA160" i="14" s="1"/>
  <c r="AO17" i="10"/>
  <c r="AO18" i="10"/>
  <c r="AO135" i="10"/>
  <c r="AO113" i="10"/>
  <c r="AO75" i="10"/>
  <c r="AO42" i="10"/>
  <c r="AO168" i="10"/>
  <c r="AO158" i="10"/>
  <c r="AO133" i="10"/>
  <c r="AO111" i="10"/>
  <c r="AO62" i="10"/>
  <c r="AO40" i="10"/>
  <c r="AO182" i="10"/>
  <c r="AO149" i="10"/>
  <c r="AO136" i="10"/>
  <c r="AO106" i="10"/>
  <c r="AO88" i="10"/>
  <c r="AO52" i="10"/>
  <c r="AO173" i="10"/>
  <c r="AO87" i="10"/>
  <c r="AO44" i="10"/>
  <c r="AO29" i="10"/>
  <c r="AO201" i="10"/>
  <c r="AO130" i="10"/>
  <c r="AO121" i="10"/>
  <c r="AO81" i="10"/>
  <c r="AO70" i="10"/>
  <c r="AO196" i="10"/>
  <c r="AO178" i="10"/>
  <c r="AO144" i="10"/>
  <c r="AO89" i="10"/>
  <c r="AO118" i="10"/>
  <c r="AO83" i="10"/>
  <c r="AO33" i="10"/>
  <c r="AO137" i="10"/>
  <c r="AO146" i="10"/>
  <c r="AO116" i="10"/>
  <c r="AO80" i="10"/>
  <c r="AO54" i="10"/>
  <c r="AO30" i="10"/>
  <c r="AO179" i="10"/>
  <c r="AO171" i="10"/>
  <c r="AO157" i="10"/>
  <c r="AO46" i="10"/>
  <c r="AO22" i="10"/>
  <c r="AO160" i="10"/>
  <c r="AO148" i="10"/>
  <c r="AO151" i="10"/>
  <c r="AO109" i="10"/>
  <c r="AO82" i="10"/>
  <c r="AO192" i="10"/>
  <c r="AO164" i="10"/>
  <c r="AO117" i="10"/>
  <c r="AO98" i="10"/>
  <c r="AO69" i="10"/>
  <c r="AO197" i="10"/>
  <c r="AO112" i="10"/>
  <c r="AO110" i="10"/>
  <c r="AO100" i="10"/>
  <c r="AO67" i="10"/>
  <c r="AO21" i="10"/>
  <c r="AO189" i="10"/>
  <c r="AO190" i="10"/>
  <c r="AO169" i="10"/>
  <c r="AO154" i="10"/>
  <c r="AO124" i="10"/>
  <c r="AO92" i="10"/>
  <c r="AO65" i="10"/>
  <c r="AO37" i="10"/>
  <c r="AO202" i="10"/>
  <c r="AO161" i="10"/>
  <c r="AO143" i="10"/>
  <c r="AO91" i="10"/>
  <c r="AO86" i="10"/>
  <c r="AO51" i="10"/>
  <c r="AO32" i="10"/>
  <c r="AO194" i="10"/>
  <c r="AO159" i="10"/>
  <c r="AO167" i="10"/>
  <c r="AO85" i="10"/>
  <c r="AO107" i="10"/>
  <c r="AO63" i="10"/>
  <c r="AO24" i="10"/>
  <c r="AO156" i="10"/>
  <c r="AO84" i="10"/>
  <c r="AO102" i="10"/>
  <c r="AO16" i="10"/>
  <c r="AO181" i="10"/>
  <c r="AO145" i="10"/>
  <c r="AO115" i="10"/>
  <c r="AO74" i="10"/>
  <c r="AO108" i="10"/>
  <c r="AO55" i="10"/>
  <c r="AO34" i="10"/>
  <c r="AO19" i="10"/>
  <c r="AO41" i="10"/>
  <c r="AO27" i="10"/>
  <c r="AO31" i="10"/>
  <c r="AO28" i="10"/>
  <c r="AO128" i="10"/>
  <c r="AO93" i="10"/>
  <c r="AO50" i="10"/>
  <c r="AO105" i="10"/>
  <c r="AO198" i="10"/>
  <c r="AO25" i="10"/>
  <c r="AO180" i="10"/>
  <c r="AO150" i="10"/>
  <c r="AO147" i="10"/>
  <c r="AO131" i="10"/>
  <c r="AO176" i="10"/>
  <c r="BD39" i="7"/>
  <c r="BD40" i="7" s="1"/>
  <c r="AN137" i="10"/>
  <c r="AO23" i="10"/>
  <c r="AO90" i="10"/>
  <c r="AO120" i="10"/>
  <c r="AO177" i="10"/>
  <c r="AO152" i="10"/>
  <c r="BC43" i="10"/>
  <c r="AO20" i="10"/>
  <c r="AO172" i="10"/>
  <c r="AO165" i="10"/>
  <c r="AO193" i="10"/>
  <c r="AO175" i="10"/>
  <c r="BF219" i="22"/>
  <c r="BF217" i="22"/>
  <c r="BF215" i="22"/>
  <c r="BF211" i="22"/>
  <c r="BF209" i="22"/>
  <c r="BF223" i="22"/>
  <c r="BF227" i="22"/>
  <c r="BB80" i="21" s="1"/>
  <c r="BF197" i="22"/>
  <c r="BF200" i="22"/>
  <c r="BF194" i="22"/>
  <c r="BF192" i="22"/>
  <c r="BF190" i="22"/>
  <c r="BF188" i="22"/>
  <c r="BF186" i="22"/>
  <c r="BF212" i="22"/>
  <c r="BF203" i="22"/>
  <c r="BF220" i="22"/>
  <c r="BF196" i="22"/>
  <c r="BF208" i="22"/>
  <c r="BF204" i="22"/>
  <c r="BF216" i="22"/>
  <c r="BF224" i="22"/>
  <c r="BF205" i="22"/>
  <c r="BF210" i="22"/>
  <c r="BF207" i="22"/>
  <c r="BF193" i="22"/>
  <c r="BF191" i="22"/>
  <c r="BF206" i="22"/>
  <c r="BF195" i="22"/>
  <c r="BF183" i="22"/>
  <c r="BF181" i="22"/>
  <c r="BF187" i="22"/>
  <c r="BF199" i="22"/>
  <c r="BF189" i="22"/>
  <c r="BF179" i="22"/>
  <c r="BF218" i="22"/>
  <c r="BF175" i="22"/>
  <c r="BF172" i="22"/>
  <c r="BF198" i="22"/>
  <c r="BF184" i="22"/>
  <c r="BF173" i="22"/>
  <c r="BF178" i="22"/>
  <c r="BF176" i="22"/>
  <c r="BF169" i="22"/>
  <c r="BF165" i="22"/>
  <c r="BF174" i="22"/>
  <c r="BF168" i="22"/>
  <c r="BF180" i="22"/>
  <c r="BF166" i="22"/>
  <c r="BF163" i="22"/>
  <c r="BF182" i="22"/>
  <c r="BF177" i="22"/>
  <c r="BF164" i="22"/>
  <c r="BF171" i="22"/>
  <c r="BF185" i="22"/>
  <c r="BF161" i="22"/>
  <c r="BF158" i="22"/>
  <c r="BF143" i="22"/>
  <c r="BF152" i="22"/>
  <c r="BF133" i="22"/>
  <c r="BF129" i="22"/>
  <c r="BF127" i="22"/>
  <c r="BF125" i="22"/>
  <c r="BF123" i="22"/>
  <c r="BF151" i="22"/>
  <c r="BF142" i="22"/>
  <c r="BF157" i="22"/>
  <c r="BF136" i="22"/>
  <c r="BF167" i="22"/>
  <c r="BF154" i="22"/>
  <c r="BF137" i="22"/>
  <c r="BF138" i="22"/>
  <c r="BF134" i="22"/>
  <c r="BF170" i="22"/>
  <c r="BF126" i="22"/>
  <c r="BF139" i="22"/>
  <c r="BF144" i="22"/>
  <c r="BF122" i="22"/>
  <c r="BF121" i="22"/>
  <c r="BF150" i="22"/>
  <c r="BF113" i="22"/>
  <c r="BF111" i="22"/>
  <c r="BF107" i="22"/>
  <c r="BF153" i="22"/>
  <c r="BF147" i="22"/>
  <c r="BB65" i="21" s="1"/>
  <c r="BF120" i="22"/>
  <c r="BF119" i="22"/>
  <c r="BF135" i="22"/>
  <c r="BF118" i="22"/>
  <c r="BF117" i="22"/>
  <c r="BF162" i="22"/>
  <c r="BF124" i="22"/>
  <c r="BF108" i="22"/>
  <c r="BF95" i="22"/>
  <c r="BF92" i="22"/>
  <c r="BF90" i="22"/>
  <c r="BF88" i="22"/>
  <c r="BF86" i="22"/>
  <c r="BF84" i="22"/>
  <c r="BF82" i="22"/>
  <c r="BF80" i="22"/>
  <c r="BF78" i="22"/>
  <c r="BF76" i="22"/>
  <c r="BF98" i="22"/>
  <c r="BF130" i="22"/>
  <c r="BF116" i="22"/>
  <c r="BF105" i="22"/>
  <c r="BF101" i="22"/>
  <c r="BF94" i="22"/>
  <c r="BF112" i="22"/>
  <c r="BF115" i="22"/>
  <c r="BF103" i="22"/>
  <c r="BF100" i="22"/>
  <c r="BF128" i="22"/>
  <c r="BF96" i="22"/>
  <c r="BF99" i="22"/>
  <c r="BF102" i="22"/>
  <c r="BF104" i="22"/>
  <c r="BF85" i="22"/>
  <c r="BF114" i="22"/>
  <c r="BF79" i="22"/>
  <c r="BF87" i="22"/>
  <c r="BF75" i="22"/>
  <c r="BF91" i="22"/>
  <c r="BF89" i="22"/>
  <c r="BF66" i="22"/>
  <c r="BF65" i="22"/>
  <c r="BF83" i="22"/>
  <c r="BF64" i="22"/>
  <c r="BF63" i="22"/>
  <c r="BF72" i="22"/>
  <c r="BF71" i="22"/>
  <c r="BF62" i="22"/>
  <c r="BF61" i="22"/>
  <c r="BF56" i="22"/>
  <c r="BF54" i="22"/>
  <c r="BF52" i="22"/>
  <c r="BF50" i="22"/>
  <c r="BF48" i="22"/>
  <c r="BF46" i="22"/>
  <c r="BF60" i="22"/>
  <c r="BF59" i="22"/>
  <c r="BF81" i="22"/>
  <c r="BF58" i="22"/>
  <c r="BF106" i="22"/>
  <c r="BF70" i="22"/>
  <c r="BF67" i="22"/>
  <c r="BF97" i="22"/>
  <c r="BF93" i="22"/>
  <c r="BF57" i="22"/>
  <c r="BF41" i="22"/>
  <c r="BF69" i="22"/>
  <c r="BF51" i="22"/>
  <c r="BF53" i="22"/>
  <c r="BF40" i="22"/>
  <c r="BF77" i="22"/>
  <c r="BF44" i="22"/>
  <c r="BF47" i="22"/>
  <c r="BF43" i="22"/>
  <c r="BF55" i="22"/>
  <c r="BF39" i="22"/>
  <c r="BF45" i="22"/>
  <c r="BF42" i="22"/>
  <c r="BF49" i="22"/>
  <c r="BF10" i="22"/>
  <c r="BF12" i="22"/>
  <c r="BF25" i="22"/>
  <c r="BF14" i="22"/>
  <c r="BF31" i="22"/>
  <c r="BF23" i="22"/>
  <c r="BF27" i="22"/>
  <c r="BF29" i="22"/>
  <c r="BF22" i="22"/>
  <c r="BF32" i="22"/>
  <c r="BF26" i="22"/>
  <c r="BF20" i="22"/>
  <c r="BF17" i="22"/>
  <c r="BF9" i="22"/>
  <c r="BF33" i="22"/>
  <c r="BF35" i="22"/>
  <c r="BF28" i="22"/>
  <c r="BF16" i="22"/>
  <c r="BF24" i="22"/>
  <c r="BF34" i="22"/>
  <c r="BF68" i="22"/>
  <c r="BF36" i="22"/>
  <c r="BF18" i="22"/>
  <c r="BF37" i="22"/>
  <c r="BF30" i="22"/>
  <c r="BF21" i="22"/>
  <c r="BF13" i="22"/>
  <c r="BF11" i="22"/>
  <c r="BF15" i="22"/>
  <c r="BF38" i="22"/>
  <c r="BF19" i="22"/>
  <c r="AT51" i="21"/>
  <c r="AT50" i="21"/>
  <c r="AT56" i="21"/>
  <c r="AT57" i="21"/>
  <c r="AX38" i="9"/>
  <c r="AX39" i="9" s="1"/>
  <c r="AX17" i="9"/>
  <c r="AX18" i="9" s="1"/>
  <c r="BB2" i="10" s="1"/>
  <c r="AX41" i="9"/>
  <c r="AX42" i="9" s="1"/>
  <c r="AX50" i="9" s="1"/>
  <c r="AX27" i="9"/>
  <c r="AX28" i="9" s="1"/>
  <c r="BB4" i="10" s="1"/>
  <c r="AX36" i="9"/>
  <c r="BB7" i="10" s="1"/>
  <c r="AX22" i="9"/>
  <c r="AX23" i="9" s="1"/>
  <c r="BB3" i="10" s="1"/>
  <c r="AX11" i="9"/>
  <c r="AX12" i="9" s="1"/>
  <c r="AX44" i="9"/>
  <c r="AX45" i="9" s="1"/>
  <c r="AX55" i="9" s="1"/>
  <c r="AX33" i="9"/>
  <c r="AX34" i="9" s="1"/>
  <c r="BB5" i="10" s="1"/>
  <c r="BC60" i="7"/>
  <c r="BC63" i="7"/>
  <c r="BC49" i="7"/>
  <c r="BD355" i="7"/>
  <c r="BD370" i="7" s="1"/>
  <c r="BC50" i="7"/>
  <c r="BD354" i="7"/>
  <c r="BD369" i="7" s="1"/>
  <c r="BD353" i="7"/>
  <c r="BD368" i="7" s="1"/>
  <c r="BC62" i="7"/>
  <c r="BD352" i="7"/>
  <c r="BD367" i="7" s="1"/>
  <c r="BD351" i="7"/>
  <c r="BD366" i="7" s="1"/>
  <c r="BD363" i="7"/>
  <c r="BD378" i="7" s="1"/>
  <c r="BC64" i="7"/>
  <c r="BD361" i="7"/>
  <c r="BD376" i="7" s="1"/>
  <c r="BD298" i="7"/>
  <c r="BD303" i="7" s="1"/>
  <c r="BD356" i="7"/>
  <c r="BD371" i="7" s="1"/>
  <c r="BD360" i="7"/>
  <c r="BD375" i="7" s="1"/>
  <c r="BD358" i="7"/>
  <c r="BD373" i="7" s="1"/>
  <c r="BC45" i="7"/>
  <c r="BD357" i="7"/>
  <c r="BD372" i="7" s="1"/>
  <c r="BC54" i="7"/>
  <c r="BC53" i="7"/>
  <c r="AJ8" i="8"/>
  <c r="AJ9" i="8"/>
  <c r="AJ54" i="9"/>
  <c r="AJ58" i="9"/>
  <c r="AJ59" i="9"/>
  <c r="BB145" i="7"/>
  <c r="BC302" i="7"/>
  <c r="BB143" i="7"/>
  <c r="BC222" i="7"/>
  <c r="BC350" i="7"/>
  <c r="BC365" i="7" s="1"/>
  <c r="BC380" i="7" s="1"/>
  <c r="BC226" i="7"/>
  <c r="BC244" i="7" s="1"/>
  <c r="BC208" i="7"/>
  <c r="BC256" i="7"/>
  <c r="BC271" i="7" s="1"/>
  <c r="BC286" i="7" s="1"/>
  <c r="BC311" i="7"/>
  <c r="BC312" i="7" s="1"/>
  <c r="BC333" i="7" s="1"/>
  <c r="BB144" i="7"/>
  <c r="BB136" i="7"/>
  <c r="BD21" i="7"/>
  <c r="BC306" i="7"/>
  <c r="BC307" i="7" s="1"/>
  <c r="BC345" i="7" s="1"/>
  <c r="BC320" i="7"/>
  <c r="BC321" i="7" s="1"/>
  <c r="BC339" i="7" s="1"/>
  <c r="AZ25" i="21"/>
  <c r="AZ35" i="21" s="1"/>
  <c r="AZ36" i="21" s="1"/>
  <c r="BC212" i="7"/>
  <c r="BC213" i="7" s="1"/>
  <c r="BB146" i="7"/>
  <c r="BD30" i="7"/>
  <c r="BB132" i="7"/>
  <c r="BB151" i="7"/>
  <c r="BB139" i="7"/>
  <c r="BD267" i="7"/>
  <c r="BD282" i="7" s="1"/>
  <c r="BD263" i="7"/>
  <c r="BD278" i="7" s="1"/>
  <c r="BE295" i="7"/>
  <c r="BE296" i="7" s="1"/>
  <c r="BE356" i="7" s="1"/>
  <c r="BE371" i="7" s="1"/>
  <c r="BE70" i="7"/>
  <c r="BE85" i="7" s="1"/>
  <c r="BE78" i="7"/>
  <c r="BE93" i="7" s="1"/>
  <c r="BB140" i="7"/>
  <c r="BE74" i="7"/>
  <c r="BE89" i="7" s="1"/>
  <c r="BD268" i="7"/>
  <c r="BD283" i="7" s="1"/>
  <c r="BB41" i="7"/>
  <c r="BB99" i="7" s="1"/>
  <c r="BB149" i="7"/>
  <c r="BE103" i="7"/>
  <c r="BE106" i="7" s="1"/>
  <c r="BE167" i="7" s="1"/>
  <c r="BE182" i="7" s="1"/>
  <c r="BD35" i="7"/>
  <c r="BD45" i="7" s="1"/>
  <c r="BE72" i="7"/>
  <c r="BE87" i="7" s="1"/>
  <c r="BB134" i="7"/>
  <c r="BD25" i="7"/>
  <c r="BB150" i="7"/>
  <c r="BB155" i="7"/>
  <c r="BE80" i="7"/>
  <c r="BE95" i="7" s="1"/>
  <c r="BD259" i="7"/>
  <c r="BD274" i="7" s="1"/>
  <c r="BE75" i="7"/>
  <c r="BE90" i="7" s="1"/>
  <c r="BD257" i="7"/>
  <c r="BD272" i="7" s="1"/>
  <c r="BB156" i="7"/>
  <c r="BE71" i="7"/>
  <c r="BE86" i="7" s="1"/>
  <c r="BD266" i="7"/>
  <c r="BD281" i="7" s="1"/>
  <c r="BB148" i="7"/>
  <c r="BE81" i="7"/>
  <c r="BE96" i="7" s="1"/>
  <c r="BD261" i="7"/>
  <c r="BD276" i="7" s="1"/>
  <c r="BE76" i="7"/>
  <c r="BE91" i="7" s="1"/>
  <c r="BD204" i="7"/>
  <c r="BB192" i="7"/>
  <c r="BB135" i="7"/>
  <c r="BE79" i="7"/>
  <c r="BE94" i="7" s="1"/>
  <c r="BD260" i="7"/>
  <c r="BD275" i="7" s="1"/>
  <c r="BB141" i="7"/>
  <c r="BD258" i="7"/>
  <c r="BD273" i="7" s="1"/>
  <c r="BD264" i="7"/>
  <c r="BD279" i="7" s="1"/>
  <c r="BD269" i="7"/>
  <c r="BD284" i="7" s="1"/>
  <c r="BB152" i="7"/>
  <c r="BE17" i="7"/>
  <c r="BD262" i="7"/>
  <c r="BD277" i="7" s="1"/>
  <c r="BB142" i="7"/>
  <c r="BB137" i="7"/>
  <c r="BB154" i="7"/>
  <c r="BE77" i="7"/>
  <c r="BE92" i="7" s="1"/>
  <c r="AZ73" i="21"/>
  <c r="BA79" i="21"/>
  <c r="BE201" i="7"/>
  <c r="BE202" i="7" s="1"/>
  <c r="BE69" i="7"/>
  <c r="BE84" i="7" s="1"/>
  <c r="BD68" i="7"/>
  <c r="BD83" i="7" s="1"/>
  <c r="BD98" i="7" s="1"/>
  <c r="BC185" i="14"/>
  <c r="AZ199" i="14"/>
  <c r="AZ202" i="14" s="1"/>
  <c r="AZ206" i="14" s="1"/>
  <c r="AZ208" i="14" s="1"/>
  <c r="BD362" i="7"/>
  <c r="BD377" i="7" s="1"/>
  <c r="AZ81" i="21"/>
  <c r="AZ12" i="8" s="1"/>
  <c r="AZ13" i="8" s="1"/>
  <c r="BC214" i="14"/>
  <c r="AZ66" i="21"/>
  <c r="AZ68" i="21" s="1"/>
  <c r="BA61" i="14"/>
  <c r="BA64" i="14" s="1"/>
  <c r="BA65" i="14" s="1"/>
  <c r="BA61" i="21"/>
  <c r="BA78" i="21"/>
  <c r="BA63" i="21"/>
  <c r="BA60" i="21"/>
  <c r="BA76" i="21"/>
  <c r="BA71" i="21"/>
  <c r="BA72" i="21"/>
  <c r="BA64" i="21"/>
  <c r="BA77" i="21"/>
  <c r="BA62" i="21"/>
  <c r="AZ61" i="14"/>
  <c r="AZ64" i="14" s="1"/>
  <c r="AZ65" i="14" s="1"/>
  <c r="BC54" i="14"/>
  <c r="BC55" i="14" s="1"/>
  <c r="BC56" i="14" s="1"/>
  <c r="BC57" i="14" s="1"/>
  <c r="BD52" i="14"/>
  <c r="BD53" i="14" s="1"/>
  <c r="BB58" i="14"/>
  <c r="BB59" i="14" s="1"/>
  <c r="BB60" i="14" s="1"/>
  <c r="BB62" i="14" s="1"/>
  <c r="BB63" i="14" s="1"/>
  <c r="BD187" i="14"/>
  <c r="BD188" i="14" s="1"/>
  <c r="BD189" i="14" s="1"/>
  <c r="BD214" i="14"/>
  <c r="AX199" i="14"/>
  <c r="AX202" i="14" s="1"/>
  <c r="AX206" i="14" s="1"/>
  <c r="AX201" i="14"/>
  <c r="AX205" i="14" s="1"/>
  <c r="BC190" i="14"/>
  <c r="BC189" i="14"/>
  <c r="BB192" i="14"/>
  <c r="BB191" i="14"/>
  <c r="AY210" i="14"/>
  <c r="AY211" i="14" s="1"/>
  <c r="AY213" i="14" s="1"/>
  <c r="AY215" i="14" s="1"/>
  <c r="BA196" i="14"/>
  <c r="BA197" i="14" s="1"/>
  <c r="AX6" i="7"/>
  <c r="AX15" i="13" s="1"/>
  <c r="BF176" i="14"/>
  <c r="BF179" i="14" s="1"/>
  <c r="BF181" i="14" s="1"/>
  <c r="BF178" i="14"/>
  <c r="BF177" i="14"/>
  <c r="BE177" i="14"/>
  <c r="BE176" i="14"/>
  <c r="BE179" i="14" s="1"/>
  <c r="BE181" i="14" s="1"/>
  <c r="BE184" i="14" s="1"/>
  <c r="BE178" i="14"/>
  <c r="BF10" i="14"/>
  <c r="BE14" i="14"/>
  <c r="BE25" i="14" s="1"/>
  <c r="BD170" i="14"/>
  <c r="BD185" i="14" s="1"/>
  <c r="BF17" i="14"/>
  <c r="BF16" i="14"/>
  <c r="BF18" i="14" s="1"/>
  <c r="BF19" i="14" s="1"/>
  <c r="BF21" i="14" s="1"/>
  <c r="AW39" i="21"/>
  <c r="AY21" i="15"/>
  <c r="AY5" i="9" s="1"/>
  <c r="AY22" i="15"/>
  <c r="AY43" i="15" s="1"/>
  <c r="AW46" i="21"/>
  <c r="AW47" i="21" s="1"/>
  <c r="AW48" i="21" s="1"/>
  <c r="AW11" i="8" s="1"/>
  <c r="AW43" i="21"/>
  <c r="BF13" i="7"/>
  <c r="BF14" i="7" s="1"/>
  <c r="BF15" i="7" s="1"/>
  <c r="BC133" i="7"/>
  <c r="BC138" i="7"/>
  <c r="BC230" i="7"/>
  <c r="BE44" i="14"/>
  <c r="BE19" i="13" s="1"/>
  <c r="AZ21" i="15"/>
  <c r="AZ5" i="9" s="1"/>
  <c r="AW62" i="9"/>
  <c r="AW68" i="9" s="1"/>
  <c r="AW4" i="8" s="1"/>
  <c r="BC146" i="7"/>
  <c r="BC139" i="7"/>
  <c r="AY28" i="21"/>
  <c r="AY31" i="21" s="1"/>
  <c r="BC136" i="7"/>
  <c r="BC125" i="7"/>
  <c r="BC192" i="7" s="1"/>
  <c r="BC144" i="7"/>
  <c r="BC143" i="7"/>
  <c r="BC152" i="7"/>
  <c r="BC135" i="7"/>
  <c r="BC148" i="7"/>
  <c r="BC150" i="7"/>
  <c r="BC154" i="7"/>
  <c r="BC132" i="7"/>
  <c r="BC140" i="7"/>
  <c r="BC145" i="7"/>
  <c r="AY139" i="14"/>
  <c r="BC141" i="7"/>
  <c r="BC151" i="7"/>
  <c r="BC156" i="7"/>
  <c r="BC149" i="7"/>
  <c r="BC137" i="7"/>
  <c r="BC155" i="7"/>
  <c r="BC142" i="7"/>
  <c r="BC134" i="7"/>
  <c r="AT82" i="9"/>
  <c r="AX5" i="7"/>
  <c r="AX14" i="13" s="1"/>
  <c r="AY195" i="7"/>
  <c r="AY5" i="7"/>
  <c r="AY14" i="13" s="1"/>
  <c r="AY154" i="14"/>
  <c r="AY165" i="14" s="1"/>
  <c r="AY389" i="7" s="1"/>
  <c r="AY163" i="14"/>
  <c r="AY138" i="14"/>
  <c r="AU7" i="20"/>
  <c r="AU5" i="8" s="1"/>
  <c r="AU43" i="8" s="1"/>
  <c r="AU50" i="21"/>
  <c r="BD28" i="14"/>
  <c r="BD29" i="14" s="1"/>
  <c r="BD30" i="14" s="1"/>
  <c r="BD31" i="14" s="1"/>
  <c r="BD18" i="13" s="1"/>
  <c r="BD4" i="13"/>
  <c r="AY48" i="9"/>
  <c r="AY57" i="9"/>
  <c r="AY56" i="9"/>
  <c r="AY8" i="8"/>
  <c r="AW47" i="9"/>
  <c r="AW51" i="9" s="1"/>
  <c r="AW64" i="9" s="1"/>
  <c r="AY54" i="9"/>
  <c r="AY58" i="9"/>
  <c r="AY49" i="9"/>
  <c r="AY59" i="9"/>
  <c r="AT19" i="8"/>
  <c r="AT27" i="8" s="1"/>
  <c r="AT38" i="8" s="1"/>
  <c r="AT44" i="8"/>
  <c r="AU81" i="9"/>
  <c r="AU82" i="9" s="1"/>
  <c r="AV80" i="9"/>
  <c r="AV74" i="9"/>
  <c r="AV3" i="20" s="1"/>
  <c r="BB11" i="15"/>
  <c r="BH7" i="11" s="1"/>
  <c r="BB15" i="15"/>
  <c r="BH9" i="11" s="1"/>
  <c r="BB19" i="15"/>
  <c r="BH11" i="11" s="1"/>
  <c r="BB31" i="15"/>
  <c r="BB29" i="15"/>
  <c r="BB37" i="15" s="1"/>
  <c r="BB9" i="15"/>
  <c r="BH6" i="11" s="1"/>
  <c r="BB13" i="15"/>
  <c r="BH8" i="11" s="1"/>
  <c r="BB17" i="15"/>
  <c r="BH10" i="11" s="1"/>
  <c r="BB7" i="15"/>
  <c r="BH5" i="11" s="1"/>
  <c r="BB10" i="13"/>
  <c r="AW41" i="8"/>
  <c r="AW23" i="13" s="1"/>
  <c r="AW22" i="13"/>
  <c r="AW40" i="8"/>
  <c r="AS24" i="13"/>
  <c r="AS50" i="8"/>
  <c r="AS25" i="13" s="1"/>
  <c r="BB8" i="21"/>
  <c r="BB15" i="17"/>
  <c r="BB27" i="13" s="1"/>
  <c r="AY129" i="14"/>
  <c r="AY140" i="14" s="1"/>
  <c r="AZ49" i="9"/>
  <c r="AZ54" i="9"/>
  <c r="AZ58" i="9"/>
  <c r="AZ59" i="9"/>
  <c r="AZ9" i="8"/>
  <c r="AV10" i="8"/>
  <c r="AV55" i="21"/>
  <c r="AV56" i="21" s="1"/>
  <c r="AV5" i="20"/>
  <c r="AV86" i="9"/>
  <c r="AZ8" i="8"/>
  <c r="AY26" i="21"/>
  <c r="AY35" i="21"/>
  <c r="AY36" i="21" s="1"/>
  <c r="AU12" i="20"/>
  <c r="AU6" i="8" s="1"/>
  <c r="AZ28" i="21"/>
  <c r="AZ31" i="21" s="1"/>
  <c r="AU56" i="21"/>
  <c r="BF36" i="14"/>
  <c r="BF42" i="14"/>
  <c r="AV11" i="8"/>
  <c r="AV49" i="21"/>
  <c r="AV51" i="21" s="1"/>
  <c r="AZ48" i="9"/>
  <c r="AZ56" i="9"/>
  <c r="AZ57" i="9"/>
  <c r="AY7" i="8"/>
  <c r="AV4" i="8"/>
  <c r="AV71" i="9"/>
  <c r="BF47" i="14"/>
  <c r="AZ7" i="8"/>
  <c r="BE49" i="14"/>
  <c r="BE50" i="14" s="1"/>
  <c r="BE6" i="24" s="1"/>
  <c r="BC3" i="21"/>
  <c r="BC7" i="21" s="1"/>
  <c r="BC3" i="15"/>
  <c r="BC5" i="15" s="1"/>
  <c r="BI4" i="11" s="1"/>
  <c r="BC4" i="17"/>
  <c r="BC7" i="17" s="1"/>
  <c r="BC8" i="17" s="1"/>
  <c r="BC9" i="17" s="1"/>
  <c r="BC11" i="17" s="1"/>
  <c r="BC12" i="17" s="1"/>
  <c r="AY9" i="8"/>
  <c r="BF48" i="14"/>
  <c r="AW55" i="21"/>
  <c r="AW57" i="21" s="1"/>
  <c r="AW10" i="8"/>
  <c r="AX139" i="14"/>
  <c r="AW53" i="9"/>
  <c r="AW60" i="9" s="1"/>
  <c r="AW66" i="9" s="1"/>
  <c r="AK23" i="13"/>
  <c r="AM23" i="13"/>
  <c r="AJ100" i="7"/>
  <c r="AJ3" i="23" s="1"/>
  <c r="AM107" i="14"/>
  <c r="AM110" i="14" s="1"/>
  <c r="AM139" i="14"/>
  <c r="AK132" i="14"/>
  <c r="AK135" i="14" s="1"/>
  <c r="AK129" i="14"/>
  <c r="AM127" i="14"/>
  <c r="AM132" i="14" s="1"/>
  <c r="AM135" i="14" s="1"/>
  <c r="AM114" i="14"/>
  <c r="AJ114" i="14"/>
  <c r="AJ6" i="7"/>
  <c r="AJ15" i="13" s="1"/>
  <c r="AJ289" i="7"/>
  <c r="AJ13" i="23" s="1"/>
  <c r="AJ154" i="14"/>
  <c r="AJ165" i="14" s="1"/>
  <c r="AJ115" i="14"/>
  <c r="AM40" i="8"/>
  <c r="AM22" i="13"/>
  <c r="AM53" i="21"/>
  <c r="AM54" i="21" s="1"/>
  <c r="AM10" i="8" s="1"/>
  <c r="AM43" i="21"/>
  <c r="AM39" i="21"/>
  <c r="AM46" i="15"/>
  <c r="AM62" i="9"/>
  <c r="AM68" i="9" s="1"/>
  <c r="AM4" i="8" s="1"/>
  <c r="AM47" i="21"/>
  <c r="AM48" i="21" s="1"/>
  <c r="AM49" i="21" s="1"/>
  <c r="AM51" i="21" s="1"/>
  <c r="AM53" i="9"/>
  <c r="AM60" i="9" s="1"/>
  <c r="AM66" i="9" s="1"/>
  <c r="AM47" i="9"/>
  <c r="AM51" i="9" s="1"/>
  <c r="AM64" i="9" s="1"/>
  <c r="AK46" i="21"/>
  <c r="AK47" i="21" s="1"/>
  <c r="AK48" i="21" s="1"/>
  <c r="AK43" i="21"/>
  <c r="AK53" i="21"/>
  <c r="AK54" i="21" s="1"/>
  <c r="AK39" i="21"/>
  <c r="BG75" i="9"/>
  <c r="AM79" i="14" l="1"/>
  <c r="AN202" i="10"/>
  <c r="AN197" i="10"/>
  <c r="AN159" i="10"/>
  <c r="AN118" i="10"/>
  <c r="AK40" i="8"/>
  <c r="AK22" i="13"/>
  <c r="BA118" i="14"/>
  <c r="BA122" i="14" s="1"/>
  <c r="BA123" i="14" s="1"/>
  <c r="BA124" i="14" s="1"/>
  <c r="BA125" i="14" s="1"/>
  <c r="BA126" i="14" s="1"/>
  <c r="BA127" i="14" s="1"/>
  <c r="BA132" i="14" s="1"/>
  <c r="BA135" i="14" s="1"/>
  <c r="BA119" i="14"/>
  <c r="BA129" i="14" s="1"/>
  <c r="BA140" i="14" s="1"/>
  <c r="BA6" i="7" s="1"/>
  <c r="BA15" i="13" s="1"/>
  <c r="AZ279" i="23"/>
  <c r="AZ119" i="14"/>
  <c r="BA69" i="14"/>
  <c r="BA86" i="14" s="1"/>
  <c r="BA87" i="14" s="1"/>
  <c r="BA88" i="14" s="1"/>
  <c r="AX88" i="14"/>
  <c r="AZ111" i="14"/>
  <c r="AZ112" i="14" s="1"/>
  <c r="AZ114" i="14" s="1"/>
  <c r="AK88" i="14"/>
  <c r="AK90" i="14" s="1"/>
  <c r="AK4" i="7" s="1"/>
  <c r="AK13" i="13" s="1"/>
  <c r="AM104" i="14"/>
  <c r="AN124" i="10"/>
  <c r="AM154" i="14"/>
  <c r="AM113" i="14"/>
  <c r="BD43" i="7"/>
  <c r="AN30" i="10"/>
  <c r="BC232" i="7"/>
  <c r="AN110" i="10"/>
  <c r="AN108" i="10"/>
  <c r="AN46" i="10"/>
  <c r="AN145" i="10"/>
  <c r="AN133" i="10"/>
  <c r="AN74" i="10"/>
  <c r="AN55" i="10"/>
  <c r="AN115" i="10"/>
  <c r="AN67" i="10"/>
  <c r="AN135" i="10"/>
  <c r="AN86" i="10"/>
  <c r="AN117" i="10"/>
  <c r="AN89" i="10"/>
  <c r="AJ7" i="8"/>
  <c r="AN161" i="10"/>
  <c r="AN106" i="10"/>
  <c r="AN173" i="10"/>
  <c r="AN81" i="10"/>
  <c r="AN182" i="10"/>
  <c r="AN113" i="10"/>
  <c r="AN65" i="10"/>
  <c r="AJ57" i="9"/>
  <c r="AN181" i="10"/>
  <c r="AN69" i="10"/>
  <c r="AN190" i="10"/>
  <c r="AN100" i="10"/>
  <c r="AN171" i="10"/>
  <c r="AN144" i="10"/>
  <c r="AN80" i="10"/>
  <c r="BC240" i="7"/>
  <c r="AN85" i="10"/>
  <c r="AN109" i="10"/>
  <c r="AN179" i="10"/>
  <c r="AN157" i="10"/>
  <c r="AN24" i="10"/>
  <c r="AN194" i="10"/>
  <c r="AN168" i="10"/>
  <c r="AN27" i="10"/>
  <c r="AN91" i="10"/>
  <c r="AN136" i="10"/>
  <c r="AN70" i="10"/>
  <c r="AN196" i="10"/>
  <c r="AN75" i="10"/>
  <c r="AN17" i="10"/>
  <c r="AN92" i="10"/>
  <c r="AN146" i="10"/>
  <c r="AN18" i="10"/>
  <c r="AN178" i="10"/>
  <c r="AN167" i="10"/>
  <c r="AN33" i="10"/>
  <c r="AN42" i="10"/>
  <c r="AN87" i="10"/>
  <c r="AN21" i="10"/>
  <c r="BD124" i="7"/>
  <c r="AN31" i="10"/>
  <c r="AN189" i="10"/>
  <c r="AN154" i="10"/>
  <c r="AN54" i="10"/>
  <c r="AN62" i="10"/>
  <c r="AN156" i="10"/>
  <c r="AN44" i="10"/>
  <c r="BD110" i="7"/>
  <c r="BC238" i="7"/>
  <c r="BD128" i="7"/>
  <c r="BD129" i="7" s="1"/>
  <c r="BD147" i="7" s="1"/>
  <c r="AN19" i="10"/>
  <c r="AN51" i="10"/>
  <c r="AN192" i="10"/>
  <c r="AN116" i="10"/>
  <c r="AN63" i="10"/>
  <c r="AN169" i="10"/>
  <c r="BD114" i="7"/>
  <c r="BD115" i="7" s="1"/>
  <c r="BD153" i="7" s="1"/>
  <c r="AJ56" i="9"/>
  <c r="AN16" i="10"/>
  <c r="AN98" i="10"/>
  <c r="AN22" i="10"/>
  <c r="AN84" i="10"/>
  <c r="AN121" i="10"/>
  <c r="AN32" i="10"/>
  <c r="AN52" i="10"/>
  <c r="AN40" i="10"/>
  <c r="BD119" i="7"/>
  <c r="BD120" i="7" s="1"/>
  <c r="BD135" i="7" s="1"/>
  <c r="AN102" i="10"/>
  <c r="AN82" i="10"/>
  <c r="AN149" i="10"/>
  <c r="AN112" i="10"/>
  <c r="AN151" i="10"/>
  <c r="AN34" i="10"/>
  <c r="BD158" i="7"/>
  <c r="BD173" i="7" s="1"/>
  <c r="BD188" i="7" s="1"/>
  <c r="AN107" i="10"/>
  <c r="AN130" i="10"/>
  <c r="AN83" i="10"/>
  <c r="AN29" i="10"/>
  <c r="AN143" i="10"/>
  <c r="AN111" i="10"/>
  <c r="AY89" i="14"/>
  <c r="AN37" i="10"/>
  <c r="BC218" i="7"/>
  <c r="AN88" i="10"/>
  <c r="AJ49" i="9"/>
  <c r="AN160" i="10"/>
  <c r="AN164" i="10"/>
  <c r="AN158" i="10"/>
  <c r="AN41" i="10"/>
  <c r="AN148" i="10"/>
  <c r="AN129" i="10"/>
  <c r="AK111" i="14"/>
  <c r="AK112" i="14" s="1"/>
  <c r="AK114" i="14" s="1"/>
  <c r="AK161" i="14"/>
  <c r="AK162" i="14" s="1"/>
  <c r="AM89" i="14"/>
  <c r="AM90" i="14" s="1"/>
  <c r="AN175" i="10"/>
  <c r="AN64" i="10"/>
  <c r="AK136" i="14"/>
  <c r="AK137" i="14" s="1"/>
  <c r="AK138" i="14" s="1"/>
  <c r="AN47" i="10"/>
  <c r="AM161" i="14"/>
  <c r="AM162" i="14" s="1"/>
  <c r="AM164" i="14" s="1"/>
  <c r="AK104" i="14"/>
  <c r="BB323" i="7"/>
  <c r="BB388" i="7" s="1"/>
  <c r="BB142" i="14" s="1"/>
  <c r="BB143" i="14" s="1"/>
  <c r="BB147" i="14" s="1"/>
  <c r="BB148" i="14" s="1"/>
  <c r="BB149" i="14" s="1"/>
  <c r="BB150" i="14" s="1"/>
  <c r="BB151" i="14" s="1"/>
  <c r="BB152" i="14" s="1"/>
  <c r="BB157" i="14" s="1"/>
  <c r="BB160" i="14" s="1"/>
  <c r="AY4" i="7"/>
  <c r="AY13" i="13" s="1"/>
  <c r="AY100" i="7"/>
  <c r="AY3" i="23" s="1"/>
  <c r="AZ154" i="14"/>
  <c r="AZ165" i="14" s="1"/>
  <c r="AZ7" i="7" s="1"/>
  <c r="AZ16" i="13" s="1"/>
  <c r="BD209" i="7"/>
  <c r="BE22" i="7"/>
  <c r="AZ69" i="14"/>
  <c r="AZ86" i="14" s="1"/>
  <c r="AZ87" i="14" s="1"/>
  <c r="BC247" i="7"/>
  <c r="AZ75" i="14"/>
  <c r="AZ76" i="14" s="1"/>
  <c r="AZ77" i="14" s="1"/>
  <c r="AZ82" i="14" s="1"/>
  <c r="AZ85" i="14" s="1"/>
  <c r="BB67" i="14"/>
  <c r="BB68" i="14" s="1"/>
  <c r="BB72" i="14" s="1"/>
  <c r="BB73" i="14" s="1"/>
  <c r="BB74" i="14" s="1"/>
  <c r="BB75" i="14" s="1"/>
  <c r="BB76" i="14" s="1"/>
  <c r="BB77" i="14" s="1"/>
  <c r="BB82" i="14" s="1"/>
  <c r="BB85" i="14" s="1"/>
  <c r="BE266" i="7"/>
  <c r="BE281" i="7" s="1"/>
  <c r="BE269" i="7"/>
  <c r="BE284" i="7" s="1"/>
  <c r="BF73" i="7"/>
  <c r="BF88" i="7" s="1"/>
  <c r="BE20" i="13"/>
  <c r="BE11" i="7"/>
  <c r="BD212" i="7"/>
  <c r="BD213" i="7" s="1"/>
  <c r="BJ3" i="11"/>
  <c r="BH3" i="22"/>
  <c r="AN49" i="10"/>
  <c r="AN186" i="10"/>
  <c r="AN122" i="10"/>
  <c r="AN53" i="10"/>
  <c r="AN101" i="10"/>
  <c r="AN94" i="10"/>
  <c r="AN56" i="10"/>
  <c r="AN184" i="10"/>
  <c r="AN162" i="10"/>
  <c r="AN114" i="10"/>
  <c r="AN58" i="10"/>
  <c r="AN127" i="10"/>
  <c r="AN123" i="10"/>
  <c r="AN36" i="10"/>
  <c r="AN50" i="10"/>
  <c r="AN60" i="10"/>
  <c r="AN25" i="10"/>
  <c r="AN165" i="10"/>
  <c r="AN172" i="10"/>
  <c r="AN191" i="10"/>
  <c r="AN28" i="10"/>
  <c r="AN155" i="10"/>
  <c r="AN105" i="10"/>
  <c r="AN199" i="10"/>
  <c r="AN23" i="10"/>
  <c r="AN43" i="10"/>
  <c r="AN134" i="10"/>
  <c r="AN132" i="10"/>
  <c r="AN20" i="10"/>
  <c r="AN97" i="10"/>
  <c r="AN193" i="10"/>
  <c r="AN174" i="10"/>
  <c r="AN26" i="10"/>
  <c r="AN61" i="10"/>
  <c r="AN195" i="10"/>
  <c r="AN99" i="10"/>
  <c r="AN45" i="10"/>
  <c r="AN120" i="10"/>
  <c r="AN150" i="10"/>
  <c r="AN68" i="10"/>
  <c r="AN128" i="10"/>
  <c r="AN72" i="10"/>
  <c r="AN103" i="10"/>
  <c r="AN147" i="10"/>
  <c r="AN138" i="10"/>
  <c r="AN176" i="10"/>
  <c r="AN152" i="10"/>
  <c r="AN59" i="10"/>
  <c r="AN96" i="10"/>
  <c r="AN200" i="10"/>
  <c r="AN71" i="10"/>
  <c r="AN139" i="10"/>
  <c r="AN180" i="10"/>
  <c r="AN131" i="10"/>
  <c r="AN183" i="10"/>
  <c r="AN39" i="10"/>
  <c r="AN57" i="10"/>
  <c r="AN166" i="10"/>
  <c r="AN188" i="10"/>
  <c r="AN198" i="10"/>
  <c r="AN90" i="10"/>
  <c r="AN177" i="10"/>
  <c r="AN187" i="10"/>
  <c r="BA3" i="9"/>
  <c r="BE6" i="10" s="1"/>
  <c r="AN185" i="10"/>
  <c r="AN38" i="10"/>
  <c r="AN170" i="10"/>
  <c r="AN48" i="10"/>
  <c r="AN126" i="10"/>
  <c r="AN104" i="10"/>
  <c r="AN95" i="10"/>
  <c r="AN35" i="10"/>
  <c r="AN73" i="10"/>
  <c r="AN153" i="10"/>
  <c r="AN125" i="10"/>
  <c r="AN66" i="10"/>
  <c r="AN93" i="10"/>
  <c r="AN119" i="10"/>
  <c r="AN163" i="10"/>
  <c r="BA31" i="21"/>
  <c r="BA25" i="21"/>
  <c r="BA26" i="21" s="1"/>
  <c r="BA40" i="15"/>
  <c r="BC239" i="7"/>
  <c r="BD59" i="7"/>
  <c r="BC243" i="7"/>
  <c r="BD56" i="7"/>
  <c r="BE257" i="7"/>
  <c r="BE272" i="7" s="1"/>
  <c r="BC231" i="7"/>
  <c r="BA144" i="14"/>
  <c r="BA161" i="14" s="1"/>
  <c r="BA162" i="14" s="1"/>
  <c r="BA164" i="14" s="1"/>
  <c r="BA94" i="14"/>
  <c r="BA111" i="14" s="1"/>
  <c r="BA112" i="14" s="1"/>
  <c r="BA113" i="14" s="1"/>
  <c r="BF103" i="7"/>
  <c r="BF106" i="7" s="1"/>
  <c r="BF159" i="7" s="1"/>
  <c r="BF174" i="7" s="1"/>
  <c r="BH26" i="11"/>
  <c r="BB229" i="7"/>
  <c r="BB288" i="7" s="1"/>
  <c r="AT47" i="8"/>
  <c r="AT48" i="8" s="1"/>
  <c r="AT24" i="13" s="1"/>
  <c r="BE359" i="7"/>
  <c r="BE374" i="7" s="1"/>
  <c r="BE357" i="7"/>
  <c r="BE372" i="7" s="1"/>
  <c r="BE352" i="7"/>
  <c r="BE367" i="7" s="1"/>
  <c r="BE358" i="7"/>
  <c r="BE373" i="7" s="1"/>
  <c r="BE355" i="7"/>
  <c r="BE370" i="7" s="1"/>
  <c r="BE354" i="7"/>
  <c r="BE369" i="7" s="1"/>
  <c r="BE351" i="7"/>
  <c r="BE366" i="7" s="1"/>
  <c r="BE353" i="7"/>
  <c r="BE368" i="7" s="1"/>
  <c r="BE362" i="7"/>
  <c r="BE377" i="7" s="1"/>
  <c r="BE261" i="7"/>
  <c r="BE276" i="7" s="1"/>
  <c r="BE259" i="7"/>
  <c r="BE274" i="7" s="1"/>
  <c r="BE363" i="7"/>
  <c r="BE378" i="7" s="1"/>
  <c r="BE298" i="7"/>
  <c r="BE303" i="7" s="1"/>
  <c r="BE265" i="7"/>
  <c r="BE280" i="7" s="1"/>
  <c r="BE361" i="7"/>
  <c r="BE376" i="7" s="1"/>
  <c r="BE263" i="7"/>
  <c r="BE278" i="7" s="1"/>
  <c r="BE360" i="7"/>
  <c r="BE375" i="7" s="1"/>
  <c r="BE264" i="7"/>
  <c r="BE279" i="7" s="1"/>
  <c r="BE161" i="7"/>
  <c r="BE176" i="7" s="1"/>
  <c r="BC245" i="7"/>
  <c r="AX44" i="15"/>
  <c r="AX45" i="15" s="1"/>
  <c r="AX46" i="15" s="1"/>
  <c r="BC331" i="7"/>
  <c r="BC332" i="7"/>
  <c r="AX4" i="9"/>
  <c r="AX4" i="21"/>
  <c r="AX39" i="21" s="1"/>
  <c r="BE260" i="7"/>
  <c r="BE275" i="7" s="1"/>
  <c r="AX4" i="20"/>
  <c r="BE262" i="7"/>
  <c r="BE277" i="7" s="1"/>
  <c r="BE268" i="7"/>
  <c r="BE283" i="7" s="1"/>
  <c r="BC235" i="7"/>
  <c r="BH56" i="11"/>
  <c r="BH71" i="11"/>
  <c r="BH97" i="11"/>
  <c r="BH46" i="11"/>
  <c r="BH92" i="11"/>
  <c r="BH47" i="11"/>
  <c r="BH34" i="11"/>
  <c r="BH69" i="11"/>
  <c r="BH28" i="11"/>
  <c r="BH39" i="11"/>
  <c r="BH22" i="11"/>
  <c r="BH118" i="11"/>
  <c r="BH65" i="11"/>
  <c r="BH115" i="11"/>
  <c r="BH40" i="11"/>
  <c r="BH23" i="11"/>
  <c r="BH41" i="11"/>
  <c r="BH51" i="11"/>
  <c r="BH90" i="11"/>
  <c r="BH105" i="11"/>
  <c r="BH89" i="11"/>
  <c r="BH36" i="11"/>
  <c r="BH64" i="11"/>
  <c r="BH27" i="11"/>
  <c r="BH31" i="11"/>
  <c r="BH91" i="11"/>
  <c r="BH48" i="11"/>
  <c r="BH125" i="11"/>
  <c r="BH37" i="11"/>
  <c r="BH85" i="11"/>
  <c r="BH24" i="11"/>
  <c r="BH82" i="11"/>
  <c r="BH19" i="11"/>
  <c r="BH43" i="11"/>
  <c r="BH95" i="11"/>
  <c r="BH104" i="11"/>
  <c r="BH72" i="11"/>
  <c r="BH101" i="11"/>
  <c r="BH57" i="11"/>
  <c r="BH74" i="11"/>
  <c r="BH25" i="11"/>
  <c r="BH110" i="11"/>
  <c r="BH60" i="11"/>
  <c r="BH131" i="11"/>
  <c r="BH76" i="11"/>
  <c r="BH117" i="11"/>
  <c r="BH86" i="11"/>
  <c r="BH119" i="11"/>
  <c r="BH21" i="11"/>
  <c r="BH33" i="11"/>
  <c r="BH94" i="11"/>
  <c r="BH129" i="11"/>
  <c r="BH136" i="11"/>
  <c r="BH109" i="11"/>
  <c r="BH54" i="11"/>
  <c r="BH98" i="11"/>
  <c r="BH135" i="11"/>
  <c r="BH127" i="11"/>
  <c r="BH20" i="11"/>
  <c r="BH112" i="11"/>
  <c r="BH63" i="11"/>
  <c r="BH99" i="11"/>
  <c r="BH49" i="11"/>
  <c r="BH100" i="11"/>
  <c r="BH50" i="11"/>
  <c r="BG34" i="11"/>
  <c r="BH73" i="11"/>
  <c r="BH52" i="11"/>
  <c r="BH120" i="11"/>
  <c r="BH30" i="11"/>
  <c r="BH113" i="11"/>
  <c r="BH62" i="11"/>
  <c r="BH116" i="11"/>
  <c r="BH42" i="11"/>
  <c r="BH35" i="11"/>
  <c r="BH87" i="11"/>
  <c r="BH59" i="11"/>
  <c r="BH114" i="11"/>
  <c r="BH45" i="11"/>
  <c r="BH126" i="11"/>
  <c r="BH61" i="11"/>
  <c r="BH55" i="11"/>
  <c r="BH128" i="11"/>
  <c r="BC326" i="7"/>
  <c r="BE204" i="7"/>
  <c r="BH106" i="11"/>
  <c r="BH70" i="11"/>
  <c r="BH84" i="11"/>
  <c r="BH68" i="11"/>
  <c r="BH102" i="11"/>
  <c r="BH32" i="11"/>
  <c r="BH83" i="11"/>
  <c r="BH121" i="11"/>
  <c r="BH80" i="11"/>
  <c r="BH108" i="11"/>
  <c r="BH96" i="11"/>
  <c r="BH137" i="11"/>
  <c r="BH44" i="11"/>
  <c r="BH81" i="11"/>
  <c r="BG21" i="11"/>
  <c r="BG38" i="11"/>
  <c r="BG36" i="11"/>
  <c r="BG26" i="11"/>
  <c r="BG134" i="11"/>
  <c r="BG75" i="11"/>
  <c r="BG117" i="11"/>
  <c r="BG89" i="11"/>
  <c r="BG48" i="11"/>
  <c r="BG27" i="11"/>
  <c r="BG49" i="11"/>
  <c r="BG137" i="11"/>
  <c r="BG122" i="11"/>
  <c r="BG69" i="11"/>
  <c r="BG66" i="11"/>
  <c r="BG64" i="11"/>
  <c r="BG43" i="11"/>
  <c r="BG120" i="11"/>
  <c r="BG101" i="11"/>
  <c r="BG97" i="11"/>
  <c r="BG109" i="11"/>
  <c r="BG44" i="11"/>
  <c r="BG40" i="11"/>
  <c r="BG132" i="11"/>
  <c r="BG121" i="11"/>
  <c r="BG84" i="11"/>
  <c r="BG90" i="11"/>
  <c r="BG57" i="11"/>
  <c r="BG32" i="11"/>
  <c r="BG128" i="11"/>
  <c r="BG99" i="11"/>
  <c r="BG94" i="11"/>
  <c r="BG105" i="11"/>
  <c r="BG65" i="11"/>
  <c r="BG82" i="11"/>
  <c r="BG131" i="11"/>
  <c r="BG133" i="11"/>
  <c r="BG118" i="11"/>
  <c r="BG106" i="11"/>
  <c r="BG80" i="11"/>
  <c r="BG73" i="11"/>
  <c r="BG74" i="11"/>
  <c r="BG47" i="11"/>
  <c r="BG116" i="11"/>
  <c r="BG124" i="11"/>
  <c r="BG114" i="11"/>
  <c r="BG70" i="11"/>
  <c r="BG24" i="11"/>
  <c r="BG129" i="11"/>
  <c r="BG98" i="11"/>
  <c r="BG95" i="11"/>
  <c r="BG60" i="11"/>
  <c r="BG111" i="11"/>
  <c r="BG126" i="11"/>
  <c r="BG77" i="11"/>
  <c r="BG41" i="11"/>
  <c r="BG103" i="11"/>
  <c r="BG104" i="11"/>
  <c r="BG63" i="11"/>
  <c r="BG35" i="11"/>
  <c r="BG113" i="11"/>
  <c r="BG71" i="11"/>
  <c r="BG61" i="11"/>
  <c r="BG19" i="11"/>
  <c r="BG30" i="11"/>
  <c r="BG112" i="11"/>
  <c r="BG107" i="11"/>
  <c r="BG58" i="11"/>
  <c r="BG83" i="11"/>
  <c r="BG96" i="11"/>
  <c r="BG119" i="11"/>
  <c r="BG54" i="11"/>
  <c r="BG42" i="11"/>
  <c r="BG93" i="11"/>
  <c r="BG87" i="11"/>
  <c r="BG59" i="11"/>
  <c r="BG46" i="11"/>
  <c r="BG123" i="11"/>
  <c r="BG85" i="11"/>
  <c r="BG72" i="11"/>
  <c r="BG53" i="11"/>
  <c r="BG45" i="11"/>
  <c r="BG115" i="11"/>
  <c r="BG100" i="11"/>
  <c r="BG108" i="11"/>
  <c r="BG81" i="11"/>
  <c r="BG37" i="11"/>
  <c r="BG136" i="11"/>
  <c r="BG92" i="11"/>
  <c r="BG88" i="11"/>
  <c r="BG52" i="11"/>
  <c r="BG29" i="11"/>
  <c r="BG138" i="11"/>
  <c r="BG102" i="11"/>
  <c r="BG67" i="11"/>
  <c r="BG55" i="11"/>
  <c r="BG51" i="11"/>
  <c r="BG130" i="11"/>
  <c r="BG110" i="11"/>
  <c r="BG62" i="11"/>
  <c r="BG68" i="11"/>
  <c r="BG39" i="11"/>
  <c r="BG20" i="11"/>
  <c r="BG135" i="11"/>
  <c r="BG127" i="11"/>
  <c r="BG31" i="11"/>
  <c r="BG91" i="11"/>
  <c r="BG86" i="11"/>
  <c r="BG125" i="11"/>
  <c r="BG76" i="11"/>
  <c r="BG33" i="11"/>
  <c r="BG25" i="11"/>
  <c r="BG56" i="11"/>
  <c r="BG28" i="11"/>
  <c r="BG50" i="11"/>
  <c r="BG23" i="11"/>
  <c r="BA25" i="15"/>
  <c r="BH134" i="11"/>
  <c r="BH75" i="11"/>
  <c r="BH132" i="11"/>
  <c r="BH93" i="11"/>
  <c r="BH58" i="11"/>
  <c r="BH88" i="11"/>
  <c r="BH107" i="11"/>
  <c r="BH77" i="11"/>
  <c r="BA26" i="15"/>
  <c r="BC41" i="7"/>
  <c r="BC99" i="7" s="1"/>
  <c r="BH130" i="11"/>
  <c r="BH124" i="11"/>
  <c r="BH29" i="11"/>
  <c r="BH103" i="11"/>
  <c r="BH53" i="11"/>
  <c r="BH66" i="11"/>
  <c r="BH122" i="11"/>
  <c r="BG22" i="11"/>
  <c r="BD53" i="7"/>
  <c r="BH138" i="11"/>
  <c r="BH133" i="11"/>
  <c r="BH38" i="11"/>
  <c r="BH123" i="11"/>
  <c r="BH67" i="11"/>
  <c r="BH111" i="11"/>
  <c r="AR47" i="8"/>
  <c r="AR48" i="8" s="1"/>
  <c r="AR24" i="13" s="1"/>
  <c r="AJ4" i="20"/>
  <c r="BD8" i="10"/>
  <c r="AZ4" i="20"/>
  <c r="BD4" i="22"/>
  <c r="AO9" i="10"/>
  <c r="AK62" i="9" s="1"/>
  <c r="AK68" i="9" s="1"/>
  <c r="AK4" i="8" s="1"/>
  <c r="BB18" i="10"/>
  <c r="BB16" i="10"/>
  <c r="BB19" i="10"/>
  <c r="BB22" i="10"/>
  <c r="BB169" i="10"/>
  <c r="BB154" i="10"/>
  <c r="BB182" i="10"/>
  <c r="BB171" i="10"/>
  <c r="BB145" i="10"/>
  <c r="BB83" i="10"/>
  <c r="BB51" i="10"/>
  <c r="BB118" i="10"/>
  <c r="BB130" i="10"/>
  <c r="BB102" i="10"/>
  <c r="BB74" i="10"/>
  <c r="BB80" i="10"/>
  <c r="BB179" i="10"/>
  <c r="BB159" i="10"/>
  <c r="BB110" i="10"/>
  <c r="BB124" i="10"/>
  <c r="BB69" i="10"/>
  <c r="BB32" i="10"/>
  <c r="BB194" i="10"/>
  <c r="BB133" i="10"/>
  <c r="BB87" i="10"/>
  <c r="BB85" i="10"/>
  <c r="BB34" i="10"/>
  <c r="BB197" i="10"/>
  <c r="BB160" i="10"/>
  <c r="BB82" i="10"/>
  <c r="BB17" i="10"/>
  <c r="BB202" i="10"/>
  <c r="BB173" i="10"/>
  <c r="BB112" i="10"/>
  <c r="BB136" i="10"/>
  <c r="BB117" i="10"/>
  <c r="BB52" i="10"/>
  <c r="BB164" i="10"/>
  <c r="BB135" i="10"/>
  <c r="BB115" i="10"/>
  <c r="BB44" i="10"/>
  <c r="BB37" i="10"/>
  <c r="BB151" i="10"/>
  <c r="BB121" i="10"/>
  <c r="BB113" i="10"/>
  <c r="BB91" i="10"/>
  <c r="BB75" i="10"/>
  <c r="BB41" i="10"/>
  <c r="BB29" i="10"/>
  <c r="BB181" i="10"/>
  <c r="BB178" i="10"/>
  <c r="BB148" i="10"/>
  <c r="BB161" i="10"/>
  <c r="BB144" i="10"/>
  <c r="BB100" i="10"/>
  <c r="BB70" i="10"/>
  <c r="BB33" i="10"/>
  <c r="BB137" i="10"/>
  <c r="BB89" i="10"/>
  <c r="BB27" i="10"/>
  <c r="BB40" i="10"/>
  <c r="BB21" i="10"/>
  <c r="BB201" i="10"/>
  <c r="BB158" i="10"/>
  <c r="BB107" i="10"/>
  <c r="BB98" i="10"/>
  <c r="BB62" i="10"/>
  <c r="BB67" i="10"/>
  <c r="BB31" i="10"/>
  <c r="BB30" i="10"/>
  <c r="BB190" i="10"/>
  <c r="BB196" i="10"/>
  <c r="BB156" i="10"/>
  <c r="BB143" i="10"/>
  <c r="BB106" i="10"/>
  <c r="BB84" i="10"/>
  <c r="BB54" i="10"/>
  <c r="BB192" i="10"/>
  <c r="BB116" i="10"/>
  <c r="BB109" i="10"/>
  <c r="BB24" i="10"/>
  <c r="BB157" i="10"/>
  <c r="BB108" i="10"/>
  <c r="BB189" i="10"/>
  <c r="BB111" i="10"/>
  <c r="BB63" i="10"/>
  <c r="BB46" i="10"/>
  <c r="BB146" i="10"/>
  <c r="BB86" i="10"/>
  <c r="BB167" i="10"/>
  <c r="BB88" i="10"/>
  <c r="BB168" i="10"/>
  <c r="BB81" i="10"/>
  <c r="BB42" i="10"/>
  <c r="BB149" i="10"/>
  <c r="BB92" i="10"/>
  <c r="BB65" i="10"/>
  <c r="BB55" i="10"/>
  <c r="AO8" i="10"/>
  <c r="AK47" i="9" s="1"/>
  <c r="AK51" i="9" s="1"/>
  <c r="AK64" i="9" s="1"/>
  <c r="BC8" i="10"/>
  <c r="AO10" i="10"/>
  <c r="AK53" i="9" s="1"/>
  <c r="AK60" i="9" s="1"/>
  <c r="AK66" i="9" s="1"/>
  <c r="BD9" i="10"/>
  <c r="BD10" i="10"/>
  <c r="BB23" i="10"/>
  <c r="BB20" i="10"/>
  <c r="BB174" i="10"/>
  <c r="BB139" i="10"/>
  <c r="BB186" i="10"/>
  <c r="BB152" i="10"/>
  <c r="BB195" i="10"/>
  <c r="BB199" i="10"/>
  <c r="BB150" i="10"/>
  <c r="BB126" i="10"/>
  <c r="BB131" i="10"/>
  <c r="BB105" i="10"/>
  <c r="BB60" i="10"/>
  <c r="BB36" i="10"/>
  <c r="BB187" i="10"/>
  <c r="BB191" i="10"/>
  <c r="BB175" i="10"/>
  <c r="BB59" i="10"/>
  <c r="BB35" i="10"/>
  <c r="BB185" i="10"/>
  <c r="BB123" i="10"/>
  <c r="BB66" i="10"/>
  <c r="BB56" i="10"/>
  <c r="BB200" i="10"/>
  <c r="BB184" i="10"/>
  <c r="BB132" i="10"/>
  <c r="BB99" i="10"/>
  <c r="BB25" i="10"/>
  <c r="BB53" i="10"/>
  <c r="BB172" i="10"/>
  <c r="BB120" i="10"/>
  <c r="BB170" i="10"/>
  <c r="BB119" i="10"/>
  <c r="BB68" i="10"/>
  <c r="BB39" i="10"/>
  <c r="BB134" i="10"/>
  <c r="BB71" i="10"/>
  <c r="BB45" i="10"/>
  <c r="BB38" i="10"/>
  <c r="BB188" i="10"/>
  <c r="BB162" i="10"/>
  <c r="BB127" i="10"/>
  <c r="BB93" i="10"/>
  <c r="BB43" i="10"/>
  <c r="BB183" i="10"/>
  <c r="BB177" i="10"/>
  <c r="BB125" i="10"/>
  <c r="BB97" i="10"/>
  <c r="BB64" i="10"/>
  <c r="BB57" i="10"/>
  <c r="BB193" i="10"/>
  <c r="BB153" i="10"/>
  <c r="BB129" i="10"/>
  <c r="BB90" i="10"/>
  <c r="BB94" i="10"/>
  <c r="BB49" i="10"/>
  <c r="BB198" i="10"/>
  <c r="BB155" i="10"/>
  <c r="BB128" i="10"/>
  <c r="BB73" i="10"/>
  <c r="BB163" i="10"/>
  <c r="BB61" i="10"/>
  <c r="BB58" i="10"/>
  <c r="BB96" i="10"/>
  <c r="BB166" i="10"/>
  <c r="BB114" i="10"/>
  <c r="BB48" i="10"/>
  <c r="BB165" i="10"/>
  <c r="BB47" i="10"/>
  <c r="BB180" i="10"/>
  <c r="BB72" i="10"/>
  <c r="BB176" i="10"/>
  <c r="BB104" i="10"/>
  <c r="BB147" i="10"/>
  <c r="BB50" i="10"/>
  <c r="BB138" i="10"/>
  <c r="BB101" i="10"/>
  <c r="BB103" i="10"/>
  <c r="BB122" i="10"/>
  <c r="BB95" i="10"/>
  <c r="BB28" i="10"/>
  <c r="AJ4" i="9"/>
  <c r="AN4" i="22"/>
  <c r="AY4" i="21"/>
  <c r="AY39" i="21" s="1"/>
  <c r="BC4" i="22"/>
  <c r="AJ4" i="21"/>
  <c r="AJ53" i="21" s="1"/>
  <c r="AJ54" i="21" s="1"/>
  <c r="AJ10" i="8" s="1"/>
  <c r="BC10" i="10"/>
  <c r="BC9" i="10"/>
  <c r="BB26" i="10"/>
  <c r="AJ36" i="8"/>
  <c r="AJ39" i="8" s="1"/>
  <c r="AJ41" i="8" s="1"/>
  <c r="AJ23" i="13" s="1"/>
  <c r="BG219" i="22"/>
  <c r="BG217" i="22"/>
  <c r="BG215" i="22"/>
  <c r="BG211" i="22"/>
  <c r="BG209" i="22"/>
  <c r="BG207" i="22"/>
  <c r="BG205" i="22"/>
  <c r="BG203" i="22"/>
  <c r="BG199" i="22"/>
  <c r="BG197" i="22"/>
  <c r="BG195" i="22"/>
  <c r="BG223" i="22"/>
  <c r="BG227" i="22"/>
  <c r="BC80" i="21" s="1"/>
  <c r="BG220" i="22"/>
  <c r="BG224" i="22"/>
  <c r="BG200" i="22"/>
  <c r="BG194" i="22"/>
  <c r="BG192" i="22"/>
  <c r="BG190" i="22"/>
  <c r="BG188" i="22"/>
  <c r="BG186" i="22"/>
  <c r="BG184" i="22"/>
  <c r="BG212" i="22"/>
  <c r="BG196" i="22"/>
  <c r="BG208" i="22"/>
  <c r="BG204" i="22"/>
  <c r="BG216" i="22"/>
  <c r="BG218" i="22"/>
  <c r="BG206" i="22"/>
  <c r="BG183" i="22"/>
  <c r="BG181" i="22"/>
  <c r="BG179" i="22"/>
  <c r="BG177" i="22"/>
  <c r="BG175" i="22"/>
  <c r="BG173" i="22"/>
  <c r="BG210" i="22"/>
  <c r="BG187" i="22"/>
  <c r="BG198" i="22"/>
  <c r="BG172" i="22"/>
  <c r="BG182" i="22"/>
  <c r="BG171" i="22"/>
  <c r="BG193" i="22"/>
  <c r="BG191" i="22"/>
  <c r="BG185" i="22"/>
  <c r="BG189" i="22"/>
  <c r="BG176" i="22"/>
  <c r="BG169" i="22"/>
  <c r="BG165" i="22"/>
  <c r="BG174" i="22"/>
  <c r="BG168" i="22"/>
  <c r="BG180" i="22"/>
  <c r="BG166" i="22"/>
  <c r="BG163" i="22"/>
  <c r="BG154" i="22"/>
  <c r="BG152" i="22"/>
  <c r="BG178" i="22"/>
  <c r="BG158" i="22"/>
  <c r="BG167" i="22"/>
  <c r="BG162" i="22"/>
  <c r="BG164" i="22"/>
  <c r="BG139" i="22"/>
  <c r="BG151" i="22"/>
  <c r="BG142" i="22"/>
  <c r="BG157" i="22"/>
  <c r="BG153" i="22"/>
  <c r="BG144" i="22"/>
  <c r="BG170" i="22"/>
  <c r="BG150" i="22"/>
  <c r="BG135" i="22"/>
  <c r="BG137" i="22"/>
  <c r="BG138" i="22"/>
  <c r="BG161" i="22"/>
  <c r="BG127" i="22"/>
  <c r="BG126" i="22"/>
  <c r="BG123" i="22"/>
  <c r="BG143" i="22"/>
  <c r="BG122" i="22"/>
  <c r="BG121" i="22"/>
  <c r="BG113" i="22"/>
  <c r="BG147" i="22"/>
  <c r="BC65" i="21" s="1"/>
  <c r="BG136" i="22"/>
  <c r="BG125" i="22"/>
  <c r="BG120" i="22"/>
  <c r="BG119" i="22"/>
  <c r="BG118" i="22"/>
  <c r="BG117" i="22"/>
  <c r="BG130" i="22"/>
  <c r="BG128" i="22"/>
  <c r="BG134" i="22"/>
  <c r="BG133" i="22"/>
  <c r="BG108" i="22"/>
  <c r="BG114" i="22"/>
  <c r="BG104" i="22"/>
  <c r="BG98" i="22"/>
  <c r="BG116" i="22"/>
  <c r="BG107" i="22"/>
  <c r="BG105" i="22"/>
  <c r="BG101" i="22"/>
  <c r="BG94" i="22"/>
  <c r="BG112" i="22"/>
  <c r="BG115" i="22"/>
  <c r="BG97" i="22"/>
  <c r="BG111" i="22"/>
  <c r="BG129" i="22"/>
  <c r="BG102" i="22"/>
  <c r="BG93" i="22"/>
  <c r="BG106" i="22"/>
  <c r="BG85" i="22"/>
  <c r="BG76" i="22"/>
  <c r="BG92" i="22"/>
  <c r="BG100" i="22"/>
  <c r="BG86" i="22"/>
  <c r="BG71" i="22"/>
  <c r="BG124" i="22"/>
  <c r="BG95" i="22"/>
  <c r="BG87" i="22"/>
  <c r="BG75" i="22"/>
  <c r="BG90" i="22"/>
  <c r="BG99" i="22"/>
  <c r="BG96" i="22"/>
  <c r="BG78" i="22"/>
  <c r="BG91" i="22"/>
  <c r="BG88" i="22"/>
  <c r="BG83" i="22"/>
  <c r="BG82" i="22"/>
  <c r="BG81" i="22"/>
  <c r="BG103" i="22"/>
  <c r="BG89" i="22"/>
  <c r="BG64" i="22"/>
  <c r="BG63" i="22"/>
  <c r="BG72" i="22"/>
  <c r="BG62" i="22"/>
  <c r="BG61" i="22"/>
  <c r="BG56" i="22"/>
  <c r="BG54" i="22"/>
  <c r="BG52" i="22"/>
  <c r="BG50" i="22"/>
  <c r="BG48" i="22"/>
  <c r="BG46" i="22"/>
  <c r="BG44" i="22"/>
  <c r="BG60" i="22"/>
  <c r="BG59" i="22"/>
  <c r="BG58" i="22"/>
  <c r="BG80" i="22"/>
  <c r="BG77" i="22"/>
  <c r="BG69" i="22"/>
  <c r="BG57" i="22"/>
  <c r="BG68" i="22"/>
  <c r="BG67" i="22"/>
  <c r="BG66" i="22"/>
  <c r="BG65" i="22"/>
  <c r="BG38" i="22"/>
  <c r="BG36" i="22"/>
  <c r="BG34" i="22"/>
  <c r="BG32" i="22"/>
  <c r="BG30" i="22"/>
  <c r="BG28" i="22"/>
  <c r="BG26" i="22"/>
  <c r="BG24" i="22"/>
  <c r="BG22" i="22"/>
  <c r="BG20" i="22"/>
  <c r="BG18" i="22"/>
  <c r="BG16" i="22"/>
  <c r="BG79" i="22"/>
  <c r="BG41" i="22"/>
  <c r="BG51" i="22"/>
  <c r="BG53" i="22"/>
  <c r="BG40" i="22"/>
  <c r="BG37" i="22"/>
  <c r="BG35" i="22"/>
  <c r="BG33" i="22"/>
  <c r="BG31" i="22"/>
  <c r="BG29" i="22"/>
  <c r="BG27" i="22"/>
  <c r="BG25" i="22"/>
  <c r="BG84" i="22"/>
  <c r="BG47" i="22"/>
  <c r="BG43" i="22"/>
  <c r="BG49" i="22"/>
  <c r="BG70" i="22"/>
  <c r="BG14" i="22"/>
  <c r="BG12" i="22"/>
  <c r="BG10" i="22"/>
  <c r="BG39" i="22"/>
  <c r="BG45" i="22"/>
  <c r="BG17" i="22"/>
  <c r="BG42" i="22"/>
  <c r="BG11" i="22"/>
  <c r="BG55" i="22"/>
  <c r="BG9" i="22"/>
  <c r="BG21" i="22"/>
  <c r="BG13" i="22"/>
  <c r="BG15" i="22"/>
  <c r="BG23" i="22"/>
  <c r="BG19" i="22"/>
  <c r="AX58" i="9"/>
  <c r="AX54" i="9"/>
  <c r="AX59" i="9"/>
  <c r="AX49" i="9"/>
  <c r="AX8" i="8"/>
  <c r="AX9" i="8"/>
  <c r="AX7" i="8"/>
  <c r="AX57" i="9"/>
  <c r="AX56" i="9"/>
  <c r="AX48" i="9"/>
  <c r="BC344" i="7"/>
  <c r="BD320" i="7"/>
  <c r="BD321" i="7" s="1"/>
  <c r="BD339" i="7" s="1"/>
  <c r="BC342" i="7"/>
  <c r="BD302" i="7"/>
  <c r="BD350" i="7"/>
  <c r="BD365" i="7" s="1"/>
  <c r="BD380" i="7" s="1"/>
  <c r="BD311" i="7"/>
  <c r="BD312" i="7" s="1"/>
  <c r="BD327" i="7" s="1"/>
  <c r="BC337" i="7"/>
  <c r="BC330" i="7"/>
  <c r="BD306" i="7"/>
  <c r="BD307" i="7" s="1"/>
  <c r="BD345" i="7" s="1"/>
  <c r="BD316" i="7"/>
  <c r="BD317" i="7" s="1"/>
  <c r="BD328" i="7" s="1"/>
  <c r="BC343" i="7"/>
  <c r="BC336" i="7"/>
  <c r="BC335" i="7"/>
  <c r="BE258" i="7"/>
  <c r="BE273" i="7" s="1"/>
  <c r="BC325" i="7"/>
  <c r="BC348" i="7"/>
  <c r="BC327" i="7"/>
  <c r="BC341" i="7"/>
  <c r="BD51" i="7"/>
  <c r="BD36" i="7"/>
  <c r="BD256" i="7"/>
  <c r="BD271" i="7" s="1"/>
  <c r="BD286" i="7" s="1"/>
  <c r="BC246" i="7"/>
  <c r="BD226" i="7"/>
  <c r="BD227" i="7" s="1"/>
  <c r="BD31" i="7"/>
  <c r="BD42" i="7"/>
  <c r="BC249" i="7"/>
  <c r="BC233" i="7"/>
  <c r="BC241" i="7"/>
  <c r="BD52" i="7"/>
  <c r="BD222" i="7"/>
  <c r="BD208" i="7"/>
  <c r="BC248" i="7"/>
  <c r="BD44" i="7"/>
  <c r="BC223" i="7"/>
  <c r="BC234" i="7"/>
  <c r="BC237" i="7"/>
  <c r="BD217" i="7"/>
  <c r="BD232" i="7" s="1"/>
  <c r="BC347" i="7"/>
  <c r="BC340" i="7"/>
  <c r="BD55" i="7"/>
  <c r="BC338" i="7"/>
  <c r="BD48" i="7"/>
  <c r="BD66" i="7"/>
  <c r="BD57" i="7"/>
  <c r="BE25" i="7"/>
  <c r="BE48" i="7" s="1"/>
  <c r="BD65" i="7"/>
  <c r="BC227" i="7"/>
  <c r="BC242" i="7"/>
  <c r="BC329" i="7"/>
  <c r="BC253" i="7"/>
  <c r="BD46" i="7"/>
  <c r="BE267" i="7"/>
  <c r="BE282" i="7" s="1"/>
  <c r="BC250" i="7"/>
  <c r="BD26" i="7"/>
  <c r="BC334" i="7"/>
  <c r="BD47" i="7"/>
  <c r="BB131" i="7"/>
  <c r="BB194" i="7" s="1"/>
  <c r="BB92" i="14" s="1"/>
  <c r="BB93" i="14" s="1"/>
  <c r="BB97" i="14" s="1"/>
  <c r="BB98" i="14" s="1"/>
  <c r="BB99" i="14" s="1"/>
  <c r="BD49" i="7"/>
  <c r="BD60" i="7"/>
  <c r="BC324" i="7"/>
  <c r="BC386" i="7"/>
  <c r="BD63" i="7"/>
  <c r="BD58" i="7"/>
  <c r="BD62" i="7"/>
  <c r="BD54" i="7"/>
  <c r="BD61" i="7"/>
  <c r="BC252" i="7"/>
  <c r="BC236" i="7"/>
  <c r="AZ26" i="21"/>
  <c r="BC346" i="7"/>
  <c r="BC251" i="7"/>
  <c r="BE171" i="7"/>
  <c r="BE186" i="7" s="1"/>
  <c r="BE168" i="7"/>
  <c r="BE183" i="7" s="1"/>
  <c r="BE170" i="7"/>
  <c r="BE185" i="7" s="1"/>
  <c r="BE159" i="7"/>
  <c r="BE174" i="7" s="1"/>
  <c r="BE108" i="7"/>
  <c r="BE111" i="7" s="1"/>
  <c r="BE68" i="7"/>
  <c r="BE83" i="7" s="1"/>
  <c r="BE98" i="7" s="1"/>
  <c r="BE165" i="7"/>
  <c r="BE180" i="7" s="1"/>
  <c r="BE162" i="7"/>
  <c r="BE177" i="7" s="1"/>
  <c r="BE160" i="7"/>
  <c r="BE175" i="7" s="1"/>
  <c r="BE39" i="7"/>
  <c r="BE56" i="7" s="1"/>
  <c r="BE164" i="7"/>
  <c r="BE179" i="7" s="1"/>
  <c r="BD50" i="7"/>
  <c r="BE163" i="7"/>
  <c r="BE178" i="7" s="1"/>
  <c r="BE35" i="7"/>
  <c r="BE36" i="7" s="1"/>
  <c r="BE21" i="7"/>
  <c r="BE166" i="7"/>
  <c r="BE181" i="7" s="1"/>
  <c r="BE30" i="7"/>
  <c r="BE52" i="7" s="1"/>
  <c r="BE169" i="7"/>
  <c r="BE184" i="7" s="1"/>
  <c r="BD64" i="7"/>
  <c r="BA81" i="21"/>
  <c r="BA12" i="8" s="1"/>
  <c r="BA13" i="8" s="1"/>
  <c r="BA73" i="21"/>
  <c r="BA66" i="21"/>
  <c r="BA68" i="21" s="1"/>
  <c r="AX208" i="14"/>
  <c r="AX210" i="14" s="1"/>
  <c r="AX211" i="14" s="1"/>
  <c r="AX213" i="14" s="1"/>
  <c r="BF78" i="7"/>
  <c r="BF93" i="7" s="1"/>
  <c r="BF81" i="7"/>
  <c r="BF96" i="7" s="1"/>
  <c r="BF80" i="7"/>
  <c r="BF95" i="7" s="1"/>
  <c r="BF69" i="7"/>
  <c r="BF84" i="7" s="1"/>
  <c r="BF75" i="7"/>
  <c r="BF90" i="7" s="1"/>
  <c r="BF77" i="7"/>
  <c r="BF92" i="7" s="1"/>
  <c r="BF74" i="7"/>
  <c r="BF89" i="7" s="1"/>
  <c r="BF17" i="7"/>
  <c r="BF70" i="7"/>
  <c r="BF85" i="7" s="1"/>
  <c r="BF76" i="7"/>
  <c r="BF91" i="7" s="1"/>
  <c r="BF295" i="7"/>
  <c r="BF296" i="7" s="1"/>
  <c r="BF359" i="7" s="1"/>
  <c r="BF374" i="7" s="1"/>
  <c r="BF71" i="7"/>
  <c r="BF86" i="7" s="1"/>
  <c r="BF79" i="7"/>
  <c r="BF94" i="7" s="1"/>
  <c r="BF72" i="7"/>
  <c r="BF87" i="7" s="1"/>
  <c r="BF201" i="7"/>
  <c r="BF202" i="7" s="1"/>
  <c r="BE52" i="14"/>
  <c r="BE53" i="14" s="1"/>
  <c r="BB61" i="14"/>
  <c r="BB64" i="14" s="1"/>
  <c r="BB65" i="14" s="1"/>
  <c r="BD190" i="14"/>
  <c r="BD192" i="14" s="1"/>
  <c r="BD54" i="14"/>
  <c r="BD55" i="14" s="1"/>
  <c r="BD56" i="14" s="1"/>
  <c r="BD57" i="14" s="1"/>
  <c r="BC58" i="14"/>
  <c r="BC59" i="14" s="1"/>
  <c r="BC60" i="14" s="1"/>
  <c r="BC62" i="14" s="1"/>
  <c r="BC63" i="14" s="1"/>
  <c r="BA199" i="14"/>
  <c r="BA202" i="14" s="1"/>
  <c r="BA206" i="14" s="1"/>
  <c r="BA201" i="14"/>
  <c r="BA205" i="14" s="1"/>
  <c r="AZ210" i="14"/>
  <c r="AZ211" i="14" s="1"/>
  <c r="AZ213" i="14" s="1"/>
  <c r="AZ215" i="14" s="1"/>
  <c r="BB193" i="14"/>
  <c r="BB194" i="14"/>
  <c r="BB195" i="14" s="1"/>
  <c r="BC192" i="14"/>
  <c r="BC191" i="14"/>
  <c r="BE187" i="14"/>
  <c r="BE188" i="14" s="1"/>
  <c r="BE214" i="14"/>
  <c r="BE170" i="14"/>
  <c r="BE185" i="14" s="1"/>
  <c r="BF14" i="14"/>
  <c r="BF25" i="14" s="1"/>
  <c r="BF171" i="14"/>
  <c r="BF184" i="14" s="1"/>
  <c r="AY44" i="15"/>
  <c r="AY45" i="15" s="1"/>
  <c r="AY46" i="15" s="1"/>
  <c r="AY4" i="9"/>
  <c r="AY4" i="20"/>
  <c r="AW49" i="21"/>
  <c r="AW50" i="21" s="1"/>
  <c r="BA136" i="14"/>
  <c r="BA137" i="14" s="1"/>
  <c r="AW71" i="9"/>
  <c r="AZ44" i="15"/>
  <c r="AZ45" i="15" s="1"/>
  <c r="AZ46" i="15" s="1"/>
  <c r="AZ4" i="9"/>
  <c r="AZ4" i="21"/>
  <c r="AZ43" i="21" s="1"/>
  <c r="BF49" i="14"/>
  <c r="BF50" i="14" s="1"/>
  <c r="BF6" i="24" s="1"/>
  <c r="BB77" i="21"/>
  <c r="AU83" i="9"/>
  <c r="AU19" i="8"/>
  <c r="AU27" i="8" s="1"/>
  <c r="AU38" i="8" s="1"/>
  <c r="BD132" i="7"/>
  <c r="AY7" i="7"/>
  <c r="AY16" i="13" s="1"/>
  <c r="BD141" i="7"/>
  <c r="BC131" i="7"/>
  <c r="BC194" i="7" s="1"/>
  <c r="BC92" i="14" s="1"/>
  <c r="BC93" i="14" s="1"/>
  <c r="BC97" i="14" s="1"/>
  <c r="BC98" i="14" s="1"/>
  <c r="BC99" i="14" s="1"/>
  <c r="AV12" i="20"/>
  <c r="AV6" i="8" s="1"/>
  <c r="AZ163" i="14"/>
  <c r="AZ113" i="14"/>
  <c r="BA89" i="14"/>
  <c r="AV50" i="21"/>
  <c r="AV57" i="21"/>
  <c r="BD151" i="7"/>
  <c r="AW86" i="9"/>
  <c r="AW5" i="20"/>
  <c r="BB32" i="15"/>
  <c r="BB33" i="15" s="1"/>
  <c r="AW74" i="9"/>
  <c r="AW3" i="20" s="1"/>
  <c r="AW80" i="9"/>
  <c r="BC15" i="17"/>
  <c r="BC27" i="13" s="1"/>
  <c r="BB60" i="21"/>
  <c r="BC15" i="15"/>
  <c r="BI9" i="11" s="1"/>
  <c r="BC10" i="13"/>
  <c r="BC29" i="15"/>
  <c r="BC37" i="15" s="1"/>
  <c r="BC38" i="15" s="1"/>
  <c r="BC39" i="15" s="1"/>
  <c r="BC40" i="15" s="1"/>
  <c r="BC17" i="15"/>
  <c r="BI10" i="11" s="1"/>
  <c r="BC19" i="15"/>
  <c r="BI11" i="11" s="1"/>
  <c r="BC13" i="15"/>
  <c r="BI8" i="11" s="1"/>
  <c r="BC9" i="15"/>
  <c r="BI6" i="11" s="1"/>
  <c r="BC7" i="15"/>
  <c r="BI5" i="11" s="1"/>
  <c r="BC11" i="15"/>
  <c r="BI7" i="11" s="1"/>
  <c r="BC31" i="15"/>
  <c r="BC32" i="15" s="1"/>
  <c r="BC33" i="15" s="1"/>
  <c r="BC34" i="15" s="1"/>
  <c r="AY289" i="7"/>
  <c r="AY13" i="23" s="1"/>
  <c r="AY6" i="7"/>
  <c r="AY15" i="13" s="1"/>
  <c r="BB71" i="21"/>
  <c r="BB34" i="21"/>
  <c r="BB11" i="21"/>
  <c r="BB17" i="21"/>
  <c r="BB14" i="21"/>
  <c r="BB20" i="21" s="1"/>
  <c r="BB28" i="21" s="1"/>
  <c r="BB25" i="15"/>
  <c r="BB26" i="15"/>
  <c r="BC8" i="21"/>
  <c r="AV87" i="9"/>
  <c r="AV88" i="9" s="1"/>
  <c r="AV89" i="9" s="1"/>
  <c r="BD3" i="15"/>
  <c r="BD5" i="15" s="1"/>
  <c r="BJ4" i="11" s="1"/>
  <c r="BD3" i="21"/>
  <c r="BD7" i="21" s="1"/>
  <c r="BD4" i="17"/>
  <c r="BD7" i="17" s="1"/>
  <c r="BD8" i="17" s="1"/>
  <c r="BD9" i="17" s="1"/>
  <c r="BD11" i="17" s="1"/>
  <c r="BD12" i="17" s="1"/>
  <c r="BE28" i="14"/>
  <c r="BE29" i="14" s="1"/>
  <c r="BE30" i="14" s="1"/>
  <c r="BE31" i="14" s="1"/>
  <c r="BE18" i="13" s="1"/>
  <c r="BE4" i="13"/>
  <c r="AY36" i="8"/>
  <c r="AY39" i="8" s="1"/>
  <c r="BF44" i="14"/>
  <c r="BF19" i="13" s="1"/>
  <c r="BB79" i="21"/>
  <c r="BB62" i="21"/>
  <c r="BB61" i="21"/>
  <c r="BB38" i="15"/>
  <c r="BB39" i="15" s="1"/>
  <c r="AZ195" i="7"/>
  <c r="AZ5" i="7"/>
  <c r="AZ14" i="13" s="1"/>
  <c r="BB3" i="8"/>
  <c r="BB3" i="9"/>
  <c r="BF6" i="10" s="1"/>
  <c r="AV7" i="20"/>
  <c r="AV5" i="8" s="1"/>
  <c r="AV43" i="8" s="1"/>
  <c r="BB14" i="17"/>
  <c r="BB28" i="13" s="1"/>
  <c r="BB17" i="17"/>
  <c r="BB72" i="21"/>
  <c r="AV81" i="9"/>
  <c r="AV83" i="9" s="1"/>
  <c r="AW56" i="21"/>
  <c r="AU44" i="8"/>
  <c r="AU47" i="8" s="1"/>
  <c r="AU48" i="8" s="1"/>
  <c r="BB64" i="21"/>
  <c r="AZ36" i="8"/>
  <c r="AZ39" i="8" s="1"/>
  <c r="BB63" i="21"/>
  <c r="BB78" i="21"/>
  <c r="BB76" i="21"/>
  <c r="BE226" i="7"/>
  <c r="AJ7" i="7"/>
  <c r="AJ16" i="13" s="1"/>
  <c r="AJ389" i="7"/>
  <c r="AJ195" i="7"/>
  <c r="AJ5" i="7"/>
  <c r="AJ14" i="13" s="1"/>
  <c r="AM129" i="14"/>
  <c r="AM140" i="14" s="1"/>
  <c r="AM55" i="21"/>
  <c r="AM57" i="21" s="1"/>
  <c r="AM11" i="8"/>
  <c r="AM71" i="9"/>
  <c r="AM50" i="21"/>
  <c r="AM74" i="9"/>
  <c r="AM3" i="20" s="1"/>
  <c r="AM80" i="9"/>
  <c r="AM5" i="20"/>
  <c r="AM86" i="9"/>
  <c r="AM87" i="9" s="1"/>
  <c r="AM88" i="9" s="1"/>
  <c r="AM89" i="9" s="1"/>
  <c r="AK11" i="8"/>
  <c r="AK49" i="21"/>
  <c r="AK51" i="21" s="1"/>
  <c r="AK10" i="8"/>
  <c r="AK55" i="21"/>
  <c r="AK56" i="21" s="1"/>
  <c r="AK100" i="7" l="1"/>
  <c r="AK3" i="23" s="1"/>
  <c r="BA289" i="7"/>
  <c r="BA13" i="23" s="1"/>
  <c r="AK164" i="14"/>
  <c r="BB69" i="14"/>
  <c r="BB79" i="14" s="1"/>
  <c r="BB90" i="14" s="1"/>
  <c r="AM115" i="14"/>
  <c r="AM195" i="7" s="1"/>
  <c r="AK113" i="14"/>
  <c r="AK115" i="14" s="1"/>
  <c r="AM163" i="14"/>
  <c r="AM165" i="14" s="1"/>
  <c r="BA279" i="23"/>
  <c r="BD134" i="7"/>
  <c r="BD133" i="7"/>
  <c r="BD143" i="7"/>
  <c r="BD142" i="7"/>
  <c r="BD146" i="7"/>
  <c r="BD156" i="7"/>
  <c r="BD137" i="7"/>
  <c r="BD138" i="7"/>
  <c r="BD145" i="7"/>
  <c r="AZ281" i="23"/>
  <c r="AZ136" i="14"/>
  <c r="AZ137" i="14" s="1"/>
  <c r="AZ138" i="14"/>
  <c r="AZ129" i="14"/>
  <c r="AZ140" i="14" s="1"/>
  <c r="BD144" i="7"/>
  <c r="BA79" i="14"/>
  <c r="BA90" i="14" s="1"/>
  <c r="BA4" i="7" s="1"/>
  <c r="BA13" i="13" s="1"/>
  <c r="BD154" i="7"/>
  <c r="BD140" i="7"/>
  <c r="BD139" i="7"/>
  <c r="BD149" i="7"/>
  <c r="BD136" i="7"/>
  <c r="BD152" i="7"/>
  <c r="BD150" i="7"/>
  <c r="BD125" i="7"/>
  <c r="BD192" i="7" s="1"/>
  <c r="BD148" i="7"/>
  <c r="BD155" i="7"/>
  <c r="AK139" i="14"/>
  <c r="AK140" i="14" s="1"/>
  <c r="BB144" i="14"/>
  <c r="BB161" i="14" s="1"/>
  <c r="BB162" i="14" s="1"/>
  <c r="BB163" i="14" s="1"/>
  <c r="AZ389" i="7"/>
  <c r="AM4" i="7"/>
  <c r="AM13" i="13" s="1"/>
  <c r="AM100" i="7"/>
  <c r="AM3" i="23" s="1"/>
  <c r="BD236" i="7"/>
  <c r="AK163" i="14"/>
  <c r="AK165" i="14" s="1"/>
  <c r="BD231" i="7"/>
  <c r="BF22" i="7"/>
  <c r="BE209" i="7"/>
  <c r="BE311" i="7"/>
  <c r="BE312" i="7" s="1"/>
  <c r="BE324" i="7" s="1"/>
  <c r="BF168" i="7"/>
  <c r="BF183" i="7" s="1"/>
  <c r="AZ79" i="14"/>
  <c r="AZ90" i="14" s="1"/>
  <c r="AZ100" i="7" s="1"/>
  <c r="AZ3" i="23" s="1"/>
  <c r="AZ88" i="14"/>
  <c r="AZ89" i="14"/>
  <c r="BB117" i="14"/>
  <c r="BB118" i="14" s="1"/>
  <c r="BB122" i="14" s="1"/>
  <c r="BB123" i="14" s="1"/>
  <c r="BB124" i="14" s="1"/>
  <c r="BB125" i="14" s="1"/>
  <c r="BB126" i="14" s="1"/>
  <c r="BB127" i="14" s="1"/>
  <c r="BB132" i="14" s="1"/>
  <c r="BB135" i="14" s="1"/>
  <c r="BA114" i="14"/>
  <c r="BC67" i="14"/>
  <c r="BC68" i="14" s="1"/>
  <c r="BC72" i="14" s="1"/>
  <c r="BC73" i="14" s="1"/>
  <c r="BC74" i="14" s="1"/>
  <c r="BC75" i="14" s="1"/>
  <c r="BC76" i="14" s="1"/>
  <c r="BC77" i="14" s="1"/>
  <c r="BC82" i="14" s="1"/>
  <c r="BC85" i="14" s="1"/>
  <c r="BF259" i="7"/>
  <c r="BF274" i="7" s="1"/>
  <c r="BD247" i="7"/>
  <c r="BF161" i="7"/>
  <c r="BF176" i="7" s="1"/>
  <c r="BF108" i="7"/>
  <c r="BF111" i="7" s="1"/>
  <c r="BE306" i="7"/>
  <c r="BE307" i="7" s="1"/>
  <c r="BE345" i="7" s="1"/>
  <c r="BF160" i="7"/>
  <c r="BF175" i="7" s="1"/>
  <c r="BF163" i="7"/>
  <c r="BF178" i="7" s="1"/>
  <c r="BF162" i="7"/>
  <c r="BF177" i="7" s="1"/>
  <c r="BE350" i="7"/>
  <c r="BE365" i="7" s="1"/>
  <c r="BE380" i="7" s="1"/>
  <c r="BF171" i="7"/>
  <c r="BF186" i="7" s="1"/>
  <c r="BF167" i="7"/>
  <c r="BF182" i="7" s="1"/>
  <c r="BF169" i="7"/>
  <c r="BF184" i="7" s="1"/>
  <c r="BE320" i="7"/>
  <c r="BE321" i="7" s="1"/>
  <c r="BE339" i="7" s="1"/>
  <c r="BE302" i="7"/>
  <c r="BF164" i="7"/>
  <c r="BF179" i="7" s="1"/>
  <c r="BF165" i="7"/>
  <c r="BF180" i="7" s="1"/>
  <c r="BK3" i="11"/>
  <c r="BI3" i="22"/>
  <c r="BE316" i="7"/>
  <c r="BE317" i="7" s="1"/>
  <c r="BE328" i="7" s="1"/>
  <c r="BF166" i="7"/>
  <c r="BF181" i="7" s="1"/>
  <c r="BF170" i="7"/>
  <c r="BF185" i="7" s="1"/>
  <c r="BF20" i="13"/>
  <c r="BF11" i="7"/>
  <c r="BA22" i="9"/>
  <c r="BA23" i="9" s="1"/>
  <c r="BA8" i="8" s="1"/>
  <c r="BA154" i="14"/>
  <c r="BA165" i="14" s="1"/>
  <c r="BA389" i="7" s="1"/>
  <c r="BA163" i="14"/>
  <c r="BA38" i="9"/>
  <c r="BA39" i="9" s="1"/>
  <c r="BA48" i="9" s="1"/>
  <c r="BA44" i="9"/>
  <c r="BA45" i="9" s="1"/>
  <c r="BA55" i="9" s="1"/>
  <c r="AN8" i="10"/>
  <c r="BA17" i="9"/>
  <c r="BA18" i="9" s="1"/>
  <c r="BA7" i="8" s="1"/>
  <c r="BA104" i="14"/>
  <c r="BA115" i="14" s="1"/>
  <c r="BA5" i="7" s="1"/>
  <c r="BA14" i="13" s="1"/>
  <c r="AY46" i="21"/>
  <c r="AY47" i="21" s="1"/>
  <c r="AY48" i="21" s="1"/>
  <c r="AY49" i="21" s="1"/>
  <c r="AY51" i="21" s="1"/>
  <c r="AY43" i="21"/>
  <c r="AN9" i="10"/>
  <c r="AJ62" i="9" s="1"/>
  <c r="AJ68" i="9" s="1"/>
  <c r="BA35" i="21"/>
  <c r="BA36" i="21" s="1"/>
  <c r="AN10" i="10"/>
  <c r="AJ53" i="9" s="1"/>
  <c r="AJ60" i="9" s="1"/>
  <c r="AJ66" i="9" s="1"/>
  <c r="BA41" i="9"/>
  <c r="BA42" i="9" s="1"/>
  <c r="BA50" i="9" s="1"/>
  <c r="BA27" i="9"/>
  <c r="BA28" i="9" s="1"/>
  <c r="BE4" i="10" s="1"/>
  <c r="BA36" i="9"/>
  <c r="BE7" i="10" s="1"/>
  <c r="BA11" i="9"/>
  <c r="BA12" i="9" s="1"/>
  <c r="BA54" i="9" s="1"/>
  <c r="BA33" i="9"/>
  <c r="BA34" i="9" s="1"/>
  <c r="BE5" i="10" s="1"/>
  <c r="AY53" i="21"/>
  <c r="AY54" i="21" s="1"/>
  <c r="AY10" i="8" s="1"/>
  <c r="AT50" i="8"/>
  <c r="AT25" i="13" s="1"/>
  <c r="BD239" i="7"/>
  <c r="BE256" i="7"/>
  <c r="BE271" i="7" s="1"/>
  <c r="BE286" i="7" s="1"/>
  <c r="BE208" i="7"/>
  <c r="BE217" i="7"/>
  <c r="BE230" i="7" s="1"/>
  <c r="BE222" i="7"/>
  <c r="BE212" i="7"/>
  <c r="BE213" i="7" s="1"/>
  <c r="AJ43" i="21"/>
  <c r="BD244" i="7"/>
  <c r="AJ40" i="8"/>
  <c r="AX46" i="21"/>
  <c r="AX47" i="21" s="1"/>
  <c r="AX48" i="21" s="1"/>
  <c r="AX49" i="21" s="1"/>
  <c r="AX51" i="21" s="1"/>
  <c r="AJ22" i="13"/>
  <c r="AX43" i="21"/>
  <c r="AX53" i="21"/>
  <c r="AX54" i="21" s="1"/>
  <c r="AX10" i="8" s="1"/>
  <c r="BD234" i="7"/>
  <c r="BD324" i="7"/>
  <c r="BD243" i="7"/>
  <c r="BI113" i="11"/>
  <c r="BD245" i="7"/>
  <c r="BD333" i="7"/>
  <c r="BD218" i="7"/>
  <c r="BD254" i="7"/>
  <c r="BD235" i="7"/>
  <c r="BD343" i="7"/>
  <c r="BD348" i="7"/>
  <c r="BD342" i="7"/>
  <c r="BI94" i="11"/>
  <c r="BD337" i="7"/>
  <c r="BI108" i="11"/>
  <c r="BI62" i="11"/>
  <c r="BI116" i="11"/>
  <c r="BI118" i="11"/>
  <c r="BE59" i="7"/>
  <c r="BE43" i="7"/>
  <c r="BI66" i="11"/>
  <c r="BE26" i="7"/>
  <c r="BI76" i="11"/>
  <c r="BI104" i="11"/>
  <c r="BI122" i="11"/>
  <c r="BI107" i="11"/>
  <c r="BI109" i="11"/>
  <c r="BI119" i="11"/>
  <c r="BI61" i="11"/>
  <c r="BI106" i="11"/>
  <c r="BI138" i="11"/>
  <c r="BI22" i="11"/>
  <c r="BI29" i="11"/>
  <c r="BI46" i="11"/>
  <c r="BI93" i="11"/>
  <c r="BI85" i="11"/>
  <c r="BI133" i="11"/>
  <c r="BI120" i="11"/>
  <c r="BI68" i="11"/>
  <c r="BI86" i="11"/>
  <c r="BI81" i="11"/>
  <c r="BI82" i="11"/>
  <c r="BI121" i="11"/>
  <c r="BI34" i="11"/>
  <c r="BI40" i="11"/>
  <c r="BI101" i="11"/>
  <c r="BI112" i="11"/>
  <c r="BI129" i="11"/>
  <c r="BI124" i="11"/>
  <c r="BI127" i="11"/>
  <c r="BI43" i="11"/>
  <c r="BG13" i="11"/>
  <c r="BG15" i="11" s="1"/>
  <c r="BA22" i="15" s="1"/>
  <c r="BA43" i="15" s="1"/>
  <c r="BE4" i="22" s="1"/>
  <c r="BI110" i="11"/>
  <c r="BI35" i="11"/>
  <c r="BI134" i="11"/>
  <c r="BI103" i="11"/>
  <c r="BI50" i="11"/>
  <c r="BI64" i="11"/>
  <c r="BI75" i="11"/>
  <c r="BH12" i="11"/>
  <c r="BH14" i="11" s="1"/>
  <c r="BH13" i="11"/>
  <c r="BH15" i="11" s="1"/>
  <c r="BI98" i="11"/>
  <c r="BI26" i="11"/>
  <c r="BI37" i="11"/>
  <c r="BI31" i="11"/>
  <c r="BI58" i="11"/>
  <c r="BI88" i="11"/>
  <c r="BI20" i="11"/>
  <c r="BI137" i="11"/>
  <c r="BI30" i="11"/>
  <c r="BI87" i="11"/>
  <c r="BI54" i="11"/>
  <c r="BI72" i="11"/>
  <c r="BI49" i="11"/>
  <c r="BI105" i="11"/>
  <c r="BI47" i="11"/>
  <c r="BI83" i="11"/>
  <c r="BI84" i="11"/>
  <c r="BI71" i="11"/>
  <c r="BI59" i="11"/>
  <c r="BI96" i="11"/>
  <c r="BI131" i="11"/>
  <c r="BI70" i="11"/>
  <c r="BI102" i="11"/>
  <c r="BI126" i="11"/>
  <c r="BI100" i="11"/>
  <c r="BI73" i="11"/>
  <c r="BI77" i="11"/>
  <c r="BI136" i="11"/>
  <c r="BI48" i="11"/>
  <c r="BI80" i="11"/>
  <c r="BI53" i="11"/>
  <c r="BI44" i="11"/>
  <c r="BI111" i="11"/>
  <c r="BI90" i="11"/>
  <c r="BI123" i="11"/>
  <c r="BI25" i="11"/>
  <c r="BI36" i="11"/>
  <c r="BI99" i="11"/>
  <c r="BI38" i="11"/>
  <c r="BI69" i="11"/>
  <c r="BI24" i="11"/>
  <c r="BI132" i="11"/>
  <c r="BI135" i="11"/>
  <c r="BI19" i="11"/>
  <c r="BI42" i="11"/>
  <c r="BI128" i="11"/>
  <c r="BI115" i="11"/>
  <c r="BI97" i="11"/>
  <c r="BI91" i="11"/>
  <c r="BI27" i="11"/>
  <c r="BI52" i="11"/>
  <c r="BI23" i="11"/>
  <c r="BG12" i="11"/>
  <c r="BG14" i="11" s="1"/>
  <c r="BA21" i="15" s="1"/>
  <c r="BA5" i="9" s="1"/>
  <c r="BI60" i="11"/>
  <c r="BI51" i="11"/>
  <c r="BI114" i="11"/>
  <c r="BI130" i="11"/>
  <c r="BI125" i="11"/>
  <c r="BI33" i="11"/>
  <c r="BI32" i="11"/>
  <c r="BI28" i="11"/>
  <c r="BE66" i="7"/>
  <c r="BI95" i="11"/>
  <c r="BI74" i="11"/>
  <c r="BI63" i="11"/>
  <c r="BI45" i="11"/>
  <c r="BI117" i="11"/>
  <c r="BI56" i="11"/>
  <c r="BI41" i="11"/>
  <c r="BI21" i="11"/>
  <c r="BI65" i="11"/>
  <c r="BI89" i="11"/>
  <c r="BI57" i="11"/>
  <c r="BI55" i="11"/>
  <c r="BI39" i="11"/>
  <c r="BI67" i="11"/>
  <c r="BI92" i="11"/>
  <c r="AJ55" i="21"/>
  <c r="AJ57" i="21" s="1"/>
  <c r="AJ46" i="21"/>
  <c r="AJ47" i="21" s="1"/>
  <c r="AJ48" i="21" s="1"/>
  <c r="AJ11" i="8" s="1"/>
  <c r="AJ39" i="21"/>
  <c r="BB9" i="10"/>
  <c r="BD335" i="7"/>
  <c r="BD386" i="7"/>
  <c r="BD340" i="7"/>
  <c r="BD331" i="7"/>
  <c r="BD329" i="7"/>
  <c r="BD332" i="7"/>
  <c r="BB8" i="10"/>
  <c r="BD341" i="7"/>
  <c r="BD330" i="7"/>
  <c r="BD347" i="7"/>
  <c r="BD326" i="7"/>
  <c r="BB10" i="10"/>
  <c r="BD253" i="7"/>
  <c r="BD336" i="7"/>
  <c r="BD334" i="7"/>
  <c r="BD252" i="7"/>
  <c r="BD230" i="7"/>
  <c r="AX36" i="8"/>
  <c r="AX39" i="8" s="1"/>
  <c r="AX22" i="13" s="1"/>
  <c r="BD346" i="7"/>
  <c r="BD240" i="7"/>
  <c r="BB86" i="14"/>
  <c r="BB87" i="14" s="1"/>
  <c r="BB88" i="14" s="1"/>
  <c r="BD344" i="7"/>
  <c r="BD338" i="7"/>
  <c r="BH219" i="22"/>
  <c r="BH217" i="22"/>
  <c r="BH215" i="22"/>
  <c r="BH211" i="22"/>
  <c r="BH209" i="22"/>
  <c r="BH207" i="22"/>
  <c r="BH205" i="22"/>
  <c r="BH203" i="22"/>
  <c r="BH199" i="22"/>
  <c r="BH223" i="22"/>
  <c r="BH227" i="22"/>
  <c r="BD80" i="21" s="1"/>
  <c r="BH220" i="22"/>
  <c r="BH218" i="22"/>
  <c r="BH216" i="22"/>
  <c r="BH212" i="22"/>
  <c r="BH210" i="22"/>
  <c r="BH208" i="22"/>
  <c r="BH224" i="22"/>
  <c r="BH200" i="22"/>
  <c r="BH197" i="22"/>
  <c r="BH194" i="22"/>
  <c r="BH192" i="22"/>
  <c r="BH190" i="22"/>
  <c r="BH188" i="22"/>
  <c r="BH196" i="22"/>
  <c r="BH204" i="22"/>
  <c r="BH206" i="22"/>
  <c r="BH195" i="22"/>
  <c r="BH183" i="22"/>
  <c r="BH181" i="22"/>
  <c r="BH179" i="22"/>
  <c r="BH186" i="22"/>
  <c r="BH185" i="22"/>
  <c r="BH175" i="22"/>
  <c r="BH172" i="22"/>
  <c r="BH182" i="22"/>
  <c r="BH171" i="22"/>
  <c r="BH198" i="22"/>
  <c r="BH168" i="22"/>
  <c r="BH166" i="22"/>
  <c r="BH164" i="22"/>
  <c r="BH162" i="22"/>
  <c r="BH193" i="22"/>
  <c r="BH191" i="22"/>
  <c r="BH184" i="22"/>
  <c r="BH173" i="22"/>
  <c r="BH180" i="22"/>
  <c r="BH177" i="22"/>
  <c r="BH189" i="22"/>
  <c r="BH165" i="22"/>
  <c r="BH174" i="22"/>
  <c r="BH163" i="22"/>
  <c r="BH154" i="22"/>
  <c r="BH178" i="22"/>
  <c r="BH176" i="22"/>
  <c r="BH170" i="22"/>
  <c r="BH161" i="22"/>
  <c r="BH143" i="22"/>
  <c r="BH152" i="22"/>
  <c r="BH147" i="22"/>
  <c r="BD65" i="21" s="1"/>
  <c r="BH169" i="22"/>
  <c r="BH151" i="22"/>
  <c r="BH142" i="22"/>
  <c r="BH157" i="22"/>
  <c r="BH153" i="22"/>
  <c r="BH144" i="22"/>
  <c r="BH136" i="22"/>
  <c r="BH138" i="22"/>
  <c r="BH187" i="22"/>
  <c r="BH127" i="22"/>
  <c r="BH126" i="22"/>
  <c r="BH123" i="22"/>
  <c r="BH139" i="22"/>
  <c r="BH122" i="22"/>
  <c r="BH121" i="22"/>
  <c r="BH113" i="22"/>
  <c r="BH111" i="22"/>
  <c r="BH107" i="22"/>
  <c r="BH105" i="22"/>
  <c r="BH103" i="22"/>
  <c r="BH101" i="22"/>
  <c r="BH158" i="22"/>
  <c r="BH150" i="22"/>
  <c r="BH125" i="22"/>
  <c r="BH120" i="22"/>
  <c r="BH119" i="22"/>
  <c r="BH137" i="22"/>
  <c r="BH118" i="22"/>
  <c r="BH117" i="22"/>
  <c r="BH135" i="22"/>
  <c r="BH116" i="22"/>
  <c r="BH167" i="22"/>
  <c r="BH124" i="22"/>
  <c r="BH133" i="22"/>
  <c r="BH129" i="22"/>
  <c r="BH114" i="22"/>
  <c r="BH104" i="22"/>
  <c r="BH130" i="22"/>
  <c r="BH94" i="22"/>
  <c r="BH112" i="22"/>
  <c r="BH115" i="22"/>
  <c r="BH97" i="22"/>
  <c r="BH100" i="22"/>
  <c r="BH134" i="22"/>
  <c r="BH99" i="22"/>
  <c r="BH108" i="22"/>
  <c r="BH76" i="22"/>
  <c r="BH128" i="22"/>
  <c r="BH92" i="22"/>
  <c r="BH79" i="22"/>
  <c r="BH86" i="22"/>
  <c r="BH95" i="22"/>
  <c r="BH87" i="22"/>
  <c r="BH75" i="22"/>
  <c r="BH90" i="22"/>
  <c r="BH96" i="22"/>
  <c r="BH78" i="22"/>
  <c r="BH91" i="22"/>
  <c r="BH88" i="22"/>
  <c r="BH83" i="22"/>
  <c r="BH106" i="22"/>
  <c r="BH89" i="22"/>
  <c r="BH93" i="22"/>
  <c r="BH84" i="22"/>
  <c r="BH64" i="22"/>
  <c r="BH63" i="22"/>
  <c r="BH72" i="22"/>
  <c r="BH102" i="22"/>
  <c r="BH71" i="22"/>
  <c r="BH62" i="22"/>
  <c r="BH61" i="22"/>
  <c r="BH60" i="22"/>
  <c r="BH59" i="22"/>
  <c r="BH85" i="22"/>
  <c r="BH58" i="22"/>
  <c r="BH81" i="22"/>
  <c r="BH82" i="22"/>
  <c r="BH80" i="22"/>
  <c r="BH77" i="22"/>
  <c r="BH69" i="22"/>
  <c r="BH57" i="22"/>
  <c r="BH98" i="22"/>
  <c r="BH70" i="22"/>
  <c r="BH38" i="22"/>
  <c r="BH36" i="22"/>
  <c r="BH67" i="22"/>
  <c r="BH56" i="22"/>
  <c r="BH51" i="22"/>
  <c r="BH53" i="22"/>
  <c r="BH48" i="22"/>
  <c r="BH46" i="22"/>
  <c r="BH52" i="22"/>
  <c r="BH40" i="22"/>
  <c r="BH50" i="22"/>
  <c r="BH66" i="22"/>
  <c r="BH44" i="22"/>
  <c r="BH37" i="22"/>
  <c r="BH35" i="22"/>
  <c r="BH54" i="22"/>
  <c r="BH47" i="22"/>
  <c r="BH43" i="22"/>
  <c r="BH68" i="22"/>
  <c r="BH55" i="22"/>
  <c r="BH39" i="22"/>
  <c r="BH45" i="22"/>
  <c r="BH42" i="22"/>
  <c r="BH14" i="22"/>
  <c r="BH12" i="22"/>
  <c r="BH10" i="22"/>
  <c r="BH27" i="22"/>
  <c r="BH25" i="22"/>
  <c r="BH65" i="22"/>
  <c r="BH41" i="22"/>
  <c r="BH29" i="22"/>
  <c r="BH22" i="22"/>
  <c r="BH17" i="22"/>
  <c r="BH19" i="22"/>
  <c r="BH32" i="22"/>
  <c r="BH26" i="22"/>
  <c r="BH20" i="22"/>
  <c r="BH28" i="22"/>
  <c r="BH16" i="22"/>
  <c r="BH24" i="22"/>
  <c r="BH34" i="22"/>
  <c r="BH21" i="22"/>
  <c r="BH18" i="22"/>
  <c r="BH13" i="22"/>
  <c r="BH11" i="22"/>
  <c r="BH9" i="22"/>
  <c r="BH30" i="22"/>
  <c r="BH15" i="22"/>
  <c r="BH23" i="22"/>
  <c r="BH33" i="22"/>
  <c r="BH31" i="22"/>
  <c r="BH49" i="22"/>
  <c r="BE46" i="7"/>
  <c r="BE40" i="7"/>
  <c r="BD325" i="7"/>
  <c r="BE45" i="7"/>
  <c r="BD246" i="7"/>
  <c r="BD237" i="7"/>
  <c r="BD238" i="7"/>
  <c r="BD248" i="7"/>
  <c r="BD242" i="7"/>
  <c r="BD233" i="7"/>
  <c r="BD223" i="7"/>
  <c r="BD249" i="7"/>
  <c r="BD250" i="7"/>
  <c r="BD241" i="7"/>
  <c r="BD251" i="7"/>
  <c r="BE47" i="7"/>
  <c r="BE51" i="7"/>
  <c r="BC323" i="7"/>
  <c r="BC388" i="7" s="1"/>
  <c r="BC142" i="14" s="1"/>
  <c r="BC143" i="14" s="1"/>
  <c r="BC147" i="14" s="1"/>
  <c r="BC148" i="14" s="1"/>
  <c r="BC149" i="14" s="1"/>
  <c r="BC150" i="14" s="1"/>
  <c r="BC151" i="14" s="1"/>
  <c r="BC152" i="14" s="1"/>
  <c r="BC157" i="14" s="1"/>
  <c r="BC160" i="14" s="1"/>
  <c r="BE128" i="7"/>
  <c r="BE129" i="7" s="1"/>
  <c r="BE147" i="7" s="1"/>
  <c r="BE110" i="7"/>
  <c r="BE55" i="7"/>
  <c r="BE158" i="7"/>
  <c r="BE173" i="7" s="1"/>
  <c r="BE188" i="7" s="1"/>
  <c r="BD41" i="7"/>
  <c r="BD99" i="7" s="1"/>
  <c r="BE114" i="7"/>
  <c r="BE115" i="7" s="1"/>
  <c r="BE153" i="7" s="1"/>
  <c r="BE42" i="7"/>
  <c r="BE124" i="7"/>
  <c r="BE125" i="7" s="1"/>
  <c r="BE58" i="7"/>
  <c r="BE65" i="7"/>
  <c r="AJ47" i="9"/>
  <c r="AJ51" i="9" s="1"/>
  <c r="AJ64" i="9" s="1"/>
  <c r="BE119" i="7"/>
  <c r="BE120" i="7" s="1"/>
  <c r="BE132" i="7" s="1"/>
  <c r="BE57" i="7"/>
  <c r="BE31" i="7"/>
  <c r="BE44" i="7"/>
  <c r="BC229" i="7"/>
  <c r="BC288" i="7" s="1"/>
  <c r="BE64" i="7"/>
  <c r="BE50" i="7"/>
  <c r="BE54" i="7"/>
  <c r="BE63" i="7"/>
  <c r="BE60" i="7"/>
  <c r="BE61" i="7"/>
  <c r="BE49" i="7"/>
  <c r="BE53" i="7"/>
  <c r="BE62" i="7"/>
  <c r="BF352" i="7"/>
  <c r="BF367" i="7" s="1"/>
  <c r="BF353" i="7"/>
  <c r="BF368" i="7" s="1"/>
  <c r="BF354" i="7"/>
  <c r="BF369" i="7" s="1"/>
  <c r="BF355" i="7"/>
  <c r="BF370" i="7" s="1"/>
  <c r="BF356" i="7"/>
  <c r="BF371" i="7" s="1"/>
  <c r="BF360" i="7"/>
  <c r="BF375" i="7" s="1"/>
  <c r="BF362" i="7"/>
  <c r="BF377" i="7" s="1"/>
  <c r="BF261" i="7"/>
  <c r="BF276" i="7" s="1"/>
  <c r="BF260" i="7"/>
  <c r="BF275" i="7" s="1"/>
  <c r="BF351" i="7"/>
  <c r="BF366" i="7" s="1"/>
  <c r="BF298" i="7"/>
  <c r="BF303" i="7" s="1"/>
  <c r="BF363" i="7"/>
  <c r="BF378" i="7" s="1"/>
  <c r="BF25" i="7"/>
  <c r="BF21" i="7"/>
  <c r="BF39" i="7"/>
  <c r="AX215" i="14"/>
  <c r="BF30" i="7"/>
  <c r="BF68" i="7"/>
  <c r="BF83" i="7" s="1"/>
  <c r="BF98" i="7" s="1"/>
  <c r="BF204" i="7"/>
  <c r="BF257" i="7"/>
  <c r="BF272" i="7" s="1"/>
  <c r="BF262" i="7"/>
  <c r="BF277" i="7" s="1"/>
  <c r="BF266" i="7"/>
  <c r="BF281" i="7" s="1"/>
  <c r="BF265" i="7"/>
  <c r="BF280" i="7" s="1"/>
  <c r="BF258" i="7"/>
  <c r="BF273" i="7" s="1"/>
  <c r="BF267" i="7"/>
  <c r="BF282" i="7" s="1"/>
  <c r="BF268" i="7"/>
  <c r="BF283" i="7" s="1"/>
  <c r="BF264" i="7"/>
  <c r="BF279" i="7" s="1"/>
  <c r="BF269" i="7"/>
  <c r="BF284" i="7" s="1"/>
  <c r="BF361" i="7"/>
  <c r="BF376" i="7" s="1"/>
  <c r="BF357" i="7"/>
  <c r="BF372" i="7" s="1"/>
  <c r="BF35" i="7"/>
  <c r="BA138" i="14"/>
  <c r="BF263" i="7"/>
  <c r="BF278" i="7" s="1"/>
  <c r="BF358" i="7"/>
  <c r="BF373" i="7" s="1"/>
  <c r="BC61" i="14"/>
  <c r="BC64" i="14" s="1"/>
  <c r="BC65" i="14" s="1"/>
  <c r="BD58" i="14"/>
  <c r="BD59" i="14" s="1"/>
  <c r="BD60" i="14" s="1"/>
  <c r="BF52" i="14"/>
  <c r="BF53" i="14" s="1"/>
  <c r="BE54" i="14"/>
  <c r="BE55" i="14" s="1"/>
  <c r="BE56" i="14" s="1"/>
  <c r="BE57" i="14" s="1"/>
  <c r="BD191" i="14"/>
  <c r="BF214" i="14"/>
  <c r="BF187" i="14"/>
  <c r="BF188" i="14" s="1"/>
  <c r="BF189" i="14" s="1"/>
  <c r="BD194" i="14"/>
  <c r="BD195" i="14" s="1"/>
  <c r="BD193" i="14"/>
  <c r="BC194" i="14"/>
  <c r="BC195" i="14" s="1"/>
  <c r="BC193" i="14"/>
  <c r="BE189" i="14"/>
  <c r="BE190" i="14"/>
  <c r="BB196" i="14"/>
  <c r="BB197" i="14" s="1"/>
  <c r="BA208" i="14"/>
  <c r="BF170" i="14"/>
  <c r="BF185" i="14" s="1"/>
  <c r="AW51" i="21"/>
  <c r="AZ46" i="21"/>
  <c r="AZ47" i="21" s="1"/>
  <c r="AZ48" i="21" s="1"/>
  <c r="AZ11" i="8" s="1"/>
  <c r="AZ39" i="21"/>
  <c r="BB81" i="21"/>
  <c r="BB12" i="8" s="1"/>
  <c r="BB13" i="8" s="1"/>
  <c r="AZ53" i="21"/>
  <c r="AZ54" i="21" s="1"/>
  <c r="AZ10" i="8" s="1"/>
  <c r="BB34" i="15"/>
  <c r="BA139" i="14"/>
  <c r="BC72" i="21"/>
  <c r="BC79" i="21"/>
  <c r="BB40" i="15"/>
  <c r="AK80" i="9"/>
  <c r="AK81" i="9" s="1"/>
  <c r="AK83" i="9" s="1"/>
  <c r="BB94" i="14"/>
  <c r="BB111" i="14" s="1"/>
  <c r="BB112" i="14" s="1"/>
  <c r="BB114" i="14" s="1"/>
  <c r="AV44" i="8"/>
  <c r="AV47" i="8" s="1"/>
  <c r="AV48" i="8" s="1"/>
  <c r="AV82" i="9"/>
  <c r="AW7" i="20"/>
  <c r="AW5" i="8" s="1"/>
  <c r="AW43" i="8" s="1"/>
  <c r="BC94" i="14"/>
  <c r="BC111" i="14" s="1"/>
  <c r="BC112" i="14" s="1"/>
  <c r="BB31" i="21"/>
  <c r="AM5" i="7"/>
  <c r="AM14" i="13" s="1"/>
  <c r="BB25" i="21"/>
  <c r="BB26" i="21" s="1"/>
  <c r="AY40" i="8"/>
  <c r="AY41" i="8"/>
  <c r="AY22" i="13"/>
  <c r="AZ62" i="9"/>
  <c r="AZ68" i="9" s="1"/>
  <c r="AZ53" i="9"/>
  <c r="AZ60" i="9" s="1"/>
  <c r="AZ66" i="9" s="1"/>
  <c r="BC71" i="21"/>
  <c r="BB73" i="21"/>
  <c r="BB66" i="21"/>
  <c r="BB68" i="21" s="1"/>
  <c r="BD15" i="17"/>
  <c r="BD27" i="13" s="1"/>
  <c r="BB100" i="14"/>
  <c r="BB101" i="14" s="1"/>
  <c r="BB102" i="14" s="1"/>
  <c r="BB107" i="14" s="1"/>
  <c r="BB110" i="14" s="1"/>
  <c r="AW12" i="20"/>
  <c r="AW6" i="8" s="1"/>
  <c r="AY62" i="9"/>
  <c r="AY68" i="9" s="1"/>
  <c r="BD8" i="21"/>
  <c r="BC76" i="21"/>
  <c r="BC60" i="21"/>
  <c r="BC78" i="21"/>
  <c r="AW81" i="9"/>
  <c r="AW83" i="9" s="1"/>
  <c r="AW87" i="9"/>
  <c r="AW88" i="9" s="1"/>
  <c r="BC62" i="21"/>
  <c r="BC100" i="14"/>
  <c r="BC101" i="14" s="1"/>
  <c r="BC102" i="14" s="1"/>
  <c r="BC107" i="14" s="1"/>
  <c r="BC110" i="14" s="1"/>
  <c r="AY47" i="9"/>
  <c r="AY51" i="9" s="1"/>
  <c r="AY64" i="9" s="1"/>
  <c r="BD13" i="15"/>
  <c r="BJ8" i="11" s="1"/>
  <c r="BD9" i="15"/>
  <c r="BJ6" i="11" s="1"/>
  <c r="BD31" i="15"/>
  <c r="BD32" i="15" s="1"/>
  <c r="BD33" i="15" s="1"/>
  <c r="BD34" i="15" s="1"/>
  <c r="BD17" i="15"/>
  <c r="BJ10" i="11" s="1"/>
  <c r="BD19" i="15"/>
  <c r="BJ11" i="11" s="1"/>
  <c r="BD15" i="15"/>
  <c r="BJ9" i="11" s="1"/>
  <c r="BD29" i="15"/>
  <c r="BD37" i="15" s="1"/>
  <c r="BD11" i="15"/>
  <c r="BJ7" i="11" s="1"/>
  <c r="BD7" i="15"/>
  <c r="BJ5" i="11" s="1"/>
  <c r="BD10" i="13"/>
  <c r="BC64" i="21"/>
  <c r="BC63" i="21"/>
  <c r="BC3" i="8"/>
  <c r="BC3" i="9"/>
  <c r="BG6" i="10" s="1"/>
  <c r="BC25" i="15"/>
  <c r="BC26" i="15"/>
  <c r="BE327" i="7"/>
  <c r="BE333" i="7"/>
  <c r="BC77" i="21"/>
  <c r="BB33" i="9"/>
  <c r="BB34" i="9" s="1"/>
  <c r="BF5" i="10" s="1"/>
  <c r="BB38" i="9"/>
  <c r="BB39" i="9" s="1"/>
  <c r="BB17" i="9"/>
  <c r="BB18" i="9" s="1"/>
  <c r="BF2" i="10" s="1"/>
  <c r="BB36" i="9"/>
  <c r="BF7" i="10" s="1"/>
  <c r="BB11" i="9"/>
  <c r="BB12" i="9" s="1"/>
  <c r="BB27" i="9"/>
  <c r="BB28" i="9" s="1"/>
  <c r="BF4" i="10" s="1"/>
  <c r="BB44" i="9"/>
  <c r="BB45" i="9" s="1"/>
  <c r="BB55" i="9" s="1"/>
  <c r="BB22" i="9"/>
  <c r="BB23" i="9" s="1"/>
  <c r="BF3" i="10" s="1"/>
  <c r="BB41" i="9"/>
  <c r="BB42" i="9" s="1"/>
  <c r="BB50" i="9" s="1"/>
  <c r="BE244" i="7"/>
  <c r="BE227" i="7"/>
  <c r="BC11" i="21"/>
  <c r="BC17" i="21"/>
  <c r="BC34" i="21"/>
  <c r="BC14" i="21"/>
  <c r="BC61" i="21"/>
  <c r="BC17" i="17"/>
  <c r="BC14" i="17"/>
  <c r="BC28" i="13" s="1"/>
  <c r="BB4" i="7"/>
  <c r="BB13" i="13" s="1"/>
  <c r="BB100" i="7"/>
  <c r="BB3" i="23" s="1"/>
  <c r="AZ41" i="8"/>
  <c r="AZ23" i="13" s="1"/>
  <c r="AZ40" i="8"/>
  <c r="AZ22" i="13"/>
  <c r="AY53" i="9"/>
  <c r="AY60" i="9" s="1"/>
  <c r="AY66" i="9" s="1"/>
  <c r="AV19" i="8"/>
  <c r="AV27" i="8" s="1"/>
  <c r="AV38" i="8" s="1"/>
  <c r="BF28" i="14"/>
  <c r="BF29" i="14" s="1"/>
  <c r="BF30" i="14" s="1"/>
  <c r="BF31" i="14" s="1"/>
  <c r="BF18" i="13" s="1"/>
  <c r="BF4" i="13"/>
  <c r="AU24" i="13"/>
  <c r="AU50" i="8"/>
  <c r="AU25" i="13" s="1"/>
  <c r="BE4" i="17"/>
  <c r="BE7" i="17" s="1"/>
  <c r="BE8" i="17" s="1"/>
  <c r="BE9" i="17" s="1"/>
  <c r="BE11" i="17" s="1"/>
  <c r="BE12" i="17" s="1"/>
  <c r="BE3" i="21"/>
  <c r="BE7" i="21" s="1"/>
  <c r="BE3" i="15"/>
  <c r="BE5" i="15" s="1"/>
  <c r="BK4" i="11" s="1"/>
  <c r="BC69" i="14"/>
  <c r="BB164" i="14"/>
  <c r="AZ47" i="9"/>
  <c r="AZ51" i="9" s="1"/>
  <c r="AZ64" i="9" s="1"/>
  <c r="AK86" i="9"/>
  <c r="AK87" i="9" s="1"/>
  <c r="AK88" i="9" s="1"/>
  <c r="AK89" i="9" s="1"/>
  <c r="AK5" i="20"/>
  <c r="AK71" i="9"/>
  <c r="AM56" i="21"/>
  <c r="AM6" i="7"/>
  <c r="AM15" i="13" s="1"/>
  <c r="AM289" i="7"/>
  <c r="AM13" i="23" s="1"/>
  <c r="AK6" i="7"/>
  <c r="AK15" i="13" s="1"/>
  <c r="AK289" i="7"/>
  <c r="AK13" i="23" s="1"/>
  <c r="AK74" i="9"/>
  <c r="AK3" i="20" s="1"/>
  <c r="AM12" i="20"/>
  <c r="AM6" i="8" s="1"/>
  <c r="AK50" i="21"/>
  <c r="AM7" i="20"/>
  <c r="AM5" i="8" s="1"/>
  <c r="AM43" i="8" s="1"/>
  <c r="AM81" i="9"/>
  <c r="AM83" i="9" s="1"/>
  <c r="AK57" i="21"/>
  <c r="AM7" i="7" l="1"/>
  <c r="AM16" i="13" s="1"/>
  <c r="AM389" i="7"/>
  <c r="AZ139" i="14"/>
  <c r="BE236" i="7"/>
  <c r="BE231" i="7"/>
  <c r="BD131" i="7"/>
  <c r="BD194" i="7" s="1"/>
  <c r="BD92" i="14" s="1"/>
  <c r="BD93" i="14" s="1"/>
  <c r="BD97" i="14" s="1"/>
  <c r="BD98" i="14" s="1"/>
  <c r="BD99" i="14" s="1"/>
  <c r="BE241" i="7"/>
  <c r="AZ289" i="7"/>
  <c r="AZ13" i="23" s="1"/>
  <c r="AZ6" i="7"/>
  <c r="AZ15" i="13" s="1"/>
  <c r="BA100" i="7"/>
  <c r="BA3" i="23" s="1"/>
  <c r="BF158" i="7"/>
  <c r="BF173" i="7" s="1"/>
  <c r="BF188" i="7" s="1"/>
  <c r="BF124" i="7"/>
  <c r="BF136" i="7" s="1"/>
  <c r="BF119" i="7"/>
  <c r="BF120" i="7" s="1"/>
  <c r="BF114" i="7"/>
  <c r="BF115" i="7" s="1"/>
  <c r="BF153" i="7" s="1"/>
  <c r="BB154" i="14"/>
  <c r="BB165" i="14" s="1"/>
  <c r="BB389" i="7" s="1"/>
  <c r="BF110" i="7"/>
  <c r="BF128" i="7"/>
  <c r="BF129" i="7" s="1"/>
  <c r="BF147" i="7" s="1"/>
  <c r="BE334" i="7"/>
  <c r="BE340" i="7"/>
  <c r="BE329" i="7"/>
  <c r="BE341" i="7"/>
  <c r="BE336" i="7"/>
  <c r="BE335" i="7"/>
  <c r="BE325" i="7"/>
  <c r="BE343" i="7"/>
  <c r="BE331" i="7"/>
  <c r="BE348" i="7"/>
  <c r="BE386" i="7"/>
  <c r="BE338" i="7"/>
  <c r="BE326" i="7"/>
  <c r="BE347" i="7"/>
  <c r="BE337" i="7"/>
  <c r="BE344" i="7"/>
  <c r="BE332" i="7"/>
  <c r="BE346" i="7"/>
  <c r="BE342" i="7"/>
  <c r="BE330" i="7"/>
  <c r="BA281" i="23"/>
  <c r="BA7" i="7"/>
  <c r="BA16" i="13" s="1"/>
  <c r="BB119" i="14"/>
  <c r="AZ4" i="7"/>
  <c r="AZ13" i="13" s="1"/>
  <c r="BE242" i="7"/>
  <c r="AK7" i="7"/>
  <c r="AK16" i="13" s="1"/>
  <c r="AK389" i="7"/>
  <c r="AK5" i="7"/>
  <c r="AK14" i="13" s="1"/>
  <c r="AK195" i="7"/>
  <c r="BE233" i="7"/>
  <c r="BE223" i="7"/>
  <c r="BC279" i="23"/>
  <c r="BB279" i="23"/>
  <c r="BF209" i="7"/>
  <c r="BF48" i="7"/>
  <c r="BE248" i="7"/>
  <c r="BE234" i="7"/>
  <c r="BE247" i="7"/>
  <c r="BD67" i="14"/>
  <c r="BD68" i="14" s="1"/>
  <c r="BD72" i="14" s="1"/>
  <c r="BD73" i="14" s="1"/>
  <c r="BD74" i="14" s="1"/>
  <c r="BD75" i="14" s="1"/>
  <c r="BD76" i="14" s="1"/>
  <c r="BD77" i="14" s="1"/>
  <c r="BD82" i="14" s="1"/>
  <c r="BD85" i="14" s="1"/>
  <c r="BC117" i="14"/>
  <c r="BC118" i="14" s="1"/>
  <c r="BC122" i="14" s="1"/>
  <c r="BC123" i="14" s="1"/>
  <c r="BC124" i="14" s="1"/>
  <c r="BC125" i="14" s="1"/>
  <c r="BC126" i="14" s="1"/>
  <c r="BC127" i="14" s="1"/>
  <c r="BC132" i="14" s="1"/>
  <c r="BC135" i="14" s="1"/>
  <c r="BE2" i="10"/>
  <c r="BE251" i="7"/>
  <c r="BL3" i="11"/>
  <c r="BJ3" i="22"/>
  <c r="BE240" i="7"/>
  <c r="BE235" i="7"/>
  <c r="BE254" i="7"/>
  <c r="BE245" i="7"/>
  <c r="BE243" i="7"/>
  <c r="BE237" i="7"/>
  <c r="BE218" i="7"/>
  <c r="BE252" i="7"/>
  <c r="BE232" i="7"/>
  <c r="BE238" i="7"/>
  <c r="BE246" i="7"/>
  <c r="BE250" i="7"/>
  <c r="AY11" i="8"/>
  <c r="BE249" i="7"/>
  <c r="BE253" i="7"/>
  <c r="BE239" i="7"/>
  <c r="BA195" i="7"/>
  <c r="BA4" i="9"/>
  <c r="BE3" i="10"/>
  <c r="BA44" i="15"/>
  <c r="BA45" i="15" s="1"/>
  <c r="BA4" i="21"/>
  <c r="BA39" i="21" s="1"/>
  <c r="BA4" i="20"/>
  <c r="BA9" i="8"/>
  <c r="BA36" i="8" s="1"/>
  <c r="BA39" i="8" s="1"/>
  <c r="BA41" i="8" s="1"/>
  <c r="BA23" i="13" s="1"/>
  <c r="BB89" i="14"/>
  <c r="BA56" i="9"/>
  <c r="BA57" i="9"/>
  <c r="BA59" i="9"/>
  <c r="AY55" i="21"/>
  <c r="AY57" i="21" s="1"/>
  <c r="BA49" i="9"/>
  <c r="BA58" i="9"/>
  <c r="AX11" i="8"/>
  <c r="AX50" i="21"/>
  <c r="AX55" i="21"/>
  <c r="AX57" i="21" s="1"/>
  <c r="BJ32" i="11"/>
  <c r="BE136" i="7"/>
  <c r="BJ101" i="11"/>
  <c r="BJ19" i="11"/>
  <c r="BJ113" i="11"/>
  <c r="BJ77" i="11"/>
  <c r="BJ37" i="11"/>
  <c r="BJ122" i="11"/>
  <c r="BJ96" i="11"/>
  <c r="BJ71" i="11"/>
  <c r="BJ135" i="11"/>
  <c r="BJ28" i="11"/>
  <c r="BJ110" i="11"/>
  <c r="BJ91" i="11"/>
  <c r="BJ86" i="11"/>
  <c r="BJ114" i="11"/>
  <c r="BJ85" i="11"/>
  <c r="BJ102" i="11"/>
  <c r="BJ64" i="11"/>
  <c r="BJ24" i="11"/>
  <c r="BJ133" i="11"/>
  <c r="BJ105" i="11"/>
  <c r="BJ90" i="11"/>
  <c r="BJ46" i="11"/>
  <c r="BJ134" i="11"/>
  <c r="BJ119" i="11"/>
  <c r="BJ43" i="11"/>
  <c r="BJ131" i="11"/>
  <c r="BJ40" i="11"/>
  <c r="BJ126" i="11"/>
  <c r="BJ84" i="11"/>
  <c r="BJ68" i="11"/>
  <c r="BJ124" i="11"/>
  <c r="BJ55" i="11"/>
  <c r="BJ52" i="11"/>
  <c r="BJ87" i="11"/>
  <c r="BJ125" i="11"/>
  <c r="BJ89" i="11"/>
  <c r="BJ59" i="11"/>
  <c r="BJ21" i="11"/>
  <c r="BJ88" i="11"/>
  <c r="BJ106" i="11"/>
  <c r="BI13" i="11"/>
  <c r="BI15" i="11" s="1"/>
  <c r="BJ26" i="11"/>
  <c r="BJ70" i="11"/>
  <c r="BJ130" i="11"/>
  <c r="BJ93" i="11"/>
  <c r="BJ33" i="11"/>
  <c r="BJ75" i="11"/>
  <c r="BJ112" i="11"/>
  <c r="BJ34" i="11"/>
  <c r="BJ100" i="11"/>
  <c r="BJ44" i="11"/>
  <c r="BJ109" i="11"/>
  <c r="BJ67" i="11"/>
  <c r="BJ57" i="11"/>
  <c r="BJ121" i="11"/>
  <c r="BJ49" i="11"/>
  <c r="BI12" i="11"/>
  <c r="BI14" i="11" s="1"/>
  <c r="BJ27" i="11"/>
  <c r="BJ117" i="11"/>
  <c r="BJ72" i="11"/>
  <c r="BJ118" i="11"/>
  <c r="BJ41" i="11"/>
  <c r="BJ95" i="11"/>
  <c r="BJ138" i="11"/>
  <c r="BJ128" i="11"/>
  <c r="BJ35" i="11"/>
  <c r="BJ104" i="11"/>
  <c r="BJ80" i="11"/>
  <c r="BJ54" i="11"/>
  <c r="BJ81" i="11"/>
  <c r="BJ116" i="11"/>
  <c r="BJ38" i="11"/>
  <c r="BJ136" i="11"/>
  <c r="AJ49" i="21"/>
  <c r="AJ50" i="21" s="1"/>
  <c r="BJ48" i="11"/>
  <c r="BJ120" i="11"/>
  <c r="BJ97" i="11"/>
  <c r="BJ61" i="11"/>
  <c r="BJ63" i="11"/>
  <c r="BJ127" i="11"/>
  <c r="BJ39" i="11"/>
  <c r="BE141" i="7"/>
  <c r="AX41" i="8"/>
  <c r="AX23" i="13" s="1"/>
  <c r="BJ53" i="11"/>
  <c r="BJ29" i="11"/>
  <c r="BJ99" i="11"/>
  <c r="BJ76" i="11"/>
  <c r="BJ98" i="11"/>
  <c r="BJ56" i="11"/>
  <c r="BJ47" i="11"/>
  <c r="BJ20" i="11"/>
  <c r="BD323" i="7"/>
  <c r="BD388" i="7" s="1"/>
  <c r="BD142" i="14" s="1"/>
  <c r="BD143" i="14" s="1"/>
  <c r="BD147" i="14" s="1"/>
  <c r="BD148" i="14" s="1"/>
  <c r="BD149" i="14" s="1"/>
  <c r="BD150" i="14" s="1"/>
  <c r="BD151" i="14" s="1"/>
  <c r="BD152" i="14" s="1"/>
  <c r="BD157" i="14" s="1"/>
  <c r="BD160" i="14" s="1"/>
  <c r="BJ111" i="11"/>
  <c r="BJ74" i="11"/>
  <c r="BJ129" i="11"/>
  <c r="BJ73" i="11"/>
  <c r="BJ132" i="11"/>
  <c r="BJ42" i="11"/>
  <c r="BJ51" i="11"/>
  <c r="BJ94" i="11"/>
  <c r="BJ65" i="11"/>
  <c r="BJ45" i="11"/>
  <c r="BJ123" i="11"/>
  <c r="BJ50" i="11"/>
  <c r="BJ62" i="11"/>
  <c r="BJ36" i="11"/>
  <c r="BJ25" i="11"/>
  <c r="AJ56" i="21"/>
  <c r="BJ31" i="11"/>
  <c r="BJ30" i="11"/>
  <c r="BJ107" i="11"/>
  <c r="BJ60" i="11"/>
  <c r="BJ137" i="11"/>
  <c r="BJ83" i="11"/>
  <c r="BJ82" i="11"/>
  <c r="BJ22" i="11"/>
  <c r="BJ103" i="11"/>
  <c r="BJ92" i="11"/>
  <c r="BJ108" i="11"/>
  <c r="BJ66" i="11"/>
  <c r="BJ58" i="11"/>
  <c r="BJ69" i="11"/>
  <c r="BJ115" i="11"/>
  <c r="BJ23" i="11"/>
  <c r="BF199" i="10"/>
  <c r="BF183" i="10"/>
  <c r="BF119" i="10"/>
  <c r="BF93" i="10"/>
  <c r="BF191" i="10"/>
  <c r="BF172" i="10"/>
  <c r="BF57" i="10"/>
  <c r="BF104" i="10"/>
  <c r="BF36" i="10"/>
  <c r="BF53" i="10"/>
  <c r="BF47" i="10"/>
  <c r="BF187" i="10"/>
  <c r="BF177" i="10"/>
  <c r="BF134" i="10"/>
  <c r="BF132" i="10"/>
  <c r="BF96" i="10"/>
  <c r="BF39" i="10"/>
  <c r="BF176" i="10"/>
  <c r="BF150" i="10"/>
  <c r="BF138" i="10"/>
  <c r="BF68" i="10"/>
  <c r="BF71" i="10"/>
  <c r="BF26" i="10"/>
  <c r="BF43" i="10"/>
  <c r="BF170" i="10"/>
  <c r="BF147" i="10"/>
  <c r="BF101" i="10"/>
  <c r="BF95" i="10"/>
  <c r="BF60" i="10"/>
  <c r="BF174" i="10"/>
  <c r="BF122" i="10"/>
  <c r="BF73" i="10"/>
  <c r="BF64" i="10"/>
  <c r="BF59" i="10"/>
  <c r="BF200" i="10"/>
  <c r="BF114" i="10"/>
  <c r="BF97" i="10"/>
  <c r="BF125" i="10"/>
  <c r="BF50" i="10"/>
  <c r="BF180" i="10"/>
  <c r="BF193" i="10"/>
  <c r="BF175" i="10"/>
  <c r="BF49" i="10"/>
  <c r="BF184" i="10"/>
  <c r="BF198" i="10"/>
  <c r="BF153" i="10"/>
  <c r="BF128" i="10"/>
  <c r="BF123" i="10"/>
  <c r="BF56" i="10"/>
  <c r="BF195" i="10"/>
  <c r="BF103" i="10"/>
  <c r="BF139" i="10"/>
  <c r="BF165" i="10"/>
  <c r="BF162" i="10"/>
  <c r="BF185" i="10"/>
  <c r="BF188" i="10"/>
  <c r="BF131" i="10"/>
  <c r="BF66" i="10"/>
  <c r="BF94" i="10"/>
  <c r="BF48" i="10"/>
  <c r="BF155" i="10"/>
  <c r="BF152" i="10"/>
  <c r="BF99" i="10"/>
  <c r="BF58" i="10"/>
  <c r="BF35" i="10"/>
  <c r="BF163" i="10"/>
  <c r="BF129" i="10"/>
  <c r="BF61" i="10"/>
  <c r="BF186" i="10"/>
  <c r="BF166" i="10"/>
  <c r="BF120" i="10"/>
  <c r="BF127" i="10"/>
  <c r="BF126" i="10"/>
  <c r="BF105" i="10"/>
  <c r="BF90" i="10"/>
  <c r="BF38" i="10"/>
  <c r="BF28" i="10"/>
  <c r="BF20" i="10"/>
  <c r="BF45" i="10"/>
  <c r="BF72" i="10"/>
  <c r="BF25" i="10"/>
  <c r="BF30" i="10"/>
  <c r="BF17" i="10"/>
  <c r="BF167" i="10"/>
  <c r="BF112" i="10"/>
  <c r="BF124" i="10"/>
  <c r="BF52" i="10"/>
  <c r="BF65" i="10"/>
  <c r="BF37" i="10"/>
  <c r="BF173" i="10"/>
  <c r="BF135" i="10"/>
  <c r="BF143" i="10"/>
  <c r="BF110" i="10"/>
  <c r="BF106" i="10"/>
  <c r="BF44" i="10"/>
  <c r="BF29" i="10"/>
  <c r="BF190" i="10"/>
  <c r="BF169" i="10"/>
  <c r="BF154" i="10"/>
  <c r="BF145" i="10"/>
  <c r="BF136" i="10"/>
  <c r="BF88" i="10"/>
  <c r="BF160" i="10"/>
  <c r="BF87" i="10"/>
  <c r="BF98" i="10"/>
  <c r="BF84" i="10"/>
  <c r="BF161" i="10"/>
  <c r="BF157" i="10"/>
  <c r="BF117" i="10"/>
  <c r="BF63" i="10"/>
  <c r="BF168" i="10"/>
  <c r="BF137" i="10"/>
  <c r="BF118" i="10"/>
  <c r="BF70" i="10"/>
  <c r="BF42" i="10"/>
  <c r="BF179" i="10"/>
  <c r="BF156" i="10"/>
  <c r="BF116" i="10"/>
  <c r="BF115" i="10"/>
  <c r="BF40" i="10"/>
  <c r="BF182" i="10"/>
  <c r="BF196" i="10"/>
  <c r="BF148" i="10"/>
  <c r="BF113" i="10"/>
  <c r="BF62" i="10"/>
  <c r="BF31" i="10"/>
  <c r="BF192" i="10"/>
  <c r="BF144" i="10"/>
  <c r="BF89" i="10"/>
  <c r="BF111" i="10"/>
  <c r="BF80" i="10"/>
  <c r="BF54" i="10"/>
  <c r="BF82" i="10"/>
  <c r="BF21" i="10"/>
  <c r="BF171" i="10"/>
  <c r="BF81" i="10"/>
  <c r="BF100" i="10"/>
  <c r="BF46" i="10"/>
  <c r="BF41" i="10"/>
  <c r="BF197" i="10"/>
  <c r="BF158" i="10"/>
  <c r="BF149" i="10"/>
  <c r="BF146" i="10"/>
  <c r="BF109" i="10"/>
  <c r="BF83" i="10"/>
  <c r="BF51" i="10"/>
  <c r="BF33" i="10"/>
  <c r="BF189" i="10"/>
  <c r="BF201" i="10"/>
  <c r="BF108" i="10"/>
  <c r="BF74" i="10"/>
  <c r="BF75" i="10"/>
  <c r="BF86" i="10"/>
  <c r="BF27" i="10"/>
  <c r="BF181" i="10"/>
  <c r="BF164" i="10"/>
  <c r="BF107" i="10"/>
  <c r="BF19" i="10"/>
  <c r="BF202" i="10"/>
  <c r="BF178" i="10"/>
  <c r="BF130" i="10"/>
  <c r="BF121" i="10"/>
  <c r="BF85" i="10"/>
  <c r="BF194" i="10"/>
  <c r="BF159" i="10"/>
  <c r="BF133" i="10"/>
  <c r="BF91" i="10"/>
  <c r="BF102" i="10"/>
  <c r="BF92" i="10"/>
  <c r="BF69" i="10"/>
  <c r="BF151" i="10"/>
  <c r="BF67" i="10"/>
  <c r="BF16" i="10"/>
  <c r="BF24" i="10"/>
  <c r="BF32" i="10"/>
  <c r="BF22" i="10"/>
  <c r="BF34" i="10"/>
  <c r="BF18" i="10"/>
  <c r="BF55" i="10"/>
  <c r="BF23" i="10"/>
  <c r="BE149" i="7"/>
  <c r="BD229" i="7"/>
  <c r="BD288" i="7" s="1"/>
  <c r="BE135" i="7"/>
  <c r="AX40" i="8"/>
  <c r="BI223" i="22"/>
  <c r="BI227" i="22"/>
  <c r="BE80" i="21" s="1"/>
  <c r="BI220" i="22"/>
  <c r="BI218" i="22"/>
  <c r="BI216" i="22"/>
  <c r="BI212" i="22"/>
  <c r="BI210" i="22"/>
  <c r="BI208" i="22"/>
  <c r="BI224" i="22"/>
  <c r="BI203" i="22"/>
  <c r="BI196" i="22"/>
  <c r="BI217" i="22"/>
  <c r="BI204" i="22"/>
  <c r="BI205" i="22"/>
  <c r="BI211" i="22"/>
  <c r="BI209" i="22"/>
  <c r="BI206" i="22"/>
  <c r="BI219" i="22"/>
  <c r="BI192" i="22"/>
  <c r="BI197" i="22"/>
  <c r="BI194" i="22"/>
  <c r="BI183" i="22"/>
  <c r="BI181" i="22"/>
  <c r="BI179" i="22"/>
  <c r="BI177" i="22"/>
  <c r="BI175" i="22"/>
  <c r="BI173" i="22"/>
  <c r="BI190" i="22"/>
  <c r="BI187" i="22"/>
  <c r="BI207" i="22"/>
  <c r="BI215" i="22"/>
  <c r="BI189" i="22"/>
  <c r="BI193" i="22"/>
  <c r="BI191" i="22"/>
  <c r="BI172" i="22"/>
  <c r="BI182" i="22"/>
  <c r="BI171" i="22"/>
  <c r="BI198" i="22"/>
  <c r="BI168" i="22"/>
  <c r="BI166" i="22"/>
  <c r="BI164" i="22"/>
  <c r="BI162" i="22"/>
  <c r="BI158" i="22"/>
  <c r="BI184" i="22"/>
  <c r="BI195" i="22"/>
  <c r="BI185" i="22"/>
  <c r="BI178" i="22"/>
  <c r="BI170" i="22"/>
  <c r="BI188" i="22"/>
  <c r="BI180" i="22"/>
  <c r="BI200" i="22"/>
  <c r="BI174" i="22"/>
  <c r="BI186" i="22"/>
  <c r="BI163" i="22"/>
  <c r="BI154" i="22"/>
  <c r="BI152" i="22"/>
  <c r="BI150" i="22"/>
  <c r="BI144" i="22"/>
  <c r="BI142" i="22"/>
  <c r="BI139" i="22"/>
  <c r="BI133" i="22"/>
  <c r="BI129" i="22"/>
  <c r="BI127" i="22"/>
  <c r="BI125" i="22"/>
  <c r="BI123" i="22"/>
  <c r="BI121" i="22"/>
  <c r="BI119" i="22"/>
  <c r="BI117" i="22"/>
  <c r="BI115" i="22"/>
  <c r="BI199" i="22"/>
  <c r="BI169" i="22"/>
  <c r="BI151" i="22"/>
  <c r="BI157" i="22"/>
  <c r="BI153" i="22"/>
  <c r="BI165" i="22"/>
  <c r="BI136" i="22"/>
  <c r="BI135" i="22"/>
  <c r="BI176" i="22"/>
  <c r="BI134" i="22"/>
  <c r="BI130" i="22"/>
  <c r="BI161" i="22"/>
  <c r="BI143" i="22"/>
  <c r="BI126" i="22"/>
  <c r="BI122" i="22"/>
  <c r="BI113" i="22"/>
  <c r="BI111" i="22"/>
  <c r="BI107" i="22"/>
  <c r="BI105" i="22"/>
  <c r="BI138" i="22"/>
  <c r="BI120" i="22"/>
  <c r="BI147" i="22"/>
  <c r="BE65" i="21" s="1"/>
  <c r="BI137" i="22"/>
  <c r="BI118" i="22"/>
  <c r="BI116" i="22"/>
  <c r="BI167" i="22"/>
  <c r="BI124" i="22"/>
  <c r="BI128" i="22"/>
  <c r="BI98" i="22"/>
  <c r="BI112" i="22"/>
  <c r="BI101" i="22"/>
  <c r="BI97" i="22"/>
  <c r="BI91" i="22"/>
  <c r="BI89" i="22"/>
  <c r="BI102" i="22"/>
  <c r="BI93" i="22"/>
  <c r="BI103" i="22"/>
  <c r="BI106" i="22"/>
  <c r="BI114" i="22"/>
  <c r="BI104" i="22"/>
  <c r="BI92" i="22"/>
  <c r="BI79" i="22"/>
  <c r="BI94" i="22"/>
  <c r="BI86" i="22"/>
  <c r="BI100" i="22"/>
  <c r="BI95" i="22"/>
  <c r="BI87" i="22"/>
  <c r="BI90" i="22"/>
  <c r="BI96" i="22"/>
  <c r="BI78" i="22"/>
  <c r="BI99" i="22"/>
  <c r="BI108" i="22"/>
  <c r="BI88" i="22"/>
  <c r="BI83" i="22"/>
  <c r="BI82" i="22"/>
  <c r="BI84" i="22"/>
  <c r="BI85" i="22"/>
  <c r="BI72" i="22"/>
  <c r="BI71" i="22"/>
  <c r="BI62" i="22"/>
  <c r="BI61" i="22"/>
  <c r="BI56" i="22"/>
  <c r="BI54" i="22"/>
  <c r="BI52" i="22"/>
  <c r="BI50" i="22"/>
  <c r="BI48" i="22"/>
  <c r="BI46" i="22"/>
  <c r="BI44" i="22"/>
  <c r="BI42" i="22"/>
  <c r="BI40" i="22"/>
  <c r="BI75" i="22"/>
  <c r="BI60" i="22"/>
  <c r="BI59" i="22"/>
  <c r="BI58" i="22"/>
  <c r="BI81" i="22"/>
  <c r="BI76" i="22"/>
  <c r="BI80" i="22"/>
  <c r="BI77" i="22"/>
  <c r="BI69" i="22"/>
  <c r="BI57" i="22"/>
  <c r="BI55" i="22"/>
  <c r="BI53" i="22"/>
  <c r="BI51" i="22"/>
  <c r="BI70" i="22"/>
  <c r="BI68" i="22"/>
  <c r="BI67" i="22"/>
  <c r="BI66" i="22"/>
  <c r="BI65" i="22"/>
  <c r="BI64" i="22"/>
  <c r="BI63" i="22"/>
  <c r="BI41" i="22"/>
  <c r="BI37" i="22"/>
  <c r="BI35" i="22"/>
  <c r="BI33" i="22"/>
  <c r="BI31" i="22"/>
  <c r="BI29" i="22"/>
  <c r="BI27" i="22"/>
  <c r="BI25" i="22"/>
  <c r="BI23" i="22"/>
  <c r="BI47" i="22"/>
  <c r="BI43" i="22"/>
  <c r="BI39" i="22"/>
  <c r="BI49" i="22"/>
  <c r="BI38" i="22"/>
  <c r="BI36" i="22"/>
  <c r="BI34" i="22"/>
  <c r="BI32" i="22"/>
  <c r="BI17" i="22"/>
  <c r="BI22" i="22"/>
  <c r="BI45" i="22"/>
  <c r="BI26" i="22"/>
  <c r="BI20" i="22"/>
  <c r="BI28" i="22"/>
  <c r="BI16" i="22"/>
  <c r="BI24" i="22"/>
  <c r="BI21" i="22"/>
  <c r="BI18" i="22"/>
  <c r="BI13" i="22"/>
  <c r="BI11" i="22"/>
  <c r="BI9" i="22"/>
  <c r="BI30" i="22"/>
  <c r="BI15" i="22"/>
  <c r="BI19" i="22"/>
  <c r="BI14" i="22"/>
  <c r="BI12" i="22"/>
  <c r="BI10" i="22"/>
  <c r="AX53" i="9"/>
  <c r="AX60" i="9" s="1"/>
  <c r="AX66" i="9" s="1"/>
  <c r="AX47" i="9"/>
  <c r="AX51" i="9" s="1"/>
  <c r="AX64" i="9" s="1"/>
  <c r="AX62" i="9"/>
  <c r="AX68" i="9" s="1"/>
  <c r="BE151" i="7"/>
  <c r="BE140" i="7"/>
  <c r="BE143" i="7"/>
  <c r="BC144" i="14"/>
  <c r="BC161" i="14" s="1"/>
  <c r="BC162" i="14" s="1"/>
  <c r="BC163" i="14" s="1"/>
  <c r="BE155" i="7"/>
  <c r="BE148" i="7"/>
  <c r="BE133" i="7"/>
  <c r="BE152" i="7"/>
  <c r="BE150" i="7"/>
  <c r="BE156" i="7"/>
  <c r="BE146" i="7"/>
  <c r="BE134" i="7"/>
  <c r="BE192" i="7"/>
  <c r="BE154" i="7"/>
  <c r="BF316" i="7"/>
  <c r="BF317" i="7" s="1"/>
  <c r="BF328" i="7" s="1"/>
  <c r="BE138" i="7"/>
  <c r="BE137" i="7"/>
  <c r="BF311" i="7"/>
  <c r="BF312" i="7" s="1"/>
  <c r="BF333" i="7" s="1"/>
  <c r="BE142" i="7"/>
  <c r="BF302" i="7"/>
  <c r="BF350" i="7"/>
  <c r="BF365" i="7" s="1"/>
  <c r="BF380" i="7" s="1"/>
  <c r="BF306" i="7"/>
  <c r="BF307" i="7" s="1"/>
  <c r="BF345" i="7" s="1"/>
  <c r="BE41" i="7"/>
  <c r="BE99" i="7" s="1"/>
  <c r="AJ5" i="20"/>
  <c r="AJ86" i="9"/>
  <c r="BE139" i="7"/>
  <c r="BE145" i="7"/>
  <c r="AJ71" i="9"/>
  <c r="AJ4" i="8"/>
  <c r="BE144" i="7"/>
  <c r="AJ74" i="9"/>
  <c r="AJ3" i="20" s="1"/>
  <c r="AJ80" i="9"/>
  <c r="BF320" i="7"/>
  <c r="BF321" i="7" s="1"/>
  <c r="BF339" i="7" s="1"/>
  <c r="BF55" i="7"/>
  <c r="BF31" i="7"/>
  <c r="BF65" i="7"/>
  <c r="BF46" i="7"/>
  <c r="BF66" i="7"/>
  <c r="BF42" i="7"/>
  <c r="BF59" i="7"/>
  <c r="BF26" i="7"/>
  <c r="BF57" i="7"/>
  <c r="BF47" i="7"/>
  <c r="BF208" i="7"/>
  <c r="BF217" i="7"/>
  <c r="BF218" i="7" s="1"/>
  <c r="BF226" i="7"/>
  <c r="BF227" i="7" s="1"/>
  <c r="BF256" i="7"/>
  <c r="BF271" i="7" s="1"/>
  <c r="BF286" i="7" s="1"/>
  <c r="BF43" i="7"/>
  <c r="BF51" i="7"/>
  <c r="BF212" i="7"/>
  <c r="BF213" i="7" s="1"/>
  <c r="BF222" i="7"/>
  <c r="BF233" i="7" s="1"/>
  <c r="BF44" i="7"/>
  <c r="BF52" i="7"/>
  <c r="BF56" i="7"/>
  <c r="BF40" i="7"/>
  <c r="BF45" i="7"/>
  <c r="BF36" i="7"/>
  <c r="BF58" i="7"/>
  <c r="BF50" i="7"/>
  <c r="BF64" i="7"/>
  <c r="BF49" i="7"/>
  <c r="BF61" i="7"/>
  <c r="BF62" i="7"/>
  <c r="BF53" i="7"/>
  <c r="BF60" i="7"/>
  <c r="BF54" i="7"/>
  <c r="BF63" i="7"/>
  <c r="BD62" i="14"/>
  <c r="BD63" i="14" s="1"/>
  <c r="BD61" i="14"/>
  <c r="BE58" i="14"/>
  <c r="BE59" i="14" s="1"/>
  <c r="BE60" i="14" s="1"/>
  <c r="BE62" i="14" s="1"/>
  <c r="BE63" i="14" s="1"/>
  <c r="BF54" i="14"/>
  <c r="BF55" i="14" s="1"/>
  <c r="BF56" i="14" s="1"/>
  <c r="BF57" i="14" s="1"/>
  <c r="BA210" i="14"/>
  <c r="BA211" i="14" s="1"/>
  <c r="BA213" i="14" s="1"/>
  <c r="BA215" i="14" s="1"/>
  <c r="BF190" i="14"/>
  <c r="BF191" i="14" s="1"/>
  <c r="BD196" i="14"/>
  <c r="BD197" i="14" s="1"/>
  <c r="BB199" i="14"/>
  <c r="BB202" i="14" s="1"/>
  <c r="BB206" i="14" s="1"/>
  <c r="BB201" i="14"/>
  <c r="BB205" i="14" s="1"/>
  <c r="BE192" i="14"/>
  <c r="BE191" i="14"/>
  <c r="BC196" i="14"/>
  <c r="BC197" i="14" s="1"/>
  <c r="AZ49" i="21"/>
  <c r="AZ51" i="21" s="1"/>
  <c r="AZ55" i="21"/>
  <c r="AZ57" i="21" s="1"/>
  <c r="BC73" i="21"/>
  <c r="BC79" i="14"/>
  <c r="BC90" i="14" s="1"/>
  <c r="BC100" i="7" s="1"/>
  <c r="BC3" i="23" s="1"/>
  <c r="BF146" i="7"/>
  <c r="AV24" i="13"/>
  <c r="AV50" i="8"/>
  <c r="AV25" i="13" s="1"/>
  <c r="BD79" i="21"/>
  <c r="BB21" i="15"/>
  <c r="BB5" i="9" s="1"/>
  <c r="BB113" i="14"/>
  <c r="BF133" i="7"/>
  <c r="BF125" i="7"/>
  <c r="BF192" i="7" s="1"/>
  <c r="BF145" i="7"/>
  <c r="AY50" i="21"/>
  <c r="BC114" i="14"/>
  <c r="BC113" i="14"/>
  <c r="BD94" i="14"/>
  <c r="BD111" i="14" s="1"/>
  <c r="BD112" i="14" s="1"/>
  <c r="BD113" i="14" s="1"/>
  <c r="BF142" i="7"/>
  <c r="BB104" i="14"/>
  <c r="BB115" i="14" s="1"/>
  <c r="BC104" i="14"/>
  <c r="BC115" i="14" s="1"/>
  <c r="BC195" i="7" s="1"/>
  <c r="BB35" i="21"/>
  <c r="BB36" i="21" s="1"/>
  <c r="BF137" i="7"/>
  <c r="AW89" i="9"/>
  <c r="BC20" i="21"/>
  <c r="BC25" i="21" s="1"/>
  <c r="BD38" i="15"/>
  <c r="BD39" i="15" s="1"/>
  <c r="BC66" i="21"/>
  <c r="BC68" i="21" s="1"/>
  <c r="BD60" i="21"/>
  <c r="BE15" i="15"/>
  <c r="BK9" i="11" s="1"/>
  <c r="BE17" i="15"/>
  <c r="BK10" i="11" s="1"/>
  <c r="BE13" i="15"/>
  <c r="BK8" i="11" s="1"/>
  <c r="BE19" i="15"/>
  <c r="BK11" i="11" s="1"/>
  <c r="BE9" i="15"/>
  <c r="BK6" i="11" s="1"/>
  <c r="BE31" i="15"/>
  <c r="BE7" i="15"/>
  <c r="BK5" i="11" s="1"/>
  <c r="BE29" i="15"/>
  <c r="BE37" i="15" s="1"/>
  <c r="BE38" i="15" s="1"/>
  <c r="BE39" i="15" s="1"/>
  <c r="BE40" i="15" s="1"/>
  <c r="BE10" i="13"/>
  <c r="BE11" i="15"/>
  <c r="BK7" i="11" s="1"/>
  <c r="AY5" i="20"/>
  <c r="AY86" i="9"/>
  <c r="BD25" i="15"/>
  <c r="BD26" i="15"/>
  <c r="BC81" i="21"/>
  <c r="BC12" i="8" s="1"/>
  <c r="BC13" i="8" s="1"/>
  <c r="AW44" i="8"/>
  <c r="AW47" i="8" s="1"/>
  <c r="AW48" i="8" s="1"/>
  <c r="AW19" i="8"/>
  <c r="AW27" i="8" s="1"/>
  <c r="AW38" i="8" s="1"/>
  <c r="BB8" i="8"/>
  <c r="AZ71" i="9"/>
  <c r="AZ4" i="8"/>
  <c r="AZ86" i="9"/>
  <c r="AZ87" i="9" s="1"/>
  <c r="AZ88" i="9" s="1"/>
  <c r="AZ89" i="9" s="1"/>
  <c r="AZ5" i="20"/>
  <c r="AZ74" i="9"/>
  <c r="AZ3" i="20" s="1"/>
  <c r="AZ80" i="9"/>
  <c r="BB9" i="8"/>
  <c r="BD72" i="21"/>
  <c r="AY23" i="13"/>
  <c r="BF3" i="15"/>
  <c r="BF5" i="15" s="1"/>
  <c r="BL4" i="11" s="1"/>
  <c r="BF4" i="17"/>
  <c r="BF7" i="17" s="1"/>
  <c r="BF8" i="17" s="1"/>
  <c r="BF9" i="17" s="1"/>
  <c r="BF11" i="17" s="1"/>
  <c r="BF12" i="17" s="1"/>
  <c r="BF3" i="21"/>
  <c r="BF7" i="21" s="1"/>
  <c r="BB59" i="9"/>
  <c r="BB58" i="9"/>
  <c r="BB54" i="9"/>
  <c r="BB49" i="9"/>
  <c r="BD76" i="21"/>
  <c r="AY80" i="9"/>
  <c r="AY74" i="9"/>
  <c r="AY3" i="20" s="1"/>
  <c r="BD62" i="21"/>
  <c r="BC86" i="14"/>
  <c r="BC87" i="14" s="1"/>
  <c r="BC89" i="14" s="1"/>
  <c r="BB22" i="15"/>
  <c r="BB43" i="15" s="1"/>
  <c r="BF4" i="22" s="1"/>
  <c r="BB7" i="8"/>
  <c r="BC44" i="9"/>
  <c r="BC45" i="9" s="1"/>
  <c r="BC55" i="9" s="1"/>
  <c r="BC33" i="9"/>
  <c r="BC34" i="9" s="1"/>
  <c r="BG5" i="10" s="1"/>
  <c r="BC22" i="9"/>
  <c r="BC23" i="9" s="1"/>
  <c r="BG3" i="10" s="1"/>
  <c r="BC41" i="9"/>
  <c r="BC42" i="9" s="1"/>
  <c r="BC50" i="9" s="1"/>
  <c r="BC17" i="9"/>
  <c r="BC18" i="9" s="1"/>
  <c r="BG2" i="10" s="1"/>
  <c r="BC36" i="9"/>
  <c r="BG7" i="10" s="1"/>
  <c r="BC38" i="9"/>
  <c r="BC39" i="9" s="1"/>
  <c r="BC11" i="9"/>
  <c r="BC12" i="9" s="1"/>
  <c r="BC27" i="9"/>
  <c r="BC28" i="9" s="1"/>
  <c r="BG4" i="10" s="1"/>
  <c r="BD77" i="21"/>
  <c r="AY71" i="9"/>
  <c r="AY4" i="8"/>
  <c r="BB56" i="9"/>
  <c r="BB57" i="9"/>
  <c r="BB48" i="9"/>
  <c r="BD61" i="21"/>
  <c r="BF132" i="7"/>
  <c r="BF150" i="7"/>
  <c r="BF152" i="7"/>
  <c r="BF156" i="7"/>
  <c r="BF139" i="7"/>
  <c r="BF135" i="7"/>
  <c r="BF149" i="7"/>
  <c r="BF148" i="7"/>
  <c r="BF141" i="7"/>
  <c r="BF151" i="7"/>
  <c r="BF155" i="7"/>
  <c r="BF140" i="7"/>
  <c r="BF154" i="7"/>
  <c r="BF134" i="7"/>
  <c r="BD78" i="21"/>
  <c r="BD71" i="21"/>
  <c r="BF143" i="7"/>
  <c r="BD100" i="14"/>
  <c r="BD101" i="14" s="1"/>
  <c r="BD102" i="14" s="1"/>
  <c r="BD107" i="14" s="1"/>
  <c r="BD110" i="14" s="1"/>
  <c r="BE8" i="21"/>
  <c r="BF138" i="7"/>
  <c r="BD3" i="8"/>
  <c r="BD3" i="9"/>
  <c r="BH6" i="10" s="1"/>
  <c r="BD64" i="21"/>
  <c r="BD63" i="21"/>
  <c r="BD14" i="21"/>
  <c r="BD20" i="21" s="1"/>
  <c r="BD28" i="21" s="1"/>
  <c r="BD17" i="21"/>
  <c r="BD34" i="21"/>
  <c r="BD11" i="21"/>
  <c r="BE15" i="17"/>
  <c r="BE27" i="13" s="1"/>
  <c r="BF144" i="7"/>
  <c r="AW82" i="9"/>
  <c r="BD14" i="17"/>
  <c r="BD28" i="13" s="1"/>
  <c r="BD17" i="17"/>
  <c r="AK7" i="20"/>
  <c r="AK5" i="8" s="1"/>
  <c r="AK43" i="8" s="1"/>
  <c r="AK12" i="20"/>
  <c r="AK6" i="8" s="1"/>
  <c r="AM19" i="8"/>
  <c r="AM27" i="8" s="1"/>
  <c r="AM38" i="8" s="1"/>
  <c r="AM82" i="9"/>
  <c r="AM44" i="8"/>
  <c r="AM47" i="8" s="1"/>
  <c r="AM48" i="8" s="1"/>
  <c r="AK82" i="9"/>
  <c r="BB7" i="7" l="1"/>
  <c r="BB16" i="13" s="1"/>
  <c r="AY56" i="21"/>
  <c r="BE323" i="7"/>
  <c r="BE388" i="7" s="1"/>
  <c r="BE142" i="14" s="1"/>
  <c r="BA53" i="21"/>
  <c r="BA54" i="21" s="1"/>
  <c r="BA55" i="21" s="1"/>
  <c r="BA56" i="21" s="1"/>
  <c r="BA43" i="21"/>
  <c r="BA46" i="21"/>
  <c r="BA47" i="21" s="1"/>
  <c r="BA48" i="21" s="1"/>
  <c r="BA11" i="8" s="1"/>
  <c r="BE175" i="10"/>
  <c r="BB129" i="14"/>
  <c r="BB140" i="14" s="1"/>
  <c r="BB136" i="14"/>
  <c r="BB281" i="23"/>
  <c r="BE60" i="10"/>
  <c r="BE114" i="10"/>
  <c r="BE41" i="10"/>
  <c r="BE75" i="10"/>
  <c r="BE34" i="10"/>
  <c r="BE189" i="10"/>
  <c r="BE109" i="10"/>
  <c r="BE111" i="10"/>
  <c r="BE17" i="10"/>
  <c r="BE99" i="10"/>
  <c r="BE183" i="10"/>
  <c r="BC119" i="14"/>
  <c r="BC129" i="14" s="1"/>
  <c r="BC140" i="14" s="1"/>
  <c r="BC6" i="7" s="1"/>
  <c r="BC15" i="13" s="1"/>
  <c r="BD69" i="14"/>
  <c r="BD86" i="14" s="1"/>
  <c r="BD87" i="14" s="1"/>
  <c r="BD88" i="14" s="1"/>
  <c r="BE116" i="10"/>
  <c r="BE55" i="10"/>
  <c r="BE136" i="10"/>
  <c r="BE52" i="10"/>
  <c r="BE85" i="10"/>
  <c r="BE192" i="10"/>
  <c r="BE148" i="10"/>
  <c r="BE163" i="10"/>
  <c r="BE125" i="10"/>
  <c r="BE53" i="10"/>
  <c r="BE129" i="10"/>
  <c r="BE21" i="10"/>
  <c r="BE135" i="10"/>
  <c r="BE86" i="10"/>
  <c r="BE107" i="10"/>
  <c r="BE22" i="10"/>
  <c r="BE157" i="10"/>
  <c r="BE48" i="10"/>
  <c r="BE122" i="10"/>
  <c r="BE155" i="10"/>
  <c r="BE104" i="10"/>
  <c r="BE64" i="10"/>
  <c r="BE191" i="10"/>
  <c r="BE19" i="10"/>
  <c r="BE178" i="10"/>
  <c r="BE133" i="10"/>
  <c r="BE149" i="10"/>
  <c r="BE46" i="10"/>
  <c r="BE37" i="10"/>
  <c r="BE139" i="10"/>
  <c r="BE128" i="10"/>
  <c r="BE184" i="10"/>
  <c r="BE150" i="10"/>
  <c r="BE65" i="10"/>
  <c r="BE200" i="10"/>
  <c r="BE27" i="10"/>
  <c r="BE196" i="10"/>
  <c r="BE154" i="10"/>
  <c r="BE160" i="10"/>
  <c r="BE80" i="10"/>
  <c r="BE113" i="10"/>
  <c r="BE176" i="10"/>
  <c r="BE58" i="10"/>
  <c r="BE165" i="10"/>
  <c r="BE25" i="10"/>
  <c r="BE33" i="10"/>
  <c r="BE93" i="10"/>
  <c r="BE123" i="10"/>
  <c r="BE66" i="10"/>
  <c r="BE31" i="10"/>
  <c r="BE24" i="10"/>
  <c r="BE169" i="10"/>
  <c r="BE197" i="10"/>
  <c r="BE98" i="10"/>
  <c r="BE118" i="10"/>
  <c r="BE57" i="10"/>
  <c r="BE36" i="10"/>
  <c r="BE56" i="10"/>
  <c r="BE38" i="10"/>
  <c r="BE40" i="10"/>
  <c r="BE199" i="10"/>
  <c r="BE70" i="10"/>
  <c r="BE84" i="10"/>
  <c r="BE194" i="10"/>
  <c r="BE42" i="10"/>
  <c r="BE89" i="10"/>
  <c r="BE137" i="10"/>
  <c r="BE45" i="10"/>
  <c r="BE101" i="10"/>
  <c r="BE28" i="10"/>
  <c r="BE103" i="10"/>
  <c r="BE132" i="10"/>
  <c r="BE159" i="10"/>
  <c r="BE87" i="10"/>
  <c r="BE110" i="10"/>
  <c r="BE67" i="10"/>
  <c r="BE74" i="10"/>
  <c r="BE144" i="10"/>
  <c r="BE151" i="10"/>
  <c r="BE39" i="10"/>
  <c r="BE95" i="10"/>
  <c r="BE49" i="10"/>
  <c r="BE68" i="10"/>
  <c r="BE158" i="10"/>
  <c r="BE143" i="10"/>
  <c r="BE102" i="10"/>
  <c r="BE108" i="10"/>
  <c r="BE167" i="10"/>
  <c r="BE181" i="10"/>
  <c r="BE180" i="10"/>
  <c r="BE50" i="10"/>
  <c r="BE35" i="10"/>
  <c r="BE105" i="10"/>
  <c r="BE198" i="10"/>
  <c r="BE88" i="10"/>
  <c r="BE112" i="10"/>
  <c r="BE91" i="10"/>
  <c r="BE146" i="10"/>
  <c r="BE30" i="10"/>
  <c r="BE92" i="10"/>
  <c r="BE120" i="10"/>
  <c r="BE96" i="10"/>
  <c r="BE166" i="10"/>
  <c r="BE162" i="10"/>
  <c r="BE94" i="10"/>
  <c r="BE117" i="10"/>
  <c r="BE161" i="10"/>
  <c r="BE202" i="10"/>
  <c r="BE171" i="10"/>
  <c r="BE54" i="10"/>
  <c r="BE81" i="10"/>
  <c r="BE188" i="10"/>
  <c r="BE134" i="10"/>
  <c r="BE152" i="10"/>
  <c r="BE195" i="10"/>
  <c r="BE177" i="10"/>
  <c r="BE145" i="10"/>
  <c r="BE201" i="10"/>
  <c r="BE69" i="10"/>
  <c r="BE182" i="10"/>
  <c r="BE173" i="10"/>
  <c r="BE115" i="10"/>
  <c r="BE59" i="10"/>
  <c r="BE170" i="10"/>
  <c r="BE47" i="10"/>
  <c r="BE187" i="10"/>
  <c r="BE106" i="10"/>
  <c r="BE61" i="10"/>
  <c r="BE190" i="10"/>
  <c r="BE32" i="10"/>
  <c r="BE82" i="10"/>
  <c r="BE51" i="10"/>
  <c r="BE179" i="10"/>
  <c r="BE121" i="10"/>
  <c r="BE193" i="10"/>
  <c r="BE20" i="10"/>
  <c r="BE131" i="10"/>
  <c r="BE172" i="10"/>
  <c r="BD144" i="14"/>
  <c r="BD161" i="14" s="1"/>
  <c r="BD162" i="14" s="1"/>
  <c r="BD164" i="14" s="1"/>
  <c r="BE16" i="10"/>
  <c r="BE44" i="10"/>
  <c r="BE130" i="10"/>
  <c r="BE100" i="10"/>
  <c r="BE29" i="10"/>
  <c r="BE156" i="10"/>
  <c r="BE185" i="10"/>
  <c r="BE43" i="10"/>
  <c r="BE126" i="10"/>
  <c r="BE18" i="10"/>
  <c r="BE63" i="10"/>
  <c r="BE124" i="10"/>
  <c r="BE164" i="10"/>
  <c r="BE83" i="10"/>
  <c r="BE62" i="10"/>
  <c r="BE168" i="10"/>
  <c r="BE153" i="10"/>
  <c r="BE26" i="10"/>
  <c r="BE186" i="10"/>
  <c r="BE229" i="7"/>
  <c r="BE288" i="7" s="1"/>
  <c r="BE117" i="14" s="1"/>
  <c r="BE118" i="14" s="1"/>
  <c r="BE122" i="14" s="1"/>
  <c r="BE123" i="14" s="1"/>
  <c r="BE124" i="14" s="1"/>
  <c r="BF247" i="7"/>
  <c r="BE23" i="10"/>
  <c r="BE71" i="10"/>
  <c r="BE73" i="10"/>
  <c r="BD117" i="14"/>
  <c r="BD118" i="14" s="1"/>
  <c r="BD122" i="14" s="1"/>
  <c r="BD123" i="14" s="1"/>
  <c r="BD124" i="14" s="1"/>
  <c r="BD125" i="14" s="1"/>
  <c r="BD126" i="14" s="1"/>
  <c r="BD127" i="14" s="1"/>
  <c r="BD132" i="14" s="1"/>
  <c r="BD135" i="14" s="1"/>
  <c r="BE97" i="10"/>
  <c r="BE138" i="10"/>
  <c r="BE147" i="10"/>
  <c r="BE67" i="14"/>
  <c r="BE68" i="14" s="1"/>
  <c r="BE72" i="14" s="1"/>
  <c r="BE73" i="14" s="1"/>
  <c r="BE74" i="14" s="1"/>
  <c r="BE75" i="14" s="1"/>
  <c r="BE76" i="14" s="1"/>
  <c r="BE77" i="14" s="1"/>
  <c r="BE82" i="14" s="1"/>
  <c r="BE85" i="14" s="1"/>
  <c r="BA46" i="15"/>
  <c r="BE90" i="10"/>
  <c r="BE127" i="10"/>
  <c r="BE72" i="10"/>
  <c r="BE119" i="10"/>
  <c r="BE174" i="10"/>
  <c r="AX56" i="21"/>
  <c r="AJ51" i="21"/>
  <c r="BA22" i="13"/>
  <c r="BA40" i="8"/>
  <c r="BK57" i="11"/>
  <c r="BK70" i="11"/>
  <c r="BF325" i="7"/>
  <c r="BK109" i="11"/>
  <c r="BK90" i="11"/>
  <c r="BK61" i="11"/>
  <c r="BK134" i="11"/>
  <c r="BK119" i="11"/>
  <c r="BK130" i="11"/>
  <c r="BK20" i="11"/>
  <c r="BK114" i="11"/>
  <c r="BK19" i="11"/>
  <c r="BK96" i="11"/>
  <c r="BK72" i="11"/>
  <c r="BK97" i="11"/>
  <c r="BK32" i="11"/>
  <c r="BK138" i="11"/>
  <c r="BK125" i="11"/>
  <c r="BK99" i="11"/>
  <c r="BK115" i="11"/>
  <c r="BK118" i="11"/>
  <c r="BK104" i="11"/>
  <c r="BK42" i="11"/>
  <c r="BK26" i="11"/>
  <c r="BK58" i="11"/>
  <c r="BK86" i="11"/>
  <c r="BK127" i="11"/>
  <c r="BK129" i="11"/>
  <c r="BK100" i="11"/>
  <c r="BK69" i="11"/>
  <c r="BK47" i="11"/>
  <c r="BK55" i="11"/>
  <c r="BK136" i="11"/>
  <c r="BK31" i="11"/>
  <c r="BK53" i="11"/>
  <c r="BK34" i="11"/>
  <c r="BK22" i="11"/>
  <c r="BK110" i="11"/>
  <c r="BK76" i="11"/>
  <c r="BK49" i="11"/>
  <c r="BK106" i="11"/>
  <c r="BK46" i="11"/>
  <c r="BK60" i="11"/>
  <c r="BK43" i="11"/>
  <c r="BK105" i="11"/>
  <c r="BK123" i="11"/>
  <c r="BK27" i="11"/>
  <c r="BK111" i="11"/>
  <c r="BK81" i="11"/>
  <c r="BK56" i="11"/>
  <c r="BK36" i="11"/>
  <c r="BK132" i="11"/>
  <c r="BK133" i="11"/>
  <c r="BK74" i="11"/>
  <c r="BK124" i="11"/>
  <c r="BK94" i="11"/>
  <c r="BK101" i="11"/>
  <c r="BK25" i="11"/>
  <c r="BK29" i="11"/>
  <c r="BK30" i="11"/>
  <c r="BK41" i="11"/>
  <c r="BK92" i="11"/>
  <c r="BK128" i="11"/>
  <c r="BK137" i="11"/>
  <c r="BK116" i="11"/>
  <c r="BK23" i="11"/>
  <c r="BK37" i="11"/>
  <c r="BK44" i="11"/>
  <c r="BK67" i="11"/>
  <c r="BK121" i="11"/>
  <c r="BK39" i="11"/>
  <c r="BK33" i="11"/>
  <c r="BK108" i="11"/>
  <c r="BK38" i="11"/>
  <c r="BK82" i="11"/>
  <c r="BK91" i="11"/>
  <c r="BK71" i="11"/>
  <c r="BK59" i="11"/>
  <c r="BK54" i="11"/>
  <c r="BK63" i="11"/>
  <c r="BK21" i="11"/>
  <c r="BK52" i="11"/>
  <c r="BK89" i="11"/>
  <c r="BK112" i="11"/>
  <c r="BK122" i="11"/>
  <c r="BK35" i="11"/>
  <c r="BK88" i="11"/>
  <c r="BK62" i="11"/>
  <c r="BK68" i="11"/>
  <c r="BK50" i="11"/>
  <c r="BK83" i="11"/>
  <c r="BK95" i="11"/>
  <c r="BK120" i="11"/>
  <c r="BK66" i="11"/>
  <c r="BK98" i="11"/>
  <c r="BK65" i="11"/>
  <c r="BK73" i="11"/>
  <c r="BK28" i="11"/>
  <c r="BK102" i="11"/>
  <c r="BK117" i="11"/>
  <c r="BK48" i="11"/>
  <c r="BK107" i="11"/>
  <c r="BK131" i="11"/>
  <c r="BK84" i="11"/>
  <c r="BK93" i="11"/>
  <c r="BK24" i="11"/>
  <c r="BJ13" i="11"/>
  <c r="BJ15" i="11" s="1"/>
  <c r="BK113" i="11"/>
  <c r="BK45" i="11"/>
  <c r="BK75" i="11"/>
  <c r="BK126" i="11"/>
  <c r="BK40" i="11"/>
  <c r="BK103" i="11"/>
  <c r="BK77" i="11"/>
  <c r="BK87" i="11"/>
  <c r="BK85" i="11"/>
  <c r="BK80" i="11"/>
  <c r="BK64" i="11"/>
  <c r="BK51" i="11"/>
  <c r="BK135" i="11"/>
  <c r="BJ12" i="11"/>
  <c r="BJ14" i="11" s="1"/>
  <c r="BC154" i="14"/>
  <c r="BC165" i="14" s="1"/>
  <c r="BC7" i="7" s="1"/>
  <c r="BC16" i="13" s="1"/>
  <c r="BF10" i="10"/>
  <c r="BG134" i="10"/>
  <c r="BG96" i="10"/>
  <c r="BG53" i="10"/>
  <c r="BG147" i="10"/>
  <c r="BG132" i="10"/>
  <c r="BG122" i="10"/>
  <c r="BG95" i="10"/>
  <c r="BG68" i="10"/>
  <c r="BG93" i="10"/>
  <c r="BG47" i="10"/>
  <c r="BG185" i="10"/>
  <c r="BG139" i="10"/>
  <c r="BG155" i="10"/>
  <c r="BG101" i="10"/>
  <c r="BG49" i="10"/>
  <c r="BG60" i="10"/>
  <c r="BG39" i="10"/>
  <c r="BG188" i="10"/>
  <c r="BG131" i="10"/>
  <c r="BG59" i="10"/>
  <c r="BG26" i="10"/>
  <c r="BG170" i="10"/>
  <c r="BG193" i="10"/>
  <c r="BG128" i="10"/>
  <c r="BG152" i="10"/>
  <c r="BG73" i="10"/>
  <c r="BG58" i="10"/>
  <c r="BG198" i="10"/>
  <c r="BG150" i="10"/>
  <c r="BG183" i="10"/>
  <c r="BG114" i="10"/>
  <c r="BG138" i="10"/>
  <c r="BG66" i="10"/>
  <c r="BG200" i="10"/>
  <c r="BG176" i="10"/>
  <c r="BG119" i="10"/>
  <c r="BG123" i="10"/>
  <c r="BG64" i="10"/>
  <c r="BG61" i="10"/>
  <c r="BG163" i="10"/>
  <c r="BG153" i="10"/>
  <c r="BG105" i="10"/>
  <c r="BG50" i="10"/>
  <c r="BG184" i="10"/>
  <c r="BG177" i="10"/>
  <c r="BG162" i="10"/>
  <c r="BG56" i="10"/>
  <c r="BG94" i="10"/>
  <c r="BG129" i="10"/>
  <c r="BG71" i="10"/>
  <c r="BG43" i="10"/>
  <c r="BG48" i="10"/>
  <c r="BG195" i="10"/>
  <c r="BG165" i="10"/>
  <c r="BG127" i="10"/>
  <c r="BG120" i="10"/>
  <c r="BG97" i="10"/>
  <c r="BG166" i="10"/>
  <c r="BG103" i="10"/>
  <c r="BG90" i="10"/>
  <c r="BG38" i="10"/>
  <c r="BG186" i="10"/>
  <c r="BG174" i="10"/>
  <c r="BG172" i="10"/>
  <c r="BG180" i="10"/>
  <c r="BG126" i="10"/>
  <c r="BG99" i="10"/>
  <c r="BG199" i="10"/>
  <c r="BG175" i="10"/>
  <c r="BG125" i="10"/>
  <c r="BG36" i="10"/>
  <c r="BG191" i="10"/>
  <c r="BG187" i="10"/>
  <c r="BG104" i="10"/>
  <c r="BG57" i="10"/>
  <c r="BG28" i="10"/>
  <c r="BG23" i="10"/>
  <c r="BG20" i="10"/>
  <c r="BG45" i="10"/>
  <c r="BG35" i="10"/>
  <c r="BG72" i="10"/>
  <c r="BG25" i="10"/>
  <c r="BG17" i="10"/>
  <c r="BG30" i="10"/>
  <c r="BG196" i="10"/>
  <c r="BG179" i="10"/>
  <c r="BG157" i="10"/>
  <c r="BG109" i="10"/>
  <c r="BG118" i="10"/>
  <c r="BG70" i="10"/>
  <c r="BG21" i="10"/>
  <c r="BG201" i="10"/>
  <c r="BG182" i="10"/>
  <c r="BG169" i="10"/>
  <c r="BG178" i="10"/>
  <c r="BG121" i="10"/>
  <c r="BG91" i="10"/>
  <c r="BG52" i="10"/>
  <c r="BG173" i="10"/>
  <c r="BG144" i="10"/>
  <c r="BG164" i="10"/>
  <c r="BG115" i="10"/>
  <c r="BG81" i="10"/>
  <c r="BG41" i="10"/>
  <c r="BG156" i="10"/>
  <c r="BG113" i="10"/>
  <c r="BG33" i="10"/>
  <c r="BG44" i="10"/>
  <c r="BG146" i="10"/>
  <c r="BG65" i="10"/>
  <c r="BG83" i="10"/>
  <c r="BG42" i="10"/>
  <c r="BG181" i="10"/>
  <c r="BG148" i="10"/>
  <c r="BG106" i="10"/>
  <c r="BG107" i="10"/>
  <c r="BG40" i="10"/>
  <c r="BG192" i="10"/>
  <c r="BG190" i="10"/>
  <c r="BG111" i="10"/>
  <c r="BG85" i="10"/>
  <c r="BG89" i="10"/>
  <c r="BG62" i="10"/>
  <c r="BG31" i="10"/>
  <c r="BG159" i="10"/>
  <c r="BG151" i="10"/>
  <c r="BG102" i="10"/>
  <c r="BG84" i="10"/>
  <c r="BG80" i="10"/>
  <c r="BG92" i="10"/>
  <c r="BG27" i="10"/>
  <c r="BG197" i="10"/>
  <c r="BG161" i="10"/>
  <c r="BG149" i="10"/>
  <c r="BG137" i="10"/>
  <c r="BG130" i="10"/>
  <c r="BG82" i="10"/>
  <c r="BG108" i="10"/>
  <c r="BG51" i="10"/>
  <c r="BG19" i="10"/>
  <c r="BG46" i="10"/>
  <c r="BG189" i="10"/>
  <c r="BG158" i="10"/>
  <c r="BG154" i="10"/>
  <c r="BG133" i="10"/>
  <c r="BG86" i="10"/>
  <c r="BG100" i="10"/>
  <c r="BG202" i="10"/>
  <c r="BG167" i="10"/>
  <c r="BG63" i="10"/>
  <c r="BG116" i="10"/>
  <c r="BG54" i="10"/>
  <c r="BG194" i="10"/>
  <c r="BG160" i="10"/>
  <c r="BG135" i="10"/>
  <c r="BG124" i="10"/>
  <c r="BG112" i="10"/>
  <c r="BG55" i="10"/>
  <c r="BG145" i="10"/>
  <c r="BG98" i="10"/>
  <c r="BG69" i="10"/>
  <c r="BG37" i="10"/>
  <c r="BG168" i="10"/>
  <c r="BG143" i="10"/>
  <c r="BG110" i="10"/>
  <c r="BG88" i="10"/>
  <c r="BG75" i="10"/>
  <c r="BG67" i="10"/>
  <c r="BG171" i="10"/>
  <c r="BG117" i="10"/>
  <c r="BG136" i="10"/>
  <c r="BG87" i="10"/>
  <c r="BG74" i="10"/>
  <c r="BG29" i="10"/>
  <c r="BG16" i="10"/>
  <c r="BG24" i="10"/>
  <c r="BG32" i="10"/>
  <c r="BG22" i="10"/>
  <c r="BG34" i="10"/>
  <c r="BG18" i="10"/>
  <c r="BF8" i="10"/>
  <c r="BF9" i="10"/>
  <c r="BJ227" i="22"/>
  <c r="BF80" i="21" s="1"/>
  <c r="BJ220" i="22"/>
  <c r="BJ218" i="22"/>
  <c r="BJ216" i="22"/>
  <c r="BJ212" i="22"/>
  <c r="BJ210" i="22"/>
  <c r="BJ224" i="22"/>
  <c r="BJ203" i="22"/>
  <c r="BJ196" i="22"/>
  <c r="BJ217" i="22"/>
  <c r="BJ204" i="22"/>
  <c r="BJ208" i="22"/>
  <c r="BJ223" i="22"/>
  <c r="BJ193" i="22"/>
  <c r="BJ205" i="22"/>
  <c r="BJ211" i="22"/>
  <c r="BJ209" i="22"/>
  <c r="BJ206" i="22"/>
  <c r="BJ219" i="22"/>
  <c r="BJ198" i="22"/>
  <c r="BJ215" i="22"/>
  <c r="BJ207" i="22"/>
  <c r="BJ197" i="22"/>
  <c r="BJ194" i="22"/>
  <c r="BJ183" i="22"/>
  <c r="BJ181" i="22"/>
  <c r="BJ179" i="22"/>
  <c r="BJ177" i="22"/>
  <c r="BJ175" i="22"/>
  <c r="BJ173" i="22"/>
  <c r="BJ190" i="22"/>
  <c r="BJ187" i="22"/>
  <c r="BJ188" i="22"/>
  <c r="BJ189" i="22"/>
  <c r="BJ200" i="22"/>
  <c r="BJ182" i="22"/>
  <c r="BJ171" i="22"/>
  <c r="BJ168" i="22"/>
  <c r="BJ166" i="22"/>
  <c r="BJ164" i="22"/>
  <c r="BJ191" i="22"/>
  <c r="BJ184" i="22"/>
  <c r="BJ195" i="22"/>
  <c r="BJ185" i="22"/>
  <c r="BJ178" i="22"/>
  <c r="BJ170" i="22"/>
  <c r="BJ176" i="22"/>
  <c r="BJ174" i="22"/>
  <c r="BJ192" i="22"/>
  <c r="BJ186" i="22"/>
  <c r="BJ163" i="22"/>
  <c r="BJ154" i="22"/>
  <c r="BJ152" i="22"/>
  <c r="BJ150" i="22"/>
  <c r="BJ144" i="22"/>
  <c r="BJ142" i="22"/>
  <c r="BJ138" i="22"/>
  <c r="BJ136" i="22"/>
  <c r="BJ180" i="22"/>
  <c r="BJ158" i="22"/>
  <c r="BJ199" i="22"/>
  <c r="BJ167" i="22"/>
  <c r="BJ161" i="22"/>
  <c r="BJ169" i="22"/>
  <c r="BJ147" i="22"/>
  <c r="BF65" i="21" s="1"/>
  <c r="BJ157" i="22"/>
  <c r="BJ153" i="22"/>
  <c r="BJ165" i="22"/>
  <c r="BJ172" i="22"/>
  <c r="BJ135" i="22"/>
  <c r="BJ137" i="22"/>
  <c r="BJ143" i="22"/>
  <c r="BJ162" i="22"/>
  <c r="BJ139" i="22"/>
  <c r="BJ126" i="22"/>
  <c r="BJ123" i="22"/>
  <c r="BJ122" i="22"/>
  <c r="BJ121" i="22"/>
  <c r="BJ113" i="22"/>
  <c r="BJ111" i="22"/>
  <c r="BJ107" i="22"/>
  <c r="BJ105" i="22"/>
  <c r="BJ103" i="22"/>
  <c r="BJ101" i="22"/>
  <c r="BJ120" i="22"/>
  <c r="BJ125" i="22"/>
  <c r="BJ119" i="22"/>
  <c r="BJ118" i="22"/>
  <c r="BJ117" i="22"/>
  <c r="BJ116" i="22"/>
  <c r="BJ151" i="22"/>
  <c r="BJ124" i="22"/>
  <c r="BJ115" i="22"/>
  <c r="BJ128" i="22"/>
  <c r="BJ130" i="22"/>
  <c r="BJ134" i="22"/>
  <c r="BJ127" i="22"/>
  <c r="BJ112" i="22"/>
  <c r="BJ97" i="22"/>
  <c r="BJ91" i="22"/>
  <c r="BJ89" i="22"/>
  <c r="BJ87" i="22"/>
  <c r="BJ85" i="22"/>
  <c r="BJ83" i="22"/>
  <c r="BJ81" i="22"/>
  <c r="BJ102" i="22"/>
  <c r="BJ93" i="22"/>
  <c r="BJ100" i="22"/>
  <c r="BJ129" i="22"/>
  <c r="BJ96" i="22"/>
  <c r="BJ99" i="22"/>
  <c r="BJ108" i="22"/>
  <c r="BJ95" i="22"/>
  <c r="BJ133" i="22"/>
  <c r="BJ104" i="22"/>
  <c r="BJ92" i="22"/>
  <c r="BJ79" i="22"/>
  <c r="BJ94" i="22"/>
  <c r="BJ86" i="22"/>
  <c r="BJ71" i="22"/>
  <c r="BJ69" i="22"/>
  <c r="BJ67" i="22"/>
  <c r="BJ65" i="22"/>
  <c r="BJ63" i="22"/>
  <c r="BJ61" i="22"/>
  <c r="BJ59" i="22"/>
  <c r="BJ114" i="22"/>
  <c r="BJ90" i="22"/>
  <c r="BJ78" i="22"/>
  <c r="BJ88" i="22"/>
  <c r="BJ77" i="22"/>
  <c r="BJ106" i="22"/>
  <c r="BJ82" i="22"/>
  <c r="BJ98" i="22"/>
  <c r="BJ62" i="22"/>
  <c r="BJ75" i="22"/>
  <c r="BJ60" i="22"/>
  <c r="BJ58" i="22"/>
  <c r="BJ76" i="22"/>
  <c r="BJ80" i="22"/>
  <c r="BJ57" i="22"/>
  <c r="BJ70" i="22"/>
  <c r="BJ68" i="22"/>
  <c r="BJ84" i="22"/>
  <c r="BJ72" i="22"/>
  <c r="BJ41" i="22"/>
  <c r="BJ56" i="22"/>
  <c r="BJ51" i="22"/>
  <c r="BJ53" i="22"/>
  <c r="BJ48" i="22"/>
  <c r="BJ46" i="22"/>
  <c r="BJ64" i="22"/>
  <c r="BJ52" i="22"/>
  <c r="BJ40" i="22"/>
  <c r="BJ50" i="22"/>
  <c r="BJ37" i="22"/>
  <c r="BJ35" i="22"/>
  <c r="BJ33" i="22"/>
  <c r="BJ31" i="22"/>
  <c r="BJ29" i="22"/>
  <c r="BJ27" i="22"/>
  <c r="BJ25" i="22"/>
  <c r="BJ66" i="22"/>
  <c r="BJ47" i="22"/>
  <c r="BJ44" i="22"/>
  <c r="BJ43" i="22"/>
  <c r="BJ54" i="22"/>
  <c r="BJ39" i="22"/>
  <c r="BJ55" i="22"/>
  <c r="BJ49" i="22"/>
  <c r="BJ45" i="22"/>
  <c r="BJ22" i="22"/>
  <c r="BJ17" i="22"/>
  <c r="BJ26" i="22"/>
  <c r="BJ20" i="22"/>
  <c r="BJ38" i="22"/>
  <c r="BJ32" i="22"/>
  <c r="BJ28" i="22"/>
  <c r="BJ16" i="22"/>
  <c r="BJ24" i="22"/>
  <c r="BJ42" i="22"/>
  <c r="BJ34" i="22"/>
  <c r="BJ21" i="22"/>
  <c r="BJ18" i="22"/>
  <c r="BJ13" i="22"/>
  <c r="BJ11" i="22"/>
  <c r="BJ9" i="22"/>
  <c r="BJ30" i="22"/>
  <c r="BJ15" i="22"/>
  <c r="BJ36" i="22"/>
  <c r="BJ23" i="22"/>
  <c r="BJ19" i="22"/>
  <c r="BJ14" i="22"/>
  <c r="BJ12" i="22"/>
  <c r="BJ10" i="22"/>
  <c r="AX4" i="8"/>
  <c r="AX71" i="9"/>
  <c r="AX80" i="9"/>
  <c r="AX81" i="9" s="1"/>
  <c r="AX83" i="9" s="1"/>
  <c r="AX74" i="9"/>
  <c r="AX3" i="20" s="1"/>
  <c r="AX86" i="9"/>
  <c r="AX87" i="9" s="1"/>
  <c r="AX88" i="9" s="1"/>
  <c r="AX89" i="9" s="1"/>
  <c r="AX5" i="20"/>
  <c r="BC164" i="14"/>
  <c r="BF330" i="7"/>
  <c r="BF336" i="7"/>
  <c r="BE131" i="7"/>
  <c r="BE194" i="7" s="1"/>
  <c r="BE92" i="14" s="1"/>
  <c r="BE93" i="14" s="1"/>
  <c r="BE97" i="14" s="1"/>
  <c r="BE98" i="14" s="1"/>
  <c r="BE99" i="14" s="1"/>
  <c r="BF340" i="7"/>
  <c r="BF332" i="7"/>
  <c r="BF337" i="7"/>
  <c r="BF386" i="7"/>
  <c r="BF327" i="7"/>
  <c r="BF329" i="7"/>
  <c r="BF341" i="7"/>
  <c r="BF324" i="7"/>
  <c r="BF342" i="7"/>
  <c r="BF331" i="7"/>
  <c r="BF348" i="7"/>
  <c r="BF346" i="7"/>
  <c r="BF338" i="7"/>
  <c r="BF326" i="7"/>
  <c r="BF347" i="7"/>
  <c r="BF334" i="7"/>
  <c r="BF344" i="7"/>
  <c r="BF343" i="7"/>
  <c r="BF335" i="7"/>
  <c r="AJ87" i="9"/>
  <c r="AJ88" i="9" s="1"/>
  <c r="AJ81" i="9"/>
  <c r="AJ82" i="9" s="1"/>
  <c r="AJ12" i="20"/>
  <c r="AJ6" i="8" s="1"/>
  <c r="AJ7" i="20"/>
  <c r="AJ5" i="8" s="1"/>
  <c r="AJ43" i="8" s="1"/>
  <c r="BF235" i="7"/>
  <c r="BF234" i="7"/>
  <c r="BF236" i="7"/>
  <c r="BF241" i="7"/>
  <c r="BF240" i="7"/>
  <c r="BF223" i="7"/>
  <c r="BF246" i="7"/>
  <c r="BF248" i="7"/>
  <c r="BF249" i="7"/>
  <c r="BF250" i="7"/>
  <c r="BF251" i="7"/>
  <c r="BF239" i="7"/>
  <c r="BF232" i="7"/>
  <c r="BF230" i="7"/>
  <c r="BF253" i="7"/>
  <c r="BF243" i="7"/>
  <c r="BF252" i="7"/>
  <c r="BF237" i="7"/>
  <c r="BF254" i="7"/>
  <c r="BF238" i="7"/>
  <c r="BF242" i="7"/>
  <c r="BF244" i="7"/>
  <c r="BF231" i="7"/>
  <c r="BF245" i="7"/>
  <c r="BF41" i="7"/>
  <c r="BF99" i="7" s="1"/>
  <c r="BC4" i="7"/>
  <c r="BC13" i="13" s="1"/>
  <c r="BF58" i="14"/>
  <c r="BF59" i="14" s="1"/>
  <c r="BF60" i="14" s="1"/>
  <c r="BF62" i="14" s="1"/>
  <c r="BF63" i="14" s="1"/>
  <c r="BE61" i="14"/>
  <c r="BE64" i="14" s="1"/>
  <c r="BE65" i="14" s="1"/>
  <c r="BD64" i="14"/>
  <c r="BD65" i="14" s="1"/>
  <c r="BF192" i="14"/>
  <c r="BF194" i="14" s="1"/>
  <c r="BF195" i="14" s="1"/>
  <c r="BB208" i="14"/>
  <c r="AZ56" i="21"/>
  <c r="BC199" i="14"/>
  <c r="BC202" i="14" s="1"/>
  <c r="BC206" i="14" s="1"/>
  <c r="BC201" i="14"/>
  <c r="BC205" i="14" s="1"/>
  <c r="BE194" i="14"/>
  <c r="BE195" i="14" s="1"/>
  <c r="BE193" i="14"/>
  <c r="BD199" i="14"/>
  <c r="BD202" i="14" s="1"/>
  <c r="BD206" i="14" s="1"/>
  <c r="BD201" i="14"/>
  <c r="BD205" i="14" s="1"/>
  <c r="AZ50" i="21"/>
  <c r="BE72" i="21"/>
  <c r="BD73" i="21"/>
  <c r="BC22" i="15"/>
  <c r="BC43" i="15" s="1"/>
  <c r="AW24" i="13"/>
  <c r="AW50" i="8"/>
  <c r="AW25" i="13" s="1"/>
  <c r="BE79" i="21"/>
  <c r="BC88" i="14"/>
  <c r="BD25" i="21"/>
  <c r="BD26" i="21" s="1"/>
  <c r="BC5" i="7"/>
  <c r="BC14" i="13" s="1"/>
  <c r="BC28" i="21"/>
  <c r="BC31" i="21" s="1"/>
  <c r="AK19" i="8"/>
  <c r="AK27" i="8" s="1"/>
  <c r="AK38" i="8" s="1"/>
  <c r="BD104" i="14"/>
  <c r="BD115" i="14" s="1"/>
  <c r="BD195" i="7" s="1"/>
  <c r="BD114" i="14"/>
  <c r="BD31" i="21"/>
  <c r="AY7" i="20"/>
  <c r="AY5" i="8" s="1"/>
  <c r="AY43" i="8" s="1"/>
  <c r="AZ12" i="20"/>
  <c r="AZ6" i="8" s="1"/>
  <c r="BE61" i="21"/>
  <c r="BF131" i="7"/>
  <c r="BF194" i="7" s="1"/>
  <c r="BF92" i="14" s="1"/>
  <c r="BE17" i="17"/>
  <c r="BE14" i="17"/>
  <c r="BE28" i="13" s="1"/>
  <c r="BC21" i="15"/>
  <c r="BC5" i="9" s="1"/>
  <c r="BE25" i="15"/>
  <c r="BE26" i="15"/>
  <c r="BD81" i="21"/>
  <c r="BD12" i="8" s="1"/>
  <c r="BD13" i="8" s="1"/>
  <c r="BC26" i="21"/>
  <c r="BC35" i="21"/>
  <c r="BC36" i="21" s="1"/>
  <c r="BE78" i="21"/>
  <c r="BE77" i="21"/>
  <c r="BF8" i="21"/>
  <c r="BE143" i="14"/>
  <c r="BE147" i="14" s="1"/>
  <c r="BE148" i="14" s="1"/>
  <c r="BE149" i="14" s="1"/>
  <c r="BD66" i="21"/>
  <c r="BD68" i="21" s="1"/>
  <c r="BF15" i="17"/>
  <c r="BF27" i="13" s="1"/>
  <c r="AY87" i="9"/>
  <c r="AY88" i="9" s="1"/>
  <c r="BB5" i="7"/>
  <c r="BB14" i="13" s="1"/>
  <c r="BB195" i="7"/>
  <c r="BE71" i="21"/>
  <c r="AY12" i="20"/>
  <c r="AY6" i="8" s="1"/>
  <c r="BD40" i="15"/>
  <c r="BC9" i="8"/>
  <c r="AY81" i="9"/>
  <c r="AY82" i="9" s="1"/>
  <c r="BF10" i="13"/>
  <c r="BF29" i="15"/>
  <c r="BF37" i="15" s="1"/>
  <c r="BF38" i="15" s="1"/>
  <c r="BF39" i="15" s="1"/>
  <c r="BF40" i="15" s="1"/>
  <c r="BF17" i="15"/>
  <c r="BL10" i="11" s="1"/>
  <c r="BF13" i="15"/>
  <c r="BL8" i="11" s="1"/>
  <c r="BF9" i="15"/>
  <c r="BL6" i="11" s="1"/>
  <c r="BF7" i="15"/>
  <c r="BL5" i="11" s="1"/>
  <c r="BF31" i="15"/>
  <c r="BF32" i="15" s="1"/>
  <c r="BF33" i="15" s="1"/>
  <c r="BF34" i="15" s="1"/>
  <c r="BF19" i="15"/>
  <c r="BL11" i="11" s="1"/>
  <c r="BF15" i="15"/>
  <c r="BL9" i="11" s="1"/>
  <c r="BF11" i="15"/>
  <c r="BL7" i="11" s="1"/>
  <c r="AZ81" i="9"/>
  <c r="AZ82" i="9" s="1"/>
  <c r="BE64" i="21"/>
  <c r="BE34" i="21"/>
  <c r="BE11" i="21"/>
  <c r="BE14" i="21"/>
  <c r="BE20" i="21" s="1"/>
  <c r="BE28" i="21" s="1"/>
  <c r="BE17" i="21"/>
  <c r="BC58" i="9"/>
  <c r="BC54" i="9"/>
  <c r="BC59" i="9"/>
  <c r="BC49" i="9"/>
  <c r="AZ7" i="20"/>
  <c r="AZ5" i="8" s="1"/>
  <c r="AZ43" i="8" s="1"/>
  <c r="BE3" i="9"/>
  <c r="BI6" i="10" s="1"/>
  <c r="BE3" i="8"/>
  <c r="BE60" i="21"/>
  <c r="BC48" i="9"/>
  <c r="BC56" i="9"/>
  <c r="BC57" i="9"/>
  <c r="BE63" i="21"/>
  <c r="BE76" i="21"/>
  <c r="BC7" i="8"/>
  <c r="BB36" i="8"/>
  <c r="BB39" i="8" s="1"/>
  <c r="BE32" i="15"/>
  <c r="BE33" i="15" s="1"/>
  <c r="BD41" i="9"/>
  <c r="BD42" i="9" s="1"/>
  <c r="BD50" i="9" s="1"/>
  <c r="BD44" i="9"/>
  <c r="BD45" i="9" s="1"/>
  <c r="BD55" i="9" s="1"/>
  <c r="BD33" i="9"/>
  <c r="BD34" i="9" s="1"/>
  <c r="BH5" i="10" s="1"/>
  <c r="BD36" i="9"/>
  <c r="BH7" i="10" s="1"/>
  <c r="BD38" i="9"/>
  <c r="BD39" i="9" s="1"/>
  <c r="BD22" i="9"/>
  <c r="BD23" i="9" s="1"/>
  <c r="BH3" i="10" s="1"/>
  <c r="BD27" i="9"/>
  <c r="BD28" i="9" s="1"/>
  <c r="BH4" i="10" s="1"/>
  <c r="BD17" i="9"/>
  <c r="BD18" i="9" s="1"/>
  <c r="BH2" i="10" s="1"/>
  <c r="BD11" i="9"/>
  <c r="BD12" i="9" s="1"/>
  <c r="BE62" i="21"/>
  <c r="BC8" i="8"/>
  <c r="BB4" i="20"/>
  <c r="BB4" i="21"/>
  <c r="BB44" i="15"/>
  <c r="BB45" i="15" s="1"/>
  <c r="BB4" i="9"/>
  <c r="AM24" i="13"/>
  <c r="AM50" i="8"/>
  <c r="AM25" i="13" s="1"/>
  <c r="AK44" i="8"/>
  <c r="AK47" i="8" s="1"/>
  <c r="AK48" i="8" s="1"/>
  <c r="BE69" i="14" l="1"/>
  <c r="BE86" i="14" s="1"/>
  <c r="BE87" i="14" s="1"/>
  <c r="BA10" i="8"/>
  <c r="BA49" i="21"/>
  <c r="BA51" i="21" s="1"/>
  <c r="BC289" i="7"/>
  <c r="BC13" i="23" s="1"/>
  <c r="BD89" i="14"/>
  <c r="BC281" i="23"/>
  <c r="BD119" i="14"/>
  <c r="BD136" i="14" s="1"/>
  <c r="BD137" i="14" s="1"/>
  <c r="BB137" i="14"/>
  <c r="BB139" i="14" s="1"/>
  <c r="BB6" i="7"/>
  <c r="BB15" i="13" s="1"/>
  <c r="BB289" i="7"/>
  <c r="BB13" i="23" s="1"/>
  <c r="BC136" i="14"/>
  <c r="BC137" i="14" s="1"/>
  <c r="BC138" i="14" s="1"/>
  <c r="BD79" i="14"/>
  <c r="BD90" i="14" s="1"/>
  <c r="BD100" i="7" s="1"/>
  <c r="BD3" i="23" s="1"/>
  <c r="BC139" i="14"/>
  <c r="BD154" i="14"/>
  <c r="BD165" i="14" s="1"/>
  <c r="BD163" i="14"/>
  <c r="BD279" i="23"/>
  <c r="BE8" i="10"/>
  <c r="BA47" i="9" s="1"/>
  <c r="BA51" i="9" s="1"/>
  <c r="BA64" i="9" s="1"/>
  <c r="BE10" i="10"/>
  <c r="BA53" i="9" s="1"/>
  <c r="BA60" i="9" s="1"/>
  <c r="BA66" i="9" s="1"/>
  <c r="BA5" i="20" s="1"/>
  <c r="BE9" i="10"/>
  <c r="BA62" i="9" s="1"/>
  <c r="BA68" i="9" s="1"/>
  <c r="BA71" i="9" s="1"/>
  <c r="BF67" i="14"/>
  <c r="BF68" i="14" s="1"/>
  <c r="BF72" i="14" s="1"/>
  <c r="BF73" i="14" s="1"/>
  <c r="BF74" i="14" s="1"/>
  <c r="BF75" i="14" s="1"/>
  <c r="BF76" i="14" s="1"/>
  <c r="BF77" i="14" s="1"/>
  <c r="BF82" i="14" s="1"/>
  <c r="BF85" i="14" s="1"/>
  <c r="BL30" i="11"/>
  <c r="BL123" i="11"/>
  <c r="BC389" i="7"/>
  <c r="BL62" i="11"/>
  <c r="AX82" i="9"/>
  <c r="BL87" i="11"/>
  <c r="AX12" i="20"/>
  <c r="AX6" i="8" s="1"/>
  <c r="BL115" i="11"/>
  <c r="BL83" i="11"/>
  <c r="BL99" i="11"/>
  <c r="BL56" i="11"/>
  <c r="BL89" i="11"/>
  <c r="BL92" i="11"/>
  <c r="BL71" i="11"/>
  <c r="BL118" i="11"/>
  <c r="BL77" i="11"/>
  <c r="BL113" i="11"/>
  <c r="BL120" i="11"/>
  <c r="BL81" i="11"/>
  <c r="BL68" i="11"/>
  <c r="BL106" i="11"/>
  <c r="BL137" i="11"/>
  <c r="BL66" i="11"/>
  <c r="BL138" i="11"/>
  <c r="BL126" i="11"/>
  <c r="BL24" i="11"/>
  <c r="BL131" i="11"/>
  <c r="BL93" i="11"/>
  <c r="BL39" i="11"/>
  <c r="BL70" i="11"/>
  <c r="BL58" i="11"/>
  <c r="BL33" i="11"/>
  <c r="BL75" i="11"/>
  <c r="BL47" i="11"/>
  <c r="BL86" i="11"/>
  <c r="BL53" i="11"/>
  <c r="BL104" i="11"/>
  <c r="BL72" i="11"/>
  <c r="BL37" i="11"/>
  <c r="BL80" i="11"/>
  <c r="BL43" i="11"/>
  <c r="BL125" i="11"/>
  <c r="BL100" i="11"/>
  <c r="BL105" i="11"/>
  <c r="BL65" i="11"/>
  <c r="BL36" i="11"/>
  <c r="BL112" i="11"/>
  <c r="BL59" i="11"/>
  <c r="BL134" i="11"/>
  <c r="BL67" i="11"/>
  <c r="BL132" i="11"/>
  <c r="BL102" i="11"/>
  <c r="BL23" i="11"/>
  <c r="BL114" i="11"/>
  <c r="BL111" i="11"/>
  <c r="BL52" i="11"/>
  <c r="BL128" i="11"/>
  <c r="BL44" i="11"/>
  <c r="BL119" i="11"/>
  <c r="BL25" i="11"/>
  <c r="BL90" i="11"/>
  <c r="BL69" i="11"/>
  <c r="BL97" i="11"/>
  <c r="BL50" i="11"/>
  <c r="BL116" i="11"/>
  <c r="BL46" i="11"/>
  <c r="BL101" i="11"/>
  <c r="BL22" i="11"/>
  <c r="BL109" i="11"/>
  <c r="BL41" i="11"/>
  <c r="BL135" i="11"/>
  <c r="BL95" i="11"/>
  <c r="BL34" i="11"/>
  <c r="BL74" i="11"/>
  <c r="BL133" i="11"/>
  <c r="BL19" i="11"/>
  <c r="BL76" i="11"/>
  <c r="BL51" i="11"/>
  <c r="BL21" i="11"/>
  <c r="BL54" i="11"/>
  <c r="BL57" i="11"/>
  <c r="BL96" i="11"/>
  <c r="BL130" i="11"/>
  <c r="BL20" i="11"/>
  <c r="BL136" i="11"/>
  <c r="BL73" i="11"/>
  <c r="BL55" i="11"/>
  <c r="BL98" i="11"/>
  <c r="BL64" i="11"/>
  <c r="BL108" i="11"/>
  <c r="BL117" i="11"/>
  <c r="BL28" i="11"/>
  <c r="BL127" i="11"/>
  <c r="BL84" i="11"/>
  <c r="BL63" i="11"/>
  <c r="BL129" i="11"/>
  <c r="BL88" i="11"/>
  <c r="BL122" i="11"/>
  <c r="BL121" i="11"/>
  <c r="BL27" i="11"/>
  <c r="BL38" i="11"/>
  <c r="BL107" i="11"/>
  <c r="BL91" i="11"/>
  <c r="BL31" i="11"/>
  <c r="BL94" i="11"/>
  <c r="BL45" i="11"/>
  <c r="BL26" i="11"/>
  <c r="BL35" i="11"/>
  <c r="BK12" i="11"/>
  <c r="BK14" i="11" s="1"/>
  <c r="BK13" i="11"/>
  <c r="BK15" i="11" s="1"/>
  <c r="BL32" i="11"/>
  <c r="BL49" i="11"/>
  <c r="BL85" i="11"/>
  <c r="BL60" i="11"/>
  <c r="BL124" i="11"/>
  <c r="BL82" i="11"/>
  <c r="BL48" i="11"/>
  <c r="BL40" i="11"/>
  <c r="BL42" i="11"/>
  <c r="BL110" i="11"/>
  <c r="BL103" i="11"/>
  <c r="BL29" i="11"/>
  <c r="BL61" i="11"/>
  <c r="AJ89" i="9"/>
  <c r="BG9" i="10"/>
  <c r="BH21" i="10"/>
  <c r="BH197" i="10"/>
  <c r="BH137" i="10"/>
  <c r="BH89" i="10"/>
  <c r="BH62" i="10"/>
  <c r="BH42" i="10"/>
  <c r="BH189" i="10"/>
  <c r="BH136" i="10"/>
  <c r="BH133" i="10"/>
  <c r="BH111" i="10"/>
  <c r="BH106" i="10"/>
  <c r="BH80" i="10"/>
  <c r="BH51" i="10"/>
  <c r="BH40" i="10"/>
  <c r="BH181" i="10"/>
  <c r="BH159" i="10"/>
  <c r="BH130" i="10"/>
  <c r="BH118" i="10"/>
  <c r="BH108" i="10"/>
  <c r="BH55" i="10"/>
  <c r="BH31" i="10"/>
  <c r="BH202" i="10"/>
  <c r="BH192" i="10"/>
  <c r="BH149" i="10"/>
  <c r="BH168" i="10"/>
  <c r="BH102" i="10"/>
  <c r="BH116" i="10"/>
  <c r="BH100" i="10"/>
  <c r="BH194" i="10"/>
  <c r="BH154" i="10"/>
  <c r="BH85" i="10"/>
  <c r="BH70" i="10"/>
  <c r="BH81" i="10"/>
  <c r="BH34" i="10"/>
  <c r="BH46" i="10"/>
  <c r="BH164" i="10"/>
  <c r="BH169" i="10"/>
  <c r="BH124" i="10"/>
  <c r="BH86" i="10"/>
  <c r="BH84" i="10"/>
  <c r="BH32" i="10"/>
  <c r="BH178" i="10"/>
  <c r="BH156" i="10"/>
  <c r="BH167" i="10"/>
  <c r="BH143" i="10"/>
  <c r="BH82" i="10"/>
  <c r="BH75" i="10"/>
  <c r="BH69" i="10"/>
  <c r="BH24" i="10"/>
  <c r="BH160" i="10"/>
  <c r="BH157" i="10"/>
  <c r="BH112" i="10"/>
  <c r="BH92" i="10"/>
  <c r="BH67" i="10"/>
  <c r="BH16" i="10"/>
  <c r="BH30" i="10"/>
  <c r="BH190" i="10"/>
  <c r="BH145" i="10"/>
  <c r="BH110" i="10"/>
  <c r="BH63" i="10"/>
  <c r="BH54" i="10"/>
  <c r="BH182" i="10"/>
  <c r="BH121" i="10"/>
  <c r="BH74" i="10"/>
  <c r="BH196" i="10"/>
  <c r="BH117" i="10"/>
  <c r="BH148" i="10"/>
  <c r="BH37" i="10"/>
  <c r="BH201" i="10"/>
  <c r="BH109" i="10"/>
  <c r="BH91" i="10"/>
  <c r="BH41" i="10"/>
  <c r="BH173" i="10"/>
  <c r="BH171" i="10"/>
  <c r="BH144" i="10"/>
  <c r="BH135" i="10"/>
  <c r="BH115" i="10"/>
  <c r="BH33" i="10"/>
  <c r="BH17" i="10"/>
  <c r="BH179" i="10"/>
  <c r="BH158" i="10"/>
  <c r="BH113" i="10"/>
  <c r="BH65" i="10"/>
  <c r="BH87" i="10"/>
  <c r="BH161" i="10"/>
  <c r="BH151" i="10"/>
  <c r="BH146" i="10"/>
  <c r="BH98" i="10"/>
  <c r="BH107" i="10"/>
  <c r="BH83" i="10"/>
  <c r="BH44" i="10"/>
  <c r="BH52" i="10"/>
  <c r="BH27" i="10"/>
  <c r="BH18" i="10"/>
  <c r="BH19" i="10"/>
  <c r="BH29" i="10"/>
  <c r="BH88" i="10"/>
  <c r="BC4" i="21"/>
  <c r="BC39" i="21" s="1"/>
  <c r="BG4" i="22"/>
  <c r="BG10" i="10"/>
  <c r="BG8" i="10"/>
  <c r="BH22" i="10"/>
  <c r="BH184" i="10"/>
  <c r="BH147" i="10"/>
  <c r="BH119" i="10"/>
  <c r="BH114" i="10"/>
  <c r="BH152" i="10"/>
  <c r="BH61" i="10"/>
  <c r="BH198" i="10"/>
  <c r="BH123" i="10"/>
  <c r="BH72" i="10"/>
  <c r="BH195" i="10"/>
  <c r="BH177" i="10"/>
  <c r="BH105" i="10"/>
  <c r="BH43" i="10"/>
  <c r="BH129" i="10"/>
  <c r="BH97" i="10"/>
  <c r="BH35" i="10"/>
  <c r="BH23" i="10"/>
  <c r="BH188" i="10"/>
  <c r="BH155" i="10"/>
  <c r="BH127" i="10"/>
  <c r="BH94" i="10"/>
  <c r="BH186" i="10"/>
  <c r="BH187" i="10"/>
  <c r="BH103" i="10"/>
  <c r="BH48" i="10"/>
  <c r="BH28" i="10"/>
  <c r="BH172" i="10"/>
  <c r="BH120" i="10"/>
  <c r="BH45" i="10"/>
  <c r="BH199" i="10"/>
  <c r="BH170" i="10"/>
  <c r="BH134" i="10"/>
  <c r="BH71" i="10"/>
  <c r="BH191" i="10"/>
  <c r="BH166" i="10"/>
  <c r="BH132" i="10"/>
  <c r="BH90" i="10"/>
  <c r="BH57" i="10"/>
  <c r="BH183" i="10"/>
  <c r="BH174" i="10"/>
  <c r="BH125" i="10"/>
  <c r="BH104" i="10"/>
  <c r="BH93" i="10"/>
  <c r="BH53" i="10"/>
  <c r="BH38" i="10"/>
  <c r="BH163" i="10"/>
  <c r="BH165" i="10"/>
  <c r="BH96" i="10"/>
  <c r="BH99" i="10"/>
  <c r="BH68" i="10"/>
  <c r="BH60" i="10"/>
  <c r="BH175" i="10"/>
  <c r="BH162" i="10"/>
  <c r="BH126" i="10"/>
  <c r="BH122" i="10"/>
  <c r="BH95" i="10"/>
  <c r="BH49" i="10"/>
  <c r="BH59" i="10"/>
  <c r="BH36" i="10"/>
  <c r="BH185" i="10"/>
  <c r="BH180" i="10"/>
  <c r="BH131" i="10"/>
  <c r="BH150" i="10"/>
  <c r="BH139" i="10"/>
  <c r="BH101" i="10"/>
  <c r="BH58" i="10"/>
  <c r="BH47" i="10"/>
  <c r="BH138" i="10"/>
  <c r="BH73" i="10"/>
  <c r="BH56" i="10"/>
  <c r="BH39" i="10"/>
  <c r="BH193" i="10"/>
  <c r="BH153" i="10"/>
  <c r="BH176" i="10"/>
  <c r="BH66" i="10"/>
  <c r="BH26" i="10"/>
  <c r="BH200" i="10"/>
  <c r="BH128" i="10"/>
  <c r="BH64" i="10"/>
  <c r="BH20" i="10"/>
  <c r="BH25" i="10"/>
  <c r="BH50" i="10"/>
  <c r="BA4" i="8"/>
  <c r="AX7" i="20"/>
  <c r="AX5" i="8" s="1"/>
  <c r="AJ83" i="9"/>
  <c r="BF323" i="7"/>
  <c r="BF388" i="7" s="1"/>
  <c r="BF142" i="14" s="1"/>
  <c r="BF143" i="14" s="1"/>
  <c r="BF147" i="14" s="1"/>
  <c r="BF148" i="14" s="1"/>
  <c r="BF149" i="14" s="1"/>
  <c r="BF150" i="14" s="1"/>
  <c r="BF151" i="14" s="1"/>
  <c r="BF152" i="14" s="1"/>
  <c r="BF157" i="14" s="1"/>
  <c r="BF160" i="14" s="1"/>
  <c r="AJ19" i="8"/>
  <c r="AJ27" i="8" s="1"/>
  <c r="AJ38" i="8" s="1"/>
  <c r="AJ44" i="8"/>
  <c r="AJ47" i="8" s="1"/>
  <c r="AJ48" i="8" s="1"/>
  <c r="BF229" i="7"/>
  <c r="BF288" i="7" s="1"/>
  <c r="BF193" i="14"/>
  <c r="BF196" i="14" s="1"/>
  <c r="BF197" i="14" s="1"/>
  <c r="BF199" i="14" s="1"/>
  <c r="BF202" i="14" s="1"/>
  <c r="BF206" i="14" s="1"/>
  <c r="BF61" i="14"/>
  <c r="BF64" i="14" s="1"/>
  <c r="BF65" i="14" s="1"/>
  <c r="BE73" i="21"/>
  <c r="BB210" i="14"/>
  <c r="BB211" i="14" s="1"/>
  <c r="BB213" i="14" s="1"/>
  <c r="BB215" i="14" s="1"/>
  <c r="BE196" i="14"/>
  <c r="BE197" i="14" s="1"/>
  <c r="BC208" i="14"/>
  <c r="BD208" i="14"/>
  <c r="BD35" i="21"/>
  <c r="BD36" i="21" s="1"/>
  <c r="BF79" i="21"/>
  <c r="BE81" i="21"/>
  <c r="BE12" i="8" s="1"/>
  <c r="BE13" i="8" s="1"/>
  <c r="BD21" i="15"/>
  <c r="BD5" i="9" s="1"/>
  <c r="BD22" i="15"/>
  <c r="BD43" i="15" s="1"/>
  <c r="BC4" i="9"/>
  <c r="BF64" i="21"/>
  <c r="BE34" i="15"/>
  <c r="BC44" i="15"/>
  <c r="BC45" i="15" s="1"/>
  <c r="BC46" i="15" s="1"/>
  <c r="BC4" i="20"/>
  <c r="BB46" i="15"/>
  <c r="BE88" i="14"/>
  <c r="BE94" i="14"/>
  <c r="BE111" i="14" s="1"/>
  <c r="BE112" i="14" s="1"/>
  <c r="BE113" i="14" s="1"/>
  <c r="BA57" i="21"/>
  <c r="BD5" i="7"/>
  <c r="BD14" i="13" s="1"/>
  <c r="BE119" i="14"/>
  <c r="BE136" i="14" s="1"/>
  <c r="BE137" i="14" s="1"/>
  <c r="BE139" i="14" s="1"/>
  <c r="AZ44" i="8"/>
  <c r="AZ47" i="8" s="1"/>
  <c r="AZ48" i="8" s="1"/>
  <c r="AZ50" i="8" s="1"/>
  <c r="AZ25" i="13" s="1"/>
  <c r="AY83" i="9"/>
  <c r="BA50" i="21"/>
  <c r="BE89" i="14"/>
  <c r="BE31" i="21"/>
  <c r="AY89" i="9"/>
  <c r="BF60" i="21"/>
  <c r="BF77" i="21"/>
  <c r="BE100" i="14"/>
  <c r="BE101" i="14" s="1"/>
  <c r="BE102" i="14" s="1"/>
  <c r="BF61" i="21"/>
  <c r="BF62" i="21"/>
  <c r="BF71" i="21"/>
  <c r="BE66" i="21"/>
  <c r="BE68" i="21" s="1"/>
  <c r="BE25" i="21"/>
  <c r="BE125" i="14"/>
  <c r="BE126" i="14" s="1"/>
  <c r="BE127" i="14" s="1"/>
  <c r="BE132" i="14" s="1"/>
  <c r="BE135" i="14" s="1"/>
  <c r="BF17" i="17"/>
  <c r="BF14" i="17"/>
  <c r="BF28" i="13" s="1"/>
  <c r="BF93" i="14"/>
  <c r="BF97" i="14" s="1"/>
  <c r="BF98" i="14" s="1"/>
  <c r="BF99" i="14" s="1"/>
  <c r="BD389" i="7"/>
  <c r="BD7" i="7"/>
  <c r="BD16" i="13" s="1"/>
  <c r="BF3" i="8"/>
  <c r="BF3" i="9"/>
  <c r="BJ6" i="10" s="1"/>
  <c r="AY19" i="8"/>
  <c r="AY27" i="8" s="1"/>
  <c r="AY38" i="8" s="1"/>
  <c r="AY44" i="8"/>
  <c r="AY47" i="8" s="1"/>
  <c r="AY48" i="8" s="1"/>
  <c r="BB53" i="21"/>
  <c r="BB54" i="21" s="1"/>
  <c r="BB46" i="21"/>
  <c r="BB47" i="21" s="1"/>
  <c r="BB48" i="21" s="1"/>
  <c r="BB43" i="21"/>
  <c r="BB39" i="21"/>
  <c r="BE27" i="9"/>
  <c r="BE28" i="9" s="1"/>
  <c r="BI4" i="10" s="1"/>
  <c r="BE11" i="9"/>
  <c r="BE12" i="9" s="1"/>
  <c r="BE41" i="9"/>
  <c r="BE42" i="9" s="1"/>
  <c r="BE50" i="9" s="1"/>
  <c r="BE22" i="9"/>
  <c r="BE23" i="9" s="1"/>
  <c r="BI3" i="10" s="1"/>
  <c r="BE38" i="9"/>
  <c r="BE39" i="9" s="1"/>
  <c r="BE17" i="9"/>
  <c r="BE18" i="9" s="1"/>
  <c r="BI2" i="10" s="1"/>
  <c r="BE44" i="9"/>
  <c r="BE45" i="9" s="1"/>
  <c r="BE55" i="9" s="1"/>
  <c r="BE33" i="9"/>
  <c r="BE34" i="9" s="1"/>
  <c r="BI5" i="10" s="1"/>
  <c r="BE36" i="9"/>
  <c r="BI7" i="10" s="1"/>
  <c r="BE150" i="14"/>
  <c r="BE151" i="14" s="1"/>
  <c r="BE152" i="14" s="1"/>
  <c r="BE157" i="14" s="1"/>
  <c r="BE160" i="14" s="1"/>
  <c r="BB62" i="9"/>
  <c r="BB68" i="9" s="1"/>
  <c r="AZ19" i="8"/>
  <c r="AZ27" i="8" s="1"/>
  <c r="AZ38" i="8" s="1"/>
  <c r="AZ83" i="9"/>
  <c r="BF63" i="21"/>
  <c r="BD54" i="9"/>
  <c r="BD58" i="9"/>
  <c r="BD49" i="9"/>
  <c r="BD59" i="9"/>
  <c r="BB53" i="9"/>
  <c r="BB60" i="9" s="1"/>
  <c r="BB66" i="9" s="1"/>
  <c r="BF78" i="21"/>
  <c r="BD7" i="8"/>
  <c r="BB47" i="9"/>
  <c r="BB51" i="9" s="1"/>
  <c r="BB64" i="9" s="1"/>
  <c r="BD9" i="8"/>
  <c r="BB40" i="8"/>
  <c r="BB41" i="8"/>
  <c r="BB23" i="13" s="1"/>
  <c r="BB22" i="13"/>
  <c r="BF26" i="15"/>
  <c r="BF25" i="15"/>
  <c r="BF76" i="21"/>
  <c r="BD8" i="8"/>
  <c r="BC36" i="8"/>
  <c r="BC39" i="8" s="1"/>
  <c r="BD48" i="9"/>
  <c r="BD56" i="9"/>
  <c r="BD57" i="9"/>
  <c r="BE144" i="14"/>
  <c r="BF14" i="21"/>
  <c r="BF20" i="21" s="1"/>
  <c r="BF34" i="21"/>
  <c r="BF11" i="21"/>
  <c r="BF17" i="21"/>
  <c r="BF72" i="21"/>
  <c r="AK24" i="13"/>
  <c r="AK50" i="8"/>
  <c r="AK25" i="13" s="1"/>
  <c r="BE79" i="14" l="1"/>
  <c r="BE90" i="14" s="1"/>
  <c r="BE100" i="7" s="1"/>
  <c r="BE3" i="23" s="1"/>
  <c r="BB138" i="14"/>
  <c r="BD139" i="14"/>
  <c r="BD138" i="14"/>
  <c r="BD129" i="14"/>
  <c r="BD140" i="14" s="1"/>
  <c r="BA86" i="9"/>
  <c r="BA87" i="9" s="1"/>
  <c r="BA88" i="9" s="1"/>
  <c r="BA89" i="9" s="1"/>
  <c r="BA74" i="9"/>
  <c r="BA3" i="20" s="1"/>
  <c r="BA12" i="20" s="1"/>
  <c r="BA6" i="8" s="1"/>
  <c r="BD281" i="23"/>
  <c r="BF69" i="14"/>
  <c r="BF86" i="14" s="1"/>
  <c r="BF87" i="14" s="1"/>
  <c r="BD4" i="7"/>
  <c r="BD13" i="13" s="1"/>
  <c r="BE279" i="23"/>
  <c r="BA80" i="9"/>
  <c r="BA81" i="9" s="1"/>
  <c r="BA83" i="9" s="1"/>
  <c r="BF279" i="23"/>
  <c r="BF117" i="14"/>
  <c r="BF118" i="14" s="1"/>
  <c r="BF122" i="14" s="1"/>
  <c r="BF123" i="14" s="1"/>
  <c r="BF124" i="14" s="1"/>
  <c r="BF125" i="14" s="1"/>
  <c r="BF126" i="14" s="1"/>
  <c r="BF127" i="14" s="1"/>
  <c r="BF132" i="14" s="1"/>
  <c r="BF135" i="14" s="1"/>
  <c r="BE4" i="7"/>
  <c r="BE13" i="13" s="1"/>
  <c r="BC53" i="21"/>
  <c r="BC54" i="21" s="1"/>
  <c r="BC10" i="8" s="1"/>
  <c r="BC46" i="21"/>
  <c r="BC47" i="21" s="1"/>
  <c r="BC48" i="21" s="1"/>
  <c r="BC49" i="21" s="1"/>
  <c r="BC50" i="21" s="1"/>
  <c r="BC43" i="21"/>
  <c r="BL13" i="11"/>
  <c r="BL15" i="11" s="1"/>
  <c r="BF144" i="14"/>
  <c r="BF161" i="14" s="1"/>
  <c r="BF162" i="14" s="1"/>
  <c r="BF163" i="14" s="1"/>
  <c r="BL12" i="11"/>
  <c r="BL14" i="11" s="1"/>
  <c r="BH9" i="10"/>
  <c r="BH10" i="10"/>
  <c r="BH8" i="10"/>
  <c r="BI43" i="10"/>
  <c r="BI37" i="10"/>
  <c r="BI17" i="10"/>
  <c r="BI145" i="10"/>
  <c r="BI130" i="10"/>
  <c r="BI157" i="10"/>
  <c r="BI117" i="10"/>
  <c r="BI44" i="10"/>
  <c r="BI182" i="10"/>
  <c r="BI173" i="10"/>
  <c r="BI115" i="10"/>
  <c r="BI89" i="10"/>
  <c r="BI81" i="10"/>
  <c r="BI42" i="10"/>
  <c r="BI164" i="10"/>
  <c r="BI133" i="10"/>
  <c r="BI113" i="10"/>
  <c r="BI80" i="10"/>
  <c r="BI31" i="10"/>
  <c r="BI149" i="10"/>
  <c r="BI124" i="10"/>
  <c r="BI98" i="10"/>
  <c r="BI100" i="10"/>
  <c r="BI40" i="10"/>
  <c r="BI74" i="10"/>
  <c r="BI197" i="10"/>
  <c r="BI167" i="10"/>
  <c r="BI154" i="10"/>
  <c r="BI168" i="10"/>
  <c r="BI116" i="10"/>
  <c r="BI112" i="10"/>
  <c r="BI111" i="10"/>
  <c r="BI70" i="10"/>
  <c r="BI41" i="10"/>
  <c r="BI189" i="10"/>
  <c r="BI161" i="10"/>
  <c r="BI143" i="10"/>
  <c r="BI108" i="10"/>
  <c r="BI62" i="10"/>
  <c r="BI69" i="10"/>
  <c r="BI82" i="10"/>
  <c r="BI181" i="10"/>
  <c r="BI146" i="10"/>
  <c r="BI159" i="10"/>
  <c r="BI107" i="10"/>
  <c r="BI75" i="10"/>
  <c r="BI67" i="10"/>
  <c r="BI34" i="10"/>
  <c r="BI202" i="10"/>
  <c r="BI169" i="10"/>
  <c r="BI160" i="10"/>
  <c r="BI118" i="10"/>
  <c r="BI33" i="10"/>
  <c r="BI194" i="10"/>
  <c r="BI158" i="10"/>
  <c r="BI91" i="10"/>
  <c r="BI92" i="10"/>
  <c r="BI32" i="10"/>
  <c r="BI30" i="10"/>
  <c r="BI190" i="10"/>
  <c r="BI121" i="10"/>
  <c r="BI83" i="10"/>
  <c r="BI102" i="10"/>
  <c r="BI85" i="10"/>
  <c r="BI24" i="10"/>
  <c r="BI55" i="10"/>
  <c r="BI135" i="10"/>
  <c r="BI88" i="10"/>
  <c r="BI65" i="10"/>
  <c r="BI16" i="10"/>
  <c r="BI52" i="10"/>
  <c r="BI106" i="10"/>
  <c r="BI136" i="10"/>
  <c r="BI110" i="10"/>
  <c r="BI87" i="10"/>
  <c r="BI196" i="10"/>
  <c r="BI151" i="10"/>
  <c r="BI148" i="10"/>
  <c r="BI109" i="10"/>
  <c r="BI86" i="10"/>
  <c r="BI201" i="10"/>
  <c r="BI192" i="10"/>
  <c r="BI179" i="10"/>
  <c r="BI171" i="10"/>
  <c r="BI144" i="10"/>
  <c r="BI54" i="10"/>
  <c r="BI84" i="10"/>
  <c r="BI18" i="10"/>
  <c r="BI156" i="10"/>
  <c r="BI137" i="10"/>
  <c r="BI178" i="10"/>
  <c r="BI46" i="10"/>
  <c r="BI63" i="10"/>
  <c r="BI51" i="10"/>
  <c r="BI27" i="10"/>
  <c r="BI19" i="10"/>
  <c r="BI29" i="10"/>
  <c r="BI22" i="10"/>
  <c r="BD4" i="21"/>
  <c r="BD43" i="21" s="1"/>
  <c r="BH4" i="22"/>
  <c r="BI21" i="10"/>
  <c r="BI25" i="10"/>
  <c r="BI170" i="10"/>
  <c r="BI185" i="10"/>
  <c r="BI104" i="10"/>
  <c r="BI38" i="10"/>
  <c r="BI61" i="10"/>
  <c r="BI36" i="10"/>
  <c r="BI176" i="10"/>
  <c r="BI129" i="10"/>
  <c r="BI147" i="10"/>
  <c r="BI72" i="10"/>
  <c r="BI180" i="10"/>
  <c r="BI165" i="10"/>
  <c r="BI127" i="10"/>
  <c r="BI48" i="10"/>
  <c r="BI96" i="10"/>
  <c r="BI175" i="10"/>
  <c r="BI183" i="10"/>
  <c r="BI120" i="10"/>
  <c r="BI49" i="10"/>
  <c r="BI95" i="10"/>
  <c r="BI28" i="10"/>
  <c r="BI198" i="10"/>
  <c r="BI187" i="10"/>
  <c r="BI103" i="10"/>
  <c r="BI35" i="10"/>
  <c r="BI195" i="10"/>
  <c r="BI131" i="10"/>
  <c r="BI123" i="10"/>
  <c r="BI73" i="10"/>
  <c r="BI155" i="10"/>
  <c r="BI134" i="10"/>
  <c r="BI99" i="10"/>
  <c r="BI94" i="10"/>
  <c r="BI57" i="10"/>
  <c r="BI45" i="10"/>
  <c r="BI153" i="10"/>
  <c r="BI152" i="10"/>
  <c r="BI132" i="10"/>
  <c r="BI125" i="10"/>
  <c r="BI53" i="10"/>
  <c r="BI186" i="10"/>
  <c r="BI166" i="10"/>
  <c r="BI122" i="10"/>
  <c r="BI90" i="10"/>
  <c r="BI199" i="10"/>
  <c r="BI174" i="10"/>
  <c r="BI193" i="10"/>
  <c r="BI114" i="10"/>
  <c r="BI172" i="10"/>
  <c r="BI97" i="10"/>
  <c r="BI191" i="10"/>
  <c r="BI163" i="10"/>
  <c r="BI177" i="10"/>
  <c r="BI71" i="10"/>
  <c r="BI59" i="10"/>
  <c r="BI47" i="10"/>
  <c r="BI184" i="10"/>
  <c r="BI138" i="10"/>
  <c r="BI66" i="10"/>
  <c r="BI58" i="10"/>
  <c r="BI39" i="10"/>
  <c r="BI162" i="10"/>
  <c r="BI150" i="10"/>
  <c r="BI126" i="10"/>
  <c r="BI119" i="10"/>
  <c r="BI68" i="10"/>
  <c r="BI64" i="10"/>
  <c r="BI56" i="10"/>
  <c r="BI26" i="10"/>
  <c r="BI128" i="10"/>
  <c r="BI139" i="10"/>
  <c r="BI101" i="10"/>
  <c r="BI60" i="10"/>
  <c r="BI200" i="10"/>
  <c r="BI188" i="10"/>
  <c r="BI93" i="10"/>
  <c r="BI105" i="10"/>
  <c r="BI23" i="10"/>
  <c r="BI20" i="10"/>
  <c r="BI50" i="10"/>
  <c r="AX43" i="8"/>
  <c r="AX44" i="8"/>
  <c r="AX19" i="8"/>
  <c r="AX27" i="8" s="1"/>
  <c r="AX38" i="8" s="1"/>
  <c r="BF201" i="14"/>
  <c r="BF205" i="14" s="1"/>
  <c r="BF208" i="14" s="1"/>
  <c r="AJ24" i="13"/>
  <c r="AJ50" i="8"/>
  <c r="AJ25" i="13" s="1"/>
  <c r="BD210" i="14"/>
  <c r="BD211" i="14" s="1"/>
  <c r="BD213" i="14" s="1"/>
  <c r="BD215" i="14" s="1"/>
  <c r="BC210" i="14"/>
  <c r="BC211" i="14" s="1"/>
  <c r="BC213" i="14" s="1"/>
  <c r="BC215" i="14" s="1"/>
  <c r="BE201" i="14"/>
  <c r="BE205" i="14" s="1"/>
  <c r="BE199" i="14"/>
  <c r="BE202" i="14" s="1"/>
  <c r="BE206" i="14" s="1"/>
  <c r="BE22" i="15"/>
  <c r="BE43" i="15" s="1"/>
  <c r="BF25" i="21"/>
  <c r="BF35" i="21" s="1"/>
  <c r="BF36" i="21" s="1"/>
  <c r="BD4" i="9"/>
  <c r="BE21" i="15"/>
  <c r="BE5" i="9" s="1"/>
  <c r="BD4" i="20"/>
  <c r="BD44" i="15"/>
  <c r="BD45" i="15" s="1"/>
  <c r="BD46" i="15" s="1"/>
  <c r="BF66" i="21"/>
  <c r="BF68" i="21" s="1"/>
  <c r="BC53" i="9"/>
  <c r="BC60" i="9" s="1"/>
  <c r="BC66" i="9" s="1"/>
  <c r="BC5" i="20" s="1"/>
  <c r="AZ24" i="13"/>
  <c r="BE138" i="14"/>
  <c r="BE129" i="14"/>
  <c r="BE140" i="14" s="1"/>
  <c r="BE6" i="7" s="1"/>
  <c r="BE15" i="13" s="1"/>
  <c r="BF94" i="14"/>
  <c r="BF111" i="14" s="1"/>
  <c r="BF112" i="14" s="1"/>
  <c r="BF164" i="14"/>
  <c r="BE107" i="14"/>
  <c r="BE110" i="14" s="1"/>
  <c r="BE104" i="14"/>
  <c r="BD6" i="7"/>
  <c r="BD15" i="13" s="1"/>
  <c r="BD289" i="7"/>
  <c r="BD13" i="23" s="1"/>
  <c r="AY24" i="13"/>
  <c r="AY50" i="8"/>
  <c r="AY25" i="13" s="1"/>
  <c r="BC40" i="8"/>
  <c r="BC41" i="8"/>
  <c r="BC22" i="13"/>
  <c r="BF38" i="9"/>
  <c r="BF39" i="9" s="1"/>
  <c r="BF17" i="9"/>
  <c r="BF18" i="9" s="1"/>
  <c r="BJ2" i="10" s="1"/>
  <c r="BF33" i="9"/>
  <c r="BF34" i="9" s="1"/>
  <c r="BJ5" i="10" s="1"/>
  <c r="BF36" i="9"/>
  <c r="BJ7" i="10" s="1"/>
  <c r="BF41" i="9"/>
  <c r="BF42" i="9" s="1"/>
  <c r="BF50" i="9" s="1"/>
  <c r="BF27" i="9"/>
  <c r="BF28" i="9" s="1"/>
  <c r="BJ4" i="10" s="1"/>
  <c r="BF44" i="9"/>
  <c r="BF45" i="9" s="1"/>
  <c r="BF55" i="9" s="1"/>
  <c r="BF22" i="9"/>
  <c r="BF23" i="9" s="1"/>
  <c r="BJ3" i="10" s="1"/>
  <c r="BF11" i="9"/>
  <c r="BF12" i="9" s="1"/>
  <c r="BE7" i="8"/>
  <c r="BE56" i="9"/>
  <c r="BE57" i="9"/>
  <c r="BE48" i="9"/>
  <c r="BE8" i="8"/>
  <c r="BF73" i="21"/>
  <c r="BE49" i="9"/>
  <c r="BE54" i="9"/>
  <c r="BE59" i="9"/>
  <c r="BE58" i="9"/>
  <c r="BE9" i="8"/>
  <c r="BC62" i="9"/>
  <c r="BC68" i="9" s="1"/>
  <c r="BB49" i="21"/>
  <c r="BB51" i="21" s="1"/>
  <c r="BB11" i="8"/>
  <c r="BB4" i="8"/>
  <c r="BB71" i="9"/>
  <c r="BB10" i="8"/>
  <c r="BB55" i="21"/>
  <c r="BB57" i="21" s="1"/>
  <c r="BF100" i="14"/>
  <c r="BF101" i="14" s="1"/>
  <c r="BF102" i="14" s="1"/>
  <c r="BF107" i="14" s="1"/>
  <c r="BF110" i="14" s="1"/>
  <c r="BE26" i="21"/>
  <c r="BE35" i="21"/>
  <c r="BE36" i="21" s="1"/>
  <c r="BF81" i="21"/>
  <c r="BF12" i="8" s="1"/>
  <c r="BF13" i="8" s="1"/>
  <c r="BF28" i="21"/>
  <c r="BF31" i="21" s="1"/>
  <c r="BB74" i="9"/>
  <c r="BB3" i="20" s="1"/>
  <c r="BB80" i="9"/>
  <c r="BE161" i="14"/>
  <c r="BE162" i="14" s="1"/>
  <c r="BE164" i="14" s="1"/>
  <c r="BE154" i="14"/>
  <c r="BE165" i="14" s="1"/>
  <c r="BE114" i="14"/>
  <c r="BC47" i="9"/>
  <c r="BC51" i="9" s="1"/>
  <c r="BC64" i="9" s="1"/>
  <c r="BD36" i="8"/>
  <c r="BD39" i="8" s="1"/>
  <c r="BB86" i="9"/>
  <c r="BB87" i="9" s="1"/>
  <c r="BB88" i="9" s="1"/>
  <c r="BB89" i="9" s="1"/>
  <c r="BB5" i="20"/>
  <c r="BA7" i="20" l="1"/>
  <c r="BA5" i="8" s="1"/>
  <c r="BA43" i="8" s="1"/>
  <c r="BF89" i="14"/>
  <c r="BF88" i="14"/>
  <c r="BF79" i="14"/>
  <c r="BF90" i="14" s="1"/>
  <c r="BF100" i="7" s="1"/>
  <c r="BF3" i="23" s="1"/>
  <c r="BA82" i="9"/>
  <c r="BF119" i="14"/>
  <c r="BF136" i="14" s="1"/>
  <c r="BF137" i="14" s="1"/>
  <c r="BC55" i="21"/>
  <c r="BC57" i="21" s="1"/>
  <c r="BE281" i="23"/>
  <c r="BF154" i="14"/>
  <c r="BF165" i="14" s="1"/>
  <c r="BF389" i="7" s="1"/>
  <c r="BC11" i="8"/>
  <c r="BJ19" i="10"/>
  <c r="BD46" i="21"/>
  <c r="BD47" i="21" s="1"/>
  <c r="BD48" i="21" s="1"/>
  <c r="BD49" i="21" s="1"/>
  <c r="BD50" i="21" s="1"/>
  <c r="BD53" i="21"/>
  <c r="BD54" i="21" s="1"/>
  <c r="BD55" i="21" s="1"/>
  <c r="BD57" i="21" s="1"/>
  <c r="BD39" i="21"/>
  <c r="BE4" i="20"/>
  <c r="BI4" i="22"/>
  <c r="BI8" i="10"/>
  <c r="BI9" i="10"/>
  <c r="BJ25" i="10"/>
  <c r="BJ188" i="10"/>
  <c r="BJ174" i="10"/>
  <c r="BJ162" i="10"/>
  <c r="BJ122" i="10"/>
  <c r="BJ101" i="10"/>
  <c r="BJ68" i="10"/>
  <c r="BJ64" i="10"/>
  <c r="BJ59" i="10"/>
  <c r="BJ200" i="10"/>
  <c r="BJ176" i="10"/>
  <c r="BJ170" i="10"/>
  <c r="BJ128" i="10"/>
  <c r="BJ195" i="10"/>
  <c r="BJ155" i="10"/>
  <c r="BJ103" i="10"/>
  <c r="BJ191" i="10"/>
  <c r="BJ183" i="10"/>
  <c r="BJ153" i="10"/>
  <c r="BJ99" i="10"/>
  <c r="BJ66" i="10"/>
  <c r="BJ56" i="10"/>
  <c r="BJ177" i="10"/>
  <c r="BJ50" i="10"/>
  <c r="BJ166" i="10"/>
  <c r="BJ131" i="10"/>
  <c r="BJ23" i="10"/>
  <c r="BJ163" i="10"/>
  <c r="BJ134" i="10"/>
  <c r="BJ60" i="10"/>
  <c r="BJ38" i="10"/>
  <c r="BJ175" i="10"/>
  <c r="BJ132" i="10"/>
  <c r="BJ119" i="10"/>
  <c r="BJ95" i="10"/>
  <c r="BJ120" i="10"/>
  <c r="BJ28" i="10"/>
  <c r="BJ186" i="10"/>
  <c r="BJ93" i="10"/>
  <c r="BJ61" i="10"/>
  <c r="BJ187" i="10"/>
  <c r="BJ152" i="10"/>
  <c r="BJ126" i="10"/>
  <c r="BJ104" i="10"/>
  <c r="BJ97" i="10"/>
  <c r="BJ73" i="10"/>
  <c r="BJ199" i="10"/>
  <c r="BJ48" i="10"/>
  <c r="BJ43" i="10"/>
  <c r="BJ139" i="10"/>
  <c r="BJ36" i="10"/>
  <c r="BJ180" i="10"/>
  <c r="BJ185" i="10"/>
  <c r="BJ114" i="10"/>
  <c r="BJ123" i="10"/>
  <c r="BJ138" i="10"/>
  <c r="BJ57" i="10"/>
  <c r="BJ193" i="10"/>
  <c r="BJ72" i="10"/>
  <c r="BJ53" i="10"/>
  <c r="BJ47" i="10"/>
  <c r="BJ198" i="10"/>
  <c r="BJ165" i="10"/>
  <c r="BJ150" i="10"/>
  <c r="BJ147" i="10"/>
  <c r="BJ94" i="10"/>
  <c r="BJ45" i="10"/>
  <c r="BJ71" i="10"/>
  <c r="BJ184" i="10"/>
  <c r="BJ127" i="10"/>
  <c r="BJ125" i="10"/>
  <c r="BJ39" i="10"/>
  <c r="BJ172" i="10"/>
  <c r="BJ105" i="10"/>
  <c r="BJ90" i="10"/>
  <c r="BJ129" i="10"/>
  <c r="BJ96" i="10"/>
  <c r="BJ58" i="10"/>
  <c r="BJ35" i="10"/>
  <c r="BJ20" i="10"/>
  <c r="BJ49" i="10"/>
  <c r="BJ26" i="10"/>
  <c r="BI10" i="10"/>
  <c r="BJ17" i="10"/>
  <c r="BJ18" i="10"/>
  <c r="BJ30" i="10"/>
  <c r="BJ164" i="10"/>
  <c r="BJ182" i="10"/>
  <c r="BJ181" i="10"/>
  <c r="BJ202" i="10"/>
  <c r="BJ148" i="10"/>
  <c r="BJ124" i="10"/>
  <c r="BJ112" i="10"/>
  <c r="BJ62" i="10"/>
  <c r="BJ40" i="10"/>
  <c r="BJ82" i="10"/>
  <c r="BJ161" i="10"/>
  <c r="BJ160" i="10"/>
  <c r="BJ179" i="10"/>
  <c r="BJ190" i="10"/>
  <c r="BJ189" i="10"/>
  <c r="BJ116" i="10"/>
  <c r="BJ88" i="10"/>
  <c r="BJ42" i="10"/>
  <c r="BJ158" i="10"/>
  <c r="BJ143" i="10"/>
  <c r="BJ91" i="10"/>
  <c r="BJ87" i="10"/>
  <c r="BJ54" i="10"/>
  <c r="BJ31" i="10"/>
  <c r="BJ145" i="10"/>
  <c r="BJ83" i="10"/>
  <c r="BJ86" i="10"/>
  <c r="BJ46" i="10"/>
  <c r="BJ84" i="10"/>
  <c r="BJ136" i="10"/>
  <c r="BJ110" i="10"/>
  <c r="BJ80" i="10"/>
  <c r="BJ74" i="10"/>
  <c r="BJ194" i="10"/>
  <c r="BJ149" i="10"/>
  <c r="BJ63" i="10"/>
  <c r="BJ171" i="10"/>
  <c r="BJ159" i="10"/>
  <c r="BJ121" i="10"/>
  <c r="BJ81" i="10"/>
  <c r="BJ109" i="10"/>
  <c r="BJ55" i="10"/>
  <c r="BJ178" i="10"/>
  <c r="BJ117" i="10"/>
  <c r="BJ52" i="10"/>
  <c r="BJ169" i="10"/>
  <c r="BJ157" i="10"/>
  <c r="BJ156" i="10"/>
  <c r="BJ115" i="10"/>
  <c r="BJ89" i="10"/>
  <c r="BJ37" i="10"/>
  <c r="BJ196" i="10"/>
  <c r="BJ144" i="10"/>
  <c r="BJ154" i="10"/>
  <c r="BJ113" i="10"/>
  <c r="BJ100" i="10"/>
  <c r="BJ69" i="10"/>
  <c r="BJ98" i="10"/>
  <c r="BJ70" i="10"/>
  <c r="BJ67" i="10"/>
  <c r="BJ29" i="10"/>
  <c r="BJ201" i="10"/>
  <c r="BJ146" i="10"/>
  <c r="BJ106" i="10"/>
  <c r="BJ133" i="10"/>
  <c r="BJ75" i="10"/>
  <c r="BJ21" i="10"/>
  <c r="BJ167" i="10"/>
  <c r="BJ151" i="10"/>
  <c r="BJ135" i="10"/>
  <c r="BJ111" i="10"/>
  <c r="BJ118" i="10"/>
  <c r="BJ173" i="10"/>
  <c r="BJ137" i="10"/>
  <c r="BJ92" i="10"/>
  <c r="BJ85" i="10"/>
  <c r="BJ192" i="10"/>
  <c r="BJ130" i="10"/>
  <c r="BJ108" i="10"/>
  <c r="BJ65" i="10"/>
  <c r="BJ51" i="10"/>
  <c r="BJ197" i="10"/>
  <c r="BJ168" i="10"/>
  <c r="BJ107" i="10"/>
  <c r="BJ102" i="10"/>
  <c r="BJ44" i="10"/>
  <c r="BJ16" i="10"/>
  <c r="BJ32" i="10"/>
  <c r="BJ24" i="10"/>
  <c r="BJ27" i="10"/>
  <c r="BJ33" i="10"/>
  <c r="BJ22" i="10"/>
  <c r="BJ41" i="10"/>
  <c r="BJ34" i="10"/>
  <c r="AX47" i="8"/>
  <c r="AX48" i="8" s="1"/>
  <c r="AX50" i="8" s="1"/>
  <c r="AX25" i="13" s="1"/>
  <c r="BE208" i="14"/>
  <c r="BF210" i="14"/>
  <c r="BF211" i="14" s="1"/>
  <c r="BF213" i="14" s="1"/>
  <c r="BF215" i="14" s="1"/>
  <c r="BE44" i="15"/>
  <c r="BE45" i="15" s="1"/>
  <c r="BE4" i="21"/>
  <c r="BE39" i="21" s="1"/>
  <c r="BF26" i="21"/>
  <c r="BE4" i="9"/>
  <c r="BE289" i="7"/>
  <c r="BE13" i="23" s="1"/>
  <c r="BF21" i="15"/>
  <c r="BF5" i="9" s="1"/>
  <c r="BC86" i="9"/>
  <c r="BC87" i="9" s="1"/>
  <c r="BC88" i="9" s="1"/>
  <c r="BC89" i="9" s="1"/>
  <c r="BE163" i="14"/>
  <c r="BB50" i="21"/>
  <c r="BE115" i="14"/>
  <c r="BE195" i="7" s="1"/>
  <c r="BB12" i="20"/>
  <c r="BB6" i="8" s="1"/>
  <c r="BF114" i="14"/>
  <c r="BB56" i="21"/>
  <c r="BF113" i="14"/>
  <c r="BF104" i="14"/>
  <c r="BF115" i="14" s="1"/>
  <c r="BF5" i="7" s="1"/>
  <c r="BF14" i="13" s="1"/>
  <c r="BC51" i="21"/>
  <c r="BF139" i="14"/>
  <c r="BF129" i="14"/>
  <c r="BF140" i="14" s="1"/>
  <c r="BF289" i="7" s="1"/>
  <c r="BF13" i="23" s="1"/>
  <c r="BF9" i="8"/>
  <c r="BF22" i="15"/>
  <c r="BF43" i="15" s="1"/>
  <c r="BJ4" i="22" s="1"/>
  <c r="BD22" i="13"/>
  <c r="BD40" i="8"/>
  <c r="BD41" i="8"/>
  <c r="BF7" i="8"/>
  <c r="BC23" i="13"/>
  <c r="BC80" i="9"/>
  <c r="BC74" i="9"/>
  <c r="BC3" i="20" s="1"/>
  <c r="BC7" i="20" s="1"/>
  <c r="BC5" i="8" s="1"/>
  <c r="BF56" i="9"/>
  <c r="BF57" i="9"/>
  <c r="BF48" i="9"/>
  <c r="BD53" i="9"/>
  <c r="BD60" i="9" s="1"/>
  <c r="BD66" i="9" s="1"/>
  <c r="BD47" i="9"/>
  <c r="BD51" i="9" s="1"/>
  <c r="BD64" i="9" s="1"/>
  <c r="BF8" i="8"/>
  <c r="BE36" i="8"/>
  <c r="BE39" i="8" s="1"/>
  <c r="BD62" i="9"/>
  <c r="BD68" i="9" s="1"/>
  <c r="BE7" i="7"/>
  <c r="BE16" i="13" s="1"/>
  <c r="BE389" i="7"/>
  <c r="BB81" i="9"/>
  <c r="BB83" i="9" s="1"/>
  <c r="BB7" i="20"/>
  <c r="BB5" i="8" s="1"/>
  <c r="BB43" i="8" s="1"/>
  <c r="BC4" i="8"/>
  <c r="BC71" i="9"/>
  <c r="BF138" i="14"/>
  <c r="BF54" i="9"/>
  <c r="BF58" i="9"/>
  <c r="BF49" i="9"/>
  <c r="BF59" i="9"/>
  <c r="BA44" i="8" l="1"/>
  <c r="BA47" i="8" s="1"/>
  <c r="BA48" i="8" s="1"/>
  <c r="BA24" i="13" s="1"/>
  <c r="BA19" i="8"/>
  <c r="BA27" i="8" s="1"/>
  <c r="BA38" i="8" s="1"/>
  <c r="BF4" i="7"/>
  <c r="BF13" i="13" s="1"/>
  <c r="BA50" i="8"/>
  <c r="BA25" i="13" s="1"/>
  <c r="BC56" i="21"/>
  <c r="BC43" i="8"/>
  <c r="BD11" i="8"/>
  <c r="BF281" i="23"/>
  <c r="BF7" i="7"/>
  <c r="BF16" i="13" s="1"/>
  <c r="BD10" i="8"/>
  <c r="BJ9" i="10"/>
  <c r="BJ10" i="10"/>
  <c r="BJ8" i="10"/>
  <c r="AX24" i="13"/>
  <c r="BE46" i="15"/>
  <c r="BE210" i="14"/>
  <c r="BE211" i="14" s="1"/>
  <c r="BE213" i="14" s="1"/>
  <c r="BE215" i="14" s="1"/>
  <c r="BE53" i="21"/>
  <c r="BE54" i="21" s="1"/>
  <c r="BE55" i="21" s="1"/>
  <c r="BE57" i="21" s="1"/>
  <c r="BE43" i="21"/>
  <c r="BE46" i="21"/>
  <c r="BE47" i="21" s="1"/>
  <c r="BE48" i="21" s="1"/>
  <c r="BE11" i="8" s="1"/>
  <c r="BD51" i="21"/>
  <c r="BE5" i="7"/>
  <c r="BE14" i="13" s="1"/>
  <c r="BF6" i="7"/>
  <c r="BF15" i="13" s="1"/>
  <c r="BF195" i="7"/>
  <c r="BC12" i="20"/>
  <c r="BC6" i="8" s="1"/>
  <c r="BC44" i="8" s="1"/>
  <c r="BB82" i="9"/>
  <c r="BD5" i="20"/>
  <c r="BD86" i="9"/>
  <c r="BD87" i="9" s="1"/>
  <c r="BD88" i="9" s="1"/>
  <c r="BD89" i="9" s="1"/>
  <c r="BF4" i="20"/>
  <c r="BF44" i="15"/>
  <c r="BF45" i="15" s="1"/>
  <c r="BF46" i="15" s="1"/>
  <c r="BF4" i="9"/>
  <c r="BF4" i="21"/>
  <c r="BF36" i="8"/>
  <c r="BF39" i="8" s="1"/>
  <c r="BD23" i="13"/>
  <c r="BE53" i="9"/>
  <c r="BE60" i="9" s="1"/>
  <c r="BE66" i="9" s="1"/>
  <c r="BD80" i="9"/>
  <c r="BD74" i="9"/>
  <c r="BD3" i="20" s="1"/>
  <c r="BB44" i="8"/>
  <c r="BB47" i="8" s="1"/>
  <c r="BB48" i="8" s="1"/>
  <c r="BC81" i="9"/>
  <c r="BC83" i="9" s="1"/>
  <c r="BE47" i="9"/>
  <c r="BE51" i="9" s="1"/>
  <c r="BE64" i="9" s="1"/>
  <c r="BB19" i="8"/>
  <c r="BB27" i="8" s="1"/>
  <c r="BB38" i="8" s="1"/>
  <c r="BE62" i="9"/>
  <c r="BE68" i="9" s="1"/>
  <c r="BE41" i="8"/>
  <c r="BE40" i="8"/>
  <c r="BE22" i="13"/>
  <c r="BD56" i="21"/>
  <c r="BD4" i="8"/>
  <c r="BD71" i="9"/>
  <c r="BC47" i="8" l="1"/>
  <c r="BC48" i="8" s="1"/>
  <c r="BC24" i="13" s="1"/>
  <c r="BE10" i="8"/>
  <c r="BE49" i="21"/>
  <c r="BE50" i="21" s="1"/>
  <c r="BC82" i="9"/>
  <c r="BC50" i="8"/>
  <c r="BC25" i="13" s="1"/>
  <c r="BD7" i="20"/>
  <c r="BD5" i="8" s="1"/>
  <c r="BD43" i="8" s="1"/>
  <c r="BC19" i="8"/>
  <c r="BC27" i="8" s="1"/>
  <c r="BC38" i="8" s="1"/>
  <c r="BE56" i="21"/>
  <c r="BD81" i="9"/>
  <c r="BD82" i="9" s="1"/>
  <c r="BF62" i="9"/>
  <c r="BF68" i="9" s="1"/>
  <c r="BE80" i="9"/>
  <c r="BE74" i="9"/>
  <c r="BE3" i="20" s="1"/>
  <c r="BF41" i="8"/>
  <c r="BF23" i="13" s="1"/>
  <c r="BF22" i="13"/>
  <c r="BF40" i="8"/>
  <c r="BF46" i="21"/>
  <c r="BF47" i="21" s="1"/>
  <c r="BF48" i="21" s="1"/>
  <c r="BF43" i="21"/>
  <c r="BF53" i="21"/>
  <c r="BF54" i="21" s="1"/>
  <c r="BF39" i="21"/>
  <c r="BF53" i="9"/>
  <c r="BF60" i="9" s="1"/>
  <c r="BF66" i="9" s="1"/>
  <c r="BE5" i="20"/>
  <c r="BE86" i="9"/>
  <c r="BE87" i="9" s="1"/>
  <c r="BE88" i="9" s="1"/>
  <c r="BE89" i="9" s="1"/>
  <c r="BE23" i="13"/>
  <c r="BF47" i="9"/>
  <c r="BF51" i="9" s="1"/>
  <c r="BF64" i="9" s="1"/>
  <c r="BE71" i="9"/>
  <c r="BE4" i="8"/>
  <c r="BB50" i="8"/>
  <c r="BB25" i="13" s="1"/>
  <c r="BB24" i="13"/>
  <c r="BD12" i="20"/>
  <c r="BD6" i="8" s="1"/>
  <c r="BE51" i="21" l="1"/>
  <c r="BD83" i="9"/>
  <c r="BE7" i="20"/>
  <c r="BE5" i="8" s="1"/>
  <c r="BE43" i="8" s="1"/>
  <c r="BF10" i="8"/>
  <c r="BF55" i="21"/>
  <c r="BF57" i="21" s="1"/>
  <c r="BE81" i="9"/>
  <c r="BE82" i="9" s="1"/>
  <c r="BF86" i="9"/>
  <c r="BF87" i="9" s="1"/>
  <c r="BF88" i="9" s="1"/>
  <c r="BF89" i="9" s="1"/>
  <c r="BF5" i="20"/>
  <c r="BD19" i="8"/>
  <c r="BD27" i="8" s="1"/>
  <c r="BD38" i="8" s="1"/>
  <c r="BD44" i="8"/>
  <c r="BD47" i="8" s="1"/>
  <c r="BD48" i="8" s="1"/>
  <c r="BF74" i="9"/>
  <c r="BF3" i="20" s="1"/>
  <c r="BF7" i="20" s="1"/>
  <c r="BF5" i="8" s="1"/>
  <c r="BF80" i="9"/>
  <c r="BF11" i="8"/>
  <c r="BF49" i="21"/>
  <c r="BF51" i="21" s="1"/>
  <c r="BF71" i="9"/>
  <c r="BF4" i="8"/>
  <c r="BE12" i="20"/>
  <c r="BE6" i="8" s="1"/>
  <c r="BF43" i="8" l="1"/>
  <c r="BF50" i="21"/>
  <c r="BE83" i="9"/>
  <c r="BF56" i="21"/>
  <c r="BD24" i="13"/>
  <c r="BD50" i="8"/>
  <c r="BD25" i="13" s="1"/>
  <c r="BF12" i="20"/>
  <c r="BF6" i="8" s="1"/>
  <c r="BF44" i="8" s="1"/>
  <c r="BF81" i="9"/>
  <c r="BF83" i="9" s="1"/>
  <c r="BE44" i="8"/>
  <c r="BE47" i="8" s="1"/>
  <c r="BE48" i="8" s="1"/>
  <c r="BE19" i="8"/>
  <c r="BE27" i="8" s="1"/>
  <c r="BE38" i="8" s="1"/>
  <c r="BF47" i="8" l="1"/>
  <c r="BF48" i="8" s="1"/>
  <c r="BF24" i="13" s="1"/>
  <c r="BF19" i="8"/>
  <c r="BF27" i="8" s="1"/>
  <c r="BF38" i="8" s="1"/>
  <c r="BF82" i="9"/>
  <c r="BE24" i="13"/>
  <c r="BE50" i="8"/>
  <c r="BE25" i="13" s="1"/>
  <c r="BF50" i="8" l="1"/>
  <c r="BF25" i="13" s="1"/>
  <c r="AL3" i="7"/>
  <c r="AL2" i="21"/>
  <c r="AL2" i="8"/>
  <c r="AL51" i="8" s="1"/>
  <c r="AL2" i="17"/>
  <c r="AL2" i="20"/>
  <c r="AL2" i="7"/>
  <c r="AL2" i="15"/>
  <c r="AL2" i="9"/>
  <c r="AP1" i="10" s="1"/>
  <c r="AL3" i="17"/>
  <c r="AL5" i="17" s="1"/>
  <c r="AL48" i="14" l="1"/>
  <c r="AL36" i="14"/>
  <c r="AL10" i="7"/>
  <c r="AL9" i="7"/>
  <c r="AL13" i="7" s="1"/>
  <c r="AL14" i="7" s="1"/>
  <c r="AL15" i="7" s="1"/>
  <c r="AL12" i="7"/>
  <c r="AL42" i="14"/>
  <c r="AL47" i="14"/>
  <c r="AL49" i="14" l="1"/>
  <c r="AL71" i="7"/>
  <c r="AL86" i="7" s="1"/>
  <c r="AL79" i="7"/>
  <c r="AL94" i="7" s="1"/>
  <c r="AL17" i="7"/>
  <c r="AL30" i="7"/>
  <c r="AL75" i="7"/>
  <c r="AL90" i="7" s="1"/>
  <c r="AL73" i="7"/>
  <c r="AL88" i="7" s="1"/>
  <c r="AL103" i="7"/>
  <c r="AL106" i="7" s="1"/>
  <c r="AL74" i="7"/>
  <c r="AL89" i="7" s="1"/>
  <c r="AL80" i="7"/>
  <c r="AL95" i="7" s="1"/>
  <c r="AL25" i="7"/>
  <c r="AL21" i="7"/>
  <c r="AL81" i="7"/>
  <c r="AL96" i="7" s="1"/>
  <c r="AL77" i="7"/>
  <c r="AL92" i="7" s="1"/>
  <c r="AL78" i="7"/>
  <c r="AL93" i="7" s="1"/>
  <c r="AL69" i="7"/>
  <c r="AL84" i="7" s="1"/>
  <c r="AL72" i="7"/>
  <c r="AL87" i="7" s="1"/>
  <c r="AL295" i="7"/>
  <c r="AL296" i="7" s="1"/>
  <c r="AL76" i="7"/>
  <c r="AL91" i="7" s="1"/>
  <c r="AL201" i="7"/>
  <c r="AL202" i="7" s="1"/>
  <c r="AL70" i="7"/>
  <c r="AL85" i="7" s="1"/>
  <c r="AL39" i="7"/>
  <c r="AL50" i="14"/>
  <c r="AL44" i="14"/>
  <c r="AL19" i="13" s="1"/>
  <c r="AL25" i="14"/>
  <c r="AL22" i="7" l="1"/>
  <c r="AL20" i="13"/>
  <c r="AL11" i="7"/>
  <c r="AL6" i="24"/>
  <c r="AL170" i="14"/>
  <c r="AL185" i="14" s="1"/>
  <c r="AL52" i="14"/>
  <c r="AL53" i="14"/>
  <c r="AL28" i="14"/>
  <c r="AL29" i="14" s="1"/>
  <c r="AL30" i="14" s="1"/>
  <c r="AL31" i="14" s="1"/>
  <c r="AL18" i="13" s="1"/>
  <c r="AL4" i="13"/>
  <c r="AL167" i="7"/>
  <c r="AL182" i="7" s="1"/>
  <c r="AL161" i="7"/>
  <c r="AL176" i="7" s="1"/>
  <c r="AL160" i="7"/>
  <c r="AL175" i="7" s="1"/>
  <c r="AL164" i="7"/>
  <c r="AL179" i="7" s="1"/>
  <c r="AL159" i="7"/>
  <c r="AL174" i="7" s="1"/>
  <c r="AL108" i="7"/>
  <c r="AL111" i="7" s="1"/>
  <c r="AL166" i="7"/>
  <c r="AL181" i="7" s="1"/>
  <c r="AL169" i="7"/>
  <c r="AL184" i="7" s="1"/>
  <c r="AL165" i="7"/>
  <c r="AL180" i="7" s="1"/>
  <c r="AL162" i="7"/>
  <c r="AL177" i="7" s="1"/>
  <c r="AL163" i="7"/>
  <c r="AL178" i="7" s="1"/>
  <c r="AL168" i="7"/>
  <c r="AL183" i="7" s="1"/>
  <c r="AL171" i="7"/>
  <c r="AL186" i="7" s="1"/>
  <c r="AL170" i="7"/>
  <c r="AL185" i="7" s="1"/>
  <c r="AL261" i="7"/>
  <c r="AL276" i="7" s="1"/>
  <c r="AL258" i="7"/>
  <c r="AL273" i="7" s="1"/>
  <c r="AL266" i="7"/>
  <c r="AL281" i="7" s="1"/>
  <c r="AL265" i="7"/>
  <c r="AL280" i="7" s="1"/>
  <c r="AL257" i="7"/>
  <c r="AL272" i="7" s="1"/>
  <c r="AL268" i="7"/>
  <c r="AL283" i="7" s="1"/>
  <c r="AL264" i="7"/>
  <c r="AL279" i="7" s="1"/>
  <c r="AL259" i="7"/>
  <c r="AL274" i="7" s="1"/>
  <c r="AL267" i="7"/>
  <c r="AL282" i="7" s="1"/>
  <c r="AL260" i="7"/>
  <c r="AL275" i="7" s="1"/>
  <c r="AL204" i="7"/>
  <c r="AL262" i="7"/>
  <c r="AL277" i="7" s="1"/>
  <c r="AL263" i="7"/>
  <c r="AL278" i="7" s="1"/>
  <c r="AL269" i="7"/>
  <c r="AL284" i="7" s="1"/>
  <c r="AL47" i="7"/>
  <c r="AL43" i="7"/>
  <c r="AL55" i="7"/>
  <c r="AL48" i="7"/>
  <c r="AL46" i="7"/>
  <c r="AL51" i="7"/>
  <c r="AL353" i="7"/>
  <c r="AL368" i="7" s="1"/>
  <c r="AL358" i="7"/>
  <c r="AL373" i="7" s="1"/>
  <c r="AL356" i="7"/>
  <c r="AL371" i="7" s="1"/>
  <c r="AL351" i="7"/>
  <c r="AL366" i="7" s="1"/>
  <c r="AL355" i="7"/>
  <c r="AL370" i="7" s="1"/>
  <c r="AL361" i="7"/>
  <c r="AL376" i="7" s="1"/>
  <c r="AL362" i="7"/>
  <c r="AL377" i="7" s="1"/>
  <c r="AL363" i="7"/>
  <c r="AL378" i="7" s="1"/>
  <c r="AL352" i="7"/>
  <c r="AL367" i="7" s="1"/>
  <c r="AL359" i="7"/>
  <c r="AL374" i="7" s="1"/>
  <c r="AL360" i="7"/>
  <c r="AL375" i="7" s="1"/>
  <c r="AL298" i="7"/>
  <c r="AL303" i="7" s="1"/>
  <c r="AL354" i="7"/>
  <c r="AL369" i="7" s="1"/>
  <c r="AL357" i="7"/>
  <c r="AL372" i="7" s="1"/>
  <c r="AL316" i="7"/>
  <c r="AL317" i="7" s="1"/>
  <c r="AL328" i="7" s="1"/>
  <c r="AL35" i="7"/>
  <c r="AL62" i="7" s="1"/>
  <c r="AL59" i="7"/>
  <c r="AL26" i="7"/>
  <c r="AL40" i="7"/>
  <c r="AL56" i="7"/>
  <c r="AL42" i="7"/>
  <c r="AL31" i="7"/>
  <c r="AL65" i="7"/>
  <c r="AL44" i="7"/>
  <c r="AL66" i="7"/>
  <c r="AL57" i="7"/>
  <c r="AL52" i="7"/>
  <c r="AL68" i="7"/>
  <c r="AL83" i="7" s="1"/>
  <c r="AL98" i="7" s="1"/>
  <c r="AP3" i="22" l="1"/>
  <c r="AR3" i="11"/>
  <c r="AL209" i="7"/>
  <c r="AL302" i="7"/>
  <c r="AL110" i="7"/>
  <c r="AL158" i="7"/>
  <c r="AL173" i="7" s="1"/>
  <c r="AL188" i="7" s="1"/>
  <c r="AL208" i="7"/>
  <c r="AL54" i="14"/>
  <c r="AL55" i="14"/>
  <c r="AL56" i="14" s="1"/>
  <c r="AL57" i="14" s="1"/>
  <c r="AL64" i="7"/>
  <c r="AL114" i="7"/>
  <c r="AL115" i="7" s="1"/>
  <c r="AL153" i="7" s="1"/>
  <c r="AL60" i="7"/>
  <c r="AL54" i="7"/>
  <c r="AL217" i="7"/>
  <c r="AL253" i="7" s="1"/>
  <c r="AL222" i="7"/>
  <c r="AL250" i="7" s="1"/>
  <c r="AL58" i="7"/>
  <c r="AL128" i="7"/>
  <c r="AL129" i="7" s="1"/>
  <c r="AL147" i="7" s="1"/>
  <c r="AL53" i="7"/>
  <c r="AL320" i="7"/>
  <c r="AL321" i="7" s="1"/>
  <c r="AL339" i="7" s="1"/>
  <c r="AL256" i="7"/>
  <c r="AL271" i="7" s="1"/>
  <c r="AL286" i="7" s="1"/>
  <c r="AL63" i="7"/>
  <c r="AL124" i="7"/>
  <c r="AL226" i="7"/>
  <c r="AL244" i="7" s="1"/>
  <c r="AL350" i="7"/>
  <c r="AL365" i="7" s="1"/>
  <c r="AL380" i="7" s="1"/>
  <c r="AL212" i="7"/>
  <c r="AL213" i="7" s="1"/>
  <c r="AL119" i="7"/>
  <c r="AL120" i="7" s="1"/>
  <c r="AL306" i="7"/>
  <c r="AL307" i="7" s="1"/>
  <c r="AL345" i="7" s="1"/>
  <c r="AL135" i="7"/>
  <c r="AL132" i="7"/>
  <c r="AL141" i="7"/>
  <c r="AL3" i="15"/>
  <c r="AL5" i="15" s="1"/>
  <c r="AR4" i="11" s="1"/>
  <c r="AL4" i="17"/>
  <c r="AL7" i="17" s="1"/>
  <c r="AL8" i="17" s="1"/>
  <c r="AL9" i="17" s="1"/>
  <c r="AL11" i="17" s="1"/>
  <c r="AL12" i="17" s="1"/>
  <c r="AL3" i="21"/>
  <c r="AL7" i="21" s="1"/>
  <c r="AL254" i="7"/>
  <c r="AL245" i="7"/>
  <c r="AL36" i="7"/>
  <c r="AL45" i="7"/>
  <c r="AL311" i="7"/>
  <c r="AL312" i="7" s="1"/>
  <c r="AL50" i="7"/>
  <c r="AL49" i="7"/>
  <c r="AL61" i="7"/>
  <c r="AL247" i="7" l="1"/>
  <c r="AL142" i="7"/>
  <c r="AL145" i="7"/>
  <c r="AL137" i="7"/>
  <c r="AL133" i="7"/>
  <c r="AL146" i="7"/>
  <c r="AL140" i="7"/>
  <c r="AP219" i="22"/>
  <c r="AP217" i="22"/>
  <c r="AP215" i="22"/>
  <c r="AP211" i="22"/>
  <c r="AP209" i="22"/>
  <c r="AP223" i="22"/>
  <c r="AP227" i="22"/>
  <c r="AL80" i="21" s="1"/>
  <c r="AP197" i="22"/>
  <c r="AP208" i="22"/>
  <c r="AP203" i="22"/>
  <c r="AP194" i="22"/>
  <c r="AP192" i="22"/>
  <c r="AP190" i="22"/>
  <c r="AP188" i="22"/>
  <c r="AP186" i="22"/>
  <c r="AP218" i="22"/>
  <c r="AP204" i="22"/>
  <c r="AP196" i="22"/>
  <c r="AP210" i="22"/>
  <c r="AP205" i="22"/>
  <c r="AP212" i="22"/>
  <c r="AP206" i="22"/>
  <c r="AP199" i="22"/>
  <c r="AP224" i="22"/>
  <c r="AP200" i="22"/>
  <c r="AP198" i="22"/>
  <c r="AP220" i="22"/>
  <c r="AP183" i="22"/>
  <c r="AP181" i="22"/>
  <c r="AP216" i="22"/>
  <c r="AP193" i="22"/>
  <c r="AP189" i="22"/>
  <c r="AP207" i="22"/>
  <c r="AP195" i="22"/>
  <c r="AP172" i="22"/>
  <c r="AP187" i="22"/>
  <c r="AP173" i="22"/>
  <c r="AP171" i="22"/>
  <c r="AP191" i="22"/>
  <c r="AP176" i="22"/>
  <c r="AP177" i="22"/>
  <c r="AP174" i="22"/>
  <c r="AP166" i="22"/>
  <c r="AP163" i="22"/>
  <c r="AP175" i="22"/>
  <c r="AP184" i="22"/>
  <c r="AP164" i="22"/>
  <c r="AP170" i="22"/>
  <c r="AP180" i="22"/>
  <c r="AP179" i="22"/>
  <c r="AP167" i="22"/>
  <c r="AP185" i="22"/>
  <c r="AP139" i="22"/>
  <c r="AP178" i="22"/>
  <c r="AP151" i="22"/>
  <c r="AP168" i="22"/>
  <c r="AP162" i="22"/>
  <c r="AP154" i="22"/>
  <c r="AP161" i="22"/>
  <c r="AP133" i="22"/>
  <c r="AP129" i="22"/>
  <c r="AP127" i="22"/>
  <c r="AP125" i="22"/>
  <c r="AP150" i="22"/>
  <c r="AP169" i="22"/>
  <c r="AP158" i="22"/>
  <c r="AP136" i="22"/>
  <c r="AP182" i="22"/>
  <c r="AP143" i="22"/>
  <c r="AP157" i="22"/>
  <c r="AP147" i="22"/>
  <c r="AL65" i="21" s="1"/>
  <c r="AP165" i="22"/>
  <c r="AP152" i="22"/>
  <c r="AP123" i="22"/>
  <c r="AP122" i="22"/>
  <c r="AP121" i="22"/>
  <c r="AP120" i="22"/>
  <c r="AP119" i="22"/>
  <c r="AP130" i="22"/>
  <c r="AP113" i="22"/>
  <c r="AP111" i="22"/>
  <c r="AP107" i="22"/>
  <c r="AP142" i="22"/>
  <c r="AP134" i="22"/>
  <c r="AP128" i="22"/>
  <c r="AP124" i="22"/>
  <c r="AP118" i="22"/>
  <c r="AP117" i="22"/>
  <c r="AP116" i="22"/>
  <c r="AP153" i="22"/>
  <c r="AP144" i="22"/>
  <c r="AP138" i="22"/>
  <c r="AP135" i="22"/>
  <c r="AP112" i="22"/>
  <c r="AP92" i="22"/>
  <c r="AP90" i="22"/>
  <c r="AP88" i="22"/>
  <c r="AP86" i="22"/>
  <c r="AP84" i="22"/>
  <c r="AP82" i="22"/>
  <c r="AP80" i="22"/>
  <c r="AP78" i="22"/>
  <c r="AP76" i="22"/>
  <c r="AP98" i="22"/>
  <c r="AP137" i="22"/>
  <c r="AP101" i="22"/>
  <c r="AP94" i="22"/>
  <c r="AP126" i="22"/>
  <c r="AP102" i="22"/>
  <c r="AP97" i="22"/>
  <c r="AP93" i="22"/>
  <c r="AP114" i="22"/>
  <c r="AP115" i="22"/>
  <c r="AP96" i="22"/>
  <c r="AP103" i="22"/>
  <c r="AP87" i="22"/>
  <c r="AP104" i="22"/>
  <c r="AP75" i="22"/>
  <c r="AP91" i="22"/>
  <c r="AP105" i="22"/>
  <c r="AP100" i="22"/>
  <c r="AP83" i="22"/>
  <c r="AP108" i="22"/>
  <c r="AP89" i="22"/>
  <c r="AP106" i="22"/>
  <c r="AP99" i="22"/>
  <c r="AP95" i="22"/>
  <c r="AP85" i="22"/>
  <c r="AP64" i="22"/>
  <c r="AP63" i="22"/>
  <c r="AP62" i="22"/>
  <c r="AP61" i="22"/>
  <c r="AP77" i="22"/>
  <c r="AP79" i="22"/>
  <c r="AP60" i="22"/>
  <c r="AP59" i="22"/>
  <c r="AP56" i="22"/>
  <c r="AP54" i="22"/>
  <c r="AP52" i="22"/>
  <c r="AP50" i="22"/>
  <c r="AP48" i="22"/>
  <c r="AP46" i="22"/>
  <c r="AP58" i="22"/>
  <c r="AP70" i="22"/>
  <c r="AP69" i="22"/>
  <c r="AP65" i="22"/>
  <c r="AP67" i="22"/>
  <c r="AP41" i="22"/>
  <c r="AP55" i="22"/>
  <c r="AP44" i="22"/>
  <c r="AP72" i="22"/>
  <c r="AP57" i="22"/>
  <c r="AP47" i="22"/>
  <c r="AP40" i="22"/>
  <c r="AP49" i="22"/>
  <c r="AP66" i="22"/>
  <c r="AP43" i="22"/>
  <c r="AP45" i="22"/>
  <c r="AP68" i="22"/>
  <c r="AP53" i="22"/>
  <c r="AP81" i="22"/>
  <c r="AP12" i="22"/>
  <c r="AP38" i="22"/>
  <c r="AP20" i="22"/>
  <c r="AP33" i="22"/>
  <c r="AP14" i="22"/>
  <c r="AP10" i="22"/>
  <c r="AP30" i="22"/>
  <c r="AP24" i="22"/>
  <c r="AP17" i="22"/>
  <c r="AP31" i="22"/>
  <c r="AP32" i="22"/>
  <c r="AP39" i="22"/>
  <c r="AP18" i="22"/>
  <c r="AP16" i="22"/>
  <c r="AP21" i="22"/>
  <c r="AP71" i="22"/>
  <c r="AP23" i="22"/>
  <c r="AP51" i="22"/>
  <c r="AP42" i="22"/>
  <c r="AP11" i="22"/>
  <c r="AP27" i="22"/>
  <c r="AP35" i="22"/>
  <c r="AP19" i="22"/>
  <c r="AP15" i="22"/>
  <c r="AP13" i="22"/>
  <c r="AP9" i="22"/>
  <c r="AP25" i="22"/>
  <c r="AP36" i="22"/>
  <c r="AP29" i="22"/>
  <c r="AP28" i="22"/>
  <c r="AP37" i="22"/>
  <c r="AP34" i="22"/>
  <c r="AP26" i="22"/>
  <c r="AP22" i="22"/>
  <c r="AL231" i="7"/>
  <c r="AL236" i="7"/>
  <c r="AL151" i="7"/>
  <c r="AL156" i="7"/>
  <c r="AL235" i="7"/>
  <c r="AL134" i="7"/>
  <c r="AL138" i="7"/>
  <c r="AL251" i="7"/>
  <c r="AL237" i="7"/>
  <c r="AL240" i="7"/>
  <c r="AL223" i="7"/>
  <c r="AL242" i="7"/>
  <c r="AL218" i="7"/>
  <c r="AL252" i="7"/>
  <c r="AL248" i="7"/>
  <c r="AL249" i="7"/>
  <c r="AL233" i="7"/>
  <c r="AL239" i="7"/>
  <c r="AL246" i="7"/>
  <c r="AL243" i="7"/>
  <c r="AL234" i="7"/>
  <c r="AL232" i="7"/>
  <c r="AL58" i="14"/>
  <c r="AL59" i="14" s="1"/>
  <c r="AL60" i="14" s="1"/>
  <c r="AL62" i="14" s="1"/>
  <c r="AL63" i="14" s="1"/>
  <c r="AL155" i="7"/>
  <c r="AL148" i="7"/>
  <c r="AL325" i="7"/>
  <c r="AL338" i="7"/>
  <c r="AL334" i="7"/>
  <c r="AL143" i="7"/>
  <c r="AL149" i="7"/>
  <c r="AL330" i="7"/>
  <c r="AL241" i="7"/>
  <c r="AL230" i="7"/>
  <c r="AL154" i="7"/>
  <c r="AL125" i="7"/>
  <c r="AL192" i="7" s="1"/>
  <c r="AL336" i="7"/>
  <c r="AL329" i="7"/>
  <c r="AL152" i="7"/>
  <c r="AL150" i="7"/>
  <c r="AL144" i="7"/>
  <c r="AL238" i="7"/>
  <c r="AL139" i="7"/>
  <c r="AL136" i="7"/>
  <c r="AL326" i="7"/>
  <c r="AL386" i="7"/>
  <c r="AL335" i="7"/>
  <c r="AL227" i="7"/>
  <c r="AL41" i="7"/>
  <c r="AL99" i="7" s="1"/>
  <c r="AL67" i="14" s="1"/>
  <c r="AL68" i="14" s="1"/>
  <c r="AL69" i="14" s="1"/>
  <c r="AL29" i="15"/>
  <c r="AL37" i="15" s="1"/>
  <c r="AL17" i="15"/>
  <c r="AR10" i="11" s="1"/>
  <c r="AL10" i="13"/>
  <c r="AL19" i="15"/>
  <c r="AR11" i="11" s="1"/>
  <c r="AL11" i="15"/>
  <c r="AR7" i="11" s="1"/>
  <c r="AL9" i="15"/>
  <c r="AR6" i="11" s="1"/>
  <c r="AL15" i="15"/>
  <c r="AR9" i="11" s="1"/>
  <c r="AL13" i="15"/>
  <c r="AR8" i="11" s="1"/>
  <c r="AL7" i="15"/>
  <c r="AR5" i="11" s="1"/>
  <c r="AL31" i="15"/>
  <c r="AL341" i="7"/>
  <c r="AL342" i="7"/>
  <c r="AL333" i="7"/>
  <c r="AL340" i="7"/>
  <c r="AL332" i="7"/>
  <c r="AL348" i="7"/>
  <c r="AL331" i="7"/>
  <c r="AL324" i="7"/>
  <c r="AL347" i="7"/>
  <c r="AL343" i="7"/>
  <c r="AL344" i="7"/>
  <c r="AL346" i="7"/>
  <c r="AL327" i="7"/>
  <c r="AL337" i="7"/>
  <c r="AL8" i="21"/>
  <c r="AL15" i="17"/>
  <c r="AL27" i="13" s="1"/>
  <c r="AR19" i="11" l="1"/>
  <c r="AL79" i="21"/>
  <c r="AR33" i="11"/>
  <c r="AR110" i="11"/>
  <c r="AR102" i="11"/>
  <c r="AR93" i="11"/>
  <c r="AR120" i="11"/>
  <c r="AR37" i="11"/>
  <c r="AR98" i="11"/>
  <c r="AR89" i="11"/>
  <c r="AR123" i="11"/>
  <c r="AR52" i="11"/>
  <c r="AR114" i="11"/>
  <c r="AR49" i="11"/>
  <c r="AR59" i="11"/>
  <c r="AR113" i="11"/>
  <c r="AR43" i="11"/>
  <c r="AR94" i="11"/>
  <c r="AR51" i="11"/>
  <c r="AR115" i="11"/>
  <c r="AR130" i="11"/>
  <c r="AR76" i="11"/>
  <c r="AR81" i="11"/>
  <c r="AR40" i="11"/>
  <c r="AR104" i="11"/>
  <c r="AR61" i="11"/>
  <c r="AR129" i="11"/>
  <c r="AR73" i="11"/>
  <c r="AR70" i="11"/>
  <c r="AR112" i="11"/>
  <c r="AR75" i="11"/>
  <c r="AR31" i="11"/>
  <c r="AR105" i="11"/>
  <c r="AR62" i="11"/>
  <c r="AR135" i="11"/>
  <c r="AR38" i="11"/>
  <c r="AR91" i="11"/>
  <c r="AR109" i="11"/>
  <c r="AR88" i="11"/>
  <c r="AR108" i="11"/>
  <c r="AR118" i="11"/>
  <c r="AR96" i="11"/>
  <c r="AR71" i="11"/>
  <c r="AR69" i="11"/>
  <c r="AR101" i="11"/>
  <c r="AR137" i="11"/>
  <c r="AR126" i="11"/>
  <c r="AR119" i="11"/>
  <c r="AR92" i="11"/>
  <c r="AR22" i="11"/>
  <c r="AR72" i="11"/>
  <c r="AR121" i="11"/>
  <c r="AR24" i="11"/>
  <c r="AR99" i="11"/>
  <c r="AR48" i="11"/>
  <c r="AR34" i="11"/>
  <c r="AR131" i="11"/>
  <c r="AR64" i="11"/>
  <c r="AR66" i="11"/>
  <c r="AR128" i="11"/>
  <c r="AR80" i="11"/>
  <c r="AR133" i="11"/>
  <c r="AR45" i="11"/>
  <c r="AR42" i="11"/>
  <c r="AR60" i="11"/>
  <c r="AR132" i="11"/>
  <c r="AR29" i="11"/>
  <c r="AR86" i="11"/>
  <c r="AR27" i="11"/>
  <c r="AR46" i="11"/>
  <c r="AR83" i="11"/>
  <c r="AR77" i="11"/>
  <c r="AR138" i="11"/>
  <c r="AR54" i="11"/>
  <c r="AR106" i="11"/>
  <c r="AR39" i="11"/>
  <c r="AR124" i="11"/>
  <c r="AR47" i="11"/>
  <c r="AR95" i="11"/>
  <c r="AR111" i="11"/>
  <c r="AR57" i="11"/>
  <c r="AR55" i="11"/>
  <c r="AR116" i="11"/>
  <c r="AR25" i="11"/>
  <c r="AR68" i="11"/>
  <c r="AR20" i="11"/>
  <c r="AR53" i="11"/>
  <c r="AR85" i="11"/>
  <c r="AR122" i="11"/>
  <c r="AR41" i="11"/>
  <c r="AR100" i="11"/>
  <c r="AR125" i="11"/>
  <c r="AR28" i="11"/>
  <c r="AR117" i="11"/>
  <c r="AR26" i="11"/>
  <c r="AR50" i="11"/>
  <c r="AR103" i="11"/>
  <c r="AR58" i="11"/>
  <c r="AR56" i="11"/>
  <c r="AR107" i="11"/>
  <c r="AR32" i="11"/>
  <c r="AR35" i="11"/>
  <c r="AR84" i="11"/>
  <c r="AR21" i="11"/>
  <c r="AR44" i="11"/>
  <c r="AR127" i="11"/>
  <c r="AR30" i="11"/>
  <c r="AR90" i="11"/>
  <c r="AR134" i="11"/>
  <c r="AR82" i="11"/>
  <c r="AR23" i="11"/>
  <c r="AR65" i="11"/>
  <c r="AR97" i="11"/>
  <c r="AR36" i="11"/>
  <c r="AR67" i="11"/>
  <c r="AR74" i="11"/>
  <c r="AR136" i="11"/>
  <c r="AR87" i="11"/>
  <c r="AR63" i="11"/>
  <c r="AL131" i="7"/>
  <c r="AL194" i="7" s="1"/>
  <c r="AL92" i="14" s="1"/>
  <c r="AL93" i="14" s="1"/>
  <c r="AL229" i="7"/>
  <c r="AL288" i="7" s="1"/>
  <c r="AL117" i="14" s="1"/>
  <c r="AL118" i="14" s="1"/>
  <c r="AL119" i="14" s="1"/>
  <c r="AL61" i="14"/>
  <c r="AL64" i="14" s="1"/>
  <c r="AL65" i="14" s="1"/>
  <c r="AL323" i="7"/>
  <c r="AL388" i="7" s="1"/>
  <c r="AL142" i="14" s="1"/>
  <c r="AL3" i="9"/>
  <c r="AP6" i="10" s="1"/>
  <c r="AL3" i="8"/>
  <c r="AL38" i="15"/>
  <c r="AL39" i="15" s="1"/>
  <c r="AL62" i="21"/>
  <c r="AL72" i="21"/>
  <c r="AL71" i="21"/>
  <c r="AL78" i="21"/>
  <c r="AL63" i="21"/>
  <c r="AL32" i="15"/>
  <c r="AL33" i="15" s="1"/>
  <c r="AL34" i="15" s="1"/>
  <c r="AL86" i="14"/>
  <c r="AL72" i="14"/>
  <c r="AL73" i="14" s="1"/>
  <c r="AL74" i="14" s="1"/>
  <c r="AL60" i="21"/>
  <c r="AL64" i="21"/>
  <c r="AL11" i="21"/>
  <c r="AL17" i="21"/>
  <c r="AL34" i="21"/>
  <c r="AL14" i="21"/>
  <c r="AL76" i="21"/>
  <c r="AL14" i="17"/>
  <c r="AL28" i="13" s="1"/>
  <c r="AL17" i="17"/>
  <c r="AL61" i="21"/>
  <c r="AL77" i="21"/>
  <c r="AL26" i="15"/>
  <c r="AL25" i="15"/>
  <c r="AR13" i="11" l="1"/>
  <c r="AR15" i="11" s="1"/>
  <c r="AR12" i="11"/>
  <c r="AR14" i="11" s="1"/>
  <c r="AL73" i="21"/>
  <c r="AL87" i="14"/>
  <c r="AL88" i="14" s="1"/>
  <c r="AL40" i="15"/>
  <c r="AL97" i="14"/>
  <c r="AL98" i="14" s="1"/>
  <c r="AL99" i="14" s="1"/>
  <c r="AL94" i="14"/>
  <c r="AL75" i="14"/>
  <c r="AL76" i="14" s="1"/>
  <c r="AL66" i="21"/>
  <c r="AL68" i="21" s="1"/>
  <c r="AL11" i="9"/>
  <c r="AL12" i="9" s="1"/>
  <c r="AL27" i="9"/>
  <c r="AL28" i="9" s="1"/>
  <c r="AP4" i="10" s="1"/>
  <c r="AL41" i="9"/>
  <c r="AL42" i="9" s="1"/>
  <c r="AL50" i="9" s="1"/>
  <c r="AL17" i="9"/>
  <c r="AL18" i="9" s="1"/>
  <c r="AP2" i="10" s="1"/>
  <c r="AL44" i="9"/>
  <c r="AL45" i="9" s="1"/>
  <c r="AL55" i="9" s="1"/>
  <c r="AL36" i="9"/>
  <c r="AP7" i="10" s="1"/>
  <c r="AL38" i="9"/>
  <c r="AL39" i="9" s="1"/>
  <c r="AL22" i="9"/>
  <c r="AL23" i="9" s="1"/>
  <c r="AP3" i="10" s="1"/>
  <c r="AL33" i="9"/>
  <c r="AL34" i="9" s="1"/>
  <c r="AP5" i="10" s="1"/>
  <c r="AL143" i="14"/>
  <c r="AL144" i="14" s="1"/>
  <c r="AL136" i="14"/>
  <c r="AL81" i="21"/>
  <c r="AL12" i="8" s="1"/>
  <c r="AL13" i="8" s="1"/>
  <c r="AL20" i="21"/>
  <c r="AL28" i="21" s="1"/>
  <c r="AL31" i="21" s="1"/>
  <c r="AL122" i="14"/>
  <c r="AL123" i="14" s="1"/>
  <c r="AL124" i="14" s="1"/>
  <c r="AP17" i="10" l="1"/>
  <c r="AP43" i="10"/>
  <c r="AP195" i="10"/>
  <c r="AP198" i="10"/>
  <c r="AP162" i="10"/>
  <c r="AP105" i="10"/>
  <c r="AP96" i="10"/>
  <c r="AP71" i="10"/>
  <c r="AP180" i="10"/>
  <c r="AP185" i="10"/>
  <c r="AP131" i="10"/>
  <c r="AP97" i="10"/>
  <c r="AP101" i="10"/>
  <c r="AP68" i="10"/>
  <c r="AP61" i="10"/>
  <c r="AP26" i="10"/>
  <c r="AP25" i="10"/>
  <c r="AP200" i="10"/>
  <c r="AP175" i="10"/>
  <c r="AP134" i="10"/>
  <c r="AP93" i="10"/>
  <c r="AP153" i="10"/>
  <c r="AP129" i="10"/>
  <c r="AP73" i="10"/>
  <c r="AP56" i="10"/>
  <c r="AP184" i="10"/>
  <c r="AP193" i="10"/>
  <c r="AP183" i="10"/>
  <c r="AP147" i="10"/>
  <c r="AP119" i="10"/>
  <c r="AP94" i="10"/>
  <c r="AP50" i="10"/>
  <c r="AP188" i="10"/>
  <c r="AP127" i="10"/>
  <c r="AP126" i="10"/>
  <c r="AP47" i="10"/>
  <c r="AP49" i="10"/>
  <c r="AP155" i="10"/>
  <c r="AP132" i="10"/>
  <c r="AP35" i="10"/>
  <c r="AP187" i="10"/>
  <c r="AP163" i="10"/>
  <c r="AP152" i="10"/>
  <c r="AP99" i="10"/>
  <c r="AP90" i="10"/>
  <c r="AP172" i="10"/>
  <c r="AP95" i="10"/>
  <c r="AP150" i="10"/>
  <c r="AP138" i="10"/>
  <c r="AP128" i="10"/>
  <c r="AP57" i="10"/>
  <c r="AP186" i="10"/>
  <c r="AP139" i="10"/>
  <c r="AP123" i="10"/>
  <c r="AP48" i="10"/>
  <c r="AP38" i="10"/>
  <c r="AP199" i="10"/>
  <c r="AP177" i="10"/>
  <c r="AP120" i="10"/>
  <c r="AP125" i="10"/>
  <c r="AP64" i="10"/>
  <c r="AP72" i="10"/>
  <c r="AP191" i="10"/>
  <c r="AP170" i="10"/>
  <c r="AP66" i="10"/>
  <c r="AP60" i="10"/>
  <c r="AP176" i="10"/>
  <c r="AP174" i="10"/>
  <c r="AP122" i="10"/>
  <c r="AP58" i="10"/>
  <c r="AP59" i="10"/>
  <c r="AP166" i="10"/>
  <c r="AP165" i="10"/>
  <c r="AP114" i="10"/>
  <c r="AP104" i="10"/>
  <c r="AP103" i="10"/>
  <c r="AP36" i="10"/>
  <c r="AP53" i="10"/>
  <c r="AP39" i="10"/>
  <c r="AP45" i="10"/>
  <c r="AP20" i="10"/>
  <c r="AP23" i="10"/>
  <c r="AP28" i="10"/>
  <c r="AP18" i="10"/>
  <c r="AP136" i="10"/>
  <c r="AP82" i="10"/>
  <c r="AP83" i="10"/>
  <c r="AP29" i="10"/>
  <c r="AP164" i="10"/>
  <c r="AP88" i="10"/>
  <c r="AP201" i="10"/>
  <c r="AP130" i="10"/>
  <c r="AP89" i="10"/>
  <c r="AP121" i="10"/>
  <c r="AP80" i="10"/>
  <c r="AP54" i="10"/>
  <c r="AP70" i="10"/>
  <c r="AP192" i="10"/>
  <c r="AP196" i="10"/>
  <c r="AP182" i="10"/>
  <c r="AP81" i="10"/>
  <c r="AP118" i="10"/>
  <c r="AP46" i="10"/>
  <c r="AP31" i="10"/>
  <c r="AP149" i="10"/>
  <c r="AP116" i="10"/>
  <c r="AP69" i="10"/>
  <c r="AP87" i="10"/>
  <c r="AP197" i="10"/>
  <c r="AP178" i="10"/>
  <c r="AP137" i="10"/>
  <c r="AP117" i="10"/>
  <c r="AP98" i="10"/>
  <c r="AP67" i="10"/>
  <c r="AP189" i="10"/>
  <c r="AP190" i="10"/>
  <c r="AP167" i="10"/>
  <c r="AP110" i="10"/>
  <c r="AP109" i="10"/>
  <c r="AP92" i="10"/>
  <c r="AP65" i="10"/>
  <c r="AP41" i="10"/>
  <c r="AP181" i="10"/>
  <c r="AP124" i="10"/>
  <c r="AP100" i="10"/>
  <c r="AP51" i="10"/>
  <c r="AP34" i="10"/>
  <c r="AP202" i="10"/>
  <c r="AP173" i="10"/>
  <c r="AP156" i="10"/>
  <c r="AP158" i="10"/>
  <c r="AP91" i="10"/>
  <c r="AP107" i="10"/>
  <c r="AP63" i="10"/>
  <c r="AP27" i="10"/>
  <c r="AP194" i="10"/>
  <c r="AP169" i="10"/>
  <c r="AP157" i="10"/>
  <c r="AP86" i="10"/>
  <c r="AP102" i="10"/>
  <c r="AP19" i="10"/>
  <c r="AP159" i="10"/>
  <c r="AP148" i="10"/>
  <c r="AP145" i="10"/>
  <c r="AP85" i="10"/>
  <c r="AP108" i="10"/>
  <c r="AP151" i="10"/>
  <c r="AP135" i="10"/>
  <c r="AP84" i="10"/>
  <c r="AP37" i="10"/>
  <c r="AP32" i="10"/>
  <c r="AP171" i="10"/>
  <c r="AP112" i="10"/>
  <c r="AP133" i="10"/>
  <c r="AP115" i="10"/>
  <c r="AP74" i="10"/>
  <c r="AP62" i="10"/>
  <c r="AP75" i="10"/>
  <c r="AP55" i="10"/>
  <c r="AP179" i="10"/>
  <c r="AP161" i="10"/>
  <c r="AP160" i="10"/>
  <c r="AP143" i="10"/>
  <c r="AP146" i="10"/>
  <c r="AP113" i="10"/>
  <c r="AP52" i="10"/>
  <c r="AP42" i="10"/>
  <c r="AP154" i="10"/>
  <c r="AP144" i="10"/>
  <c r="AP111" i="10"/>
  <c r="AP44" i="10"/>
  <c r="AP40" i="10"/>
  <c r="AP168" i="10"/>
  <c r="AP106" i="10"/>
  <c r="AP21" i="10"/>
  <c r="AP33" i="10"/>
  <c r="AP30" i="10"/>
  <c r="AP16" i="10"/>
  <c r="AP24" i="10"/>
  <c r="AP22" i="10"/>
  <c r="AL89" i="14"/>
  <c r="AL100" i="14"/>
  <c r="AL101" i="14" s="1"/>
  <c r="AL102" i="14" s="1"/>
  <c r="AL107" i="14" s="1"/>
  <c r="AL110" i="14" s="1"/>
  <c r="AL25" i="21"/>
  <c r="AL22" i="15"/>
  <c r="AL43" i="15" s="1"/>
  <c r="AP4" i="22" s="1"/>
  <c r="AL8" i="8"/>
  <c r="AL111" i="14"/>
  <c r="AL112" i="14" s="1"/>
  <c r="AL59" i="9"/>
  <c r="AL49" i="9"/>
  <c r="AL58" i="9"/>
  <c r="AL54" i="9"/>
  <c r="AL21" i="15"/>
  <c r="AL5" i="9" s="1"/>
  <c r="AL77" i="14"/>
  <c r="AL82" i="14" s="1"/>
  <c r="AL85" i="14" s="1"/>
  <c r="AL9" i="8"/>
  <c r="AL125" i="14"/>
  <c r="AL126" i="14" s="1"/>
  <c r="AL127" i="14" s="1"/>
  <c r="AL132" i="14" s="1"/>
  <c r="AL135" i="14" s="1"/>
  <c r="AL147" i="14"/>
  <c r="AL148" i="14" s="1"/>
  <c r="AL149" i="14" s="1"/>
  <c r="AL48" i="9"/>
  <c r="AL56" i="9"/>
  <c r="AL57" i="9"/>
  <c r="AL7" i="8"/>
  <c r="AL161" i="14"/>
  <c r="AL137" i="14"/>
  <c r="AL139" i="14" s="1"/>
  <c r="AP10" i="10" l="1"/>
  <c r="AP9" i="10"/>
  <c r="AP8" i="10"/>
  <c r="AL129" i="14"/>
  <c r="AL140" i="14" s="1"/>
  <c r="AL114" i="14"/>
  <c r="AL79" i="14"/>
  <c r="AL90" i="14" s="1"/>
  <c r="AL44" i="15"/>
  <c r="AL45" i="15" s="1"/>
  <c r="AL4" i="20"/>
  <c r="AL4" i="9"/>
  <c r="AL4" i="21"/>
  <c r="AL104" i="14"/>
  <c r="AL115" i="14" s="1"/>
  <c r="AL36" i="8"/>
  <c r="AL39" i="8" s="1"/>
  <c r="AL113" i="14"/>
  <c r="AL162" i="14"/>
  <c r="AL163" i="14" s="1"/>
  <c r="AL138" i="14"/>
  <c r="AL150" i="14"/>
  <c r="AL151" i="14" s="1"/>
  <c r="AL152" i="14" s="1"/>
  <c r="AL157" i="14" s="1"/>
  <c r="AL160" i="14" s="1"/>
  <c r="AL26" i="21"/>
  <c r="AL35" i="21"/>
  <c r="AL36" i="21" s="1"/>
  <c r="AL154" i="14" l="1"/>
  <c r="AL165" i="14" s="1"/>
  <c r="AL164" i="14"/>
  <c r="AL195" i="7"/>
  <c r="AL5" i="7"/>
  <c r="AL14" i="13" s="1"/>
  <c r="AL6" i="7"/>
  <c r="AL15" i="13" s="1"/>
  <c r="AL289" i="7"/>
  <c r="AL13" i="23" s="1"/>
  <c r="AL53" i="21"/>
  <c r="AL54" i="21" s="1"/>
  <c r="AL43" i="21"/>
  <c r="AL46" i="21"/>
  <c r="AL47" i="21" s="1"/>
  <c r="AL48" i="21" s="1"/>
  <c r="AL22" i="13"/>
  <c r="AL40" i="8"/>
  <c r="AL41" i="8"/>
  <c r="AL53" i="9"/>
  <c r="AL60" i="9" s="1"/>
  <c r="AL66" i="9" s="1"/>
  <c r="AL46" i="15"/>
  <c r="AL100" i="7"/>
  <c r="AL3" i="23" s="1"/>
  <c r="AL4" i="7"/>
  <c r="AL13" i="13" s="1"/>
  <c r="AL47" i="9"/>
  <c r="AL51" i="9" s="1"/>
  <c r="AL64" i="9" s="1"/>
  <c r="AL39" i="21"/>
  <c r="AL62" i="9"/>
  <c r="AL68" i="9" s="1"/>
  <c r="AL11" i="8" l="1"/>
  <c r="AL49" i="21"/>
  <c r="AL50" i="21" s="1"/>
  <c r="AL23" i="13"/>
  <c r="AL10" i="8"/>
  <c r="AL55" i="21"/>
  <c r="AL57" i="21" s="1"/>
  <c r="AL389" i="7"/>
  <c r="AL7" i="7"/>
  <c r="AL16" i="13" s="1"/>
  <c r="AL74" i="9"/>
  <c r="AL3" i="20" s="1"/>
  <c r="AL80" i="9"/>
  <c r="AL5" i="20"/>
  <c r="AL86" i="9"/>
  <c r="AL71" i="9"/>
  <c r="AL4" i="8"/>
  <c r="AL12" i="20" l="1"/>
  <c r="AL6" i="8" s="1"/>
  <c r="AL7" i="20"/>
  <c r="AL5" i="8" s="1"/>
  <c r="AL44" i="8" s="1"/>
  <c r="AL81" i="9"/>
  <c r="AL83" i="9" s="1"/>
  <c r="AL56" i="21"/>
  <c r="AL87" i="9"/>
  <c r="AL88" i="9" s="1"/>
  <c r="AL89" i="9" s="1"/>
  <c r="AL51" i="21"/>
  <c r="AL19" i="8" l="1"/>
  <c r="AL27" i="8" s="1"/>
  <c r="AL38" i="8" s="1"/>
  <c r="AL43" i="8"/>
  <c r="AL47" i="8" s="1"/>
  <c r="AL48" i="8" s="1"/>
  <c r="AL82" i="9"/>
  <c r="AL24" i="13" l="1"/>
  <c r="AL50" i="8"/>
  <c r="AL25" i="13" s="1"/>
  <c r="F5" i="24" l="1"/>
  <c r="F7" i="24"/>
  <c r="F4" i="24"/>
  <c r="AV4" i="24"/>
  <c r="AV7" i="24"/>
  <c r="AV5" i="24"/>
  <c r="F10" i="24" l="1"/>
  <c r="F17" i="24"/>
  <c r="F23" i="24" s="1"/>
  <c r="F16" i="24"/>
  <c r="AR4" i="24"/>
  <c r="AR7" i="24"/>
  <c r="AR5" i="24"/>
  <c r="AV17" i="24"/>
  <c r="AV10" i="24"/>
  <c r="AV16" i="24"/>
  <c r="AV14" i="24" l="1"/>
  <c r="AV12" i="24"/>
  <c r="AR16" i="24"/>
  <c r="AR17" i="24"/>
  <c r="AR23" i="24" s="1"/>
  <c r="AR10" i="24"/>
  <c r="AV18" i="24"/>
  <c r="AV20" i="24" s="1"/>
  <c r="AV23" i="24" s="1"/>
  <c r="AV6" i="13" s="1"/>
  <c r="AV7" i="13" s="1"/>
  <c r="AV19" i="24"/>
  <c r="AV21" i="24" s="1"/>
  <c r="AS4" i="24"/>
  <c r="AS7" i="24"/>
  <c r="AS5" i="24"/>
  <c r="F18" i="24"/>
  <c r="F20" i="24" s="1"/>
  <c r="F6" i="13" s="1"/>
  <c r="F7" i="13" s="1"/>
  <c r="F8" i="13" s="1"/>
  <c r="F19" i="24"/>
  <c r="F21" i="24" s="1"/>
  <c r="F12" i="24"/>
  <c r="F14" i="24"/>
  <c r="AW4" i="24"/>
  <c r="AW7" i="24"/>
  <c r="AW5" i="24"/>
  <c r="AV8" i="13" l="1"/>
  <c r="AT4" i="24"/>
  <c r="AT5" i="24"/>
  <c r="AT7" i="24"/>
  <c r="AW17" i="24"/>
  <c r="AW10" i="24"/>
  <c r="AW16" i="24"/>
  <c r="AS16" i="24"/>
  <c r="AS17" i="24"/>
  <c r="AS23" i="24" s="1"/>
  <c r="AS10" i="24"/>
  <c r="AR12" i="24"/>
  <c r="AR14" i="24"/>
  <c r="AR6" i="13" s="1"/>
  <c r="AR7" i="13" s="1"/>
  <c r="AR8" i="13" s="1"/>
  <c r="AR19" i="24"/>
  <c r="AR21" i="24" s="1"/>
  <c r="AR18" i="24"/>
  <c r="AR20" i="24" s="1"/>
  <c r="AX7" i="24"/>
  <c r="AX4" i="24"/>
  <c r="AX5" i="24"/>
  <c r="AX10" i="24" l="1"/>
  <c r="AX16" i="24"/>
  <c r="AX17" i="24"/>
  <c r="AW12" i="24"/>
  <c r="AW14" i="24"/>
  <c r="AS12" i="24"/>
  <c r="AS14" i="24"/>
  <c r="AS6" i="13" s="1"/>
  <c r="AS7" i="13" s="1"/>
  <c r="AS8" i="13" s="1"/>
  <c r="AW18" i="24"/>
  <c r="AW20" i="24" s="1"/>
  <c r="AW23" i="24" s="1"/>
  <c r="AW6" i="13" s="1"/>
  <c r="AW7" i="13" s="1"/>
  <c r="AW19" i="24"/>
  <c r="AW21" i="24" s="1"/>
  <c r="AY7" i="24"/>
  <c r="AY4" i="24"/>
  <c r="AY5" i="24"/>
  <c r="AS18" i="24"/>
  <c r="AS20" i="24" s="1"/>
  <c r="AS19" i="24"/>
  <c r="AS21" i="24" s="1"/>
  <c r="AT10" i="24"/>
  <c r="AT16" i="24"/>
  <c r="AT17" i="24"/>
  <c r="AT23" i="24" s="1"/>
  <c r="AW8" i="13" l="1"/>
  <c r="AZ5" i="24"/>
  <c r="AZ7" i="24"/>
  <c r="AZ4" i="24"/>
  <c r="AX19" i="24"/>
  <c r="AX21" i="24" s="1"/>
  <c r="AX18" i="24"/>
  <c r="AX20" i="24" s="1"/>
  <c r="AT19" i="24"/>
  <c r="AT21" i="24" s="1"/>
  <c r="AT18" i="24"/>
  <c r="AT20" i="24" s="1"/>
  <c r="AY10" i="24"/>
  <c r="AY17" i="24"/>
  <c r="AY16" i="24"/>
  <c r="AX12" i="24"/>
  <c r="AX14" i="24"/>
  <c r="AT12" i="24"/>
  <c r="AT14" i="24"/>
  <c r="AT6" i="13" s="1"/>
  <c r="AT7" i="13" s="1"/>
  <c r="AX23" i="24" l="1"/>
  <c r="AX6" i="13" s="1"/>
  <c r="AX7" i="13" s="1"/>
  <c r="AT8" i="13"/>
  <c r="AY19" i="24"/>
  <c r="AY21" i="24" s="1"/>
  <c r="AY18" i="24"/>
  <c r="AY20" i="24" s="1"/>
  <c r="AY14" i="24"/>
  <c r="AY12" i="24"/>
  <c r="BA5" i="24"/>
  <c r="BA4" i="24"/>
  <c r="BA7" i="24"/>
  <c r="AZ10" i="24"/>
  <c r="AZ17" i="24"/>
  <c r="AZ16" i="24"/>
  <c r="AX8" i="13" l="1"/>
  <c r="AY23" i="24"/>
  <c r="AY6" i="13" s="1"/>
  <c r="AY7" i="13" s="1"/>
  <c r="BB5" i="24"/>
  <c r="BB4" i="24"/>
  <c r="BB7" i="24"/>
  <c r="BA10" i="24"/>
  <c r="BA16" i="24"/>
  <c r="BA17" i="24"/>
  <c r="AZ18" i="24"/>
  <c r="AZ20" i="24" s="1"/>
  <c r="AZ19" i="24"/>
  <c r="AZ21" i="24" s="1"/>
  <c r="AZ14" i="24"/>
  <c r="AZ12" i="24"/>
  <c r="AY8" i="13" l="1"/>
  <c r="AZ23" i="24"/>
  <c r="AZ6" i="13" s="1"/>
  <c r="AZ7" i="13" s="1"/>
  <c r="BA18" i="24"/>
  <c r="BA20" i="24" s="1"/>
  <c r="BA19" i="24"/>
  <c r="BA21" i="24" s="1"/>
  <c r="BA14" i="24"/>
  <c r="BA12" i="24"/>
  <c r="BC5" i="24"/>
  <c r="BC7" i="24"/>
  <c r="BC4" i="24"/>
  <c r="BB10" i="24"/>
  <c r="BB16" i="24"/>
  <c r="BB17" i="24"/>
  <c r="AZ8" i="13" l="1"/>
  <c r="BA23" i="24"/>
  <c r="BA6" i="13" s="1"/>
  <c r="BA7" i="13" s="1"/>
  <c r="BB14" i="24"/>
  <c r="BB12" i="24"/>
  <c r="BD5" i="24"/>
  <c r="BD4" i="24"/>
  <c r="BD7" i="24"/>
  <c r="BC16" i="24"/>
  <c r="BC10" i="24"/>
  <c r="BC17" i="24"/>
  <c r="BB18" i="24"/>
  <c r="BB20" i="24" s="1"/>
  <c r="BB19" i="24"/>
  <c r="BB21" i="24" s="1"/>
  <c r="BA8" i="13" l="1"/>
  <c r="BB23" i="24"/>
  <c r="BB6" i="13" s="1"/>
  <c r="BB7" i="13" s="1"/>
  <c r="BC12" i="24"/>
  <c r="BC14" i="24"/>
  <c r="BD10" i="24"/>
  <c r="BD17" i="24"/>
  <c r="BD16" i="24"/>
  <c r="BC18" i="24"/>
  <c r="BC20" i="24" s="1"/>
  <c r="BC23" i="24" s="1"/>
  <c r="BC19" i="24"/>
  <c r="BC21" i="24" s="1"/>
  <c r="BE7" i="24"/>
  <c r="BE5" i="24"/>
  <c r="BE4" i="24"/>
  <c r="BB8" i="13" l="1"/>
  <c r="BC6" i="13"/>
  <c r="BC7" i="13" s="1"/>
  <c r="BC8" i="13"/>
  <c r="BE10" i="24"/>
  <c r="BE16" i="24"/>
  <c r="BE17" i="24"/>
  <c r="BD18" i="24"/>
  <c r="BD20" i="24" s="1"/>
  <c r="BD19" i="24"/>
  <c r="BD21" i="24" s="1"/>
  <c r="BD12" i="24"/>
  <c r="BD14" i="24"/>
  <c r="BF5" i="24"/>
  <c r="BF4" i="24"/>
  <c r="BF7" i="24"/>
  <c r="BD23" i="24" l="1"/>
  <c r="BD6" i="13" s="1"/>
  <c r="BD7" i="13" s="1"/>
  <c r="BE19" i="24"/>
  <c r="BE21" i="24" s="1"/>
  <c r="BE18" i="24"/>
  <c r="BE20" i="24" s="1"/>
  <c r="BE12" i="24"/>
  <c r="BE14" i="24"/>
  <c r="BF16" i="24"/>
  <c r="BF10" i="24"/>
  <c r="BF17" i="24"/>
  <c r="BD8" i="13" l="1"/>
  <c r="BE23" i="24"/>
  <c r="BE6" i="13" s="1"/>
  <c r="BE7" i="13" s="1"/>
  <c r="BF19" i="24"/>
  <c r="BF21" i="24" s="1"/>
  <c r="BF18" i="24"/>
  <c r="BF20" i="24" s="1"/>
  <c r="BF12" i="24"/>
  <c r="BF14" i="24"/>
  <c r="BE8" i="13" l="1"/>
  <c r="BF23" i="24"/>
  <c r="BF6" i="13" s="1"/>
  <c r="BF7" i="13" s="1"/>
  <c r="BF8" i="13" l="1"/>
</calcChain>
</file>

<file path=xl/sharedStrings.xml><?xml version="1.0" encoding="utf-8"?>
<sst xmlns="http://schemas.openxmlformats.org/spreadsheetml/2006/main" count="2751" uniqueCount="1208">
  <si>
    <t>M = 2.5534 + 29.10535670 k</t>
  </si>
  <si>
    <t>k</t>
  </si>
  <si>
    <t>T</t>
  </si>
  <si>
    <t>JDE</t>
  </si>
  <si>
    <t>E</t>
  </si>
  <si>
    <t>M</t>
  </si>
  <si>
    <t>M'</t>
  </si>
  <si>
    <t>F</t>
  </si>
  <si>
    <t>Longitude of ascending node of lunar orbit</t>
  </si>
  <si>
    <t>Ω</t>
  </si>
  <si>
    <t>Planetary arguments, in degrees</t>
  </si>
  <si>
    <t>A1 = 299.77 + 0.107408 k - 0.009173 T^2</t>
  </si>
  <si>
    <t>A2 = 251.88 + 0.016321 k</t>
  </si>
  <si>
    <t>A3 = 251.83 + 26.651886 k</t>
  </si>
  <si>
    <t>A4 = 349.42 + 36.412478 k</t>
  </si>
  <si>
    <t>A5 = 84.66 + 18.206239 k</t>
  </si>
  <si>
    <t>A6 = 141.74 + 53.303771 k</t>
  </si>
  <si>
    <t>A7 = 207.14 + 2.453732 k</t>
  </si>
  <si>
    <t>A8 = 154.84 + 7.306860 k</t>
  </si>
  <si>
    <t>A9 = 34.52 + 27.261239 k</t>
  </si>
  <si>
    <t>A10 = 207.19 + 0.121824 k</t>
  </si>
  <si>
    <t>A11 = 291.34 + 1.844379 k</t>
  </si>
  <si>
    <t>A12 = 161.72 + 24.198154 k</t>
  </si>
  <si>
    <t>A13 = 239.56 + 25.513099 k</t>
  </si>
  <si>
    <t>A14 = 331.55 + 3.592518 k</t>
  </si>
  <si>
    <t>Qtr only:</t>
  </si>
  <si>
    <t>W = .00306 - .00038 E cos M + .00026 cos M'</t>
  </si>
  <si>
    <t xml:space="preserve">   -.00002 cos (M'-M) + .00002 cos (M' + M)</t>
  </si>
  <si>
    <t xml:space="preserve">   + .00002 cos 2F</t>
  </si>
  <si>
    <t>New</t>
  </si>
  <si>
    <t>Full</t>
  </si>
  <si>
    <t xml:space="preserve"> -0.40720 * sin( ( M' * Pi / 180 ) )</t>
  </si>
  <si>
    <t xml:space="preserve"> +0.17241 *E * sin( ( M * Pi / 180 ) )</t>
  </si>
  <si>
    <t xml:space="preserve"> +0.01608 * sin( ( 2M' * Pi / 180 ) )</t>
  </si>
  <si>
    <t xml:space="preserve"> +0.01039 * sin( ( 2F * Pi / 180 ) )</t>
  </si>
  <si>
    <t xml:space="preserve"> +0.00739 *E * sin( ( M' - M * Pi / 180 ) )</t>
  </si>
  <si>
    <t xml:space="preserve"> -0.00514 *E * sin( ( M' + M * Pi / 180 ) )</t>
  </si>
  <si>
    <t xml:space="preserve"> +0.00208 *E^2 * sin( ( 2M * Pi / 180 ) )</t>
  </si>
  <si>
    <t xml:space="preserve"> -0.00111 * sin( ( M' - 2F * Pi / 180 ) )</t>
  </si>
  <si>
    <t xml:space="preserve"> -0.00057 * sin( ( M' + 2F * Pi / 180 ) )</t>
  </si>
  <si>
    <t xml:space="preserve"> +0.00056 *E * sin( ( 2M' + M * Pi / 180 ) )</t>
  </si>
  <si>
    <t xml:space="preserve"> -0.00042 * sin( ( 3M' * Pi / 180 ) )</t>
  </si>
  <si>
    <t xml:space="preserve"> +0.00042 *E * sin( ( M + 2F * Pi / 180 ) )</t>
  </si>
  <si>
    <t xml:space="preserve"> +0.00038 *E * sin( ( M - 2F * Pi / 180 ) )</t>
  </si>
  <si>
    <t xml:space="preserve"> -0.00024 *E * sin( ( 2M' - M * Pi / 180 ) )</t>
  </si>
  <si>
    <t xml:space="preserve"> -0.00017 * sin( ( Ω * Pi / 180 ) )</t>
  </si>
  <si>
    <t xml:space="preserve"> -0.00007 * sin( ( M' + 2M * Pi / 180 ) )</t>
  </si>
  <si>
    <t xml:space="preserve"> +0.00004 * sin( ( 2M' - 2F * Pi / 180 ) )</t>
  </si>
  <si>
    <t xml:space="preserve"> +0.00004 * sin( ( 3M * Pi / 180 ) )</t>
  </si>
  <si>
    <t xml:space="preserve"> +0.00003 * sin( ( M' + M - 2F * Pi / 180 ) )</t>
  </si>
  <si>
    <t xml:space="preserve"> +0.00003 * sin( ( 2M' + 2F * Pi / 180 ) )</t>
  </si>
  <si>
    <t xml:space="preserve"> -0.00003 * sin( ( M' + M + 2F * Pi / 180 ) )</t>
  </si>
  <si>
    <t xml:space="preserve"> +0.00003 * sin( ( M' - M + 2F * Pi / 180 ) )</t>
  </si>
  <si>
    <t xml:space="preserve"> -0.00002 * sin( ( M' - M - 2F * Pi / 180 ) )</t>
  </si>
  <si>
    <t xml:space="preserve"> -0.00002 * sin( ( 3M' + M * Pi / 180 ) )</t>
  </si>
  <si>
    <t xml:space="preserve"> +0.00002 * sin( ( 4M' * Pi / 180 ) )</t>
  </si>
  <si>
    <t xml:space="preserve"> Full Moon</t>
  </si>
  <si>
    <t xml:space="preserve"> -0.40614 * sin( ( M' * Pi / 180 ) )</t>
  </si>
  <si>
    <t xml:space="preserve"> +0.17302 *E * sin( ( M * Pi / 180 ) )</t>
  </si>
  <si>
    <t xml:space="preserve"> +0.01614 * sin( ( 2M' * Pi / 180 ) )</t>
  </si>
  <si>
    <t xml:space="preserve"> +0.01043 * sin( ( 2F * Pi / 180 ) )</t>
  </si>
  <si>
    <t xml:space="preserve"> +0.00734 *E * sin( ( M' - M * Pi / 180 ) )</t>
  </si>
  <si>
    <t xml:space="preserve"> -0.00515 *E * sin( ( M' + M * Pi / 180 ) )</t>
  </si>
  <si>
    <t xml:space="preserve"> +0.00209 *E^2 * sin( ( 2M * Pi / 180 ) )</t>
  </si>
  <si>
    <t xml:space="preserve"> -0.62801 * sin( (M' * Pi / 180 ) )</t>
  </si>
  <si>
    <t xml:space="preserve"> +0.17172 *E * sin( (M * Pi / 180 ) )</t>
  </si>
  <si>
    <t xml:space="preserve"> -0.01183 *E * sin( (M'+M * Pi / 180 ) )</t>
  </si>
  <si>
    <t xml:space="preserve"> +0.00862 * sin( (2M' * Pi / 180 ) )</t>
  </si>
  <si>
    <t xml:space="preserve"> +0.00804 * sin( (2F * Pi / 180 ) )</t>
  </si>
  <si>
    <t xml:space="preserve"> +0.00454 *E * sin( (M'-M * Pi / 180 ) )</t>
  </si>
  <si>
    <t xml:space="preserve"> +0.00204 *E^2 * sin( (2M * Pi / 180 ) )</t>
  </si>
  <si>
    <t xml:space="preserve"> -0.00180 * sin( (M'-2F * Pi / 180 ) )</t>
  </si>
  <si>
    <t xml:space="preserve"> -0.00070 * sin( (M'+2F * Pi / 180 ) )</t>
  </si>
  <si>
    <t xml:space="preserve"> -0.00040 * sin( (3M' * Pi / 180 ) )</t>
  </si>
  <si>
    <t xml:space="preserve"> -0.00034 *E * sin( (2M'-M * Pi / 180 ) )</t>
  </si>
  <si>
    <t xml:space="preserve"> +0.00032 *E * sin( (M+2F * Pi / 180 ) )</t>
  </si>
  <si>
    <t xml:space="preserve"> +0.00032 *E * sin( (M-2F * Pi / 180 ) )</t>
  </si>
  <si>
    <t xml:space="preserve"> -0.00028 *E^2 * sin( (M'+2M * Pi / 180 ) )</t>
  </si>
  <si>
    <t xml:space="preserve"> +0.00027 *E * sin( (2M'+M * Pi / 180 ) )</t>
  </si>
  <si>
    <t xml:space="preserve"> -0.00017 * sin( (Ω * Pi / 180 ) )</t>
  </si>
  <si>
    <t xml:space="preserve"> -0.00005 * sin( (M'-M-2F * Pi / 180 ) )</t>
  </si>
  <si>
    <t xml:space="preserve"> +0.00004 * sin( (2M'+2F * Pi / 180 ) )</t>
  </si>
  <si>
    <t xml:space="preserve"> -0.00004 * sin( (M'+M+2F * Pi / 180 ) )</t>
  </si>
  <si>
    <t xml:space="preserve"> +0.00004 * sin( (M'-2M * Pi / 180 ) )</t>
  </si>
  <si>
    <t xml:space="preserve"> +0.00003 * sin( (M'+M-2F * Pi / 180 ) )</t>
  </si>
  <si>
    <t xml:space="preserve"> +0.00003 * sin( (3M * Pi / 180 ) )</t>
  </si>
  <si>
    <t xml:space="preserve"> +0.00002 * sin( (2M'-2F * Pi / 180 ) )</t>
  </si>
  <si>
    <t xml:space="preserve"> +0.00002 * sin( (M'-M+2F * Pi / 180 ) )</t>
  </si>
  <si>
    <t xml:space="preserve"> -0.00002 * sin( (3M'+M * Pi / 180 ) )</t>
  </si>
  <si>
    <t>Radians = Deg x pi/180</t>
  </si>
  <si>
    <t>Degrees = rad x 180/pi</t>
  </si>
  <si>
    <t>Pg</t>
  </si>
  <si>
    <t>Hr = hours</t>
  </si>
  <si>
    <t>Mi = minutes</t>
  </si>
  <si>
    <t>Sec = seconds</t>
  </si>
  <si>
    <t>mil = milliseconds</t>
  </si>
  <si>
    <t xml:space="preserve">    / 60.0) + minutes) / 60.0) + hours) / 24.0</t>
  </si>
  <si>
    <t xml:space="preserve">If M &lt; 3, </t>
  </si>
  <si>
    <t>Yr = year</t>
  </si>
  <si>
    <t>Mo = month</t>
  </si>
  <si>
    <t>Da = day</t>
  </si>
  <si>
    <t xml:space="preserve">    Yr-=1</t>
  </si>
  <si>
    <t xml:space="preserve">    Mo+=12</t>
  </si>
  <si>
    <t>A = Math.floor(Yr/100)</t>
  </si>
  <si>
    <t>B = 2 - A + Math.floor(A/4)</t>
  </si>
  <si>
    <t>if date &lt; 1582-10-01</t>
  </si>
  <si>
    <t xml:space="preserve">    + Da + Fr + B - 1524.5</t>
  </si>
  <si>
    <t>Fr = ((((((milli / 1000.0) + seconds)</t>
  </si>
  <si>
    <t>Yr</t>
  </si>
  <si>
    <t>Mo</t>
  </si>
  <si>
    <t>A</t>
  </si>
  <si>
    <t>B</t>
  </si>
  <si>
    <t>k=0  = new moon of 2000 Jan 6. -k = &lt;2000.</t>
  </si>
  <si>
    <t>k ~ (year - 2000) x 12.3685</t>
  </si>
  <si>
    <t xml:space="preserve">   1987.25 = end of march 1987</t>
  </si>
  <si>
    <t xml:space="preserve">    year should be with decimals, so </t>
  </si>
  <si>
    <t>T is time in Julian centuries since epoch 2000</t>
  </si>
  <si>
    <t>T = k/1236.85</t>
  </si>
  <si>
    <t xml:space="preserve">    k+=0.25 for 1st quarter</t>
  </si>
  <si>
    <t xml:space="preserve">    k+=0.50 for full moon</t>
  </si>
  <si>
    <t xml:space="preserve">    k+=0.75 for last quarter</t>
  </si>
  <si>
    <t>JDE = 2451550.09766 + 29.530588861 k</t>
  </si>
  <si>
    <t xml:space="preserve">    + 0.00015437 T^2</t>
  </si>
  <si>
    <t xml:space="preserve">    - 0.000000150 T^3</t>
  </si>
  <si>
    <t xml:space="preserve">    + 0.00000000073 T^4</t>
  </si>
  <si>
    <t>E = 1 - 0.002516 T - 0.0000074 T^2</t>
  </si>
  <si>
    <t>Sun's mean anomaly at JDE</t>
  </si>
  <si>
    <t xml:space="preserve">    - 0.0000014 T^2</t>
  </si>
  <si>
    <t xml:space="preserve">    - 0.00000011 T^3</t>
  </si>
  <si>
    <t>Moon's mean anomaly</t>
  </si>
  <si>
    <t>M' = 201.5643 + 385.81693528 k</t>
  </si>
  <si>
    <t xml:space="preserve">    - 0.0016118 T^2</t>
  </si>
  <si>
    <t xml:space="preserve">    + 0.0107582 T^2</t>
  </si>
  <si>
    <t xml:space="preserve">    + 0.00001238 T^3</t>
  </si>
  <si>
    <t xml:space="preserve">    - 0.000000058 T^4</t>
  </si>
  <si>
    <t>Moon's argument of latitude</t>
  </si>
  <si>
    <t>F = 160.7108 + 390.67050284 k</t>
  </si>
  <si>
    <t xml:space="preserve">    - 0.00000227 T^3</t>
  </si>
  <si>
    <t xml:space="preserve">    + 0.000000011 T^4</t>
  </si>
  <si>
    <t>Ω = 124.7746 - 1.56375588 k</t>
  </si>
  <si>
    <t xml:space="preserve">    + 0.0020672 T^2</t>
  </si>
  <si>
    <t xml:space="preserve">    + 0.00000215 T^3</t>
  </si>
  <si>
    <t>True apparent phase, add these</t>
  </si>
  <si>
    <t>0.000325 * sin( A1  * Pi/180 )</t>
  </si>
  <si>
    <t>0.000165 * sin( A2 * Pi/180 )</t>
  </si>
  <si>
    <t>0.000164 * sin( A3 * Pi/180 )</t>
  </si>
  <si>
    <t>0.000126 * sin( A4 * Pi/180 )</t>
  </si>
  <si>
    <t>0.00011 * sin( A5 * Pi/180 )</t>
  </si>
  <si>
    <t>0.000062 * sin( A6 * Pi/180 )</t>
  </si>
  <si>
    <t>0.00006 * sin( A7 * Pi/180 )</t>
  </si>
  <si>
    <t>0.000056 * sin( A8 * Pi/180 )</t>
  </si>
  <si>
    <t>0.000047 * sin( A9 * Pi/180 )</t>
  </si>
  <si>
    <t>0.000042 * sin( A10 * Pi/180 )</t>
  </si>
  <si>
    <t>0.00004 * sin( A11 * Pi/180 )</t>
  </si>
  <si>
    <t>0.000037 * sin( A12 * Pi/180 )</t>
  </si>
  <si>
    <t>0.000035 * sin( A13 * Pi/180 )</t>
  </si>
  <si>
    <t>0.000023 * sin( A14 * Pi/180 )</t>
  </si>
  <si>
    <t>Add'l corrections (convert Ax to Radians)</t>
  </si>
  <si>
    <t>B = A + 1524</t>
  </si>
  <si>
    <t>D = int(365.25 C)</t>
  </si>
  <si>
    <t>E = int((B - D) / 30.6001)</t>
  </si>
  <si>
    <t>C</t>
  </si>
  <si>
    <t>D</t>
  </si>
  <si>
    <t>Day</t>
  </si>
  <si>
    <t>Month</t>
  </si>
  <si>
    <t>Year</t>
  </si>
  <si>
    <t>Hr</t>
  </si>
  <si>
    <t>Min</t>
  </si>
  <si>
    <t>Date</t>
  </si>
  <si>
    <t>1st Qtr Correction: +W</t>
  </si>
  <si>
    <t>last Qtr Correction:  -W</t>
  </si>
  <si>
    <t>full</t>
  </si>
  <si>
    <t>Mean elongation of moon</t>
  </si>
  <si>
    <t xml:space="preserve">    - T^4 / 113065000</t>
  </si>
  <si>
    <t>sun's anomaly</t>
  </si>
  <si>
    <t xml:space="preserve">    - 0.0001536 T^2 + T^3 / 24490000</t>
  </si>
  <si>
    <t xml:space="preserve">    - T^4 / 14712000</t>
  </si>
  <si>
    <t>approximate i</t>
  </si>
  <si>
    <t xml:space="preserve">    + 2.1 * sin( M )</t>
  </si>
  <si>
    <t xml:space="preserve">    - 0.658 * sin( 2*D)</t>
  </si>
  <si>
    <t xml:space="preserve">    - 0.110 * sin( D );</t>
  </si>
  <si>
    <t xml:space="preserve">    </t>
  </si>
  <si>
    <t>i</t>
  </si>
  <si>
    <t>k = (1 + cos i) / 2</t>
  </si>
  <si>
    <t>Waxing Crescent</t>
  </si>
  <si>
    <t>1st quarter</t>
  </si>
  <si>
    <t>Waxing Gibbous</t>
  </si>
  <si>
    <t>Waning Gibbous</t>
  </si>
  <si>
    <t>Third quarter</t>
  </si>
  <si>
    <t>Waning crescent</t>
  </si>
  <si>
    <t>.1 to 49.9%</t>
  </si>
  <si>
    <t>50.1-99.9%</t>
  </si>
  <si>
    <t>99.9 -49.9%</t>
  </si>
  <si>
    <t>49.9-0.1%</t>
  </si>
  <si>
    <t>d</t>
  </si>
  <si>
    <t>R</t>
  </si>
  <si>
    <t>tan α = (sin λ cos ε - tan β sin ε) / cos λ</t>
  </si>
  <si>
    <t>sin π = 6378.14 / Δ</t>
  </si>
  <si>
    <t>Moon's mean longitude:</t>
  </si>
  <si>
    <t>L' = 218.3164477 + 481267.88123421 T</t>
  </si>
  <si>
    <t xml:space="preserve">    - 0.0015786 T^2 + T^3 / 538841</t>
  </si>
  <si>
    <t xml:space="preserve">    - T^4 / 65194000</t>
  </si>
  <si>
    <t>L'</t>
  </si>
  <si>
    <t>D = 297.8501921 + 445267.1114034 T</t>
  </si>
  <si>
    <t xml:space="preserve">    - 0.0018819 T^2 + T^3 / 545868</t>
  </si>
  <si>
    <t>L' mod 360</t>
  </si>
  <si>
    <t>D Mod 360</t>
  </si>
  <si>
    <t>M mod 360</t>
  </si>
  <si>
    <t>Sun's mean anomaly</t>
  </si>
  <si>
    <t>M' = 134.9633964 + 477198.8675055 T</t>
  </si>
  <si>
    <t xml:space="preserve">    + 0.0087414 T^2 + T^3 / 69699</t>
  </si>
  <si>
    <t>F = 93.2720950 + 483202.0175233 T</t>
  </si>
  <si>
    <t xml:space="preserve">    - 0.0036539 T^2 - T^3 / 3526000</t>
  </si>
  <si>
    <t xml:space="preserve">   + T^4 / 863310000</t>
  </si>
  <si>
    <t>A1 = 119.75 + 131.849 * T</t>
  </si>
  <si>
    <t>A2 = 53.09 + 479264.290 * T</t>
  </si>
  <si>
    <t>A3 = 313.45 + 481266.484 * T</t>
  </si>
  <si>
    <t>A1°</t>
  </si>
  <si>
    <t>A2°</t>
  </si>
  <si>
    <t>A3°</t>
  </si>
  <si>
    <t>Σl</t>
  </si>
  <si>
    <t>Σr</t>
  </si>
  <si>
    <t>Σb</t>
  </si>
  <si>
    <t>if E= 1, then x * E, if E=2, then x*E^2</t>
  </si>
  <si>
    <t>Table 47.A</t>
  </si>
  <si>
    <t>Table 47.B</t>
  </si>
  <si>
    <t>.</t>
  </si>
  <si>
    <t>0.000001°</t>
  </si>
  <si>
    <t>0.002 km</t>
  </si>
  <si>
    <t>x sin (D+M+M'+F)</t>
  </si>
  <si>
    <t>x cos (D+M+M'+F)</t>
  </si>
  <si>
    <t xml:space="preserve"> D </t>
  </si>
  <si>
    <t xml:space="preserve"> M </t>
  </si>
  <si>
    <t xml:space="preserve"> M' </t>
  </si>
  <si>
    <t xml:space="preserve"> F </t>
  </si>
  <si>
    <t>Venus action additives</t>
  </si>
  <si>
    <t>Jupiter action additives</t>
  </si>
  <si>
    <t xml:space="preserve">    + 1962 sin (L' - F)</t>
  </si>
  <si>
    <t xml:space="preserve">    +  318 sin A2</t>
  </si>
  <si>
    <t xml:space="preserve">    +  382 sin A3</t>
  </si>
  <si>
    <t xml:space="preserve">    +  175 sin (A1 - F)</t>
  </si>
  <si>
    <t xml:space="preserve">    +  175 sin (a1 + F)</t>
  </si>
  <si>
    <t xml:space="preserve">    +  127 sin (L' - M')</t>
  </si>
  <si>
    <t>M = 357.5291092 + 35999.0502909 T</t>
  </si>
  <si>
    <t>λ = L' + Σl/1000000</t>
  </si>
  <si>
    <t>β = Σb /1000000</t>
  </si>
  <si>
    <t>Δ = 385000.56 + Σr / 1000</t>
  </si>
  <si>
    <t>β°</t>
  </si>
  <si>
    <t>Δ (km)</t>
  </si>
  <si>
    <t>π =arcsin( 6378.14 / Δ)</t>
  </si>
  <si>
    <t xml:space="preserve">π </t>
  </si>
  <si>
    <t xml:space="preserve">    -  115 sin (L' + M')</t>
  </si>
  <si>
    <t>λ°</t>
  </si>
  <si>
    <t>Table 47.A, 47.B pages 339-341</t>
  </si>
  <si>
    <t>unit is 0.0001"</t>
  </si>
  <si>
    <t>y = D+M+M'+F+Ω</t>
  </si>
  <si>
    <t>a</t>
  </si>
  <si>
    <t>b * T</t>
  </si>
  <si>
    <t xml:space="preserve"> Δψ = a+b sin(y)</t>
  </si>
  <si>
    <t>c</t>
  </si>
  <si>
    <t>d * T</t>
  </si>
  <si>
    <t xml:space="preserve"> Δε = c+d cos(y)</t>
  </si>
  <si>
    <t xml:space="preserve"> Δε</t>
  </si>
  <si>
    <t>D = 297.85036 + 445267.111480 * T    - 0.0019142 * T^2 + T^3 / 189474</t>
  </si>
  <si>
    <t>M = 357.52772 + 35999.050340 * T - 0.0001603 * T^2 - T^3 / 300000</t>
  </si>
  <si>
    <t>Mean anomaly of sun (earth)</t>
  </si>
  <si>
    <t>Mean anomaly of the moon</t>
  </si>
  <si>
    <t>M' = 134.96298 + 477198.867398 * T + 0.0086972 * T^2 + T^3 / 56250</t>
  </si>
  <si>
    <t>F = 93.27191 + 483202.017538 * T - 0.0036825 * T^2 + T^3 / 327270</t>
  </si>
  <si>
    <t>Ω = 125.04452 - 1934.136261 * T + 0.0020708 * T^2 + T^3 / 450000</t>
  </si>
  <si>
    <t>Longitude of ascending node of Moon's mean orbit</t>
  </si>
  <si>
    <t>L</t>
  </si>
  <si>
    <t>L = 280.4665 + 36000.7698 * T</t>
  </si>
  <si>
    <t>L' = 218.3165 + 481267.8813 * T</t>
  </si>
  <si>
    <t>mean longitude of Sun</t>
  </si>
  <si>
    <t>Mean longitude of Moon</t>
  </si>
  <si>
    <t xml:space="preserve"> Δψ = -17.20" sin Ω - - 1.32" sin 2L - 0.23" sin 2L' + 0.21" sin 2Ω</t>
  </si>
  <si>
    <t xml:space="preserve"> Δε = 9.20" cos Ω + 0.57" cos 2L + 0.10" cos 2L' - 0.09" cos 2Ω</t>
  </si>
  <si>
    <t>argument multiple of…</t>
  </si>
  <si>
    <t>coefficient of argument</t>
  </si>
  <si>
    <t>"/3600=deg</t>
  </si>
  <si>
    <t>α</t>
  </si>
  <si>
    <t>Ex</t>
  </si>
  <si>
    <t>22.a</t>
  </si>
  <si>
    <t>Equation</t>
  </si>
  <si>
    <t>Var</t>
  </si>
  <si>
    <t>Examples</t>
  </si>
  <si>
    <t>Func.</t>
  </si>
  <si>
    <t>Output</t>
  </si>
  <si>
    <t>7.a</t>
  </si>
  <si>
    <t>7.b</t>
  </si>
  <si>
    <t>Input:</t>
  </si>
  <si>
    <t>Date Parts</t>
  </si>
  <si>
    <t>Da</t>
  </si>
  <si>
    <t>Mi</t>
  </si>
  <si>
    <t>Sec</t>
  </si>
  <si>
    <t>mil</t>
  </si>
  <si>
    <t>Fr</t>
  </si>
  <si>
    <t>JD</t>
  </si>
  <si>
    <t>1600-01-01</t>
  </si>
  <si>
    <t>1600-12-31</t>
  </si>
  <si>
    <t>0837-04-10 07:12</t>
  </si>
  <si>
    <t>-0123-12-31</t>
  </si>
  <si>
    <t>-0122-01-01</t>
  </si>
  <si>
    <t>-1000-07-12 12:00</t>
  </si>
  <si>
    <t>-1000-02-29</t>
  </si>
  <si>
    <t>-4712-01-01 12:00</t>
  </si>
  <si>
    <t>7.c.2</t>
  </si>
  <si>
    <t>7.c.3</t>
  </si>
  <si>
    <t>7.c.4</t>
  </si>
  <si>
    <t>7.c.5</t>
  </si>
  <si>
    <t>7.c.6</t>
  </si>
  <si>
    <t>7.c.7</t>
  </si>
  <si>
    <t>7.c.8</t>
  </si>
  <si>
    <t>7.c.9</t>
  </si>
  <si>
    <t>7.c.10</t>
  </si>
  <si>
    <t>7.c.11</t>
  </si>
  <si>
    <t>7.c.12</t>
  </si>
  <si>
    <t>7.c.13</t>
  </si>
  <si>
    <t>7.c.14</t>
  </si>
  <si>
    <t>7.c.15</t>
  </si>
  <si>
    <t>7.c.16</t>
  </si>
  <si>
    <t>Expected value</t>
  </si>
  <si>
    <t>Y</t>
  </si>
  <si>
    <t>B1</t>
  </si>
  <si>
    <t xml:space="preserve">    B = 0, else B1</t>
  </si>
  <si>
    <t xml:space="preserve">JD = Math.floor(365.25 * (Y + 4716)) </t>
  </si>
  <si>
    <t xml:space="preserve">    + Math.floor(30.6001 * (M + 1))</t>
  </si>
  <si>
    <t>D = Da + Fr</t>
  </si>
  <si>
    <t>-1001-08-17 21:36</t>
  </si>
  <si>
    <t>Ch 7: Dates to Julian Days</t>
  </si>
  <si>
    <t>Ch 22: Nutation</t>
  </si>
  <si>
    <t>Ch 47: Position of Moon</t>
  </si>
  <si>
    <t>Expected Values:</t>
  </si>
  <si>
    <t>M' mod 360</t>
  </si>
  <si>
    <t>F mod 360</t>
  </si>
  <si>
    <t>A1 mod 360</t>
  </si>
  <si>
    <t>A2 mod 360</t>
  </si>
  <si>
    <t>A3 mod 360</t>
  </si>
  <si>
    <t>Additive to Σl   + 3958 sin A1</t>
  </si>
  <si>
    <t>Additive to Σb    -2235 sin L'</t>
  </si>
  <si>
    <t>THIS IS WRONG</t>
  </si>
  <si>
    <t>apparent λ = λ + Δψ</t>
  </si>
  <si>
    <t>Δψ</t>
  </si>
  <si>
    <t xml:space="preserve">    for 47.a, this is 16.595" = 0.004610°</t>
  </si>
  <si>
    <t>Nutation in longitude</t>
  </si>
  <si>
    <t>ε</t>
  </si>
  <si>
    <t>ε = ε0 + Δε</t>
  </si>
  <si>
    <t>δ</t>
  </si>
  <si>
    <t>Moon's apparent right ascension</t>
  </si>
  <si>
    <t>Moon's apparent declination</t>
  </si>
  <si>
    <t>for 47.a, 134.688470 = 8:58:45.2</t>
  </si>
  <si>
    <t>for 47.a, 13.768368 = 13d46'06"</t>
  </si>
  <si>
    <t>Ch 48: Illuminated Fraction of Moon</t>
  </si>
  <si>
    <t xml:space="preserve"> i = 180 - D - 6.289 * sin( M' )</t>
  </si>
  <si>
    <t xml:space="preserve">    - 1.274 * sin( 2*D - M' )</t>
  </si>
  <si>
    <t xml:space="preserve">    - 0.214 * sin( 2*M' )</t>
  </si>
  <si>
    <t>47.a/48.a</t>
  </si>
  <si>
    <t>χ</t>
  </si>
  <si>
    <t>tan χ = (cos δ0 sin(α0 - α) )  /</t>
  </si>
  <si>
    <t xml:space="preserve">     (sin δ0 cos δ - cos δ0 sin δ cos (α0 - α) )</t>
  </si>
  <si>
    <t>δ0</t>
  </si>
  <si>
    <t>δ = 13.7684°</t>
  </si>
  <si>
    <t>α = 134.6885°</t>
  </si>
  <si>
    <t>Δ</t>
  </si>
  <si>
    <t>δ0 = 8°41'47" = 8.6964°</t>
  </si>
  <si>
    <t>α0 = 1:22:37.9 = 20.6579°</t>
  </si>
  <si>
    <t>Δ = 368410 km (Earth-Moon)</t>
  </si>
  <si>
    <t>Ch 49 Phases of Moon</t>
  </si>
  <si>
    <t>49.a</t>
  </si>
  <si>
    <t>49.b</t>
  </si>
  <si>
    <t>k_new</t>
  </si>
  <si>
    <t>k_first</t>
  </si>
  <si>
    <t>k_full</t>
  </si>
  <si>
    <t>k_last</t>
  </si>
  <si>
    <t>T_new</t>
  </si>
  <si>
    <t>T_first</t>
  </si>
  <si>
    <t>T_full</t>
  </si>
  <si>
    <t>T_last</t>
  </si>
  <si>
    <t>JDE_new</t>
  </si>
  <si>
    <t>JDE_1st</t>
  </si>
  <si>
    <t>JDE_full</t>
  </si>
  <si>
    <t>JDE_last</t>
  </si>
  <si>
    <t>E_new</t>
  </si>
  <si>
    <t>E_1st</t>
  </si>
  <si>
    <t>M_new</t>
  </si>
  <si>
    <t>E_full</t>
  </si>
  <si>
    <t>E_last</t>
  </si>
  <si>
    <t>M_1st</t>
  </si>
  <si>
    <t>M_full</t>
  </si>
  <si>
    <t>M_last</t>
  </si>
  <si>
    <t>Mod 360:</t>
  </si>
  <si>
    <t>M' nm</t>
  </si>
  <si>
    <t>M' 1q</t>
  </si>
  <si>
    <t>M' fm</t>
  </si>
  <si>
    <t>M' Lq</t>
  </si>
  <si>
    <t>F_new</t>
  </si>
  <si>
    <t>F_1st</t>
  </si>
  <si>
    <t>F_full</t>
  </si>
  <si>
    <t>F_last</t>
  </si>
  <si>
    <t>Ω new</t>
  </si>
  <si>
    <t>Ω 1st</t>
  </si>
  <si>
    <t>Ω full</t>
  </si>
  <si>
    <t>Ω last</t>
  </si>
  <si>
    <t>(new moon)</t>
  </si>
  <si>
    <t>1st corr</t>
  </si>
  <si>
    <t>(full moon)</t>
  </si>
  <si>
    <t xml:space="preserve"> First Qtr Moon</t>
  </si>
  <si>
    <t xml:space="preserve"> Last Qtr Moon</t>
  </si>
  <si>
    <t>(1st qtr)</t>
  </si>
  <si>
    <t>(last qtr)</t>
  </si>
  <si>
    <t>A1_new</t>
  </si>
  <si>
    <t>A2_new</t>
  </si>
  <si>
    <t>A3_new</t>
  </si>
  <si>
    <t>A4_new</t>
  </si>
  <si>
    <t>A5_new</t>
  </si>
  <si>
    <t>A6_new</t>
  </si>
  <si>
    <t>A7_new</t>
  </si>
  <si>
    <t>A8_new</t>
  </si>
  <si>
    <t>A9_new</t>
  </si>
  <si>
    <t>A10_new</t>
  </si>
  <si>
    <t>A11_new</t>
  </si>
  <si>
    <t>A12_new</t>
  </si>
  <si>
    <t>A13_new</t>
  </si>
  <si>
    <t>A14_new</t>
  </si>
  <si>
    <t>A1_1st</t>
  </si>
  <si>
    <t>A2_1st</t>
  </si>
  <si>
    <t>A3_1st</t>
  </si>
  <si>
    <t>A4_1st</t>
  </si>
  <si>
    <t>A5_1st</t>
  </si>
  <si>
    <t>A6_1st</t>
  </si>
  <si>
    <t>A7_1st</t>
  </si>
  <si>
    <t>A8_1st</t>
  </si>
  <si>
    <t>A9_1st</t>
  </si>
  <si>
    <t>A10_1st</t>
  </si>
  <si>
    <t>A11_1st</t>
  </si>
  <si>
    <t>A12_1st</t>
  </si>
  <si>
    <t>A13_1st</t>
  </si>
  <si>
    <t>A14_1st</t>
  </si>
  <si>
    <t>A1_full</t>
  </si>
  <si>
    <t>A2_full</t>
  </si>
  <si>
    <t>A3_full</t>
  </si>
  <si>
    <t>A4_full</t>
  </si>
  <si>
    <t>A5_full</t>
  </si>
  <si>
    <t>A6_full</t>
  </si>
  <si>
    <t>A7_full</t>
  </si>
  <si>
    <t>A8_full</t>
  </si>
  <si>
    <t>A9_full</t>
  </si>
  <si>
    <t>A10_full</t>
  </si>
  <si>
    <t>A11_full</t>
  </si>
  <si>
    <t>A12_full</t>
  </si>
  <si>
    <t>A13_full</t>
  </si>
  <si>
    <t>A14_full</t>
  </si>
  <si>
    <t>A1_last</t>
  </si>
  <si>
    <t>A2_last</t>
  </si>
  <si>
    <t>A3_last</t>
  </si>
  <si>
    <t>A4_last</t>
  </si>
  <si>
    <t>A5_last</t>
  </si>
  <si>
    <t>A6_last</t>
  </si>
  <si>
    <t>A7_last</t>
  </si>
  <si>
    <t>A8_last</t>
  </si>
  <si>
    <t>A9_last</t>
  </si>
  <si>
    <t>A10_last</t>
  </si>
  <si>
    <t>A11_last</t>
  </si>
  <si>
    <t>A12_last</t>
  </si>
  <si>
    <t>A13_last</t>
  </si>
  <si>
    <t>A14_last</t>
  </si>
  <si>
    <t>Planetary arguments</t>
  </si>
  <si>
    <t>PA_1st</t>
  </si>
  <si>
    <t>PA_full</t>
  </si>
  <si>
    <t>PA_last</t>
  </si>
  <si>
    <t>(sum of A1-14)</t>
  </si>
  <si>
    <t>W_1st</t>
  </si>
  <si>
    <t>W_last</t>
  </si>
  <si>
    <t>New JDE</t>
  </si>
  <si>
    <t>base JDE + correction 1 + correction 2 + W</t>
  </si>
  <si>
    <t>JDE 1st</t>
  </si>
  <si>
    <t>JDE Full</t>
  </si>
  <si>
    <t>JDE Last</t>
  </si>
  <si>
    <t>Z_new</t>
  </si>
  <si>
    <t>Z_1st</t>
  </si>
  <si>
    <t>Z_full</t>
  </si>
  <si>
    <t>Z_last</t>
  </si>
  <si>
    <t>Fr_new</t>
  </si>
  <si>
    <t>Fr_1st</t>
  </si>
  <si>
    <t>Fr_full</t>
  </si>
  <si>
    <t>Fr_last</t>
  </si>
  <si>
    <t>if Z &lt; 2299161, A = Z</t>
  </si>
  <si>
    <t xml:space="preserve">    else, α = int((Z - 1867216.25) / 36524.25)</t>
  </si>
  <si>
    <t xml:space="preserve">        A = Z + 1 + α - Int(α/4)</t>
  </si>
  <si>
    <t>α_new</t>
  </si>
  <si>
    <t>α_1st</t>
  </si>
  <si>
    <t>α_full</t>
  </si>
  <si>
    <t>α_last</t>
  </si>
  <si>
    <t>A_new</t>
  </si>
  <si>
    <t>A_1st</t>
  </si>
  <si>
    <t>A_full</t>
  </si>
  <si>
    <t>A_last</t>
  </si>
  <si>
    <t>B_new</t>
  </si>
  <si>
    <t>B_1st</t>
  </si>
  <si>
    <t>B_full</t>
  </si>
  <si>
    <t>B_last</t>
  </si>
  <si>
    <t>C = int((B - 122.1) / 365.25)</t>
  </si>
  <si>
    <t>C_new</t>
  </si>
  <si>
    <t>C_1st</t>
  </si>
  <si>
    <t>C_full</t>
  </si>
  <si>
    <t>C_last</t>
  </si>
  <si>
    <t>D_new</t>
  </si>
  <si>
    <t>D_1st</t>
  </si>
  <si>
    <t>D_full</t>
  </si>
  <si>
    <t>D_last</t>
  </si>
  <si>
    <t>day of month</t>
  </si>
  <si>
    <t>Dy_new</t>
  </si>
  <si>
    <t>Dy = B - D - int(30.6001 E) + Fr</t>
  </si>
  <si>
    <t>Dy_1st</t>
  </si>
  <si>
    <t>Dy_full</t>
  </si>
  <si>
    <t>Dy_last</t>
  </si>
  <si>
    <t>if E &lt; 14, m = E - 1</t>
  </si>
  <si>
    <t xml:space="preserve">    else m = E - 13</t>
  </si>
  <si>
    <t>m</t>
  </si>
  <si>
    <t>m_new</t>
  </si>
  <si>
    <t>m_1st</t>
  </si>
  <si>
    <t>m_full</t>
  </si>
  <si>
    <t>m_last</t>
  </si>
  <si>
    <t>year</t>
  </si>
  <si>
    <t>if m&gt;2, Y = C - 4716</t>
  </si>
  <si>
    <t xml:space="preserve">    else, Y = C - 4715</t>
  </si>
  <si>
    <t>Y_new</t>
  </si>
  <si>
    <t>Y_1st</t>
  </si>
  <si>
    <t>Y_full</t>
  </si>
  <si>
    <t>Y_last</t>
  </si>
  <si>
    <t>Hr = int(Fr*24)</t>
  </si>
  <si>
    <t>Hr_new</t>
  </si>
  <si>
    <t>Hr_1st</t>
  </si>
  <si>
    <t>Hr_full</t>
  </si>
  <si>
    <t>Hr_last</t>
  </si>
  <si>
    <t>Minute = int(((Fr*24)-Hr)*60)</t>
  </si>
  <si>
    <t>Mi_new</t>
  </si>
  <si>
    <t>Mi_1st</t>
  </si>
  <si>
    <t>Mi_full</t>
  </si>
  <si>
    <t>Mi_last</t>
  </si>
  <si>
    <t>Second = int(((((Fr*24)-Hr)*60) - Mi)*60)</t>
  </si>
  <si>
    <t>Sec_new</t>
  </si>
  <si>
    <t>Sec_1st</t>
  </si>
  <si>
    <t>Sec_full</t>
  </si>
  <si>
    <t>Sec_last</t>
  </si>
  <si>
    <t>Miilseconds = ( (((((Fr*24)-Hr)*60) - Mi)*60) - sec) * 1000</t>
  </si>
  <si>
    <t>ms_new</t>
  </si>
  <si>
    <t>ms_1st</t>
  </si>
  <si>
    <t>ms_full</t>
  </si>
  <si>
    <t>ms_last</t>
  </si>
  <si>
    <t>date_new</t>
  </si>
  <si>
    <t>date_1st</t>
  </si>
  <si>
    <t>date_full</t>
  </si>
  <si>
    <t>date_last</t>
  </si>
  <si>
    <t>NEW MOON</t>
  </si>
  <si>
    <t>K_new</t>
  </si>
  <si>
    <t>mod 360:</t>
  </si>
  <si>
    <t>base JD + correction 1 + correction 2 + W</t>
  </si>
  <si>
    <t>A1-14_new</t>
  </si>
  <si>
    <t>DATE OF NEW MOON</t>
  </si>
  <si>
    <t>FIRST QUARTER MOON</t>
  </si>
  <si>
    <t>1ST QTR</t>
  </si>
  <si>
    <t>1ST QTR MOON</t>
  </si>
  <si>
    <t>DATE OF FULL MOON</t>
  </si>
  <si>
    <t>DATE OF LAST QUARTER MOON</t>
  </si>
  <si>
    <t>DATE OF FIRST QUARTER MOON</t>
  </si>
  <si>
    <t>FULL MOON</t>
  </si>
  <si>
    <t>LAST QUARTER MOON</t>
  </si>
  <si>
    <t xml:space="preserve">    year should be with decimals </t>
  </si>
  <si>
    <t>Let Z = integer(JDE+0.5)</t>
  </si>
  <si>
    <t>Let Fr = fraction of( JDE+0.5)</t>
  </si>
  <si>
    <t>Let Z = integer(JDE+.5)</t>
  </si>
  <si>
    <t>Let Fr = fraction of JDE+.5</t>
  </si>
  <si>
    <t>0333-01-27 12:00:00</t>
  </si>
  <si>
    <t>Yr+frac</t>
  </si>
  <si>
    <t>m-days</t>
  </si>
  <si>
    <t>Fix for dates before Excel min date</t>
  </si>
  <si>
    <t>LAST QUARTER</t>
  </si>
  <si>
    <t>LAST QTR</t>
  </si>
  <si>
    <t>ap λ</t>
  </si>
  <si>
    <t>sin δ = sin β cos ε + cos β sin ε sin λ</t>
  </si>
  <si>
    <t>Dates match https://www.timeanddate.com/moon/phases/</t>
  </si>
  <si>
    <t>but not times</t>
  </si>
  <si>
    <t>https://minkukel.com/en/various/calculating-moon-phase/</t>
  </si>
  <si>
    <t>LunarDays</t>
  </si>
  <si>
    <t>LunarSecs</t>
  </si>
  <si>
    <t xml:space="preserve">Lunar cycle length = </t>
  </si>
  <si>
    <t xml:space="preserve">LunarDays *24*60*60 = </t>
  </si>
  <si>
    <t>1st new moon in 2000</t>
  </si>
  <si>
    <t>totalSecs</t>
  </si>
  <si>
    <t>TotalDays *24*60*60</t>
  </si>
  <si>
    <t>currSecs</t>
  </si>
  <si>
    <t>phase</t>
  </si>
  <si>
    <t>From day</t>
  </si>
  <si>
    <t>to Day</t>
  </si>
  <si>
    <t>First Quarter</t>
  </si>
  <si>
    <t>Last Quarter</t>
  </si>
  <si>
    <t>Waning Crescent</t>
  </si>
  <si>
    <t>from %</t>
  </si>
  <si>
    <t>to %</t>
  </si>
  <si>
    <t>baseJDE</t>
  </si>
  <si>
    <t>BaseDate</t>
  </si>
  <si>
    <t>JDE - BaseJDE</t>
  </si>
  <si>
    <t>totalDays</t>
  </si>
  <si>
    <t>totalSecs % LunarSecs</t>
  </si>
  <si>
    <t>Get JDE of baseDate</t>
  </si>
  <si>
    <t>currFrac</t>
  </si>
  <si>
    <t>currSecs / lunarSecs</t>
  </si>
  <si>
    <t>to Eastern Time</t>
  </si>
  <si>
    <t>currFrac * lunarDays</t>
  </si>
  <si>
    <t>currDays</t>
  </si>
  <si>
    <t>Phase</t>
  </si>
  <si>
    <t>% of lunation</t>
  </si>
  <si>
    <t>Moon Age</t>
  </si>
  <si>
    <t>cos ψ = sin δ0 sin δ</t>
  </si>
  <si>
    <t xml:space="preserve">    + cos δ0 cos δ cos(α0 - α)</t>
  </si>
  <si>
    <t>Table 10.A, ΔT for given years</t>
  </si>
  <si>
    <t>ΔT</t>
  </si>
  <si>
    <t>ΔT = TD - UT in seconds</t>
  </si>
  <si>
    <t>p. 79</t>
  </si>
  <si>
    <t>JD + 1.5</t>
  </si>
  <si>
    <t>JD15</t>
  </si>
  <si>
    <t>JD15 % 7</t>
  </si>
  <si>
    <t>WD</t>
  </si>
  <si>
    <t>WD#</t>
  </si>
  <si>
    <t>Day of Year</t>
  </si>
  <si>
    <t>N = int((275 M) / 9) - K * int((M+9) / 12) + D - 30</t>
  </si>
  <si>
    <t>M = month #</t>
  </si>
  <si>
    <t>D = day of month</t>
  </si>
  <si>
    <t>K = 1 for leap, 2 for common year</t>
  </si>
  <si>
    <t>Leap Year?</t>
  </si>
  <si>
    <t>Julian:</t>
  </si>
  <si>
    <t>Gregorian:</t>
  </si>
  <si>
    <t xml:space="preserve">    else leap</t>
  </si>
  <si>
    <t>if year % 4 = 0, is Leap.</t>
  </si>
  <si>
    <t>Day of Week</t>
  </si>
  <si>
    <t>Is a leap year?</t>
  </si>
  <si>
    <t>If year % 4 = 0</t>
  </si>
  <si>
    <t xml:space="preserve">    if year %100 = 0</t>
  </si>
  <si>
    <t xml:space="preserve">        if year % 400 = 0, then Leap</t>
  </si>
  <si>
    <t xml:space="preserve">        else no leap</t>
  </si>
  <si>
    <t>K</t>
  </si>
  <si>
    <t>N</t>
  </si>
  <si>
    <t>Is leap?</t>
  </si>
  <si>
    <t>LY?</t>
  </si>
  <si>
    <t>7.f</t>
  </si>
  <si>
    <t>7.g</t>
  </si>
  <si>
    <t>10.a</t>
  </si>
  <si>
    <t>x</t>
  </si>
  <si>
    <t>min</t>
  </si>
  <si>
    <t>hr</t>
  </si>
  <si>
    <t>Mean elongation of the Moon from Sun</t>
  </si>
  <si>
    <t>--need 9+ decimals</t>
  </si>
  <si>
    <t xml:space="preserve"> Δψ </t>
  </si>
  <si>
    <t>Ch 22 Nutation (Table 22.a, p 145-146</t>
  </si>
  <si>
    <t>Inputs:</t>
  </si>
  <si>
    <t>Table:</t>
  </si>
  <si>
    <t>To "</t>
  </si>
  <si>
    <t>Approximation</t>
  </si>
  <si>
    <t>Distance Earth-Moon</t>
  </si>
  <si>
    <t>M depends on eccentricity of the Earth around Sun, which is decreasing over time, so E must be used.</t>
  </si>
  <si>
    <t>L' is due to flattening of the earth</t>
  </si>
  <si>
    <t>22a</t>
  </si>
  <si>
    <t xml:space="preserve"> ε0</t>
  </si>
  <si>
    <t>mean obliquity of the ecliptic</t>
  </si>
  <si>
    <t xml:space="preserve"> ε0 = 23°26'21.448" - 4680.93" U - 1.55 U^2</t>
  </si>
  <si>
    <t>time in 10,000 Julian yrs from J2000.0.</t>
  </si>
  <si>
    <t>U = T/100</t>
  </si>
  <si>
    <t>U</t>
  </si>
  <si>
    <t xml:space="preserve">    + 1999.25 U^3 - 51.38 U^4</t>
  </si>
  <si>
    <t xml:space="preserve">    - 249.67 U^5 - 39.05 U^6</t>
  </si>
  <si>
    <t xml:space="preserve">    + 7.12 U^7 + 27.87 U^8</t>
  </si>
  <si>
    <t xml:space="preserve">    + 5.79 U^9 + 2.45 U^10</t>
  </si>
  <si>
    <t>d°</t>
  </si>
  <si>
    <t>m'</t>
  </si>
  <si>
    <t>s"</t>
  </si>
  <si>
    <t>dd</t>
  </si>
  <si>
    <t>dd = d + m/60 + s/3600</t>
  </si>
  <si>
    <t>int(dd)</t>
  </si>
  <si>
    <t>(dd - d - m/60) * 3600</t>
  </si>
  <si>
    <t>int((dd - d) *60)</t>
  </si>
  <si>
    <t xml:space="preserve"> ε0 = 23°26'21.448" - 46.815" T - 0.00059" T^2 + 0.001813" T^3</t>
  </si>
  <si>
    <t>error reaches 1" over 2000 yrs, but 10" over 4000 yrs</t>
  </si>
  <si>
    <t>accurate to 0.01" between AD 1000 - 3000. few seconds after 10,000.</t>
  </si>
  <si>
    <t>Only valid for -U between -1 and 1; 10,000 yrs either side of J2000.0.</t>
  </si>
  <si>
    <t xml:space="preserve"> ε0°</t>
  </si>
  <si>
    <t>22.2/22.3</t>
  </si>
  <si>
    <t xml:space="preserve">See table 22a. unit is 0.0001" </t>
  </si>
  <si>
    <t xml:space="preserve">True obcliquity of ecliptic </t>
  </si>
  <si>
    <t xml:space="preserve"> ε</t>
  </si>
  <si>
    <t>0.004610</t>
  </si>
  <si>
    <t>Line</t>
  </si>
  <si>
    <t>Moon's declination</t>
  </si>
  <si>
    <t>New Moon input:</t>
  </si>
  <si>
    <t>1st QTR MOON</t>
  </si>
  <si>
    <t>Qtr Moon Input</t>
  </si>
  <si>
    <t>Full Moon Input</t>
  </si>
  <si>
    <t>LAST QTR MOON</t>
  </si>
  <si>
    <t>Last Qtr Input</t>
  </si>
  <si>
    <t>Ch 13: Transformation of Coordinates</t>
  </si>
  <si>
    <t>λ</t>
  </si>
  <si>
    <t>ecliptical or celestial longitude, measured from vernal equinox along ecliptic</t>
  </si>
  <si>
    <t>tan λ = (sin α cos ε + tan δ sin ε) / cos α</t>
  </si>
  <si>
    <t>Equatorial into ecliptical coordinates:</t>
  </si>
  <si>
    <t>geocentric right ascension</t>
  </si>
  <si>
    <t>declinations, positive if north of celestial equator, negative for south</t>
  </si>
  <si>
    <t>α1950</t>
  </si>
  <si>
    <t>δ1950</t>
  </si>
  <si>
    <t>right ascension referred to standard equinox of B1950.0</t>
  </si>
  <si>
    <t>declination referred to standard equinox of B1950.0</t>
  </si>
  <si>
    <t>α2000</t>
  </si>
  <si>
    <t>δ2000</t>
  </si>
  <si>
    <t>declination referred to standard equinox of J2000.0</t>
  </si>
  <si>
    <t>right ascension referred to standard equinox of J2000.0</t>
  </si>
  <si>
    <t>lambda</t>
  </si>
  <si>
    <t>beta</t>
  </si>
  <si>
    <t>β</t>
  </si>
  <si>
    <t>ecliptical or celestial latitude, positive if north of the ecliptic</t>
  </si>
  <si>
    <t>galactic longitude</t>
  </si>
  <si>
    <t>l</t>
  </si>
  <si>
    <t>b</t>
  </si>
  <si>
    <t>galactic latitude</t>
  </si>
  <si>
    <t>H</t>
  </si>
  <si>
    <t>h</t>
  </si>
  <si>
    <t>altitude, positive above horizon, negative below</t>
  </si>
  <si>
    <t>azimuth, measured westward from the South. (navigators/meteorologists disagree)</t>
  </si>
  <si>
    <t>obliquity of the ecliptic. angle between ecliptic and celestial equator.</t>
  </si>
  <si>
    <t>Epsilon</t>
  </si>
  <si>
    <t>ε + Δε</t>
  </si>
  <si>
    <t>true obliquity adds in nutation. See Ch 22.</t>
  </si>
  <si>
    <t>Phi</t>
  </si>
  <si>
    <t>φ</t>
  </si>
  <si>
    <t>observer's latitude, positive in northern hemisphere</t>
  </si>
  <si>
    <t>local hour angle, measured westwards from the South</t>
  </si>
  <si>
    <t xml:space="preserve">if φ is local sideral time, </t>
  </si>
  <si>
    <t xml:space="preserve">φ0 is sideral time at Greenwich, </t>
  </si>
  <si>
    <t xml:space="preserve">L is observer's longitude (positve=West) </t>
  </si>
  <si>
    <t>then local hour angle is</t>
  </si>
  <si>
    <t>H = φ - α</t>
  </si>
  <si>
    <t>H = φ0 - L -α</t>
  </si>
  <si>
    <t>sin β = sin δ cos ε - cos δ sin ε sin α</t>
  </si>
  <si>
    <t>Transformation from excliptical to equatorial</t>
  </si>
  <si>
    <t>Calculation of local horizontal coordinates</t>
  </si>
  <si>
    <t>tan A = sin H / (cos H sin φ - tan δ cos φ)</t>
  </si>
  <si>
    <t>sin h = sin φ sin δ + cos φ cos δ cos H</t>
  </si>
  <si>
    <t>add 180° to A to reckon azimuth from N instead of S</t>
  </si>
  <si>
    <t>Transform horizontal into equatorial coordinates</t>
  </si>
  <si>
    <t>tan H = sin A / (cos A sin φ + tan h cos φ)</t>
  </si>
  <si>
    <t>sin δ = sin φ sin h - cos φ cos h cos A</t>
  </si>
  <si>
    <t>galactic north pole coordinates:</t>
  </si>
  <si>
    <t>α1950°</t>
  </si>
  <si>
    <t>δ1950°</t>
  </si>
  <si>
    <t>l = 303° -x</t>
  </si>
  <si>
    <t>sin b = sin δ sin 27.4° + cos δ cos 27.4° cos(192.25° -α )</t>
  </si>
  <si>
    <t>tan x = sin(192.25° - α) / (cos(192.25° - α) sin 27.4° - tan δ cos 27.4°)</t>
  </si>
  <si>
    <t>tan y = sin(l - 123°) / (cos(l - 123°) sin 27.4° - tan b cos 27.4°)</t>
  </si>
  <si>
    <t>α = y + 12.25°</t>
  </si>
  <si>
    <t>sin  = sin b sin 27.4°</t>
  </si>
  <si>
    <t>longitude</t>
  </si>
  <si>
    <t>apparent longitude</t>
  </si>
  <si>
    <t>latitude</t>
  </si>
  <si>
    <t>true obliquity</t>
  </si>
  <si>
    <t>13.768368°</t>
  </si>
  <si>
    <t>134.688470°</t>
  </si>
  <si>
    <t>Hrs</t>
  </si>
  <si>
    <t>int(dd/15)</t>
  </si>
  <si>
    <t>Mins</t>
  </si>
  <si>
    <t>Secs</t>
  </si>
  <si>
    <t>int(((dd/15) - hr) * 60)</t>
  </si>
  <si>
    <t>(((dd/15) - hr) * 60) - Min</t>
  </si>
  <si>
    <t>Convert Degress to  d, m s</t>
  </si>
  <si>
    <t>Convert Degrees to hr:mi:se.zzz</t>
  </si>
  <si>
    <t>Ch25: Solar Coordinates</t>
  </si>
  <si>
    <t>Radius vector R</t>
  </si>
  <si>
    <t>time in Julian millennia</t>
  </si>
  <si>
    <t>Appendix III, Latitude (L0)</t>
  </si>
  <si>
    <t>L = ecliptical Longitude, B =Latitude, R for Radius (dist. To sun)</t>
  </si>
  <si>
    <t>τ</t>
  </si>
  <si>
    <t>τ = (JDE - 2451545.0) / 365250</t>
  </si>
  <si>
    <t>A cos (B + Cτ)</t>
  </si>
  <si>
    <t>B in radians</t>
  </si>
  <si>
    <t>C in radians</t>
  </si>
  <si>
    <t>A 10^-8 radians</t>
  </si>
  <si>
    <t>L1</t>
  </si>
  <si>
    <t>L0</t>
  </si>
  <si>
    <t>Σ [ A cos (B + Cτ) ]</t>
  </si>
  <si>
    <t>Appendix III, Latitude (L1)</t>
  </si>
  <si>
    <t>L2</t>
  </si>
  <si>
    <t>L3</t>
  </si>
  <si>
    <t>L4</t>
  </si>
  <si>
    <t>L5</t>
  </si>
  <si>
    <t>L = (L0 + L1 τ + L2 τ^2 + L3 τ^3 + L4 τ^4 + L5 τ^5) / 10^8</t>
  </si>
  <si>
    <t>B0</t>
  </si>
  <si>
    <t>R0</t>
  </si>
  <si>
    <t>R1</t>
  </si>
  <si>
    <t>R2</t>
  </si>
  <si>
    <t>R3</t>
  </si>
  <si>
    <t>R4</t>
  </si>
  <si>
    <t>T = 10τ</t>
  </si>
  <si>
    <t>L' = L - 1.397° T - 0.00031° T^2</t>
  </si>
  <si>
    <t>Convert dynamical to FK5 system</t>
  </si>
  <si>
    <t>Appendix III, Latitude (L2)</t>
  </si>
  <si>
    <t>Appendix III, Latitude (L3)</t>
  </si>
  <si>
    <t>Appendix III, Latitude (L4)</t>
  </si>
  <si>
    <t>Appendix III, Latitude (L5)</t>
  </si>
  <si>
    <t>Appendix III, Longitude (B0)</t>
  </si>
  <si>
    <t>Appendix III, Longitude (B1)</t>
  </si>
  <si>
    <t>Appendix III, Vector (R0)</t>
  </si>
  <si>
    <t>Appendix III, Vector (R1)</t>
  </si>
  <si>
    <t>Appendix III, Vector (R2)</t>
  </si>
  <si>
    <t>Appendix III, Vector (R3)</t>
  </si>
  <si>
    <t>Appendix III, Vector (R4)</t>
  </si>
  <si>
    <t>B = (B0 +BL1 τ) / 10^8</t>
  </si>
  <si>
    <t>R = (R0 + R1 τ + R2 τ^2 + R3 τ^3 + R4 τ^4) / 10^8</t>
  </si>
  <si>
    <t>32.a</t>
  </si>
  <si>
    <t>y</t>
  </si>
  <si>
    <t>z</t>
  </si>
  <si>
    <t>-0.007032169747</t>
  </si>
  <si>
    <t>α0</t>
  </si>
  <si>
    <t>25.a</t>
  </si>
  <si>
    <t>α = ATAN2(  cos λ ,  (sin λ cos ε - tan β sin ε) ) * rad2Deg</t>
  </si>
  <si>
    <t>δ = ASIN( sin β cos ε + cos β sin ε sin λ ) * rad2deg</t>
  </si>
  <si>
    <t>Distance Earth-Sun (AU)</t>
  </si>
  <si>
    <t xml:space="preserve">1 AU = </t>
  </si>
  <si>
    <t>Km</t>
  </si>
  <si>
    <t xml:space="preserve">1 KM = </t>
  </si>
  <si>
    <t>AU</t>
  </si>
  <si>
    <t>R (km)</t>
  </si>
  <si>
    <t>R (km) = AU * 149597870.691</t>
  </si>
  <si>
    <t>Equatorial horizontal parallax</t>
  </si>
  <si>
    <t>phase angle, selenocentric elongation of Earth from Sun</t>
  </si>
  <si>
    <t>geocentric elongation of the moon from sun</t>
  </si>
  <si>
    <t>or</t>
  </si>
  <si>
    <t>cos ψ = cos β cos(λ - λ0)</t>
  </si>
  <si>
    <t>geocentric right ascension Sun</t>
  </si>
  <si>
    <t>declination sun</t>
  </si>
  <si>
    <t>declination moon</t>
  </si>
  <si>
    <t>geocentric right ascension Moon</t>
  </si>
  <si>
    <t>β = geocentric latitude of moon</t>
  </si>
  <si>
    <t>λ0 = longitude of sun</t>
  </si>
  <si>
    <t>λ = longitude of moon</t>
  </si>
  <si>
    <t>tan i = (R sin ψ) / (Δ - R cos ψ)</t>
  </si>
  <si>
    <t>Distance Earth-moon (Km)</t>
  </si>
  <si>
    <t>geometric mean longitude of the Sun</t>
  </si>
  <si>
    <t>L0 = 280.46646° + 36000.76983° T + 0.0003032° * T^2</t>
  </si>
  <si>
    <t>mean anomaly of the Sun</t>
  </si>
  <si>
    <t>M = 357.52911° + 35999.05029° * T - 0.0001537° * T^3</t>
  </si>
  <si>
    <t>Eccentricity of Earth's orbit</t>
  </si>
  <si>
    <t>e = 0.016708634 - 0.000042037 T - 0.0000001267*T^2</t>
  </si>
  <si>
    <t>e</t>
  </si>
  <si>
    <t>Sun's equation of the center C</t>
  </si>
  <si>
    <t>C = (1.914602° - 0.004817° T - 0.000014° * T^2) sin M</t>
  </si>
  <si>
    <t xml:space="preserve">    + (0.019993° - 0.000101° *T) sin 2M</t>
  </si>
  <si>
    <t xml:space="preserve">    + 0.000289° sin 3M</t>
  </si>
  <si>
    <t>Θ = L0 + C</t>
  </si>
  <si>
    <t>Θ</t>
  </si>
  <si>
    <t xml:space="preserve">Sun's true anomaly </t>
  </si>
  <si>
    <t>v = M + C</t>
  </si>
  <si>
    <t>v</t>
  </si>
  <si>
    <t>Sun's radius vector</t>
  </si>
  <si>
    <t>R = (1.000001018 (1-e^2) ) / (1 + e cos v)</t>
  </si>
  <si>
    <t>Sun's true geometric mean longitude</t>
  </si>
  <si>
    <t>Ω = 125.04° - 1934.136° * T</t>
  </si>
  <si>
    <t>apparent longitude of the sun</t>
  </si>
  <si>
    <t>λ = Θ - 0.00569° - 0.00478° sin Ω</t>
  </si>
  <si>
    <t>Sun's right ascension</t>
  </si>
  <si>
    <t>tan α = (cos ε sin Θ) / cos Θ</t>
  </si>
  <si>
    <t>α = atan2 (cos Θ , (cos ε sin Θ) )</t>
  </si>
  <si>
    <t>Sun's declination</t>
  </si>
  <si>
    <t>Apparent ascension of Sun</t>
  </si>
  <si>
    <t>αa</t>
  </si>
  <si>
    <t>Apparent declination of sun</t>
  </si>
  <si>
    <t>δa</t>
  </si>
  <si>
    <t>(from 22.2)</t>
  </si>
  <si>
    <t>-7.78507 = 7d47'06"</t>
  </si>
  <si>
    <t>sin δ = sin ε0 sin Θ</t>
  </si>
  <si>
    <t>δ = asin( sin ε0 sin Θ )</t>
  </si>
  <si>
    <t>ε = ε0 + 0.00256° cos Ω)</t>
  </si>
  <si>
    <t>α = atan2 (cos λ , (cos ε sin λ) )</t>
  </si>
  <si>
    <t>δa = asin( sin ε sin λ )</t>
  </si>
  <si>
    <t>sec</t>
  </si>
  <si>
    <t>ψ = acos(  sin δ0 sin δ</t>
  </si>
  <si>
    <t xml:space="preserve">    + cos δ0 cos δ cos(α0 - α)  ) *rad2deg</t>
  </si>
  <si>
    <t>ψ</t>
  </si>
  <si>
    <t>i = atan2( (Δ - R cos ψ),  (R sin ψ) )</t>
  </si>
  <si>
    <t>69.0756°</t>
  </si>
  <si>
    <t xml:space="preserve">χ =atan2 (  (sin δ0 cos δ - cos δ0 sin δ cos (α0 - α) ), </t>
  </si>
  <si>
    <t xml:space="preserve">      (cos δ0 sin(α0 - α) )   * rad2deg</t>
  </si>
  <si>
    <t>χ ~ 90° = after Full</t>
  </si>
  <si>
    <t>χ ~ 270 = near 1st Qtr</t>
  </si>
  <si>
    <t>% moon illuminated</t>
  </si>
  <si>
    <t>Crescent</t>
  </si>
  <si>
    <t>Quarter</t>
  </si>
  <si>
    <t>Gibbous</t>
  </si>
  <si>
    <t>from line 27</t>
  </si>
  <si>
    <t>Percentage of illuminated surface</t>
  </si>
  <si>
    <t>position angle of the midpoint of illuminated limb</t>
  </si>
  <si>
    <t>North and south tips would be X+-90 degrees</t>
  </si>
  <si>
    <t>https://www.timeanddate.com/moon/phases/?year=2022</t>
  </si>
  <si>
    <t>waning gibbous</t>
  </si>
  <si>
    <t>new</t>
  </si>
  <si>
    <t>dark</t>
  </si>
  <si>
    <t>waxing crescent</t>
  </si>
  <si>
    <t>waxing gibbous</t>
  </si>
  <si>
    <t>3/4 of right</t>
  </si>
  <si>
    <t>all lit</t>
  </si>
  <si>
    <t>3/4 of left</t>
  </si>
  <si>
    <t>last qtr</t>
  </si>
  <si>
    <t>1/2 on left</t>
  </si>
  <si>
    <t>waning crescent</t>
  </si>
  <si>
    <t>1/4 on left</t>
  </si>
  <si>
    <t>1/2 on right</t>
  </si>
  <si>
    <t>1/4 on right</t>
  </si>
  <si>
    <t>1st q</t>
  </si>
  <si>
    <t>3 q</t>
  </si>
  <si>
    <t>new+16</t>
  </si>
  <si>
    <t>new+17</t>
  </si>
  <si>
    <t>new+18</t>
  </si>
  <si>
    <t>new+19</t>
  </si>
  <si>
    <t>new+20</t>
  </si>
  <si>
    <t>new+21</t>
  </si>
  <si>
    <t>new+23</t>
  </si>
  <si>
    <t>new+22 3rd</t>
  </si>
  <si>
    <t>I'm not sure these ratio break-points are correct?</t>
  </si>
  <si>
    <t>day</t>
  </si>
  <si>
    <t>7.e/8</t>
  </si>
  <si>
    <t>1/1/2000/8</t>
  </si>
  <si>
    <t>7.c.1/8</t>
  </si>
  <si>
    <t>8.a</t>
  </si>
  <si>
    <t>8.b</t>
  </si>
  <si>
    <t>8.c</t>
  </si>
  <si>
    <t>8.d</t>
  </si>
  <si>
    <t>1818-01-01</t>
  </si>
  <si>
    <t>9.a</t>
  </si>
  <si>
    <t>view-source:https://calcuworld.com/calendar-calculators/hebrew-calendar-converter/</t>
  </si>
  <si>
    <t>0622-07-16</t>
  </si>
  <si>
    <t>month</t>
  </si>
  <si>
    <t>date</t>
  </si>
  <si>
    <t>9.b</t>
  </si>
  <si>
    <t>Muslim date 1-1-1</t>
  </si>
  <si>
    <t>Gregorian Epoch</t>
  </si>
  <si>
    <t>0001-01-03</t>
  </si>
  <si>
    <t>Mon</t>
  </si>
  <si>
    <t>yr mod 4</t>
  </si>
  <si>
    <t>yr mod 100</t>
  </si>
  <si>
    <t>yr mod 400</t>
  </si>
  <si>
    <t>y0</t>
  </si>
  <si>
    <t>y1</t>
  </si>
  <si>
    <t>y2</t>
  </si>
  <si>
    <t>Is Leap Year?</t>
  </si>
  <si>
    <t>ly</t>
  </si>
  <si>
    <t>If mon &lt; 3 then 0</t>
  </si>
  <si>
    <t>ly1</t>
  </si>
  <si>
    <t>ly0</t>
  </si>
  <si>
    <t xml:space="preserve">    else if ly0 =1 then -1 else -2</t>
  </si>
  <si>
    <t>JD0</t>
  </si>
  <si>
    <t>Frac</t>
  </si>
  <si>
    <t xml:space="preserve">(JD0 - 1)  +  365 * (Yr -1)  +  int((Yr - 1) / 4)  </t>
  </si>
  <si>
    <t xml:space="preserve">    -  int((Yr - 1) / 100)  +  int((Yr - 1) / 400) </t>
  </si>
  <si>
    <t xml:space="preserve">    + int( ( ( (367 * Mon) - 362) / 12) + ly1) + Day + Frac</t>
  </si>
  <si>
    <t>wjd</t>
  </si>
  <si>
    <t>int(JD - .5) + .5</t>
  </si>
  <si>
    <t>wjd - JD0</t>
  </si>
  <si>
    <t>depoch</t>
  </si>
  <si>
    <t>int(depoch / 146097</t>
  </si>
  <si>
    <t>quadricent</t>
  </si>
  <si>
    <t>depoch mod 146097</t>
  </si>
  <si>
    <t>dqc</t>
  </si>
  <si>
    <t>int(dqc / 36524)</t>
  </si>
  <si>
    <t>cent</t>
  </si>
  <si>
    <t>dqc mod 36524</t>
  </si>
  <si>
    <t>dcent</t>
  </si>
  <si>
    <t>int(dcent/ 1461)</t>
  </si>
  <si>
    <t>quad</t>
  </si>
  <si>
    <t>dcent mod 1461</t>
  </si>
  <si>
    <t>dquad</t>
  </si>
  <si>
    <t>yindex</t>
  </si>
  <si>
    <t>int(dquad/365)</t>
  </si>
  <si>
    <t>quadricent  * 400 + cent * 100 + quad * 4 + yindex</t>
  </si>
  <si>
    <t>yr</t>
  </si>
  <si>
    <t>if cent &lt;&gt; 4 and yindex &lt;&gt; 4, yr++</t>
  </si>
  <si>
    <t>yearday</t>
  </si>
  <si>
    <t>wjd - JD(yr, 1, 1)</t>
  </si>
  <si>
    <t>leapadj</t>
  </si>
  <si>
    <t>if wjd &lt; JD(yr,3,1), then 0</t>
  </si>
  <si>
    <t xml:space="preserve">   else if leap yr then 1 else 2</t>
  </si>
  <si>
    <t>month = int((((yearday + leapadj) * 12) + 373) / 367)</t>
  </si>
  <si>
    <t>wjd - JD(yr, month, 1) + 1</t>
  </si>
  <si>
    <t>JD(Yr, 1, 1)</t>
  </si>
  <si>
    <t>JD(yr, 3, 1)</t>
  </si>
  <si>
    <t>ly?</t>
  </si>
  <si>
    <t>Leap yr? then m-2</t>
  </si>
  <si>
    <t>JDy31</t>
  </si>
  <si>
    <t>JDy11</t>
  </si>
  <si>
    <t>if m&lt;3 then 0, else if ly, then -1 else -2</t>
  </si>
  <si>
    <t>JD(Yr, Mo, 1)</t>
  </si>
  <si>
    <t>JDym1</t>
  </si>
  <si>
    <t>(jd-.5) - int(JD - .5)</t>
  </si>
  <si>
    <t>frac</t>
  </si>
  <si>
    <t>int(JD+.5)</t>
  </si>
  <si>
    <t>Z</t>
  </si>
  <si>
    <t>(JD+.5) - Z</t>
  </si>
  <si>
    <t xml:space="preserve">    int((Z - 1867216.25) / 36524.25)</t>
  </si>
  <si>
    <t xml:space="preserve">    Z + 1 + α - int(α/4)</t>
  </si>
  <si>
    <t>if Z &lt; 2299161, Z else a</t>
  </si>
  <si>
    <t>A+1524</t>
  </si>
  <si>
    <t>int((B - 122.1)/365.25)</t>
  </si>
  <si>
    <t>int(365.25 C)</t>
  </si>
  <si>
    <t>int((B - D) / 30.6001)</t>
  </si>
  <si>
    <t>B - D - int(30.6001 E) + F</t>
  </si>
  <si>
    <t>dm</t>
  </si>
  <si>
    <t>if E&lt;14 then E-1 else E-13</t>
  </si>
  <si>
    <t>mon</t>
  </si>
  <si>
    <t>if mon&gt;2 then C-4716 else C-4715</t>
  </si>
  <si>
    <t>ERROR:</t>
  </si>
  <si>
    <t>Err (ms)</t>
  </si>
  <si>
    <t>Original Date - JD-To-Date, in milliseconds</t>
  </si>
  <si>
    <t>Minkutel</t>
  </si>
  <si>
    <t>% lunation</t>
  </si>
  <si>
    <t>New Moon</t>
  </si>
  <si>
    <t>1st Qtr Moon</t>
  </si>
  <si>
    <t>Full Moon</t>
  </si>
  <si>
    <t>3rd Qtr Moon</t>
  </si>
  <si>
    <t>J2000</t>
  </si>
  <si>
    <t xml:space="preserve">Julian centuries from Epoch </t>
  </si>
  <si>
    <t>T = (JDE - J2000) / 36525</t>
  </si>
  <si>
    <t>Σ [ A cos (B + Cτ) ] -- Appendix III, L0</t>
  </si>
  <si>
    <t>Σ [ A cos (B + Cτ) ] -- Appendix III, L1</t>
  </si>
  <si>
    <t>Σ [ A cos (B + Cτ) ] -- Appendix III, L2</t>
  </si>
  <si>
    <t>Σ [ A cos (B + Cτ) ] -- Appendix III, L3</t>
  </si>
  <si>
    <t>Σ [ A cos (B + Cτ) ] -- Appendix III, L4</t>
  </si>
  <si>
    <t>Σ [ A cos (B + Cτ) ] -- Appendix III, L5</t>
  </si>
  <si>
    <t>Ecliptical Longitude L (in Radians) from Appendix III,  L0 - L5</t>
  </si>
  <si>
    <t>Latitude (in Radians) from App. III, B0-B1</t>
  </si>
  <si>
    <t>Radius Vector (Distance to Sun) in AU from App. III, R0-R4</t>
  </si>
  <si>
    <t>Appendix III, Earth Factors</t>
  </si>
  <si>
    <t>WRONG</t>
  </si>
  <si>
    <t>Known Moons</t>
  </si>
  <si>
    <t>Constants</t>
  </si>
  <si>
    <t>Ch 54: Lunar Eclipses</t>
  </si>
  <si>
    <t>k new</t>
  </si>
  <si>
    <t>New Mn</t>
  </si>
  <si>
    <t>M new</t>
  </si>
  <si>
    <t>M' new</t>
  </si>
  <si>
    <t>F new</t>
  </si>
  <si>
    <t>Full Mn</t>
  </si>
  <si>
    <t>F full</t>
  </si>
  <si>
    <t>M' full</t>
  </si>
  <si>
    <t>M full</t>
  </si>
  <si>
    <t>k full</t>
  </si>
  <si>
    <t>NEW MOONs</t>
  </si>
  <si>
    <t>Eclipse</t>
  </si>
  <si>
    <t>Fd new</t>
  </si>
  <si>
    <t>if Fd &lt; 13.9, eclipse</t>
  </si>
  <si>
    <t>if Fd &gt; 21, no eclipse</t>
  </si>
  <si>
    <t>if Fd 14 - 20.9, maybe</t>
  </si>
  <si>
    <t>| sin F |</t>
  </si>
  <si>
    <t>Fs new</t>
  </si>
  <si>
    <t xml:space="preserve">    if Fs &gt; 0.36, no eclipse</t>
  </si>
  <si>
    <t>If F is near 0 or 360, exclipse occurs near the Moon's ascending node</t>
  </si>
  <si>
    <t>If F is near 180, eclipse is near the descending node</t>
  </si>
  <si>
    <t>Eclipse possible?</t>
  </si>
  <si>
    <t>Fd?</t>
  </si>
  <si>
    <t>Fd or Fs?</t>
  </si>
  <si>
    <t>F - 0.02665 sin Ω</t>
  </si>
  <si>
    <t>F1</t>
  </si>
  <si>
    <t>299.77 + 0.107408 k - 0.009173 T^2</t>
  </si>
  <si>
    <t>T new</t>
  </si>
  <si>
    <t>T full</t>
  </si>
  <si>
    <t>A1</t>
  </si>
  <si>
    <t>Time of maximum eclipse (accurate to 1.1 min)</t>
  </si>
  <si>
    <t>0.1727  E sin M</t>
  </si>
  <si>
    <t>E new</t>
  </si>
  <si>
    <t>E full</t>
  </si>
  <si>
    <t>0.0161 sin 2 M'</t>
  </si>
  <si>
    <t>-0.0097 sin 2 F1</t>
  </si>
  <si>
    <t>0.0073 E sin (M'  - M)</t>
  </si>
  <si>
    <t>-0.0050 E sin (M' + M)</t>
  </si>
  <si>
    <t>-0.0023 sin (M' - 2 F1)</t>
  </si>
  <si>
    <t>0.0021 E sin 2 M</t>
  </si>
  <si>
    <t>0.0012 sin (M' + 2 F1)</t>
  </si>
  <si>
    <t>0.0006 E sin (2 M' + M)</t>
  </si>
  <si>
    <t>-0.0004 sin 3 M'</t>
  </si>
  <si>
    <t>-0.0003 E sin (M + 2 F1)</t>
  </si>
  <si>
    <t>0.0003 sin A1</t>
  </si>
  <si>
    <t>-0.0002 E sin (M - 2 F1)</t>
  </si>
  <si>
    <t>-0.0002 E sin (2 M' - M)</t>
  </si>
  <si>
    <t>-0.0002 sin Ω</t>
  </si>
  <si>
    <t>Sum</t>
  </si>
  <si>
    <t>0.2070 E sin M</t>
  </si>
  <si>
    <t>0.0024 E sin 2 M</t>
  </si>
  <si>
    <t>-0.0392 sin M'</t>
  </si>
  <si>
    <t>0.0116 sin 2 M'</t>
  </si>
  <si>
    <t>-0.0073 E sin(M' + M)</t>
  </si>
  <si>
    <t>0.0067 E sin(M' - M)</t>
  </si>
  <si>
    <t>0.0118 sin 2 F1</t>
  </si>
  <si>
    <t>P</t>
  </si>
  <si>
    <t>-0.0048 E cos M</t>
  </si>
  <si>
    <t>0.0020 E cos 2M</t>
  </si>
  <si>
    <t>-0.3299 cos M'</t>
  </si>
  <si>
    <t>-0.0060 E cos(M' + M)</t>
  </si>
  <si>
    <t>0.0041 E cos(M' - M)</t>
  </si>
  <si>
    <t>Q</t>
  </si>
  <si>
    <t>| cos F1 |</t>
  </si>
  <si>
    <t>W</t>
  </si>
  <si>
    <t>(P cos F1 + Q sin F1) * (1 - 0.0048 W)</t>
  </si>
  <si>
    <t>μ</t>
  </si>
  <si>
    <t>0.0046 E cos M</t>
  </si>
  <si>
    <t>-0.0182 cos M'</t>
  </si>
  <si>
    <t>-0.0005 cos(M + M')</t>
  </si>
  <si>
    <t>least distance from center of moon to axis of Earth's shadow</t>
  </si>
  <si>
    <t>(units are Earth's equatorial radius)</t>
  </si>
  <si>
    <t>+ Moon's center passes north. - passes south.</t>
  </si>
  <si>
    <t>radii at distance of the moon, in equatorial Earth radii are</t>
  </si>
  <si>
    <t>penumbra:</t>
  </si>
  <si>
    <t>for the umbra</t>
  </si>
  <si>
    <t>1.2848 + μ</t>
  </si>
  <si>
    <t>0.7403 - μ</t>
  </si>
  <si>
    <t xml:space="preserve">	ρ</t>
  </si>
  <si>
    <t>magnitude for penumbral eclipses</t>
  </si>
  <si>
    <t>(1.5573 + μ - |τ| ) / 0.5450</t>
  </si>
  <si>
    <t>MagP</t>
  </si>
  <si>
    <t>Magnitude for umbral eclipses</t>
  </si>
  <si>
    <t>(1.0128 - μ - |τ| ) / 0.5450</t>
  </si>
  <si>
    <t>MagU</t>
  </si>
  <si>
    <t>(If magnitude is negative, no eclipse)</t>
  </si>
  <si>
    <t>Semidurations of partial/total phases in the umbra</t>
  </si>
  <si>
    <t>p</t>
  </si>
  <si>
    <t>1.0128 - μ</t>
  </si>
  <si>
    <t>0.4678 - μ</t>
  </si>
  <si>
    <t>t</t>
  </si>
  <si>
    <t>n</t>
  </si>
  <si>
    <t>1.5573 + μ</t>
  </si>
  <si>
    <t>FULL MOONS</t>
  </si>
  <si>
    <t>54.c lunar eclipse</t>
  </si>
  <si>
    <t>54.d lunar eclipse</t>
  </si>
  <si>
    <t>distance from multiple of 180 = min( |180-F|, |360-F| )</t>
  </si>
  <si>
    <t>-0.4065 x sin M'</t>
  </si>
  <si>
    <t>Ascending or Descending node?</t>
  </si>
  <si>
    <t>Ascending, Pen.</t>
  </si>
  <si>
    <t>0.0004 cos 2M'</t>
  </si>
  <si>
    <t>.5458 + 0.0400 cos M'</t>
  </si>
  <si>
    <t>98 min.</t>
  </si>
  <si>
    <t>30 min</t>
  </si>
  <si>
    <t>153 min</t>
  </si>
  <si>
    <t>Penumbral (partial shadow)?</t>
  </si>
  <si>
    <t>Umbral (full shadow)?</t>
  </si>
  <si>
    <t>Full or partial shadow?</t>
  </si>
  <si>
    <t>Ch 10, Dynamical vs Universal Time</t>
  </si>
  <si>
    <t>ΔT = difference between JD and JDE, in seconds</t>
  </si>
  <si>
    <t>This can be approximated via:</t>
  </si>
  <si>
    <t>t = (year - 2000) / 100</t>
  </si>
  <si>
    <t>if year &lt; 948</t>
  </si>
  <si>
    <t xml:space="preserve">    ΔT = 2177 + 497t + 44.1t^2</t>
  </si>
  <si>
    <t xml:space="preserve"> ΔT</t>
  </si>
  <si>
    <t>if year &gt; 947, &lt; 1601 OR year &gt; 2000</t>
  </si>
  <si>
    <t xml:space="preserve">    ΔT = 102 + 102t + 25.3t^2</t>
  </si>
  <si>
    <t>if year between 2000 and 2100</t>
  </si>
  <si>
    <t xml:space="preserve">    ΔT = ΔT + 0.37 * (year - 2100)</t>
  </si>
  <si>
    <t>In table span?</t>
  </si>
  <si>
    <t>if odd, then year before</t>
  </si>
  <si>
    <t>if odd, then year after</t>
  </si>
  <si>
    <t xml:space="preserve"> ΔT1</t>
  </si>
  <si>
    <t xml:space="preserve"> ΔT2</t>
  </si>
  <si>
    <t>Min table value</t>
  </si>
  <si>
    <t>Max table value</t>
  </si>
  <si>
    <t>JD +  ΔT</t>
  </si>
  <si>
    <t>gap in seconds</t>
  </si>
  <si>
    <t>…to days</t>
  </si>
  <si>
    <t>JD New</t>
  </si>
  <si>
    <t>JD full</t>
  </si>
  <si>
    <t>semidurations (in minutes)</t>
  </si>
  <si>
    <t>Total Phase = (60/n)√(t^2 - τ^2)</t>
  </si>
  <si>
    <t>Ttp</t>
  </si>
  <si>
    <t>beginning of total phase =  ΔT - Ttp</t>
  </si>
  <si>
    <t>Partial Phase = (60/n)√(p^2 - τ^2)</t>
  </si>
  <si>
    <t>Tpp</t>
  </si>
  <si>
    <t>1st contact with umbra =  ΔT - Tpp</t>
  </si>
  <si>
    <t>Total Duration = (60/n)√(h^2 - τ^2)</t>
  </si>
  <si>
    <t>Ttd</t>
  </si>
  <si>
    <t>1st contact with penumbra =  ΔT - Ttd</t>
  </si>
  <si>
    <t>end of total phase =  ΔT + Ttp</t>
  </si>
  <si>
    <t>last contact with penumbra =  ΔT + Ttd</t>
  </si>
  <si>
    <t>last contact with umbra =  ΔT + Tpp</t>
  </si>
  <si>
    <t>D1p</t>
  </si>
  <si>
    <t>D1u</t>
  </si>
  <si>
    <t>Dme</t>
  </si>
  <si>
    <t>Dbt</t>
  </si>
  <si>
    <t>Det</t>
  </si>
  <si>
    <t>dlu</t>
  </si>
  <si>
    <t>dlp</t>
  </si>
  <si>
    <t>maximum of eclipse =             ΔT</t>
  </si>
  <si>
    <t>Full Date</t>
  </si>
  <si>
    <t>p 387 eclipse</t>
  </si>
  <si>
    <t>p 387</t>
  </si>
  <si>
    <t>Is there an eclipse?</t>
  </si>
  <si>
    <t>If |360 or 180 - F| &lt; 13.9? 1 = Eclipse, 0 = No, -1 = Maybe</t>
  </si>
  <si>
    <t>if &lt; 0, total. If &gt; .0047, annular. Else see next.</t>
  </si>
  <si>
    <t>ω</t>
  </si>
  <si>
    <t>0.00464 √(1 - τ^2)</t>
  </si>
  <si>
    <t>If μ &lt; ω, annular-total. Else annular</t>
  </si>
  <si>
    <t>if |τ| &lt; .9972, then eclipse.</t>
  </si>
  <si>
    <t>else if |τ| &gt; 1.5433 + μ, no eclipse.</t>
  </si>
  <si>
    <t>else if |τ| &lt; 1.026, polar only.</t>
  </si>
  <si>
    <t>light-seconds</t>
  </si>
  <si>
    <t>light minutes</t>
  </si>
  <si>
    <t>light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</si>
</sst>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(* #,##0.0000_);_(* \(#,##0.0000\);_(* &quot;-&quot;??_);_(@_)"/>
    <numFmt numFmtId="165" formatCode="_(* #,##0.000000_);_(* \(#,##0.000000\);_(* &quot;-&quot;??_);_(@_)"/>
    <numFmt numFmtId="166" formatCode="0.000"/>
    <numFmt numFmtId="167" formatCode="0.0000"/>
    <numFmt numFmtId="168" formatCode="0.000000"/>
    <numFmt numFmtId="169" formatCode="0.0000000"/>
    <numFmt numFmtId="170" formatCode="0.00000000"/>
    <numFmt numFmtId="171" formatCode="0.000000000"/>
    <numFmt numFmtId="172" formatCode="yyyy\-mm\-dd\ hh:mm:ss"/>
    <numFmt numFmtId="173" formatCode="_(* #,##0_);_(* \(#,##0\);_(* &quot;-&quot;??_);_(@_)"/>
    <numFmt numFmtId="174" formatCode="0.00000"/>
    <numFmt numFmtId="175" formatCode="0.0000000000"/>
    <numFmt numFmtId="176" formatCode="0.00000000000"/>
    <numFmt numFmtId="177" formatCode="0.000000000000"/>
    <numFmt numFmtId="178" formatCode="0.0000000000000"/>
    <numFmt numFmtId="179" formatCode="0.0"/>
    <numFmt numFmtId="180" formatCode="0.0000%"/>
    <numFmt numFmtId="181" formatCode="0.0%"/>
    <numFmt numFmtId="182" formatCode="yyyy\-mm\-dd\ hh:mm:ss\,\ ddd"/>
    <numFmt numFmtId="183" formatCode="0.0000000000000000000"/>
    <numFmt numFmtId="184" formatCode="0.0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367">
    <xf numFmtId="0" fontId="0" fillId="0" borderId="0" xfId="0"/>
    <xf numFmtId="43" fontId="0" fillId="0" borderId="0" xfId="0" applyNumberFormat="1"/>
    <xf numFmtId="164" fontId="0" fillId="0" borderId="0" xfId="0" applyNumberFormat="1"/>
    <xf numFmtId="43" fontId="4" fillId="0" borderId="0" xfId="0" applyNumberFormat="1" applyFont="1"/>
    <xf numFmtId="0" fontId="3" fillId="0" borderId="0" xfId="0" applyFont="1"/>
    <xf numFmtId="0" fontId="0" fillId="0" borderId="0" xfId="0" quotePrefix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/>
    <xf numFmtId="2" fontId="0" fillId="0" borderId="0" xfId="0" applyNumberFormat="1"/>
    <xf numFmtId="2" fontId="4" fillId="0" borderId="0" xfId="0" applyNumberFormat="1" applyFont="1"/>
    <xf numFmtId="167" fontId="0" fillId="0" borderId="0" xfId="0" applyNumberFormat="1"/>
    <xf numFmtId="166" fontId="2" fillId="0" borderId="0" xfId="0" applyNumberFormat="1" applyFont="1"/>
    <xf numFmtId="168" fontId="0" fillId="0" borderId="0" xfId="0" applyNumberFormat="1"/>
    <xf numFmtId="168" fontId="2" fillId="0" borderId="0" xfId="0" applyNumberFormat="1" applyFon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69" fontId="4" fillId="0" borderId="0" xfId="0" applyNumberFormat="1" applyFont="1"/>
    <xf numFmtId="0" fontId="2" fillId="0" borderId="0" xfId="0" applyFont="1" applyAlignment="1">
      <alignment horizontal="center"/>
    </xf>
    <xf numFmtId="171" fontId="2" fillId="0" borderId="0" xfId="0" applyNumberFormat="1" applyFont="1"/>
    <xf numFmtId="170" fontId="0" fillId="0" borderId="0" xfId="0" applyNumberFormat="1" applyAlignment="1">
      <alignment horizontal="left"/>
    </xf>
    <xf numFmtId="172" fontId="0" fillId="0" borderId="0" xfId="0" applyNumberFormat="1"/>
    <xf numFmtId="0" fontId="4" fillId="0" borderId="0" xfId="0" applyFont="1"/>
    <xf numFmtId="164" fontId="4" fillId="0" borderId="0" xfId="1" applyNumberFormat="1" applyFont="1" applyAlignment="1">
      <alignment horizontal="right"/>
    </xf>
    <xf numFmtId="165" fontId="4" fillId="0" borderId="0" xfId="0" applyNumberFormat="1" applyFont="1"/>
    <xf numFmtId="0" fontId="6" fillId="0" borderId="0" xfId="0" applyFont="1"/>
    <xf numFmtId="170" fontId="4" fillId="0" borderId="0" xfId="0" applyNumberFormat="1" applyFont="1"/>
    <xf numFmtId="166" fontId="4" fillId="0" borderId="0" xfId="0" applyNumberFormat="1" applyFont="1"/>
    <xf numFmtId="9" fontId="0" fillId="0" borderId="0" xfId="0" applyNumberFormat="1"/>
    <xf numFmtId="22" fontId="0" fillId="0" borderId="0" xfId="0" applyNumberFormat="1"/>
    <xf numFmtId="0" fontId="7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8" fillId="2" borderId="0" xfId="0" applyFont="1" applyFill="1"/>
    <xf numFmtId="0" fontId="0" fillId="0" borderId="2" xfId="0" applyBorder="1"/>
    <xf numFmtId="0" fontId="8" fillId="2" borderId="2" xfId="0" applyFont="1" applyFill="1" applyBorder="1"/>
    <xf numFmtId="0" fontId="11" fillId="0" borderId="0" xfId="0" applyFont="1"/>
    <xf numFmtId="166" fontId="0" fillId="0" borderId="0" xfId="0" applyNumberFormat="1"/>
    <xf numFmtId="174" fontId="0" fillId="0" borderId="0" xfId="0" applyNumberFormat="1"/>
    <xf numFmtId="167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167" fontId="2" fillId="3" borderId="0" xfId="0" applyNumberFormat="1" applyFont="1" applyFill="1" applyAlignment="1">
      <alignment horizontal="right"/>
    </xf>
    <xf numFmtId="167" fontId="2" fillId="3" borderId="0" xfId="1" applyNumberFormat="1" applyFont="1" applyFill="1" applyAlignment="1">
      <alignment horizontal="center"/>
    </xf>
    <xf numFmtId="167" fontId="2" fillId="0" borderId="0" xfId="0" applyNumberFormat="1" applyFont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4" fontId="0" fillId="0" borderId="0" xfId="0" applyNumberFormat="1"/>
    <xf numFmtId="0" fontId="0" fillId="5" borderId="0" xfId="0" applyFill="1"/>
    <xf numFmtId="0" fontId="2" fillId="0" borderId="0" xfId="0" applyFont="1" applyAlignment="1">
      <alignment horizontal="left"/>
    </xf>
    <xf numFmtId="0" fontId="2" fillId="6" borderId="2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center"/>
    </xf>
    <xf numFmtId="172" fontId="0" fillId="5" borderId="0" xfId="0" applyNumberFormat="1" applyFill="1" applyAlignment="1">
      <alignment horizontal="center"/>
    </xf>
    <xf numFmtId="0" fontId="2" fillId="7" borderId="3" xfId="0" applyFont="1" applyFill="1" applyBorder="1" applyAlignment="1">
      <alignment horizontal="center"/>
    </xf>
    <xf numFmtId="16" fontId="0" fillId="0" borderId="0" xfId="0" applyNumberFormat="1"/>
    <xf numFmtId="172" fontId="0" fillId="0" borderId="0" xfId="0" quotePrefix="1" applyNumberFormat="1"/>
    <xf numFmtId="166" fontId="0" fillId="0" borderId="0" xfId="1" applyNumberFormat="1" applyFont="1"/>
    <xf numFmtId="172" fontId="0" fillId="5" borderId="0" xfId="0" quotePrefix="1" applyNumberFormat="1" applyFill="1" applyAlignment="1">
      <alignment horizontal="center"/>
    </xf>
    <xf numFmtId="0" fontId="2" fillId="0" borderId="2" xfId="0" applyFont="1" applyBorder="1" applyAlignment="1">
      <alignment horizontal="center"/>
    </xf>
    <xf numFmtId="172" fontId="0" fillId="6" borderId="2" xfId="0" applyNumberFormat="1" applyFill="1" applyBorder="1" applyAlignment="1">
      <alignment horizontal="center"/>
    </xf>
    <xf numFmtId="175" fontId="0" fillId="7" borderId="3" xfId="0" applyNumberFormat="1" applyFill="1" applyBorder="1"/>
    <xf numFmtId="166" fontId="0" fillId="8" borderId="2" xfId="0" applyNumberFormat="1" applyFill="1" applyBorder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6" borderId="0" xfId="0" applyFont="1" applyFill="1" applyAlignment="1">
      <alignment horizontal="right"/>
    </xf>
    <xf numFmtId="0" fontId="2" fillId="6" borderId="0" xfId="0" applyFont="1" applyFill="1" applyAlignment="1">
      <alignment horizontal="center"/>
    </xf>
    <xf numFmtId="166" fontId="0" fillId="8" borderId="0" xfId="0" applyNumberFormat="1" applyFill="1"/>
    <xf numFmtId="178" fontId="0" fillId="8" borderId="2" xfId="0" applyNumberFormat="1" applyFill="1" applyBorder="1"/>
    <xf numFmtId="0" fontId="0" fillId="0" borderId="0" xfId="0" applyAlignment="1">
      <alignment horizontal="right"/>
    </xf>
    <xf numFmtId="168" fontId="0" fillId="3" borderId="0" xfId="1" applyNumberFormat="1" applyFont="1" applyFill="1"/>
    <xf numFmtId="167" fontId="4" fillId="0" borderId="0" xfId="0" quotePrefix="1" applyNumberFormat="1" applyFont="1"/>
    <xf numFmtId="167" fontId="4" fillId="0" borderId="0" xfId="0" applyNumberFormat="1" applyFont="1"/>
    <xf numFmtId="174" fontId="4" fillId="0" borderId="0" xfId="0" applyNumberFormat="1" applyFont="1"/>
    <xf numFmtId="0" fontId="14" fillId="0" borderId="0" xfId="0" applyFont="1" applyAlignment="1">
      <alignment horizontal="right"/>
    </xf>
    <xf numFmtId="179" fontId="0" fillId="0" borderId="0" xfId="0" applyNumberFormat="1"/>
    <xf numFmtId="1" fontId="0" fillId="0" borderId="0" xfId="0" applyNumberFormat="1"/>
    <xf numFmtId="167" fontId="2" fillId="0" borderId="0" xfId="0" applyNumberFormat="1" applyFont="1"/>
    <xf numFmtId="180" fontId="1" fillId="0" borderId="0" xfId="2" applyNumberFormat="1" applyFont="1"/>
    <xf numFmtId="172" fontId="0" fillId="6" borderId="0" xfId="0" applyNumberFormat="1" applyFill="1" applyAlignment="1">
      <alignment horizontal="center"/>
    </xf>
    <xf numFmtId="0" fontId="0" fillId="8" borderId="0" xfId="0" applyFill="1"/>
    <xf numFmtId="0" fontId="0" fillId="8" borderId="2" xfId="0" applyFill="1" applyBorder="1"/>
    <xf numFmtId="0" fontId="4" fillId="0" borderId="0" xfId="0" applyFont="1" applyAlignment="1">
      <alignment horizontal="center"/>
    </xf>
    <xf numFmtId="169" fontId="2" fillId="0" borderId="0" xfId="0" applyNumberFormat="1" applyFont="1"/>
    <xf numFmtId="0" fontId="0" fillId="0" borderId="2" xfId="0" applyBorder="1" applyAlignment="1">
      <alignment horizontal="center"/>
    </xf>
    <xf numFmtId="169" fontId="4" fillId="0" borderId="2" xfId="0" applyNumberFormat="1" applyFont="1" applyBorder="1"/>
    <xf numFmtId="172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66" fontId="0" fillId="0" borderId="2" xfId="0" applyNumberFormat="1" applyBorder="1"/>
    <xf numFmtId="179" fontId="0" fillId="0" borderId="2" xfId="0" applyNumberFormat="1" applyBorder="1"/>
    <xf numFmtId="170" fontId="0" fillId="0" borderId="2" xfId="0" applyNumberFormat="1" applyBorder="1"/>
    <xf numFmtId="169" fontId="0" fillId="0" borderId="2" xfId="0" applyNumberFormat="1" applyBorder="1"/>
    <xf numFmtId="168" fontId="0" fillId="0" borderId="2" xfId="0" applyNumberFormat="1" applyBorder="1"/>
    <xf numFmtId="0" fontId="0" fillId="0" borderId="2" xfId="0" applyBorder="1" applyAlignment="1">
      <alignment horizontal="left"/>
    </xf>
    <xf numFmtId="0" fontId="0" fillId="0" borderId="0" xfId="0" applyAlignment="1">
      <alignment horizontal="left" indent="1"/>
    </xf>
    <xf numFmtId="0" fontId="0" fillId="0" borderId="2" xfId="0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6" fillId="9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  <xf numFmtId="179" fontId="4" fillId="0" borderId="0" xfId="0" applyNumberFormat="1" applyFont="1"/>
    <xf numFmtId="0" fontId="0" fillId="0" borderId="4" xfId="0" applyBorder="1"/>
    <xf numFmtId="0" fontId="0" fillId="0" borderId="4" xfId="0" applyBorder="1" applyAlignment="1">
      <alignment horizontal="center"/>
    </xf>
    <xf numFmtId="170" fontId="0" fillId="0" borderId="4" xfId="0" applyNumberFormat="1" applyBorder="1"/>
    <xf numFmtId="0" fontId="0" fillId="0" borderId="4" xfId="0" applyBorder="1" applyAlignment="1">
      <alignment horizontal="left"/>
    </xf>
    <xf numFmtId="0" fontId="2" fillId="0" borderId="4" xfId="0" applyFont="1" applyBorder="1" applyAlignment="1">
      <alignment horizontal="center"/>
    </xf>
    <xf numFmtId="1" fontId="0" fillId="0" borderId="2" xfId="0" applyNumberFormat="1" applyBorder="1"/>
    <xf numFmtId="0" fontId="2" fillId="3" borderId="5" xfId="0" applyFont="1" applyFill="1" applyBorder="1"/>
    <xf numFmtId="172" fontId="0" fillId="3" borderId="5" xfId="0" applyNumberFormat="1" applyFill="1" applyBorder="1" applyAlignment="1">
      <alignment horizontal="center"/>
    </xf>
    <xf numFmtId="171" fontId="0" fillId="0" borderId="2" xfId="0" applyNumberFormat="1" applyBorder="1"/>
    <xf numFmtId="175" fontId="0" fillId="0" borderId="0" xfId="0" applyNumberFormat="1"/>
    <xf numFmtId="170" fontId="0" fillId="3" borderId="2" xfId="0" applyNumberFormat="1" applyFill="1" applyBorder="1"/>
    <xf numFmtId="0" fontId="0" fillId="3" borderId="5" xfId="0" applyFill="1" applyBorder="1" applyAlignment="1">
      <alignment horizontal="center"/>
    </xf>
    <xf numFmtId="0" fontId="0" fillId="3" borderId="5" xfId="0" applyFill="1" applyBorder="1"/>
    <xf numFmtId="170" fontId="0" fillId="3" borderId="4" xfId="0" applyNumberFormat="1" applyFill="1" applyBorder="1"/>
    <xf numFmtId="0" fontId="2" fillId="3" borderId="0" xfId="0" applyFont="1" applyFill="1"/>
    <xf numFmtId="0" fontId="2" fillId="3" borderId="2" xfId="0" applyFont="1" applyFill="1" applyBorder="1"/>
    <xf numFmtId="0" fontId="0" fillId="3" borderId="0" xfId="0" applyFill="1" applyAlignment="1">
      <alignment horizontal="center"/>
    </xf>
    <xf numFmtId="172" fontId="0" fillId="3" borderId="0" xfId="0" applyNumberFormat="1" applyFill="1"/>
    <xf numFmtId="0" fontId="0" fillId="3" borderId="2" xfId="0" applyFill="1" applyBorder="1" applyAlignment="1">
      <alignment horizontal="center"/>
    </xf>
    <xf numFmtId="172" fontId="0" fillId="3" borderId="2" xfId="0" applyNumberFormat="1" applyFill="1" applyBorder="1"/>
    <xf numFmtId="170" fontId="2" fillId="0" borderId="2" xfId="0" applyNumberFormat="1" applyFont="1" applyBorder="1"/>
    <xf numFmtId="179" fontId="2" fillId="0" borderId="2" xfId="0" applyNumberFormat="1" applyFont="1" applyBorder="1"/>
    <xf numFmtId="169" fontId="2" fillId="0" borderId="2" xfId="0" applyNumberFormat="1" applyFont="1" applyBorder="1"/>
    <xf numFmtId="168" fontId="2" fillId="0" borderId="2" xfId="0" applyNumberFormat="1" applyFont="1" applyBorder="1"/>
    <xf numFmtId="170" fontId="2" fillId="3" borderId="4" xfId="0" applyNumberFormat="1" applyFont="1" applyFill="1" applyBorder="1"/>
    <xf numFmtId="170" fontId="0" fillId="10" borderId="0" xfId="0" applyNumberFormat="1" applyFill="1"/>
    <xf numFmtId="172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75" fontId="2" fillId="0" borderId="0" xfId="0" applyNumberFormat="1" applyFont="1"/>
    <xf numFmtId="0" fontId="0" fillId="7" borderId="3" xfId="0" applyFill="1" applyBorder="1" applyAlignment="1">
      <alignment horizontal="right" indent="1"/>
    </xf>
    <xf numFmtId="0" fontId="0" fillId="7" borderId="3" xfId="0" applyFill="1" applyBorder="1" applyAlignment="1">
      <alignment horizontal="center"/>
    </xf>
    <xf numFmtId="43" fontId="0" fillId="7" borderId="3" xfId="0" applyNumberFormat="1" applyFill="1" applyBorder="1"/>
    <xf numFmtId="166" fontId="2" fillId="0" borderId="0" xfId="1" applyNumberFormat="1" applyFont="1"/>
    <xf numFmtId="174" fontId="13" fillId="0" borderId="0" xfId="0" applyNumberFormat="1" applyFont="1"/>
    <xf numFmtId="167" fontId="0" fillId="11" borderId="0" xfId="0" applyNumberFormat="1" applyFill="1"/>
    <xf numFmtId="174" fontId="0" fillId="11" borderId="0" xfId="0" applyNumberFormat="1" applyFill="1"/>
    <xf numFmtId="168" fontId="0" fillId="11" borderId="0" xfId="0" applyNumberFormat="1" applyFill="1"/>
    <xf numFmtId="0" fontId="0" fillId="11" borderId="0" xfId="0" applyFill="1"/>
    <xf numFmtId="169" fontId="0" fillId="11" borderId="0" xfId="0" applyNumberFormat="1" applyFill="1"/>
    <xf numFmtId="0" fontId="2" fillId="11" borderId="0" xfId="0" applyFont="1" applyFill="1" applyAlignment="1">
      <alignment horizontal="right"/>
    </xf>
    <xf numFmtId="174" fontId="14" fillId="0" borderId="0" xfId="0" applyNumberFormat="1" applyFont="1"/>
    <xf numFmtId="166" fontId="0" fillId="11" borderId="0" xfId="0" applyNumberFormat="1" applyFill="1"/>
    <xf numFmtId="166" fontId="13" fillId="0" borderId="0" xfId="0" applyNumberFormat="1" applyFont="1"/>
    <xf numFmtId="0" fontId="16" fillId="0" borderId="0" xfId="3"/>
    <xf numFmtId="10" fontId="0" fillId="0" borderId="0" xfId="2" applyNumberFormat="1" applyFont="1"/>
    <xf numFmtId="180" fontId="0" fillId="0" borderId="0" xfId="2" applyNumberFormat="1" applyFont="1"/>
    <xf numFmtId="0" fontId="0" fillId="0" borderId="6" xfId="0" applyBorder="1"/>
    <xf numFmtId="180" fontId="0" fillId="0" borderId="6" xfId="2" applyNumberFormat="1" applyFont="1" applyBorder="1"/>
    <xf numFmtId="166" fontId="0" fillId="6" borderId="2" xfId="1" applyNumberFormat="1" applyFont="1" applyFill="1" applyBorder="1" applyAlignment="1">
      <alignment horizontal="right"/>
    </xf>
    <xf numFmtId="0" fontId="2" fillId="0" borderId="10" xfId="0" applyFont="1" applyBorder="1"/>
    <xf numFmtId="0" fontId="0" fillId="0" borderId="11" xfId="0" applyBorder="1"/>
    <xf numFmtId="0" fontId="0" fillId="0" borderId="10" xfId="0" applyBorder="1"/>
    <xf numFmtId="0" fontId="4" fillId="0" borderId="11" xfId="0" applyFont="1" applyBorder="1"/>
    <xf numFmtId="173" fontId="4" fillId="0" borderId="11" xfId="1" applyNumberFormat="1" applyFont="1" applyBorder="1"/>
    <xf numFmtId="164" fontId="4" fillId="0" borderId="11" xfId="1" applyNumberFormat="1" applyFont="1" applyBorder="1" applyAlignment="1">
      <alignment horizontal="right"/>
    </xf>
    <xf numFmtId="165" fontId="4" fillId="0" borderId="11" xfId="0" applyNumberFormat="1" applyFont="1" applyBorder="1"/>
    <xf numFmtId="43" fontId="4" fillId="0" borderId="11" xfId="0" applyNumberFormat="1" applyFont="1" applyBorder="1"/>
    <xf numFmtId="0" fontId="0" fillId="7" borderId="12" xfId="0" applyFill="1" applyBorder="1" applyAlignment="1">
      <alignment horizontal="right" indent="1"/>
    </xf>
    <xf numFmtId="0" fontId="0" fillId="7" borderId="13" xfId="0" applyFill="1" applyBorder="1" applyAlignment="1">
      <alignment horizontal="center"/>
    </xf>
    <xf numFmtId="43" fontId="2" fillId="7" borderId="14" xfId="0" applyNumberFormat="1" applyFont="1" applyFill="1" applyBorder="1"/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79" fontId="2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2" fillId="6" borderId="2" xfId="0" applyNumberFormat="1" applyFont="1" applyFill="1" applyBorder="1" applyAlignment="1">
      <alignment horizontal="right"/>
    </xf>
    <xf numFmtId="182" fontId="2" fillId="6" borderId="2" xfId="0" applyNumberFormat="1" applyFont="1" applyFill="1" applyBorder="1" applyAlignment="1">
      <alignment horizontal="center"/>
    </xf>
    <xf numFmtId="182" fontId="0" fillId="6" borderId="2" xfId="0" applyNumberFormat="1" applyFill="1" applyBorder="1" applyAlignment="1">
      <alignment horizontal="center"/>
    </xf>
    <xf numFmtId="0" fontId="13" fillId="0" borderId="0" xfId="0" applyFont="1" applyAlignment="1">
      <alignment horizontal="center"/>
    </xf>
    <xf numFmtId="178" fontId="2" fillId="0" borderId="0" xfId="0" applyNumberFormat="1" applyFont="1"/>
    <xf numFmtId="0" fontId="2" fillId="5" borderId="0" xfId="0" applyFont="1" applyFill="1"/>
    <xf numFmtId="2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0" fontId="0" fillId="2" borderId="0" xfId="0" applyFill="1"/>
    <xf numFmtId="0" fontId="15" fillId="0" borderId="0" xfId="0" applyFont="1"/>
    <xf numFmtId="166" fontId="0" fillId="6" borderId="0" xfId="0" applyNumberFormat="1" applyFill="1"/>
    <xf numFmtId="171" fontId="0" fillId="6" borderId="0" xfId="0" applyNumberFormat="1" applyFill="1" applyAlignment="1">
      <alignment horizontal="right"/>
    </xf>
    <xf numFmtId="167" fontId="0" fillId="6" borderId="0" xfId="0" applyNumberFormat="1" applyFill="1" applyAlignment="1">
      <alignment horizontal="right"/>
    </xf>
    <xf numFmtId="167" fontId="0" fillId="6" borderId="0" xfId="0" applyNumberFormat="1" applyFill="1"/>
    <xf numFmtId="167" fontId="0" fillId="6" borderId="2" xfId="0" applyNumberFormat="1" applyFill="1" applyBorder="1"/>
    <xf numFmtId="0" fontId="17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169" fontId="0" fillId="3" borderId="0" xfId="0" applyNumberFormat="1" applyFill="1"/>
    <xf numFmtId="166" fontId="2" fillId="8" borderId="2" xfId="0" applyNumberFormat="1" applyFont="1" applyFill="1" applyBorder="1"/>
    <xf numFmtId="167" fontId="2" fillId="0" borderId="0" xfId="0" applyNumberFormat="1" applyFont="1" applyAlignment="1">
      <alignment horizontal="right"/>
    </xf>
    <xf numFmtId="167" fontId="13" fillId="0" borderId="0" xfId="0" applyNumberFormat="1" applyFont="1"/>
    <xf numFmtId="0" fontId="15" fillId="6" borderId="0" xfId="0" applyFont="1" applyFill="1" applyAlignment="1">
      <alignment horizontal="center"/>
    </xf>
    <xf numFmtId="0" fontId="15" fillId="6" borderId="2" xfId="0" applyFont="1" applyFill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1" xfId="0" applyBorder="1"/>
    <xf numFmtId="0" fontId="2" fillId="0" borderId="17" xfId="0" applyFont="1" applyBorder="1" applyAlignment="1">
      <alignment horizontal="center"/>
    </xf>
    <xf numFmtId="0" fontId="0" fillId="0" borderId="18" xfId="0" applyBorder="1"/>
    <xf numFmtId="0" fontId="0" fillId="0" borderId="1" xfId="0" applyBorder="1" applyAlignment="1">
      <alignment horizontal="center"/>
    </xf>
    <xf numFmtId="167" fontId="9" fillId="0" borderId="0" xfId="0" applyNumberFormat="1" applyFont="1"/>
    <xf numFmtId="171" fontId="0" fillId="8" borderId="0" xfId="0" applyNumberFormat="1" applyFill="1"/>
    <xf numFmtId="167" fontId="0" fillId="8" borderId="0" xfId="0" applyNumberFormat="1" applyFill="1"/>
    <xf numFmtId="0" fontId="0" fillId="6" borderId="0" xfId="0" applyFill="1"/>
    <xf numFmtId="0" fontId="0" fillId="6" borderId="0" xfId="0" applyFill="1" applyAlignment="1">
      <alignment horizontal="center"/>
    </xf>
    <xf numFmtId="167" fontId="0" fillId="12" borderId="0" xfId="0" applyNumberFormat="1" applyFill="1"/>
    <xf numFmtId="167" fontId="0" fillId="12" borderId="0" xfId="0" applyNumberFormat="1" applyFill="1" applyAlignment="1">
      <alignment horizontal="right"/>
    </xf>
    <xf numFmtId="0" fontId="0" fillId="12" borderId="0" xfId="0" applyFill="1" applyAlignment="1">
      <alignment horizontal="right"/>
    </xf>
    <xf numFmtId="0" fontId="2" fillId="0" borderId="0" xfId="0" quotePrefix="1" applyFont="1" applyAlignment="1">
      <alignment horizontal="center"/>
    </xf>
    <xf numFmtId="0" fontId="0" fillId="12" borderId="0" xfId="0" applyFill="1"/>
    <xf numFmtId="170" fontId="0" fillId="12" borderId="0" xfId="0" applyNumberFormat="1" applyFill="1"/>
    <xf numFmtId="178" fontId="0" fillId="6" borderId="0" xfId="0" applyNumberFormat="1" applyFill="1"/>
    <xf numFmtId="0" fontId="0" fillId="11" borderId="0" xfId="0" quotePrefix="1" applyFill="1" applyAlignment="1">
      <alignment horizontal="right"/>
    </xf>
    <xf numFmtId="170" fontId="0" fillId="0" borderId="1" xfId="0" applyNumberFormat="1" applyBorder="1"/>
    <xf numFmtId="0" fontId="0" fillId="0" borderId="19" xfId="0" applyBorder="1"/>
    <xf numFmtId="0" fontId="2" fillId="13" borderId="0" xfId="0" applyFont="1" applyFill="1"/>
    <xf numFmtId="0" fontId="2" fillId="13" borderId="0" xfId="0" applyFont="1" applyFill="1" applyAlignment="1">
      <alignment horizontal="center"/>
    </xf>
    <xf numFmtId="0" fontId="2" fillId="6" borderId="0" xfId="0" applyFont="1" applyFill="1"/>
    <xf numFmtId="0" fontId="2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0" fillId="0" borderId="10" xfId="0" applyBorder="1" applyAlignment="1">
      <alignment horizontal="right"/>
    </xf>
    <xf numFmtId="0" fontId="3" fillId="0" borderId="10" xfId="0" applyFont="1" applyBorder="1" applyAlignment="1">
      <alignment horizontal="right"/>
    </xf>
    <xf numFmtId="0" fontId="3" fillId="0" borderId="20" xfId="0" applyFont="1" applyBorder="1" applyAlignment="1">
      <alignment horizontal="right"/>
    </xf>
    <xf numFmtId="170" fontId="0" fillId="0" borderId="21" xfId="0" applyNumberFormat="1" applyBorder="1"/>
    <xf numFmtId="0" fontId="0" fillId="0" borderId="22" xfId="0" applyBorder="1"/>
    <xf numFmtId="170" fontId="0" fillId="6" borderId="0" xfId="0" applyNumberFormat="1" applyFill="1"/>
    <xf numFmtId="2" fontId="5" fillId="0" borderId="0" xfId="0" applyNumberFormat="1" applyFont="1" applyAlignment="1">
      <alignment horizontal="center"/>
    </xf>
    <xf numFmtId="43" fontId="0" fillId="5" borderId="0" xfId="0" applyNumberFormat="1" applyFill="1"/>
    <xf numFmtId="168" fontId="2" fillId="5" borderId="0" xfId="0" applyNumberFormat="1" applyFont="1" applyFill="1"/>
    <xf numFmtId="168" fontId="14" fillId="5" borderId="0" xfId="0" applyNumberFormat="1" applyFont="1" applyFill="1"/>
    <xf numFmtId="169" fontId="0" fillId="14" borderId="0" xfId="0" applyNumberFormat="1" applyFill="1" applyAlignment="1">
      <alignment horizontal="right"/>
    </xf>
    <xf numFmtId="0" fontId="2" fillId="0" borderId="11" xfId="0" applyFont="1" applyBorder="1" applyAlignment="1">
      <alignment horizontal="center"/>
    </xf>
    <xf numFmtId="0" fontId="0" fillId="0" borderId="20" xfId="0" applyBorder="1"/>
    <xf numFmtId="0" fontId="0" fillId="0" borderId="0" xfId="0" quotePrefix="1" applyAlignment="1">
      <alignment horizontal="center"/>
    </xf>
    <xf numFmtId="9" fontId="0" fillId="0" borderId="0" xfId="0" applyNumberFormat="1" applyAlignment="1">
      <alignment horizontal="center"/>
    </xf>
    <xf numFmtId="0" fontId="0" fillId="8" borderId="0" xfId="0" applyFill="1" applyAlignment="1">
      <alignment horizontal="center"/>
    </xf>
    <xf numFmtId="0" fontId="2" fillId="8" borderId="2" xfId="0" applyFont="1" applyFill="1" applyBorder="1" applyAlignment="1">
      <alignment horizontal="right"/>
    </xf>
    <xf numFmtId="0" fontId="2" fillId="8" borderId="2" xfId="0" applyFont="1" applyFill="1" applyBorder="1" applyAlignment="1">
      <alignment horizontal="center"/>
    </xf>
    <xf numFmtId="0" fontId="0" fillId="13" borderId="0" xfId="0" applyFill="1"/>
    <xf numFmtId="168" fontId="0" fillId="13" borderId="0" xfId="0" applyNumberFormat="1" applyFill="1"/>
    <xf numFmtId="168" fontId="2" fillId="13" borderId="0" xfId="0" applyNumberFormat="1" applyFont="1" applyFill="1"/>
    <xf numFmtId="169" fontId="0" fillId="13" borderId="0" xfId="0" applyNumberFormat="1" applyFill="1"/>
    <xf numFmtId="169" fontId="2" fillId="13" borderId="0" xfId="0" applyNumberFormat="1" applyFont="1" applyFill="1"/>
    <xf numFmtId="0" fontId="0" fillId="8" borderId="0" xfId="0" applyFill="1" applyAlignment="1">
      <alignment horizontal="left"/>
    </xf>
    <xf numFmtId="168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11" borderId="0" xfId="0" applyFill="1" applyAlignment="1">
      <alignment horizontal="center"/>
    </xf>
    <xf numFmtId="178" fontId="2" fillId="6" borderId="0" xfId="0" applyNumberFormat="1" applyFont="1" applyFill="1"/>
    <xf numFmtId="171" fontId="0" fillId="11" borderId="0" xfId="0" applyNumberFormat="1" applyFill="1"/>
    <xf numFmtId="166" fontId="4" fillId="4" borderId="0" xfId="0" applyNumberFormat="1" applyFont="1" applyFill="1"/>
    <xf numFmtId="0" fontId="4" fillId="4" borderId="0" xfId="0" applyFont="1" applyFill="1"/>
    <xf numFmtId="0" fontId="0" fillId="13" borderId="0" xfId="0" applyFill="1" applyAlignment="1">
      <alignment horizontal="right"/>
    </xf>
    <xf numFmtId="0" fontId="15" fillId="15" borderId="0" xfId="0" applyFont="1" applyFill="1" applyAlignment="1">
      <alignment horizontal="center"/>
    </xf>
    <xf numFmtId="0" fontId="2" fillId="15" borderId="0" xfId="0" applyFont="1" applyFill="1" applyAlignment="1">
      <alignment horizontal="right"/>
    </xf>
    <xf numFmtId="0" fontId="2" fillId="15" borderId="0" xfId="0" applyFont="1" applyFill="1" applyAlignment="1">
      <alignment horizontal="center"/>
    </xf>
    <xf numFmtId="175" fontId="0" fillId="11" borderId="0" xfId="0" applyNumberFormat="1" applyFill="1"/>
    <xf numFmtId="0" fontId="0" fillId="11" borderId="0" xfId="0" applyFill="1" applyAlignment="1">
      <alignment horizontal="right"/>
    </xf>
    <xf numFmtId="169" fontId="0" fillId="11" borderId="0" xfId="0" applyNumberFormat="1" applyFill="1" applyAlignment="1">
      <alignment horizontal="right"/>
    </xf>
    <xf numFmtId="174" fontId="2" fillId="0" borderId="0" xfId="0" applyNumberFormat="1" applyFont="1" applyAlignment="1">
      <alignment horizontal="right"/>
    </xf>
    <xf numFmtId="0" fontId="2" fillId="13" borderId="0" xfId="0" applyFont="1" applyFill="1" applyAlignment="1">
      <alignment horizontal="right"/>
    </xf>
    <xf numFmtId="168" fontId="2" fillId="0" borderId="0" xfId="0" applyNumberFormat="1" applyFont="1" applyAlignment="1">
      <alignment horizontal="right"/>
    </xf>
    <xf numFmtId="169" fontId="2" fillId="8" borderId="0" xfId="0" applyNumberFormat="1" applyFont="1" applyFill="1"/>
    <xf numFmtId="0" fontId="0" fillId="11" borderId="0" xfId="0" quotePrefix="1" applyFill="1" applyAlignment="1">
      <alignment horizontal="left"/>
    </xf>
    <xf numFmtId="170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170" fontId="0" fillId="5" borderId="0" xfId="0" applyNumberFormat="1" applyFill="1" applyAlignment="1">
      <alignment horizontal="right"/>
    </xf>
    <xf numFmtId="170" fontId="2" fillId="5" borderId="0" xfId="0" applyNumberFormat="1" applyFont="1" applyFill="1" applyAlignment="1">
      <alignment horizontal="right"/>
    </xf>
    <xf numFmtId="167" fontId="0" fillId="11" borderId="0" xfId="0" applyNumberFormat="1" applyFill="1" applyAlignment="1">
      <alignment horizontal="right"/>
    </xf>
    <xf numFmtId="179" fontId="0" fillId="11" borderId="0" xfId="0" applyNumberFormat="1" applyFill="1"/>
    <xf numFmtId="167" fontId="2" fillId="8" borderId="0" xfId="0" applyNumberFormat="1" applyFont="1" applyFill="1"/>
    <xf numFmtId="10" fontId="0" fillId="0" borderId="0" xfId="0" applyNumberFormat="1"/>
    <xf numFmtId="180" fontId="2" fillId="0" borderId="0" xfId="0" applyNumberFormat="1" applyFont="1" applyAlignment="1">
      <alignment horizontal="center"/>
    </xf>
    <xf numFmtId="172" fontId="2" fillId="0" borderId="0" xfId="0" quotePrefix="1" applyNumberFormat="1" applyFont="1" applyAlignment="1">
      <alignment horizontal="center"/>
    </xf>
    <xf numFmtId="10" fontId="0" fillId="0" borderId="1" xfId="0" applyNumberFormat="1" applyBorder="1"/>
    <xf numFmtId="0" fontId="0" fillId="0" borderId="16" xfId="0" applyBorder="1"/>
    <xf numFmtId="181" fontId="0" fillId="0" borderId="0" xfId="0" applyNumberFormat="1"/>
    <xf numFmtId="10" fontId="0" fillId="0" borderId="15" xfId="0" applyNumberFormat="1" applyBorder="1"/>
    <xf numFmtId="9" fontId="0" fillId="0" borderId="2" xfId="0" applyNumberFormat="1" applyBorder="1"/>
    <xf numFmtId="0" fontId="0" fillId="0" borderId="17" xfId="0" applyBorder="1"/>
    <xf numFmtId="0" fontId="4" fillId="0" borderId="0" xfId="0" applyFont="1" applyAlignment="1">
      <alignment horizontal="right"/>
    </xf>
    <xf numFmtId="0" fontId="0" fillId="8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182" fontId="0" fillId="8" borderId="0" xfId="0" applyNumberFormat="1" applyFill="1"/>
    <xf numFmtId="43" fontId="0" fillId="8" borderId="0" xfId="0" applyNumberFormat="1" applyFill="1"/>
    <xf numFmtId="164" fontId="2" fillId="7" borderId="3" xfId="0" applyNumberFormat="1" applyFont="1" applyFill="1" applyBorder="1"/>
    <xf numFmtId="165" fontId="0" fillId="0" borderId="0" xfId="0" applyNumberFormat="1"/>
    <xf numFmtId="0" fontId="13" fillId="0" borderId="19" xfId="0" applyFont="1" applyBorder="1" applyAlignment="1">
      <alignment horizontal="center"/>
    </xf>
    <xf numFmtId="168" fontId="13" fillId="0" borderId="19" xfId="0" applyNumberFormat="1" applyFont="1" applyBorder="1"/>
    <xf numFmtId="168" fontId="0" fillId="0" borderId="0" xfId="0" applyNumberFormat="1" applyAlignment="1">
      <alignment horizontal="center"/>
    </xf>
    <xf numFmtId="0" fontId="0" fillId="13" borderId="0" xfId="0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3" fillId="16" borderId="0" xfId="0" applyFont="1" applyFill="1" applyAlignment="1">
      <alignment horizontal="center"/>
    </xf>
    <xf numFmtId="0" fontId="0" fillId="16" borderId="0" xfId="0" applyFill="1"/>
    <xf numFmtId="174" fontId="5" fillId="16" borderId="0" xfId="0" applyNumberFormat="1" applyFont="1" applyFill="1"/>
    <xf numFmtId="174" fontId="5" fillId="0" borderId="0" xfId="0" applyNumberFormat="1" applyFont="1"/>
    <xf numFmtId="183" fontId="0" fillId="0" borderId="0" xfId="0" applyNumberFormat="1"/>
    <xf numFmtId="172" fontId="0" fillId="16" borderId="0" xfId="0" applyNumberFormat="1" applyFill="1" applyAlignment="1">
      <alignment horizontal="right"/>
    </xf>
    <xf numFmtId="43" fontId="0" fillId="0" borderId="0" xfId="0" applyNumberFormat="1" applyAlignment="1">
      <alignment horizontal="right"/>
    </xf>
    <xf numFmtId="0" fontId="2" fillId="8" borderId="0" xfId="0" applyFont="1" applyFill="1" applyAlignment="1">
      <alignment horizontal="right"/>
    </xf>
    <xf numFmtId="0" fontId="2" fillId="8" borderId="0" xfId="0" applyFont="1" applyFill="1" applyAlignment="1">
      <alignment horizontal="center"/>
    </xf>
    <xf numFmtId="172" fontId="0" fillId="8" borderId="0" xfId="0" applyNumberFormat="1" applyFill="1"/>
    <xf numFmtId="172" fontId="0" fillId="6" borderId="0" xfId="0" applyNumberFormat="1" applyFill="1"/>
    <xf numFmtId="0" fontId="0" fillId="6" borderId="2" xfId="0" applyFill="1" applyBorder="1"/>
    <xf numFmtId="168" fontId="4" fillId="0" borderId="0" xfId="0" applyNumberFormat="1" applyFont="1"/>
    <xf numFmtId="168" fontId="4" fillId="0" borderId="0" xfId="0" quotePrefix="1" applyNumberFormat="1" applyFont="1"/>
    <xf numFmtId="174" fontId="4" fillId="0" borderId="0" xfId="0" quotePrefix="1" applyNumberFormat="1" applyFont="1"/>
    <xf numFmtId="167" fontId="4" fillId="0" borderId="0" xfId="0" applyNumberFormat="1" applyFont="1" applyAlignment="1">
      <alignment horizontal="right"/>
    </xf>
    <xf numFmtId="0" fontId="0" fillId="6" borderId="2" xfId="0" applyFill="1" applyBorder="1" applyAlignment="1">
      <alignment horizontal="center"/>
    </xf>
    <xf numFmtId="184" fontId="0" fillId="0" borderId="0" xfId="0" applyNumberFormat="1"/>
    <xf numFmtId="172" fontId="0" fillId="5" borderId="2" xfId="0" applyNumberFormat="1" applyFill="1" applyBorder="1" applyAlignment="1">
      <alignment horizontal="right"/>
    </xf>
    <xf numFmtId="166" fontId="2" fillId="0" borderId="2" xfId="0" applyNumberFormat="1" applyFont="1" applyBorder="1"/>
    <xf numFmtId="0" fontId="2" fillId="9" borderId="0" xfId="0" applyFont="1" applyFill="1"/>
    <xf numFmtId="0" fontId="0" fillId="9" borderId="0" xfId="0" applyFill="1" applyAlignment="1">
      <alignment horizontal="center"/>
    </xf>
    <xf numFmtId="0" fontId="0" fillId="9" borderId="0" xfId="0" applyFill="1"/>
    <xf numFmtId="0" fontId="0" fillId="6" borderId="24" xfId="0" applyFill="1" applyBorder="1"/>
    <xf numFmtId="168" fontId="0" fillId="12" borderId="0" xfId="0" applyNumberFormat="1" applyFill="1"/>
    <xf numFmtId="174" fontId="0" fillId="0" borderId="0" xfId="0" applyNumberFormat="1" applyAlignment="1">
      <alignment horizontal="right"/>
    </xf>
    <xf numFmtId="172" fontId="0" fillId="12" borderId="2" xfId="0" applyNumberFormat="1" applyFill="1" applyBorder="1" applyAlignment="1">
      <alignment horizontal="right"/>
    </xf>
    <xf numFmtId="0" fontId="0" fillId="12" borderId="0" xfId="0" applyFill="1" applyAlignment="1">
      <alignment horizontal="center"/>
    </xf>
    <xf numFmtId="174" fontId="0" fillId="12" borderId="0" xfId="0" applyNumberFormat="1" applyFill="1"/>
    <xf numFmtId="170" fontId="0" fillId="12" borderId="0" xfId="0" applyNumberFormat="1" applyFill="1" applyAlignment="1">
      <alignment horizontal="right"/>
    </xf>
    <xf numFmtId="169" fontId="0" fillId="12" borderId="0" xfId="0" applyNumberFormat="1" applyFill="1"/>
    <xf numFmtId="171" fontId="0" fillId="12" borderId="0" xfId="0" applyNumberFormat="1" applyFill="1"/>
    <xf numFmtId="184" fontId="0" fillId="12" borderId="0" xfId="0" applyNumberFormat="1" applyFill="1" applyAlignment="1">
      <alignment horizontal="right"/>
    </xf>
    <xf numFmtId="168" fontId="0" fillId="3" borderId="0" xfId="0" applyNumberFormat="1" applyFill="1"/>
    <xf numFmtId="168" fontId="0" fillId="3" borderId="2" xfId="0" applyNumberFormat="1" applyFill="1" applyBorder="1"/>
    <xf numFmtId="166" fontId="0" fillId="12" borderId="0" xfId="1" applyNumberFormat="1" applyFont="1" applyFill="1"/>
    <xf numFmtId="0" fontId="2" fillId="5" borderId="0" xfId="0" applyFont="1" applyFill="1" applyAlignment="1">
      <alignment horizontal="center"/>
    </xf>
    <xf numFmtId="168" fontId="0" fillId="0" borderId="0" xfId="1" applyNumberFormat="1" applyFont="1"/>
    <xf numFmtId="0" fontId="0" fillId="6" borderId="24" xfId="0" applyFill="1" applyBorder="1" applyAlignment="1">
      <alignment horizontal="center"/>
    </xf>
    <xf numFmtId="0" fontId="0" fillId="6" borderId="24" xfId="0" applyFill="1" applyBorder="1" applyAlignment="1">
      <alignment horizontal="right"/>
    </xf>
    <xf numFmtId="168" fontId="0" fillId="17" borderId="0" xfId="0" applyNumberFormat="1" applyFill="1" applyAlignment="1">
      <alignment horizontal="center"/>
    </xf>
    <xf numFmtId="172" fontId="0" fillId="17" borderId="2" xfId="0" applyNumberFormat="1" applyFill="1" applyBorder="1"/>
    <xf numFmtId="0" fontId="0" fillId="0" borderId="19" xfId="0" applyBorder="1" applyAlignment="1">
      <alignment horizontal="center"/>
    </xf>
    <xf numFmtId="172" fontId="0" fillId="5" borderId="19" xfId="0" applyNumberFormat="1" applyFill="1" applyBorder="1" applyAlignment="1">
      <alignment horizontal="right"/>
    </xf>
    <xf numFmtId="167" fontId="0" fillId="3" borderId="0" xfId="0" applyNumberFormat="1" applyFill="1"/>
    <xf numFmtId="172" fontId="0" fillId="11" borderId="0" xfId="0" applyNumberFormat="1" applyFill="1"/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/>
    <xf numFmtId="0" fontId="11" fillId="0" borderId="0" xfId="0" applyFont="1"/>
    <xf numFmtId="0" fontId="13" fillId="0" borderId="0" xfId="0" applyFont="1" applyAlignment="1">
      <alignment horizontal="left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16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16" fillId="0" borderId="0" xfId="3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5" borderId="0" xfId="0" applyNumberFormat="1" applyFill="1" applyAlignment="1">
      <alignment horizontal="right"/>
    </xf>
    <xf numFmtId="0" fontId="0" fillId="9" borderId="0" xfId="0" applyFill="1" applyAlignment="1">
      <alignment horizontal="right"/>
    </xf>
    <xf numFmtId="0" fontId="0" fillId="0" borderId="0" xfId="0" applyBorder="1"/>
    <xf numFmtId="0" fontId="0" fillId="0" borderId="19" xfId="0" applyBorder="1" applyAlignment="1">
      <alignment horizontal="right"/>
    </xf>
    <xf numFmtId="172" fontId="0" fillId="0" borderId="19" xfId="0" applyNumberFormat="1" applyBorder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14</xdr:row>
      <xdr:rowOff>9525</xdr:rowOff>
    </xdr:from>
    <xdr:to>
      <xdr:col>9</xdr:col>
      <xdr:colOff>447675</xdr:colOff>
      <xdr:row>37</xdr:row>
      <xdr:rowOff>123825</xdr:rowOff>
    </xdr:to>
    <xdr:pic>
      <xdr:nvPicPr>
        <xdr:cNvPr id="2" name="Picture 1" descr="Moon Phases (click to see large version)">
          <a:extLst>
            <a:ext uri="{FF2B5EF4-FFF2-40B4-BE49-F238E27FC236}">
              <a16:creationId xmlns:a16="http://schemas.microsoft.com/office/drawing/2014/main" id="{F7259DCA-3001-4540-AB27-5C6AE0F8A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2705100"/>
          <a:ext cx="30003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lendars%20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amples"/>
      <sheetName val="07JD"/>
      <sheetName val="08Easter"/>
      <sheetName val="09Hebrew"/>
      <sheetName val="09Muslem"/>
      <sheetName val="10deltaT"/>
      <sheetName val="22Nutation"/>
      <sheetName val="25SolarCoords"/>
      <sheetName val="27EquinoxSolstice"/>
      <sheetName val="27abc"/>
      <sheetName val="10a"/>
      <sheetName val="22a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Table 10.A, ΔT for given years</v>
          </cell>
        </row>
        <row r="2">
          <cell r="A2" t="str">
            <v>ΔT = TD - UT in seconds</v>
          </cell>
        </row>
        <row r="3">
          <cell r="A3" t="str">
            <v>Year</v>
          </cell>
        </row>
        <row r="4">
          <cell r="A4">
            <v>1620</v>
          </cell>
        </row>
        <row r="5">
          <cell r="A5">
            <v>1622</v>
          </cell>
        </row>
        <row r="6">
          <cell r="A6">
            <v>1624</v>
          </cell>
        </row>
        <row r="7">
          <cell r="A7">
            <v>1626</v>
          </cell>
        </row>
        <row r="8">
          <cell r="A8">
            <v>1628</v>
          </cell>
        </row>
        <row r="9">
          <cell r="A9">
            <v>1630</v>
          </cell>
        </row>
        <row r="10">
          <cell r="A10">
            <v>1632</v>
          </cell>
        </row>
        <row r="11">
          <cell r="A11">
            <v>1634</v>
          </cell>
        </row>
        <row r="12">
          <cell r="A12">
            <v>1636</v>
          </cell>
        </row>
        <row r="13">
          <cell r="A13">
            <v>1638</v>
          </cell>
        </row>
        <row r="14">
          <cell r="A14">
            <v>1640</v>
          </cell>
        </row>
        <row r="15">
          <cell r="A15">
            <v>1642</v>
          </cell>
        </row>
        <row r="16">
          <cell r="A16">
            <v>1644</v>
          </cell>
        </row>
        <row r="17">
          <cell r="A17">
            <v>1646</v>
          </cell>
        </row>
        <row r="18">
          <cell r="A18">
            <v>1648</v>
          </cell>
        </row>
        <row r="19">
          <cell r="A19">
            <v>1650</v>
          </cell>
        </row>
        <row r="20">
          <cell r="A20">
            <v>1652</v>
          </cell>
        </row>
        <row r="21">
          <cell r="A21">
            <v>1654</v>
          </cell>
        </row>
        <row r="22">
          <cell r="A22">
            <v>1656</v>
          </cell>
        </row>
        <row r="23">
          <cell r="A23">
            <v>1658</v>
          </cell>
        </row>
        <row r="24">
          <cell r="A24">
            <v>1660</v>
          </cell>
        </row>
        <row r="25">
          <cell r="A25">
            <v>1662</v>
          </cell>
        </row>
        <row r="26">
          <cell r="A26">
            <v>1664</v>
          </cell>
        </row>
        <row r="27">
          <cell r="A27">
            <v>1666</v>
          </cell>
        </row>
        <row r="28">
          <cell r="A28">
            <v>1668</v>
          </cell>
        </row>
        <row r="29">
          <cell r="A29">
            <v>1670</v>
          </cell>
        </row>
        <row r="30">
          <cell r="A30">
            <v>1672</v>
          </cell>
        </row>
        <row r="31">
          <cell r="A31">
            <v>1674</v>
          </cell>
        </row>
        <row r="32">
          <cell r="A32">
            <v>1676</v>
          </cell>
        </row>
        <row r="33">
          <cell r="A33">
            <v>1678</v>
          </cell>
        </row>
        <row r="34">
          <cell r="A34">
            <v>1680</v>
          </cell>
        </row>
        <row r="35">
          <cell r="A35">
            <v>1682</v>
          </cell>
        </row>
        <row r="36">
          <cell r="A36">
            <v>1684</v>
          </cell>
        </row>
        <row r="37">
          <cell r="A37">
            <v>1686</v>
          </cell>
        </row>
        <row r="38">
          <cell r="A38">
            <v>1688</v>
          </cell>
        </row>
        <row r="39">
          <cell r="A39">
            <v>1690</v>
          </cell>
        </row>
        <row r="40">
          <cell r="A40">
            <v>1692</v>
          </cell>
        </row>
        <row r="41">
          <cell r="A41">
            <v>1694</v>
          </cell>
        </row>
        <row r="42">
          <cell r="A42">
            <v>1696</v>
          </cell>
        </row>
        <row r="43">
          <cell r="A43">
            <v>1698</v>
          </cell>
        </row>
        <row r="45">
          <cell r="A45">
            <v>1700</v>
          </cell>
        </row>
        <row r="46">
          <cell r="A46">
            <v>1702</v>
          </cell>
        </row>
        <row r="47">
          <cell r="A47">
            <v>1704</v>
          </cell>
        </row>
        <row r="48">
          <cell r="A48">
            <v>1706</v>
          </cell>
        </row>
        <row r="49">
          <cell r="A49">
            <v>1708</v>
          </cell>
        </row>
        <row r="50">
          <cell r="A50">
            <v>1710</v>
          </cell>
        </row>
        <row r="51">
          <cell r="A51">
            <v>1712</v>
          </cell>
        </row>
        <row r="52">
          <cell r="A52">
            <v>1714</v>
          </cell>
        </row>
        <row r="53">
          <cell r="A53">
            <v>1716</v>
          </cell>
        </row>
        <row r="54">
          <cell r="A54">
            <v>1718</v>
          </cell>
        </row>
        <row r="55">
          <cell r="A55">
            <v>1720</v>
          </cell>
        </row>
        <row r="56">
          <cell r="A56">
            <v>1722</v>
          </cell>
        </row>
        <row r="57">
          <cell r="A57">
            <v>1724</v>
          </cell>
        </row>
        <row r="58">
          <cell r="A58">
            <v>1726</v>
          </cell>
        </row>
        <row r="59">
          <cell r="A59">
            <v>1728</v>
          </cell>
        </row>
        <row r="60">
          <cell r="A60">
            <v>1730</v>
          </cell>
        </row>
        <row r="61">
          <cell r="A61">
            <v>1732</v>
          </cell>
        </row>
        <row r="62">
          <cell r="A62">
            <v>1734</v>
          </cell>
        </row>
        <row r="63">
          <cell r="A63">
            <v>1736</v>
          </cell>
        </row>
        <row r="64">
          <cell r="A64">
            <v>1738</v>
          </cell>
        </row>
        <row r="65">
          <cell r="A65">
            <v>1740</v>
          </cell>
        </row>
        <row r="66">
          <cell r="A66">
            <v>1742</v>
          </cell>
        </row>
        <row r="67">
          <cell r="A67">
            <v>1744</v>
          </cell>
        </row>
        <row r="68">
          <cell r="A68">
            <v>1746</v>
          </cell>
        </row>
        <row r="69">
          <cell r="A69">
            <v>1748</v>
          </cell>
        </row>
        <row r="70">
          <cell r="A70">
            <v>1750</v>
          </cell>
        </row>
        <row r="71">
          <cell r="A71">
            <v>1752</v>
          </cell>
        </row>
        <row r="72">
          <cell r="A72">
            <v>1754</v>
          </cell>
        </row>
        <row r="73">
          <cell r="A73">
            <v>1756</v>
          </cell>
        </row>
        <row r="74">
          <cell r="A74">
            <v>1758</v>
          </cell>
        </row>
        <row r="75">
          <cell r="A75">
            <v>1760</v>
          </cell>
        </row>
        <row r="76">
          <cell r="A76">
            <v>1762</v>
          </cell>
        </row>
        <row r="77">
          <cell r="A77">
            <v>1764</v>
          </cell>
        </row>
        <row r="78">
          <cell r="A78">
            <v>1766</v>
          </cell>
        </row>
        <row r="79">
          <cell r="A79">
            <v>1768</v>
          </cell>
        </row>
        <row r="80">
          <cell r="A80">
            <v>1770</v>
          </cell>
        </row>
        <row r="81">
          <cell r="A81">
            <v>1772</v>
          </cell>
        </row>
        <row r="82">
          <cell r="A82">
            <v>1774</v>
          </cell>
        </row>
        <row r="83">
          <cell r="A83">
            <v>1776</v>
          </cell>
        </row>
        <row r="84">
          <cell r="A84">
            <v>1778</v>
          </cell>
        </row>
        <row r="86">
          <cell r="A86">
            <v>1780</v>
          </cell>
        </row>
        <row r="87">
          <cell r="A87">
            <v>1782</v>
          </cell>
        </row>
        <row r="88">
          <cell r="A88">
            <v>1784</v>
          </cell>
        </row>
        <row r="89">
          <cell r="A89">
            <v>1786</v>
          </cell>
        </row>
        <row r="90">
          <cell r="A90">
            <v>1788</v>
          </cell>
        </row>
        <row r="91">
          <cell r="A91">
            <v>1790</v>
          </cell>
        </row>
        <row r="92">
          <cell r="A92">
            <v>1792</v>
          </cell>
        </row>
        <row r="93">
          <cell r="A93">
            <v>1794</v>
          </cell>
        </row>
        <row r="94">
          <cell r="A94">
            <v>1796</v>
          </cell>
        </row>
        <row r="95">
          <cell r="A95">
            <v>1798</v>
          </cell>
        </row>
        <row r="96">
          <cell r="A96">
            <v>1800</v>
          </cell>
        </row>
        <row r="97">
          <cell r="A97">
            <v>1802</v>
          </cell>
        </row>
        <row r="98">
          <cell r="A98">
            <v>1804</v>
          </cell>
        </row>
        <row r="99">
          <cell r="A99">
            <v>1806</v>
          </cell>
        </row>
        <row r="100">
          <cell r="A100">
            <v>1808</v>
          </cell>
        </row>
        <row r="101">
          <cell r="A101">
            <v>1810</v>
          </cell>
        </row>
        <row r="102">
          <cell r="A102">
            <v>1812</v>
          </cell>
        </row>
        <row r="103">
          <cell r="A103">
            <v>1814</v>
          </cell>
        </row>
        <row r="104">
          <cell r="A104">
            <v>1816</v>
          </cell>
        </row>
        <row r="105">
          <cell r="A105">
            <v>1818</v>
          </cell>
        </row>
        <row r="106">
          <cell r="A106">
            <v>1820</v>
          </cell>
        </row>
        <row r="107">
          <cell r="A107">
            <v>1822</v>
          </cell>
        </row>
        <row r="108">
          <cell r="A108">
            <v>1824</v>
          </cell>
        </row>
        <row r="109">
          <cell r="A109">
            <v>1826</v>
          </cell>
        </row>
        <row r="110">
          <cell r="A110">
            <v>1828</v>
          </cell>
        </row>
        <row r="111">
          <cell r="A111">
            <v>1830</v>
          </cell>
        </row>
        <row r="112">
          <cell r="A112">
            <v>1832</v>
          </cell>
        </row>
        <row r="113">
          <cell r="A113">
            <v>1834</v>
          </cell>
        </row>
        <row r="114">
          <cell r="A114">
            <v>1836</v>
          </cell>
        </row>
        <row r="115">
          <cell r="A115">
            <v>1838</v>
          </cell>
        </row>
        <row r="116">
          <cell r="A116">
            <v>1840</v>
          </cell>
        </row>
        <row r="117">
          <cell r="A117">
            <v>1842</v>
          </cell>
        </row>
        <row r="118">
          <cell r="A118">
            <v>1844</v>
          </cell>
        </row>
        <row r="119">
          <cell r="A119">
            <v>1846</v>
          </cell>
        </row>
        <row r="120">
          <cell r="A120">
            <v>1848</v>
          </cell>
        </row>
        <row r="121">
          <cell r="A121">
            <v>1850</v>
          </cell>
        </row>
        <row r="122">
          <cell r="A122">
            <v>1852</v>
          </cell>
        </row>
        <row r="123">
          <cell r="A123">
            <v>1854</v>
          </cell>
        </row>
        <row r="124">
          <cell r="A124">
            <v>1856</v>
          </cell>
        </row>
        <row r="125">
          <cell r="A125">
            <v>1858</v>
          </cell>
        </row>
        <row r="127">
          <cell r="A127">
            <v>1860</v>
          </cell>
        </row>
        <row r="128">
          <cell r="A128">
            <v>1862</v>
          </cell>
        </row>
        <row r="129">
          <cell r="A129">
            <v>1864</v>
          </cell>
        </row>
        <row r="130">
          <cell r="A130">
            <v>1866</v>
          </cell>
        </row>
        <row r="131">
          <cell r="A131">
            <v>1868</v>
          </cell>
        </row>
        <row r="132">
          <cell r="A132">
            <v>1870</v>
          </cell>
        </row>
        <row r="133">
          <cell r="A133">
            <v>1872</v>
          </cell>
        </row>
        <row r="134">
          <cell r="A134">
            <v>1874</v>
          </cell>
        </row>
        <row r="135">
          <cell r="A135">
            <v>1876</v>
          </cell>
        </row>
        <row r="136">
          <cell r="A136">
            <v>1878</v>
          </cell>
        </row>
        <row r="137">
          <cell r="A137">
            <v>1880</v>
          </cell>
        </row>
        <row r="138">
          <cell r="A138">
            <v>1882</v>
          </cell>
        </row>
        <row r="139">
          <cell r="A139">
            <v>1884</v>
          </cell>
        </row>
        <row r="140">
          <cell r="A140">
            <v>1886</v>
          </cell>
        </row>
        <row r="141">
          <cell r="A141">
            <v>1888</v>
          </cell>
        </row>
        <row r="142">
          <cell r="A142">
            <v>1890</v>
          </cell>
        </row>
        <row r="143">
          <cell r="A143">
            <v>1892</v>
          </cell>
        </row>
        <row r="144">
          <cell r="A144">
            <v>1894</v>
          </cell>
        </row>
        <row r="145">
          <cell r="A145">
            <v>1896</v>
          </cell>
        </row>
        <row r="146">
          <cell r="A146">
            <v>1898</v>
          </cell>
        </row>
        <row r="147">
          <cell r="A147">
            <v>1900</v>
          </cell>
        </row>
        <row r="148">
          <cell r="A148">
            <v>1902</v>
          </cell>
        </row>
        <row r="149">
          <cell r="A149">
            <v>1904</v>
          </cell>
        </row>
        <row r="150">
          <cell r="A150">
            <v>1906</v>
          </cell>
        </row>
        <row r="151">
          <cell r="A151">
            <v>1908</v>
          </cell>
        </row>
        <row r="152">
          <cell r="A152">
            <v>1910</v>
          </cell>
        </row>
        <row r="153">
          <cell r="A153">
            <v>1912</v>
          </cell>
        </row>
        <row r="154">
          <cell r="A154">
            <v>1914</v>
          </cell>
        </row>
        <row r="155">
          <cell r="A155">
            <v>1916</v>
          </cell>
        </row>
        <row r="156">
          <cell r="A156">
            <v>1918</v>
          </cell>
        </row>
        <row r="157">
          <cell r="A157">
            <v>1920</v>
          </cell>
        </row>
        <row r="158">
          <cell r="A158">
            <v>1922</v>
          </cell>
        </row>
        <row r="159">
          <cell r="A159">
            <v>1924</v>
          </cell>
        </row>
        <row r="160">
          <cell r="A160">
            <v>1926</v>
          </cell>
        </row>
        <row r="161">
          <cell r="A161">
            <v>1928</v>
          </cell>
        </row>
        <row r="162">
          <cell r="A162">
            <v>1930</v>
          </cell>
        </row>
        <row r="163">
          <cell r="A163">
            <v>1932</v>
          </cell>
        </row>
        <row r="164">
          <cell r="A164">
            <v>1934</v>
          </cell>
        </row>
        <row r="165">
          <cell r="A165">
            <v>1936</v>
          </cell>
        </row>
        <row r="166">
          <cell r="A166">
            <v>1938</v>
          </cell>
        </row>
        <row r="168">
          <cell r="A168">
            <v>1940</v>
          </cell>
        </row>
        <row r="169">
          <cell r="A169">
            <v>1942</v>
          </cell>
        </row>
        <row r="170">
          <cell r="A170">
            <v>1944</v>
          </cell>
        </row>
        <row r="171">
          <cell r="A171">
            <v>1946</v>
          </cell>
        </row>
        <row r="172">
          <cell r="A172">
            <v>1948</v>
          </cell>
        </row>
        <row r="173">
          <cell r="A173">
            <v>1950</v>
          </cell>
        </row>
        <row r="174">
          <cell r="A174">
            <v>1952</v>
          </cell>
        </row>
        <row r="175">
          <cell r="A175">
            <v>1954</v>
          </cell>
        </row>
        <row r="176">
          <cell r="A176">
            <v>1956</v>
          </cell>
        </row>
        <row r="177">
          <cell r="A177">
            <v>1958</v>
          </cell>
        </row>
        <row r="178">
          <cell r="A178">
            <v>1960</v>
          </cell>
        </row>
        <row r="179">
          <cell r="A179">
            <v>1962</v>
          </cell>
        </row>
        <row r="180">
          <cell r="A180">
            <v>1964</v>
          </cell>
        </row>
        <row r="181">
          <cell r="A181">
            <v>1966</v>
          </cell>
        </row>
        <row r="182">
          <cell r="A182">
            <v>1968</v>
          </cell>
        </row>
        <row r="183">
          <cell r="A183">
            <v>1970</v>
          </cell>
        </row>
        <row r="184">
          <cell r="A184">
            <v>1972</v>
          </cell>
        </row>
        <row r="185">
          <cell r="A185">
            <v>1974</v>
          </cell>
        </row>
        <row r="186">
          <cell r="A186">
            <v>1976</v>
          </cell>
        </row>
        <row r="187">
          <cell r="A187">
            <v>1978</v>
          </cell>
        </row>
        <row r="188">
          <cell r="A188">
            <v>1980</v>
          </cell>
        </row>
        <row r="189">
          <cell r="A189">
            <v>1982</v>
          </cell>
        </row>
        <row r="190">
          <cell r="A190">
            <v>1984</v>
          </cell>
        </row>
        <row r="191">
          <cell r="A191">
            <v>1986</v>
          </cell>
        </row>
        <row r="192">
          <cell r="A192">
            <v>1988</v>
          </cell>
        </row>
        <row r="193">
          <cell r="A193">
            <v>1990</v>
          </cell>
        </row>
        <row r="194">
          <cell r="A194">
            <v>1992</v>
          </cell>
        </row>
        <row r="195">
          <cell r="A195">
            <v>1994</v>
          </cell>
        </row>
        <row r="196">
          <cell r="A196">
            <v>1996</v>
          </cell>
        </row>
        <row r="197">
          <cell r="A197">
            <v>1998</v>
          </cell>
        </row>
        <row r="198">
          <cell r="A198">
            <v>1977</v>
          </cell>
        </row>
      </sheetData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minkukel.com/en/various/calculating-moon-phase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98D5-4A11-4614-8E01-1634E5715719}">
  <dimension ref="A1:BG62"/>
  <sheetViews>
    <sheetView topLeftCell="AL1" workbookViewId="0">
      <selection activeCell="AY4" sqref="AY4"/>
    </sheetView>
  </sheetViews>
  <sheetFormatPr defaultRowHeight="15" x14ac:dyDescent="0.25"/>
  <cols>
    <col min="1" max="1" width="5.7109375" bestFit="1" customWidth="1"/>
    <col min="2" max="2" width="5.140625" bestFit="1" customWidth="1"/>
    <col min="3" max="3" width="21.140625" bestFit="1" customWidth="1"/>
    <col min="4" max="4" width="7.28515625" style="7" bestFit="1" customWidth="1"/>
    <col min="5" max="16" width="18.28515625" bestFit="1" customWidth="1"/>
    <col min="17" max="18" width="12.7109375" bestFit="1" customWidth="1"/>
    <col min="19" max="19" width="16.28515625" bestFit="1" customWidth="1"/>
    <col min="20" max="20" width="12.7109375" bestFit="1" customWidth="1"/>
    <col min="21" max="22" width="16.28515625" bestFit="1" customWidth="1"/>
    <col min="23" max="26" width="18.28515625" bestFit="1" customWidth="1"/>
    <col min="27" max="27" width="19.7109375" customWidth="1"/>
    <col min="28" max="59" width="18.28515625" bestFit="1" customWidth="1"/>
  </cols>
  <sheetData>
    <row r="1" spans="1:59" x14ac:dyDescent="0.25">
      <c r="A1" s="8" t="s">
        <v>287</v>
      </c>
      <c r="B1" s="8" t="s">
        <v>91</v>
      </c>
      <c r="C1" s="8" t="s">
        <v>284</v>
      </c>
      <c r="D1" s="19" t="s">
        <v>288</v>
      </c>
      <c r="E1" s="8" t="s">
        <v>286</v>
      </c>
    </row>
    <row r="2" spans="1:59" s="19" customFormat="1" x14ac:dyDescent="0.25">
      <c r="D2" s="19" t="s">
        <v>282</v>
      </c>
      <c r="E2" s="19" t="s">
        <v>289</v>
      </c>
      <c r="F2" s="19" t="s">
        <v>290</v>
      </c>
      <c r="G2" s="19" t="s">
        <v>928</v>
      </c>
      <c r="H2" s="19" t="s">
        <v>307</v>
      </c>
      <c r="I2" s="19" t="s">
        <v>308</v>
      </c>
      <c r="J2" s="19" t="s">
        <v>309</v>
      </c>
      <c r="K2" s="19" t="s">
        <v>310</v>
      </c>
      <c r="L2" s="19" t="s">
        <v>311</v>
      </c>
      <c r="M2" s="19" t="s">
        <v>312</v>
      </c>
      <c r="N2" s="19" t="s">
        <v>313</v>
      </c>
      <c r="O2" s="19" t="s">
        <v>314</v>
      </c>
      <c r="P2" s="19" t="s">
        <v>315</v>
      </c>
      <c r="Q2" s="19" t="s">
        <v>316</v>
      </c>
      <c r="R2" s="19" t="s">
        <v>317</v>
      </c>
      <c r="S2" s="19" t="s">
        <v>318</v>
      </c>
      <c r="T2" s="19" t="s">
        <v>319</v>
      </c>
      <c r="U2" s="19" t="s">
        <v>320</v>
      </c>
      <c r="V2" s="19" t="s">
        <v>321</v>
      </c>
      <c r="W2" s="19" t="s">
        <v>283</v>
      </c>
      <c r="X2" s="19" t="s">
        <v>357</v>
      </c>
      <c r="Y2" s="19" t="s">
        <v>369</v>
      </c>
      <c r="Z2" s="19" t="s">
        <v>370</v>
      </c>
      <c r="AA2" s="207" t="s">
        <v>927</v>
      </c>
      <c r="AB2" s="19" t="s">
        <v>926</v>
      </c>
      <c r="AC2" s="19" t="s">
        <v>646</v>
      </c>
      <c r="AD2" s="19" t="s">
        <v>647</v>
      </c>
      <c r="AE2" s="19" t="s">
        <v>648</v>
      </c>
      <c r="AF2" s="19" t="s">
        <v>815</v>
      </c>
      <c r="AG2" s="19" t="s">
        <v>820</v>
      </c>
      <c r="AH2" s="19" t="s">
        <v>929</v>
      </c>
      <c r="AI2" s="207" t="s">
        <v>930</v>
      </c>
      <c r="AJ2" s="19" t="s">
        <v>931</v>
      </c>
      <c r="AK2" s="19" t="s">
        <v>932</v>
      </c>
      <c r="AL2" s="19" t="s">
        <v>934</v>
      </c>
      <c r="AM2" s="19" t="s">
        <v>940</v>
      </c>
      <c r="AN2" s="272" t="s">
        <v>939</v>
      </c>
      <c r="AO2" s="207" t="s">
        <v>941</v>
      </c>
      <c r="AP2" s="19" t="s">
        <v>1020</v>
      </c>
      <c r="AQ2" s="207" t="s">
        <v>1021</v>
      </c>
      <c r="AR2" s="207" t="s">
        <v>1022</v>
      </c>
      <c r="AS2" s="207" t="s">
        <v>1023</v>
      </c>
      <c r="AT2" s="19" t="s">
        <v>1052</v>
      </c>
      <c r="AU2" s="19" t="s">
        <v>1135</v>
      </c>
      <c r="AV2" s="19" t="s">
        <v>1136</v>
      </c>
      <c r="AW2" s="19" t="s">
        <v>1194</v>
      </c>
      <c r="AX2" s="19" t="s">
        <v>1195</v>
      </c>
      <c r="AY2" s="19" t="s">
        <v>916</v>
      </c>
      <c r="AZ2" s="19" t="s">
        <v>917</v>
      </c>
      <c r="BA2" s="19" t="s">
        <v>918</v>
      </c>
      <c r="BB2" s="19" t="s">
        <v>919</v>
      </c>
      <c r="BC2" s="19" t="s">
        <v>920</v>
      </c>
      <c r="BD2" s="19" t="s">
        <v>921</v>
      </c>
      <c r="BE2" s="19" t="s">
        <v>923</v>
      </c>
      <c r="BF2" s="19" t="s">
        <v>922</v>
      </c>
      <c r="BG2" s="19" t="s">
        <v>817</v>
      </c>
    </row>
    <row r="3" spans="1:59" s="7" customFormat="1" x14ac:dyDescent="0.25">
      <c r="A3" s="19"/>
      <c r="B3" s="19"/>
      <c r="D3" s="19" t="s">
        <v>168</v>
      </c>
      <c r="E3" s="54">
        <f>DATE(1957,10,4)+0.81</f>
        <v>21097.81</v>
      </c>
      <c r="F3" s="54" t="s">
        <v>574</v>
      </c>
      <c r="G3" s="54">
        <v>36526.5</v>
      </c>
      <c r="H3" s="54">
        <v>36161</v>
      </c>
      <c r="I3" s="54">
        <v>31804</v>
      </c>
      <c r="J3" s="54">
        <v>31947.5</v>
      </c>
      <c r="K3" s="54">
        <v>32169</v>
      </c>
      <c r="L3" s="54">
        <v>32313.5</v>
      </c>
      <c r="M3" s="54">
        <v>1.000011574074074</v>
      </c>
      <c r="N3" s="54" t="s">
        <v>299</v>
      </c>
      <c r="O3" s="54" t="s">
        <v>300</v>
      </c>
      <c r="P3" s="54" t="s">
        <v>301</v>
      </c>
      <c r="Q3" s="54" t="s">
        <v>302</v>
      </c>
      <c r="R3" s="54" t="s">
        <v>303</v>
      </c>
      <c r="S3" s="54" t="s">
        <v>304</v>
      </c>
      <c r="T3" s="54" t="s">
        <v>305</v>
      </c>
      <c r="U3" s="59" t="s">
        <v>329</v>
      </c>
      <c r="V3" s="54" t="s">
        <v>306</v>
      </c>
      <c r="W3" s="54">
        <v>31877</v>
      </c>
      <c r="X3" s="59">
        <v>33706</v>
      </c>
      <c r="Y3" s="54">
        <v>28171</v>
      </c>
      <c r="Z3" s="54">
        <v>52597</v>
      </c>
      <c r="AA3" s="54">
        <v>36526</v>
      </c>
      <c r="AB3" s="54">
        <v>19905</v>
      </c>
      <c r="AC3" s="54">
        <v>28808</v>
      </c>
      <c r="AD3" s="54">
        <v>32255</v>
      </c>
      <c r="AE3" s="54">
        <v>28174.151157407407</v>
      </c>
      <c r="AF3" s="54">
        <v>33958</v>
      </c>
      <c r="AG3" s="54">
        <v>33890</v>
      </c>
      <c r="AH3" s="54">
        <v>33298</v>
      </c>
      <c r="AI3" s="54">
        <v>33695</v>
      </c>
      <c r="AJ3" s="54">
        <v>34090</v>
      </c>
      <c r="AK3" s="54" t="s">
        <v>933</v>
      </c>
      <c r="AL3" s="54">
        <v>33136</v>
      </c>
      <c r="AM3" s="54" t="s">
        <v>936</v>
      </c>
      <c r="AN3" s="54">
        <v>36622</v>
      </c>
      <c r="AO3" s="54" t="s">
        <v>942</v>
      </c>
      <c r="AP3" s="54">
        <v>44829.57916666667</v>
      </c>
      <c r="AQ3" s="54">
        <v>44836.634722222225</v>
      </c>
      <c r="AR3" s="54">
        <v>44843.537499999999</v>
      </c>
      <c r="AS3" s="54">
        <v>44851.34375</v>
      </c>
      <c r="AT3" s="54">
        <v>44866</v>
      </c>
      <c r="AU3" s="54">
        <v>26816</v>
      </c>
      <c r="AV3" s="54">
        <v>35674</v>
      </c>
      <c r="AW3" s="54">
        <v>12789</v>
      </c>
      <c r="AX3" s="54">
        <v>20925</v>
      </c>
      <c r="AY3" s="54">
        <v>44896</v>
      </c>
      <c r="AZ3" s="54">
        <f t="shared" ref="AX3:BF3" si="0">AY3+1</f>
        <v>44897</v>
      </c>
      <c r="BA3" s="54">
        <f t="shared" si="0"/>
        <v>44898</v>
      </c>
      <c r="BB3" s="54">
        <f t="shared" si="0"/>
        <v>44899</v>
      </c>
      <c r="BC3" s="54">
        <f t="shared" si="0"/>
        <v>44900</v>
      </c>
      <c r="BD3" s="54">
        <f t="shared" si="0"/>
        <v>44901</v>
      </c>
      <c r="BE3" s="54">
        <f t="shared" si="0"/>
        <v>44902</v>
      </c>
      <c r="BF3" s="54">
        <f t="shared" si="0"/>
        <v>44903</v>
      </c>
      <c r="BG3" s="54">
        <v>28174</v>
      </c>
    </row>
    <row r="4" spans="1:59" x14ac:dyDescent="0.25">
      <c r="A4">
        <v>7.1</v>
      </c>
      <c r="C4">
        <v>59</v>
      </c>
      <c r="D4" s="7" t="s">
        <v>298</v>
      </c>
      <c r="E4" s="137">
        <f>'07JD'!E25</f>
        <v>2436116.31</v>
      </c>
      <c r="F4" s="137">
        <f>'07JD'!F25</f>
        <v>1842713</v>
      </c>
      <c r="G4" s="137">
        <f>'07JD'!G25</f>
        <v>2451545</v>
      </c>
      <c r="H4" s="137">
        <f>'07JD'!H25</f>
        <v>2451179.5</v>
      </c>
      <c r="I4" s="137">
        <f>'07JD'!I25</f>
        <v>2446822.5</v>
      </c>
      <c r="J4" s="137">
        <f>'07JD'!J25</f>
        <v>2446966</v>
      </c>
      <c r="K4" s="137">
        <f>'07JD'!K25</f>
        <v>2447187.5</v>
      </c>
      <c r="L4" s="137">
        <f>'07JD'!L25</f>
        <v>2447332</v>
      </c>
      <c r="M4" s="137">
        <f>'07JD'!M25</f>
        <v>2415020.500011574</v>
      </c>
      <c r="N4" s="137">
        <f>'07JD'!N25</f>
        <v>2305447.5</v>
      </c>
      <c r="O4" s="137">
        <f>'07JD'!O25</f>
        <v>2305812.5</v>
      </c>
      <c r="P4" s="137">
        <f>'07JD'!P25</f>
        <v>2026871.8</v>
      </c>
      <c r="Q4" s="58">
        <f>'07JD'!Q25</f>
        <v>1676496.5</v>
      </c>
      <c r="R4" s="58">
        <f>'07JD'!R25</f>
        <v>1676497.5</v>
      </c>
      <c r="S4" s="58">
        <f>'07JD'!S25</f>
        <v>1356001</v>
      </c>
      <c r="T4" s="58">
        <f>'07JD'!T25</f>
        <v>1355866.5</v>
      </c>
      <c r="U4" s="58">
        <f>'07JD'!U25</f>
        <v>1355671.4</v>
      </c>
      <c r="V4" s="58">
        <f>'07JD'!V25</f>
        <v>0</v>
      </c>
      <c r="W4" s="58">
        <f>'07JD'!W25</f>
        <v>2446895.5</v>
      </c>
      <c r="X4" s="58">
        <f>'07JD'!X25</f>
        <v>2448724.5</v>
      </c>
      <c r="Y4" s="58">
        <f>'07JD'!Y25</f>
        <v>2443189.5</v>
      </c>
      <c r="Z4" s="58">
        <f>'07JD'!Z25</f>
        <v>2467615.5</v>
      </c>
      <c r="AA4" s="58">
        <f>'07JD'!AA25</f>
        <v>2451544.5</v>
      </c>
      <c r="AB4" s="137">
        <f>'07JD'!AB25</f>
        <v>2434923.5</v>
      </c>
      <c r="AC4" s="58">
        <f>'07JD'!AC25</f>
        <v>2443826.5</v>
      </c>
      <c r="AD4" s="58">
        <f>'07JD'!AD25</f>
        <v>2447273.5</v>
      </c>
      <c r="AE4" s="58">
        <f>'07JD'!AE25</f>
        <v>2443192.6511574076</v>
      </c>
      <c r="AF4" s="58">
        <f>'07JD'!AF25</f>
        <v>2448976.5</v>
      </c>
      <c r="AG4" s="58">
        <f>'07JD'!AG25</f>
        <v>2448908.5</v>
      </c>
      <c r="AH4" s="58">
        <f>'07JD'!AH25</f>
        <v>2448316.5</v>
      </c>
      <c r="AI4" s="58">
        <f>'07JD'!AI25</f>
        <v>2448713.5</v>
      </c>
      <c r="AJ4" s="58">
        <f>'07JD'!AJ25</f>
        <v>2449108.5</v>
      </c>
      <c r="AK4" s="58">
        <f>'07JD'!AK25</f>
        <v>2385070.5</v>
      </c>
      <c r="AL4" s="58">
        <f>'07JD'!AL25</f>
        <v>2448154.5</v>
      </c>
      <c r="AM4" s="58">
        <f>'07JD'!AM25</f>
        <v>1948439.5</v>
      </c>
      <c r="AN4" s="58">
        <f>'07JD'!AN25</f>
        <v>2451640.5</v>
      </c>
      <c r="AO4" s="58">
        <f>'07JD'!AO25</f>
        <v>1721425.5</v>
      </c>
      <c r="AP4" s="58">
        <f>'07JD'!AP25</f>
        <v>2459848.0791666666</v>
      </c>
      <c r="AQ4" s="58">
        <f>'07JD'!AQ25</f>
        <v>2459855.1347222221</v>
      </c>
      <c r="AR4" s="58">
        <f>'07JD'!AR25</f>
        <v>2459862.0375000001</v>
      </c>
      <c r="AS4" s="58">
        <f>'07JD'!AS25</f>
        <v>2459869.84375</v>
      </c>
      <c r="AT4" s="58">
        <f>'07JD'!AT25</f>
        <v>2459884.5</v>
      </c>
      <c r="AU4" s="58">
        <f>'07JD'!AU25</f>
        <v>2441834.5</v>
      </c>
      <c r="AV4" s="58">
        <f>'07JD'!AV25</f>
        <v>2450692.5</v>
      </c>
      <c r="AW4" s="58">
        <f>'07JD'!AW25</f>
        <v>2427807.5</v>
      </c>
      <c r="AX4" s="58">
        <f>'07JD'!AX25</f>
        <v>2435943.5</v>
      </c>
      <c r="AY4" s="58">
        <f>'07JD'!AY25</f>
        <v>2459914.5</v>
      </c>
      <c r="AZ4" s="58">
        <f>'07JD'!AZ25</f>
        <v>2459915.5</v>
      </c>
      <c r="BA4" s="58">
        <f>'07JD'!BA25</f>
        <v>2459916.5</v>
      </c>
      <c r="BB4" s="58">
        <f>'07JD'!BB25</f>
        <v>2459917.5</v>
      </c>
      <c r="BC4" s="58">
        <f>'07JD'!BC25</f>
        <v>2459918.5</v>
      </c>
      <c r="BD4" s="58">
        <f>'07JD'!BD25</f>
        <v>2459919.5</v>
      </c>
      <c r="BE4" s="58">
        <f>'07JD'!BE25</f>
        <v>2459920.5</v>
      </c>
      <c r="BF4" s="58">
        <f>'07JD'!BF25</f>
        <v>2459921.5</v>
      </c>
      <c r="BG4" s="58">
        <f>'07JD'!BG25</f>
        <v>2443192.5</v>
      </c>
    </row>
    <row r="5" spans="1:59" x14ac:dyDescent="0.25">
      <c r="C5" s="8"/>
      <c r="E5" s="327">
        <v>2436116.31</v>
      </c>
      <c r="F5" s="327">
        <v>1842713</v>
      </c>
      <c r="G5" s="327">
        <v>2451545</v>
      </c>
      <c r="H5" s="327">
        <v>2451179.5</v>
      </c>
      <c r="I5" s="327">
        <v>2446822.5</v>
      </c>
      <c r="J5" s="327">
        <v>2446966</v>
      </c>
      <c r="K5" s="327">
        <v>2447187.5</v>
      </c>
      <c r="L5" s="327">
        <v>2447332</v>
      </c>
      <c r="M5" s="327">
        <v>2415020.5</v>
      </c>
      <c r="N5" s="327">
        <v>2305447.5</v>
      </c>
      <c r="O5" s="327">
        <v>2305812.5</v>
      </c>
      <c r="P5" s="327">
        <v>2026871.8</v>
      </c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327">
        <v>2434923.5</v>
      </c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</row>
    <row r="6" spans="1:59" x14ac:dyDescent="0.25">
      <c r="A6">
        <v>10</v>
      </c>
      <c r="C6" s="71" t="s">
        <v>1168</v>
      </c>
      <c r="D6" s="7" t="s">
        <v>1155</v>
      </c>
      <c r="E6" s="58">
        <f>'10deltaT'!E23</f>
        <v>32.200000000000003</v>
      </c>
      <c r="F6" s="58">
        <f>'10deltaT'!F23</f>
        <v>5432.249170000001</v>
      </c>
      <c r="G6" s="58">
        <f>'10deltaT'!G23</f>
        <v>65</v>
      </c>
      <c r="H6" s="58">
        <f>'10deltaT'!H23</f>
        <v>100.98253</v>
      </c>
      <c r="I6" s="58">
        <f>'10deltaT'!I23</f>
        <v>55.8</v>
      </c>
      <c r="J6" s="58">
        <f>'10deltaT'!J23</f>
        <v>55.8</v>
      </c>
      <c r="K6" s="58">
        <f>'10deltaT'!K23</f>
        <v>55.8</v>
      </c>
      <c r="L6" s="58">
        <f>'10deltaT'!L23</f>
        <v>55.8</v>
      </c>
      <c r="M6" s="58">
        <f>'10deltaT'!M23</f>
        <v>-2.8</v>
      </c>
      <c r="N6" s="58">
        <f>'10deltaT'!N23</f>
        <v>98.800000000000011</v>
      </c>
      <c r="O6" s="58">
        <f>'10deltaT'!O23</f>
        <v>98.800000000000011</v>
      </c>
      <c r="P6" s="58">
        <f>'10deltaT'!P23</f>
        <v>2337.7395700000006</v>
      </c>
      <c r="Q6" s="58">
        <f>'10deltaT'!Q23</f>
        <v>9339.5763699999989</v>
      </c>
      <c r="R6" s="58">
        <f>'10deltaT'!R23</f>
        <v>9329.8565199999994</v>
      </c>
      <c r="S6" s="58">
        <f>'10deltaT'!S23</f>
        <v>19812</v>
      </c>
      <c r="T6" s="58">
        <f>'10deltaT'!T23</f>
        <v>19812</v>
      </c>
      <c r="U6" s="58">
        <f>'10deltaT'!U23</f>
        <v>19826.162530000001</v>
      </c>
      <c r="V6" s="58">
        <f>'10deltaT'!V23</f>
        <v>107234.64832000002</v>
      </c>
      <c r="W6" s="58">
        <f>'10deltaT'!W23</f>
        <v>55.8</v>
      </c>
      <c r="X6" s="58">
        <f>'10deltaT'!X23</f>
        <v>58.3</v>
      </c>
      <c r="Y6" s="58">
        <f>'10deltaT'!Y23</f>
        <v>48</v>
      </c>
      <c r="Z6" s="58">
        <f>'10deltaT'!Z23</f>
        <v>131.05807999999999</v>
      </c>
      <c r="AA6" s="58">
        <f>'10deltaT'!AA23</f>
        <v>65</v>
      </c>
      <c r="AB6" s="58">
        <f>'10deltaT'!AB23</f>
        <v>30.7</v>
      </c>
      <c r="AC6" s="58">
        <f>'10deltaT'!AC23</f>
        <v>48.5</v>
      </c>
      <c r="AD6" s="58">
        <f>'10deltaT'!AD23</f>
        <v>55.8</v>
      </c>
      <c r="AE6" s="58">
        <f>'10deltaT'!AE23</f>
        <v>48</v>
      </c>
      <c r="AF6" s="58">
        <f>'10deltaT'!AF23</f>
        <v>58.3</v>
      </c>
      <c r="AG6" s="58">
        <f>'10deltaT'!AG23</f>
        <v>58.3</v>
      </c>
      <c r="AH6" s="58">
        <f>'10deltaT'!AH23</f>
        <v>58.3</v>
      </c>
      <c r="AI6" s="58">
        <f>'10deltaT'!AI23</f>
        <v>58.3</v>
      </c>
      <c r="AJ6" s="58">
        <f>'10deltaT'!AJ23</f>
        <v>60</v>
      </c>
      <c r="AK6" s="58">
        <f>'10deltaT'!AK23</f>
        <v>0.16371999999999787</v>
      </c>
      <c r="AL6" s="58">
        <f>'10deltaT'!AL23</f>
        <v>56.9</v>
      </c>
      <c r="AM6" s="58">
        <f>'10deltaT'!AM23</f>
        <v>3500.61652</v>
      </c>
      <c r="AN6" s="58">
        <f>'10deltaT'!AN23</f>
        <v>65</v>
      </c>
      <c r="AO6" s="58">
        <f>'10deltaT'!AO23</f>
        <v>8172.9025299999994</v>
      </c>
      <c r="AP6" s="58">
        <f>'10deltaT'!AP23</f>
        <v>96.804519999999997</v>
      </c>
      <c r="AQ6" s="58">
        <f>'10deltaT'!AQ23</f>
        <v>96.804519999999997</v>
      </c>
      <c r="AR6" s="58">
        <f>'10deltaT'!AR23</f>
        <v>96.804519999999997</v>
      </c>
      <c r="AS6" s="58">
        <f>'10deltaT'!AS23</f>
        <v>96.804519999999997</v>
      </c>
      <c r="AT6" s="58">
        <f>'10deltaT'!AT23</f>
        <v>96.804519999999997</v>
      </c>
      <c r="AU6" s="58">
        <f>'10deltaT'!AU23</f>
        <v>44.5</v>
      </c>
      <c r="AV6" s="58">
        <f>'10deltaT'!AV23</f>
        <v>63</v>
      </c>
      <c r="AW6" s="58">
        <f>'10deltaT'!AW23</f>
        <v>23.9</v>
      </c>
      <c r="AX6" s="58">
        <f>'10deltaT'!AX23</f>
        <v>32.200000000000003</v>
      </c>
      <c r="AY6" s="58">
        <f>'10deltaT'!AY23</f>
        <v>96.804519999999997</v>
      </c>
      <c r="AZ6" s="58">
        <f>'10deltaT'!AZ23</f>
        <v>96.804519999999997</v>
      </c>
      <c r="BA6" s="58">
        <f>'10deltaT'!BA23</f>
        <v>96.804519999999997</v>
      </c>
      <c r="BB6" s="58">
        <f>'10deltaT'!BB23</f>
        <v>96.804519999999997</v>
      </c>
      <c r="BC6" s="58">
        <f>'10deltaT'!BC23</f>
        <v>96.804519999999997</v>
      </c>
      <c r="BD6" s="58">
        <f>'10deltaT'!BD23</f>
        <v>96.804519999999997</v>
      </c>
      <c r="BE6" s="58">
        <f>'10deltaT'!BE23</f>
        <v>96.804519999999997</v>
      </c>
      <c r="BF6" s="58">
        <f>'10deltaT'!BF23</f>
        <v>96.804519999999997</v>
      </c>
      <c r="BG6" s="58">
        <f>'10deltaT'!BG23</f>
        <v>48</v>
      </c>
    </row>
    <row r="7" spans="1:59" x14ac:dyDescent="0.25">
      <c r="C7" s="71" t="s">
        <v>1169</v>
      </c>
      <c r="D7" s="7" t="s">
        <v>1155</v>
      </c>
      <c r="E7" s="329">
        <f>E6/24/60/60</f>
        <v>3.7268518518518521E-4</v>
      </c>
      <c r="F7" s="329">
        <f t="shared" ref="F7:BG7" si="1">F6/24/60/60</f>
        <v>6.2873254282407406E-2</v>
      </c>
      <c r="G7" s="329">
        <f t="shared" si="1"/>
        <v>7.5231481481481482E-4</v>
      </c>
      <c r="H7" s="329">
        <f t="shared" si="1"/>
        <v>1.1687792824074074E-3</v>
      </c>
      <c r="I7" s="329">
        <f t="shared" si="1"/>
        <v>6.4583333333333322E-4</v>
      </c>
      <c r="J7" s="329">
        <f t="shared" si="1"/>
        <v>6.4583333333333322E-4</v>
      </c>
      <c r="K7" s="329">
        <f t="shared" si="1"/>
        <v>6.4583333333333322E-4</v>
      </c>
      <c r="L7" s="329">
        <f t="shared" si="1"/>
        <v>6.4583333333333322E-4</v>
      </c>
      <c r="M7" s="329">
        <f t="shared" si="1"/>
        <v>-3.2407407407407401E-5</v>
      </c>
      <c r="N7" s="329">
        <f t="shared" si="1"/>
        <v>1.1435185185185188E-3</v>
      </c>
      <c r="O7" s="329">
        <f t="shared" si="1"/>
        <v>1.1435185185185188E-3</v>
      </c>
      <c r="P7" s="329">
        <f t="shared" si="1"/>
        <v>2.7057170949074082E-2</v>
      </c>
      <c r="Q7" s="329">
        <f t="shared" si="1"/>
        <v>0.10809694872685184</v>
      </c>
      <c r="R7" s="329">
        <f t="shared" si="1"/>
        <v>0.10798445046296296</v>
      </c>
      <c r="S7" s="329">
        <f t="shared" si="1"/>
        <v>0.22930555555555554</v>
      </c>
      <c r="T7" s="329">
        <f t="shared" si="1"/>
        <v>0.22930555555555554</v>
      </c>
      <c r="U7" s="329">
        <f t="shared" si="1"/>
        <v>0.22946947372685186</v>
      </c>
      <c r="V7" s="329">
        <f t="shared" si="1"/>
        <v>1.2411417629629633</v>
      </c>
      <c r="W7" s="329">
        <f t="shared" si="1"/>
        <v>6.4583333333333322E-4</v>
      </c>
      <c r="X7" s="329">
        <f t="shared" si="1"/>
        <v>6.7476851851851856E-4</v>
      </c>
      <c r="Y7" s="329">
        <f t="shared" si="1"/>
        <v>5.5555555555555556E-4</v>
      </c>
      <c r="Z7" s="329">
        <f t="shared" si="1"/>
        <v>1.516875925925926E-3</v>
      </c>
      <c r="AA7" s="329">
        <f t="shared" si="1"/>
        <v>7.5231481481481482E-4</v>
      </c>
      <c r="AB7" s="329">
        <f t="shared" si="1"/>
        <v>3.5532407407407404E-4</v>
      </c>
      <c r="AC7" s="329">
        <f t="shared" si="1"/>
        <v>5.6134259259259267E-4</v>
      </c>
      <c r="AD7" s="329">
        <f t="shared" si="1"/>
        <v>6.4583333333333322E-4</v>
      </c>
      <c r="AE7" s="329">
        <f t="shared" si="1"/>
        <v>5.5555555555555556E-4</v>
      </c>
      <c r="AF7" s="329">
        <f t="shared" si="1"/>
        <v>6.7476851851851856E-4</v>
      </c>
      <c r="AG7" s="329">
        <f t="shared" si="1"/>
        <v>6.7476851851851856E-4</v>
      </c>
      <c r="AH7" s="329">
        <f t="shared" si="1"/>
        <v>6.7476851851851856E-4</v>
      </c>
      <c r="AI7" s="329">
        <f t="shared" si="1"/>
        <v>6.7476851851851856E-4</v>
      </c>
      <c r="AJ7" s="329">
        <f t="shared" si="1"/>
        <v>6.9444444444444436E-4</v>
      </c>
      <c r="AK7" s="329">
        <f t="shared" si="1"/>
        <v>1.8949074074073825E-6</v>
      </c>
      <c r="AL7" s="329">
        <f t="shared" si="1"/>
        <v>6.5856481481481473E-4</v>
      </c>
      <c r="AM7" s="329">
        <f t="shared" si="1"/>
        <v>4.051639490740741E-2</v>
      </c>
      <c r="AN7" s="329">
        <f t="shared" si="1"/>
        <v>7.5231481481481482E-4</v>
      </c>
      <c r="AO7" s="329">
        <f t="shared" si="1"/>
        <v>9.4593779282407392E-2</v>
      </c>
      <c r="AP7" s="329">
        <f t="shared" si="1"/>
        <v>1.1204226851851851E-3</v>
      </c>
      <c r="AQ7" s="329">
        <f t="shared" si="1"/>
        <v>1.1204226851851851E-3</v>
      </c>
      <c r="AR7" s="329">
        <f t="shared" si="1"/>
        <v>1.1204226851851851E-3</v>
      </c>
      <c r="AS7" s="329">
        <f t="shared" si="1"/>
        <v>1.1204226851851851E-3</v>
      </c>
      <c r="AT7" s="329">
        <f t="shared" si="1"/>
        <v>1.1204226851851851E-3</v>
      </c>
      <c r="AU7" s="329">
        <f t="shared" si="1"/>
        <v>5.1504629629629632E-4</v>
      </c>
      <c r="AV7" s="329">
        <f t="shared" si="1"/>
        <v>7.2916666666666659E-4</v>
      </c>
      <c r="AW7" s="329">
        <f t="shared" si="1"/>
        <v>2.7662037037037038E-4</v>
      </c>
      <c r="AX7" s="329">
        <f t="shared" si="1"/>
        <v>3.7268518518518521E-4</v>
      </c>
      <c r="AY7" s="329">
        <f t="shared" si="1"/>
        <v>1.1204226851851851E-3</v>
      </c>
      <c r="AZ7" s="329">
        <f t="shared" si="1"/>
        <v>1.1204226851851851E-3</v>
      </c>
      <c r="BA7" s="329">
        <f t="shared" si="1"/>
        <v>1.1204226851851851E-3</v>
      </c>
      <c r="BB7" s="329">
        <f t="shared" si="1"/>
        <v>1.1204226851851851E-3</v>
      </c>
      <c r="BC7" s="329">
        <f t="shared" si="1"/>
        <v>1.1204226851851851E-3</v>
      </c>
      <c r="BD7" s="329">
        <f t="shared" si="1"/>
        <v>1.1204226851851851E-3</v>
      </c>
      <c r="BE7" s="329">
        <f t="shared" si="1"/>
        <v>1.1204226851851851E-3</v>
      </c>
      <c r="BF7" s="329">
        <f t="shared" si="1"/>
        <v>1.1204226851851851E-3</v>
      </c>
      <c r="BG7" s="329">
        <f t="shared" si="1"/>
        <v>5.5555555555555556E-4</v>
      </c>
    </row>
    <row r="8" spans="1:59" x14ac:dyDescent="0.25">
      <c r="C8" s="7" t="s">
        <v>1167</v>
      </c>
      <c r="D8" s="7" t="s">
        <v>3</v>
      </c>
      <c r="E8" s="39">
        <f>E4+E7</f>
        <v>2436116.3103726851</v>
      </c>
      <c r="F8" s="39">
        <f t="shared" ref="F8:BG8" si="2">F4+F7</f>
        <v>1842713.0628732543</v>
      </c>
      <c r="G8" s="39">
        <f t="shared" si="2"/>
        <v>2451545.0007523149</v>
      </c>
      <c r="H8" s="39">
        <f t="shared" si="2"/>
        <v>2451179.5011687791</v>
      </c>
      <c r="I8" s="39">
        <f t="shared" si="2"/>
        <v>2446822.5006458336</v>
      </c>
      <c r="J8" s="39">
        <f t="shared" si="2"/>
        <v>2446966.0006458336</v>
      </c>
      <c r="K8" s="39">
        <f t="shared" si="2"/>
        <v>2447187.5006458336</v>
      </c>
      <c r="L8" s="39">
        <f t="shared" si="2"/>
        <v>2447332.0006458336</v>
      </c>
      <c r="M8" s="39">
        <f t="shared" si="2"/>
        <v>2415020.4999791668</v>
      </c>
      <c r="N8" s="39">
        <f t="shared" si="2"/>
        <v>2305447.5011435184</v>
      </c>
      <c r="O8" s="39">
        <f t="shared" si="2"/>
        <v>2305812.5011435184</v>
      </c>
      <c r="P8" s="39">
        <f t="shared" si="2"/>
        <v>2026871.8270571709</v>
      </c>
      <c r="Q8" s="39">
        <f t="shared" si="2"/>
        <v>1676496.6080969488</v>
      </c>
      <c r="R8" s="39">
        <f t="shared" si="2"/>
        <v>1676497.6079844504</v>
      </c>
      <c r="S8" s="39">
        <f t="shared" si="2"/>
        <v>1356001.2293055556</v>
      </c>
      <c r="T8" s="39">
        <f t="shared" si="2"/>
        <v>1355866.7293055556</v>
      </c>
      <c r="U8" s="39">
        <f t="shared" si="2"/>
        <v>1355671.6294694736</v>
      </c>
      <c r="V8" s="39">
        <f t="shared" si="2"/>
        <v>1.2411417629629633</v>
      </c>
      <c r="W8" s="39">
        <f t="shared" si="2"/>
        <v>2446895.5006458336</v>
      </c>
      <c r="X8" s="39">
        <f t="shared" si="2"/>
        <v>2448724.5006747684</v>
      </c>
      <c r="Y8" s="39">
        <f t="shared" si="2"/>
        <v>2443189.5005555553</v>
      </c>
      <c r="Z8" s="39">
        <f t="shared" si="2"/>
        <v>2467615.5015168758</v>
      </c>
      <c r="AA8" s="39">
        <f t="shared" si="2"/>
        <v>2451544.5007523149</v>
      </c>
      <c r="AB8" s="39">
        <f t="shared" si="2"/>
        <v>2434923.5003553242</v>
      </c>
      <c r="AC8" s="39">
        <f t="shared" si="2"/>
        <v>2443826.5005613426</v>
      </c>
      <c r="AD8" s="39">
        <f t="shared" si="2"/>
        <v>2447273.5006458336</v>
      </c>
      <c r="AE8" s="39">
        <f t="shared" si="2"/>
        <v>2443192.6517129629</v>
      </c>
      <c r="AF8" s="39">
        <f t="shared" si="2"/>
        <v>2448976.5006747684</v>
      </c>
      <c r="AG8" s="39">
        <f t="shared" si="2"/>
        <v>2448908.5006747684</v>
      </c>
      <c r="AH8" s="39">
        <f t="shared" si="2"/>
        <v>2448316.5006747684</v>
      </c>
      <c r="AI8" s="39">
        <f t="shared" si="2"/>
        <v>2448713.5006747684</v>
      </c>
      <c r="AJ8" s="39">
        <f t="shared" si="2"/>
        <v>2449108.5006944444</v>
      </c>
      <c r="AK8" s="39">
        <f t="shared" si="2"/>
        <v>2385070.5000018948</v>
      </c>
      <c r="AL8" s="39">
        <f t="shared" si="2"/>
        <v>2448154.5006585647</v>
      </c>
      <c r="AM8" s="39">
        <f t="shared" si="2"/>
        <v>1948439.5405163949</v>
      </c>
      <c r="AN8" s="39">
        <f t="shared" si="2"/>
        <v>2451640.5007523149</v>
      </c>
      <c r="AO8" s="39">
        <f t="shared" si="2"/>
        <v>1721425.5945937792</v>
      </c>
      <c r="AP8" s="39">
        <f t="shared" si="2"/>
        <v>2459848.0802870891</v>
      </c>
      <c r="AQ8" s="39">
        <f t="shared" si="2"/>
        <v>2459855.1358426446</v>
      </c>
      <c r="AR8" s="39">
        <f t="shared" si="2"/>
        <v>2459862.0386204226</v>
      </c>
      <c r="AS8" s="39">
        <f t="shared" si="2"/>
        <v>2459869.8448704225</v>
      </c>
      <c r="AT8" s="39">
        <f t="shared" si="2"/>
        <v>2459884.5011204225</v>
      </c>
      <c r="AU8" s="39">
        <f t="shared" si="2"/>
        <v>2441834.5005150461</v>
      </c>
      <c r="AV8" s="39">
        <f t="shared" si="2"/>
        <v>2450692.5007291664</v>
      </c>
      <c r="AW8" s="39">
        <f t="shared" si="2"/>
        <v>2427807.5002766205</v>
      </c>
      <c r="AX8" s="39">
        <f t="shared" si="2"/>
        <v>2435943.500372685</v>
      </c>
      <c r="AY8" s="39">
        <f t="shared" si="2"/>
        <v>2459914.5011204225</v>
      </c>
      <c r="AZ8" s="39">
        <f t="shared" si="2"/>
        <v>2459915.5011204225</v>
      </c>
      <c r="BA8" s="39">
        <f t="shared" si="2"/>
        <v>2459916.5011204225</v>
      </c>
      <c r="BB8" s="39">
        <f t="shared" si="2"/>
        <v>2459917.5011204225</v>
      </c>
      <c r="BC8" s="39">
        <f t="shared" si="2"/>
        <v>2459918.5011204225</v>
      </c>
      <c r="BD8" s="39">
        <f t="shared" si="2"/>
        <v>2459919.5011204225</v>
      </c>
      <c r="BE8" s="39">
        <f t="shared" si="2"/>
        <v>2459920.5011204225</v>
      </c>
      <c r="BF8" s="39">
        <f t="shared" si="2"/>
        <v>2459921.5011204225</v>
      </c>
      <c r="BG8" s="39">
        <f t="shared" si="2"/>
        <v>2443192.5005555553</v>
      </c>
    </row>
    <row r="9" spans="1:59" x14ac:dyDescent="0.25">
      <c r="C9" s="7"/>
    </row>
    <row r="10" spans="1:59" x14ac:dyDescent="0.25">
      <c r="A10">
        <v>22.1</v>
      </c>
      <c r="C10">
        <v>143</v>
      </c>
      <c r="D10" s="7" t="s">
        <v>2</v>
      </c>
      <c r="E10">
        <f>'22Nutation'!E5</f>
        <v>-0.42241451060917029</v>
      </c>
      <c r="F10">
        <f>'22Nutation'!F5</f>
        <v>-16.668911704312116</v>
      </c>
      <c r="G10">
        <f>'22Nutation'!G5</f>
        <v>0</v>
      </c>
      <c r="H10">
        <f>'22Nutation'!H5</f>
        <v>-1.0006844626967831E-2</v>
      </c>
      <c r="I10">
        <f>'22Nutation'!I5</f>
        <v>-0.12929500342231348</v>
      </c>
      <c r="J10">
        <f>'22Nutation'!J5</f>
        <v>-0.12536618754277892</v>
      </c>
      <c r="K10">
        <f>'22Nutation'!K5</f>
        <v>-0.11930184804928132</v>
      </c>
      <c r="L10">
        <f>'22Nutation'!L5</f>
        <v>-0.11534565366187542</v>
      </c>
      <c r="M10">
        <f>'22Nutation'!M5</f>
        <v>-0.99998631042918518</v>
      </c>
      <c r="N10">
        <f>'22Nutation'!N5</f>
        <v>-3.9999315537303217</v>
      </c>
      <c r="O10">
        <f>'22Nutation'!O5</f>
        <v>-3.9899383983572894</v>
      </c>
      <c r="P10">
        <f>'22Nutation'!P5</f>
        <v>-11.626918548939081</v>
      </c>
      <c r="Q10">
        <f>'22Nutation'!Q5</f>
        <v>-21.219671457905545</v>
      </c>
      <c r="R10">
        <f>'22Nutation'!R5</f>
        <v>-21.219644079397671</v>
      </c>
      <c r="S10">
        <f>'22Nutation'!S5</f>
        <v>-29.994360027378509</v>
      </c>
      <c r="T10">
        <f>'22Nutation'!T5</f>
        <v>-29.9980424366872</v>
      </c>
      <c r="U10">
        <f>'22Nutation'!U5</f>
        <v>-30.003383983572899</v>
      </c>
      <c r="V10">
        <f>'22Nutation'!V5</f>
        <v>-67.119644079397673</v>
      </c>
      <c r="W10" s="173">
        <f>'22Nutation'!W5</f>
        <v>-0.12729637234770705</v>
      </c>
      <c r="X10">
        <f>'22Nutation'!X5</f>
        <v>-7.7221081451060922E-2</v>
      </c>
      <c r="Y10">
        <f>'22Nutation'!Y5</f>
        <v>-0.22876112251882272</v>
      </c>
      <c r="Z10">
        <f>'22Nutation'!Z5</f>
        <v>0.43998631074606431</v>
      </c>
      <c r="AA10">
        <f>'22Nutation'!AA5</f>
        <v>-1.3689253935660506E-5</v>
      </c>
      <c r="AB10">
        <f>'22Nutation'!AB5</f>
        <v>-0.45507186858316223</v>
      </c>
      <c r="AC10">
        <f>'22Nutation'!AC5</f>
        <v>-0.21132101300479125</v>
      </c>
      <c r="AD10">
        <f>'22Nutation'!AD5</f>
        <v>-0.1169472963723477</v>
      </c>
      <c r="AE10">
        <f>'22Nutation'!AE5</f>
        <v>-0.2286748485309362</v>
      </c>
      <c r="AF10">
        <f>'22Nutation'!AF5</f>
        <v>-7.0321697467488023E-2</v>
      </c>
      <c r="AG10">
        <f>'22Nutation'!AG5</f>
        <v>-7.2183436002737855E-2</v>
      </c>
      <c r="AH10">
        <f>'22Nutation'!AH5</f>
        <v>-8.8391512662559887E-2</v>
      </c>
      <c r="AI10">
        <f>'22Nutation'!AI5</f>
        <v>-7.7522245037645446E-2</v>
      </c>
      <c r="AJ10">
        <f>'22Nutation'!AJ5</f>
        <v>-6.670773442847365E-2</v>
      </c>
      <c r="AK10">
        <f>'22Nutation'!AK5</f>
        <v>-1.8199726214921286</v>
      </c>
      <c r="AL10">
        <f>'22Nutation'!AL5</f>
        <v>-9.2826830937713892E-2</v>
      </c>
      <c r="AM10">
        <f>'22Nutation'!AM5</f>
        <v>-13.774277891854894</v>
      </c>
      <c r="AN10">
        <f>'22Nutation'!AN5</f>
        <v>2.6146475017111569E-3</v>
      </c>
      <c r="AO10">
        <f>'22Nutation'!AO5</f>
        <v>-19.989582477754961</v>
      </c>
      <c r="AP10">
        <f>'22Nutation'!AP5</f>
        <v>0.22732591832078314</v>
      </c>
      <c r="AQ10">
        <f>'22Nutation'!AQ5</f>
        <v>0.22751908890409606</v>
      </c>
      <c r="AR10">
        <f>'22Nutation'!AR5</f>
        <v>0.22770807665982459</v>
      </c>
      <c r="AS10">
        <f>'22Nutation'!AS5</f>
        <v>0.22792180013689253</v>
      </c>
      <c r="AT10">
        <f>'22Nutation'!AT5</f>
        <v>0.22832306639288158</v>
      </c>
      <c r="AU10">
        <f>'22Nutation'!AU5</f>
        <v>-0.26585900068446272</v>
      </c>
      <c r="AV10">
        <f>'22Nutation'!AV5</f>
        <v>-2.3340177960301165E-2</v>
      </c>
      <c r="AW10">
        <f>'22Nutation'!AW5</f>
        <v>-0.64989733059548249</v>
      </c>
      <c r="AX10">
        <f>'22Nutation'!AX5</f>
        <v>-0.42714579055441476</v>
      </c>
      <c r="AY10">
        <f>'22Nutation'!AY5</f>
        <v>0.22914442162902121</v>
      </c>
      <c r="AZ10">
        <f>'22Nutation'!AZ5</f>
        <v>0.22917180013689253</v>
      </c>
      <c r="BA10">
        <f>'22Nutation'!BA5</f>
        <v>0.22919917864476386</v>
      </c>
      <c r="BB10">
        <f>'22Nutation'!BB5</f>
        <v>0.22922655715263518</v>
      </c>
      <c r="BC10">
        <f>'22Nutation'!BC5</f>
        <v>0.2292539356605065</v>
      </c>
      <c r="BD10">
        <f>'22Nutation'!BD5</f>
        <v>0.22928131416837783</v>
      </c>
      <c r="BE10">
        <f>'22Nutation'!BE5</f>
        <v>0.22930869267624915</v>
      </c>
      <c r="BF10">
        <f>'22Nutation'!BF5</f>
        <v>0.22933607118412047</v>
      </c>
      <c r="BG10">
        <f>'22Nutation'!BG5</f>
        <v>-0.22867898699520875</v>
      </c>
    </row>
    <row r="11" spans="1:59" x14ac:dyDescent="0.25">
      <c r="C11" s="8" t="s">
        <v>322</v>
      </c>
      <c r="D11" s="7" t="s">
        <v>2</v>
      </c>
      <c r="W11" s="66">
        <v>-0.12729637234800001</v>
      </c>
    </row>
    <row r="13" spans="1:59" x14ac:dyDescent="0.25">
      <c r="A13">
        <v>49</v>
      </c>
      <c r="C13" t="s">
        <v>555</v>
      </c>
      <c r="E13" s="88">
        <f>'49Phases'!E4</f>
        <v>21116.19719602447</v>
      </c>
      <c r="F13" s="88" t="str">
        <f>'49Phases'!F4</f>
        <v>333-3-2 22:29:5.54</v>
      </c>
      <c r="G13" s="88">
        <f>'49Phases'!G4</f>
        <v>36531.760257791262</v>
      </c>
      <c r="H13" s="88">
        <f>'49Phases'!H4</f>
        <v>36177.657837793231</v>
      </c>
      <c r="I13" s="88">
        <f>'49Phases'!I4</f>
        <v>31806.573188359849</v>
      </c>
      <c r="J13" s="88">
        <f>'49Phases'!J4</f>
        <v>31954.234533697832</v>
      </c>
      <c r="K13" s="88">
        <f>'49Phases'!K4</f>
        <v>32161.226696273778</v>
      </c>
      <c r="L13" s="88">
        <f>'49Phases'!L4</f>
        <v>32308.385188464075</v>
      </c>
      <c r="M13" s="88">
        <f>'49Phases'!M4</f>
        <v>1.5776915256865323</v>
      </c>
      <c r="N13" s="88" t="str">
        <f>'49Phases'!N4</f>
        <v>1600-1-16 5:7:43.43</v>
      </c>
      <c r="O13" s="88" t="str">
        <f>'49Phases'!O4</f>
        <v>1601-2-3 4:43:51.51</v>
      </c>
      <c r="P13" s="88" t="str">
        <f>'49Phases'!P4</f>
        <v>837-4-8 23:13:43.43</v>
      </c>
      <c r="Q13" s="88" t="str">
        <f>'49Phases'!Q4</f>
        <v>-122-1-23 8:58:2.25</v>
      </c>
      <c r="R13" s="88" t="str">
        <f>'49Phases'!R4</f>
        <v>-123-12-24 14:20:3.36</v>
      </c>
      <c r="S13" s="88" t="str">
        <f>'49Phases'!S4</f>
        <v>-1000-7-6 3:3:21.21</v>
      </c>
      <c r="T13" s="88" t="str">
        <f>'49Phases'!T4</f>
        <v>-1000-4-9 5:59:8.88</v>
      </c>
      <c r="U13" s="88" t="str">
        <f>'49Phases'!U4</f>
        <v>-1001-8-15 23:52:43.43</v>
      </c>
      <c r="V13" s="88" t="str">
        <f>'49Phases'!V4</f>
        <v>-4712-1-11 6:10:47.47</v>
      </c>
      <c r="W13" s="88">
        <f>'49Phases'!W4</f>
        <v>31895.066107186023</v>
      </c>
      <c r="X13" s="88">
        <f>'49Phases'!X4</f>
        <v>33726.739891719073</v>
      </c>
      <c r="Y13" s="129">
        <f>'49Phases'!Y4</f>
        <v>28174.15118268365</v>
      </c>
      <c r="Z13" s="88">
        <f>'49Phases'!Z4</f>
        <v>52596.409288668539</v>
      </c>
      <c r="AA13" s="88">
        <f>'49Phases'!AA4</f>
        <v>36531.760257791262</v>
      </c>
      <c r="AB13" s="88">
        <f>'49Phases'!AB4</f>
        <v>19905.518249634188</v>
      </c>
      <c r="AC13" s="88">
        <f>'49Phases'!AC4</f>
        <v>28824.347401978448</v>
      </c>
      <c r="AD13" s="88">
        <f>'49Phases'!AD4</f>
        <v>32249.500564297661</v>
      </c>
      <c r="AE13" s="88">
        <f>'49Phases'!AE4</f>
        <v>28174.15118268365</v>
      </c>
      <c r="AF13" s="88">
        <f>'49Phases'!AF4</f>
        <v>33962.030430479441</v>
      </c>
      <c r="AG13" s="88">
        <f>'49Phases'!AG4</f>
        <v>33902.8574780114</v>
      </c>
      <c r="AH13" s="88">
        <f>'49Phases'!AH4</f>
        <v>33313.341374580283</v>
      </c>
      <c r="AI13" s="88">
        <f>'49Phases'!AI4</f>
        <v>33697.210075245239</v>
      </c>
      <c r="AJ13" s="88">
        <f>'49Phases'!AJ4</f>
        <v>34110.588611789513</v>
      </c>
      <c r="AK13" s="88" t="str">
        <f>'49Phases'!AK4</f>
        <v>1818-1-6 23:42:49.49</v>
      </c>
      <c r="AL13" s="88">
        <f>'49Phases'!AL4</f>
        <v>33135.032788457349</v>
      </c>
      <c r="AM13" s="88" t="str">
        <f>'49Phases'!AM4</f>
        <v>622-7-14 6:42:47.47</v>
      </c>
      <c r="AN13" s="88">
        <f>'49Phases'!AN4</f>
        <v>36620.759100174531</v>
      </c>
      <c r="AO13" s="88" t="str">
        <f>'49Phases'!AO4</f>
        <v>1-1-13 13:57:4.43</v>
      </c>
      <c r="AP13" s="88">
        <f>'49Phases'!AP4</f>
        <v>44829.913620128296</v>
      </c>
      <c r="AQ13" s="88">
        <f>'49Phases'!AQ4</f>
        <v>44829.913620128296</v>
      </c>
      <c r="AR13" s="88">
        <f>'49Phases'!AR4</f>
        <v>44859.451232156716</v>
      </c>
      <c r="AS13" s="88">
        <f>'49Phases'!AS4</f>
        <v>44859.451232156716</v>
      </c>
      <c r="AT13" s="88">
        <f>'49Phases'!AT4</f>
        <v>44859.451232156716</v>
      </c>
      <c r="AU13" s="88">
        <f>'49Phases'!AU4</f>
        <v>26816.190961009823</v>
      </c>
      <c r="AV13" s="88">
        <f>'49Phases'!AV4</f>
        <v>35674.994955319446</v>
      </c>
      <c r="AW13" s="88">
        <f>'49Phases'!AW4</f>
        <v>12789.222554526757</v>
      </c>
      <c r="AX13" s="88">
        <f>'49Phases'!AX4</f>
        <v>20939.996080751996</v>
      </c>
      <c r="AY13" s="88">
        <f>'49Phases'!AY4</f>
        <v>44888.957164985128</v>
      </c>
      <c r="AZ13" s="88">
        <f>'49Phases'!AZ4</f>
        <v>44888.957164985128</v>
      </c>
      <c r="BA13" s="88">
        <f>'49Phases'!BA4</f>
        <v>44918.429170388263</v>
      </c>
      <c r="BB13" s="88">
        <f>'49Phases'!BB4</f>
        <v>44918.429170388263</v>
      </c>
      <c r="BC13" s="88">
        <f>'49Phases'!BC4</f>
        <v>44918.429170388263</v>
      </c>
      <c r="BD13" s="88">
        <f>'49Phases'!BD4</f>
        <v>44918.429170388263</v>
      </c>
      <c r="BE13" s="88">
        <f>'49Phases'!BE4</f>
        <v>44918.429170388263</v>
      </c>
      <c r="BF13" s="88">
        <f>'49Phases'!BF4</f>
        <v>44918.429170388263</v>
      </c>
      <c r="BG13" s="88">
        <f>'49Phases'!BG4</f>
        <v>28174.15118268365</v>
      </c>
    </row>
    <row r="14" spans="1:59" x14ac:dyDescent="0.25">
      <c r="C14" t="s">
        <v>561</v>
      </c>
      <c r="E14" s="88">
        <f>'49Phases'!E5</f>
        <v>21123.450242244639</v>
      </c>
      <c r="F14" s="88" t="str">
        <f>'49Phases'!F5</f>
        <v>333-3-10 4:7:21.21</v>
      </c>
      <c r="G14" s="88">
        <f>'49Phases'!G5</f>
        <v>36539.566086384002</v>
      </c>
      <c r="H14" s="88">
        <f>'49Phases'!H5</f>
        <v>36184.802979915403</v>
      </c>
      <c r="I14" s="88">
        <f>'49Phases'!I5</f>
        <v>31813.681776707992</v>
      </c>
      <c r="J14" s="88">
        <f>'49Phases'!J5</f>
        <v>31962.357663162518</v>
      </c>
      <c r="K14" s="88">
        <f>'49Phases'!K5</f>
        <v>32167.912847874686</v>
      </c>
      <c r="L14" s="88">
        <f>'49Phases'!L5</f>
        <v>32316.43325295113</v>
      </c>
      <c r="M14" s="88">
        <f>'49Phases'!M5</f>
        <v>8.2360753039829433</v>
      </c>
      <c r="N14" s="88" t="str">
        <f>'49Phases'!N5</f>
        <v>1600-1-23 0:3:59.59</v>
      </c>
      <c r="O14" s="88" t="str">
        <f>'49Phases'!O5</f>
        <v>1601-2-10 4:34:9.94</v>
      </c>
      <c r="P14" s="88" t="str">
        <f>'49Phases'!P5</f>
        <v>837-4-16 19:57:51.51</v>
      </c>
      <c r="Q14" s="88" t="str">
        <f>'49Phases'!Q5</f>
        <v>-122-1-31 12:37:32.32</v>
      </c>
      <c r="R14" s="88" t="str">
        <f>'49Phases'!R5</f>
        <v>-122-1-1 19:52:16.16</v>
      </c>
      <c r="S14" s="88" t="str">
        <f>'49Phases'!S5</f>
        <v>-1000-7-13 3:29:38.38</v>
      </c>
      <c r="T14" s="88" t="str">
        <f>'49Phases'!T5</f>
        <v>-1000-4-15 20:52:16.16</v>
      </c>
      <c r="U14" s="88" t="str">
        <f>'49Phases'!U5</f>
        <v>-1001-8-24 0:14:3.33</v>
      </c>
      <c r="V14" s="88" t="str">
        <f>'49Phases'!V5</f>
        <v>-4712-1-19 0:34:53.53</v>
      </c>
      <c r="W14" s="88">
        <f>'49Phases'!W5</f>
        <v>31903.101607511286</v>
      </c>
      <c r="X14" s="88">
        <f>'49Phases'!X5</f>
        <v>33733.655967213213</v>
      </c>
      <c r="Y14" s="88">
        <f>'49Phases'!Y5</f>
        <v>28182.118699906394</v>
      </c>
      <c r="Z14" s="88">
        <f>'49Phases'!Z5</f>
        <v>52604.168870490044</v>
      </c>
      <c r="AA14" s="88">
        <f>'49Phases'!AA5</f>
        <v>36539.566086384002</v>
      </c>
      <c r="AB14" s="88">
        <f>'49Phases'!AB5</f>
        <v>19913.065167994704</v>
      </c>
      <c r="AC14" s="88">
        <f>'49Phases'!AC5</f>
        <v>28831.024119220208</v>
      </c>
      <c r="AD14" s="88">
        <f>'49Phases'!AD5</f>
        <v>32256.939438761212</v>
      </c>
      <c r="AE14" s="88">
        <f>'49Phases'!AE5</f>
        <v>28182.118699906394</v>
      </c>
      <c r="AF14" s="88">
        <f>'49Phases'!AF5</f>
        <v>33970.152291456237</v>
      </c>
      <c r="AG14" s="88">
        <f>'49Phases'!AG5</f>
        <v>33910.383502758574</v>
      </c>
      <c r="AH14" s="88">
        <f>'49Phases'!AH5</f>
        <v>33320.252634451725</v>
      </c>
      <c r="AI14" s="88">
        <f>'49Phases'!AI5</f>
        <v>33704.421562260482</v>
      </c>
      <c r="AJ14" s="88">
        <f>'49Phases'!AJ5</f>
        <v>34117.765587031376</v>
      </c>
      <c r="AK14" s="88" t="str">
        <f>'49Phases'!AK5</f>
        <v>1818-1-14 6:52:43.43</v>
      </c>
      <c r="AL14" s="88">
        <f>'49Phases'!AL5</f>
        <v>33143.087782351766</v>
      </c>
      <c r="AM14" s="88" t="str">
        <f>'49Phases'!AM5</f>
        <v>622-7-21 2:10:34.34</v>
      </c>
      <c r="AN14" s="88">
        <f>'49Phases'!AN5</f>
        <v>36627.563559597824</v>
      </c>
      <c r="AO14" s="88" t="str">
        <f>'49Phases'!AO5</f>
        <v>1-1-21 12:3:10.10</v>
      </c>
      <c r="AP14" s="88">
        <f>'49Phases'!AP5</f>
        <v>44837.010571724735</v>
      </c>
      <c r="AQ14" s="88">
        <f>'49Phases'!AQ5</f>
        <v>44837.010571724735</v>
      </c>
      <c r="AR14" s="88">
        <f>'49Phases'!AR5</f>
        <v>44866.276523806155</v>
      </c>
      <c r="AS14" s="88">
        <f>'49Phases'!AS5</f>
        <v>44866.276523806155</v>
      </c>
      <c r="AT14" s="88">
        <f>'49Phases'!AT5</f>
        <v>44866.276523806155</v>
      </c>
      <c r="AU14" s="88">
        <f>'49Phases'!AU5</f>
        <v>26822.882925361861</v>
      </c>
      <c r="AV14" s="88">
        <f>'49Phases'!AV5</f>
        <v>35683.064044978004</v>
      </c>
      <c r="AW14" s="88">
        <f>'49Phases'!AW5</f>
        <v>12795.87165132165</v>
      </c>
      <c r="AX14" s="88">
        <f>'49Phases'!AX5</f>
        <v>20947.104197993409</v>
      </c>
      <c r="AY14" s="88">
        <f>'49Phases'!AY5</f>
        <v>44895.609480618499</v>
      </c>
      <c r="AZ14" s="88">
        <f>'49Phases'!AZ5</f>
        <v>44895.609480618499</v>
      </c>
      <c r="BA14" s="88">
        <f>'49Phases'!BA5</f>
        <v>44925.056800891645</v>
      </c>
      <c r="BB14" s="88">
        <f>'49Phases'!BB5</f>
        <v>44925.056800891645</v>
      </c>
      <c r="BC14" s="88">
        <f>'49Phases'!BC5</f>
        <v>44925.056800891645</v>
      </c>
      <c r="BD14" s="88">
        <f>'49Phases'!BD5</f>
        <v>44925.056800891645</v>
      </c>
      <c r="BE14" s="88">
        <f>'49Phases'!BE5</f>
        <v>44925.056800891645</v>
      </c>
      <c r="BF14" s="88">
        <f>'49Phases'!BF5</f>
        <v>44925.056800891645</v>
      </c>
      <c r="BG14" s="88">
        <f>'49Phases'!BG5</f>
        <v>28182.118699906394</v>
      </c>
    </row>
    <row r="15" spans="1:59" x14ac:dyDescent="0.25">
      <c r="C15" t="s">
        <v>567</v>
      </c>
      <c r="E15" s="88">
        <f>'49Phases'!E6</f>
        <v>21131.605962742586</v>
      </c>
      <c r="F15" s="88" t="str">
        <f>'49Phases'!F6</f>
        <v>333-3-18 7:53:16.16</v>
      </c>
      <c r="G15" s="88">
        <f>'49Phases'!G6</f>
        <v>36546.195466312114</v>
      </c>
      <c r="H15" s="88">
        <f>'49Phases'!H6</f>
        <v>36191.672052350361</v>
      </c>
      <c r="I15" s="88">
        <f>'49Phases'!I6</f>
        <v>31821.874232928734</v>
      </c>
      <c r="J15" s="88">
        <f>'49Phases'!J6</f>
        <v>31969.14820641838</v>
      </c>
      <c r="K15" s="88">
        <f>'49Phases'!K6</f>
        <v>32175.869766638614</v>
      </c>
      <c r="L15" s="88">
        <f>'49Phases'!L6</f>
        <v>32323.824007491581</v>
      </c>
      <c r="M15" s="88">
        <f>'49Phases'!M6</f>
        <v>15.796870124991983</v>
      </c>
      <c r="N15" s="88" t="str">
        <f>'49Phases'!N6</f>
        <v>1600-1-30 6:36:1.13</v>
      </c>
      <c r="O15" s="88" t="str">
        <f>'49Phases'!O6</f>
        <v>1601-2-17 4:24:31.31</v>
      </c>
      <c r="P15" s="88" t="str">
        <f>'49Phases'!P6</f>
        <v>837-4-24 11:53:30.30</v>
      </c>
      <c r="Q15" s="88" t="str">
        <f>'49Phases'!Q6</f>
        <v>-122-2-7 7:57:7.71</v>
      </c>
      <c r="R15" s="88" t="str">
        <f>'49Phases'!R6</f>
        <v>-122-1-8 21:35:8.85</v>
      </c>
      <c r="S15" s="88" t="str">
        <f>'49Phases'!S6</f>
        <v>-1000-7-21 7:20:35.35</v>
      </c>
      <c r="T15" s="88" t="str">
        <f>'49Phases'!T6</f>
        <v>-1000-4-23 10:37:13.13</v>
      </c>
      <c r="U15" s="88" t="str">
        <f>'49Phases'!U6</f>
        <v>-1001-8-31 12:18:21.21</v>
      </c>
      <c r="V15" s="88" t="str">
        <f>'49Phases'!V6</f>
        <v>-4712-1-26 19:31:20.20</v>
      </c>
      <c r="W15" s="88">
        <f>'49Phases'!W6</f>
        <v>31910.535442486871</v>
      </c>
      <c r="X15" s="88">
        <f>'49Phases'!X6</f>
        <v>33740.669102856889</v>
      </c>
      <c r="Y15" s="88">
        <f>'49Phases'!Y6</f>
        <v>28189.718067021109</v>
      </c>
      <c r="Z15" s="88">
        <f>'49Phases'!Z6</f>
        <v>52610.786347764079</v>
      </c>
      <c r="AA15" s="88">
        <f>'49Phases'!AA6</f>
        <v>36546.195466312114</v>
      </c>
      <c r="AB15" s="88">
        <f>'49Phases'!AB6</f>
        <v>19921.020571232773</v>
      </c>
      <c r="AC15" s="88">
        <f>'49Phases'!AC6</f>
        <v>28838.521886244416</v>
      </c>
      <c r="AD15" s="88">
        <f>'49Phases'!AD6</f>
        <v>32264.987252334133</v>
      </c>
      <c r="AE15" s="88">
        <f>'49Phases'!AE6</f>
        <v>28189.718067021109</v>
      </c>
      <c r="AF15" s="88">
        <f>'49Phases'!AF6</f>
        <v>33977.526537954807</v>
      </c>
      <c r="AG15" s="88">
        <f>'49Phases'!AG6</f>
        <v>33918.389706082642</v>
      </c>
      <c r="AH15" s="88">
        <f>'49Phases'!AH6</f>
        <v>33327.304452354088</v>
      </c>
      <c r="AI15" s="88">
        <f>'49Phases'!AI6</f>
        <v>33711.196789393667</v>
      </c>
      <c r="AJ15" s="88">
        <f>'49Phases'!AJ6</f>
        <v>34124.543834437151</v>
      </c>
      <c r="AK15" s="88" t="str">
        <f>'49Phases'!AK6</f>
        <v>1818-1-22 10:37:55.55</v>
      </c>
      <c r="AL15" s="88">
        <f>'49Phases'!AL6</f>
        <v>33150.501896647736</v>
      </c>
      <c r="AM15" s="88" t="str">
        <f>'49Phases'!AM6</f>
        <v>622-7-28 5:25:29.29</v>
      </c>
      <c r="AN15" s="88">
        <f>'49Phases'!AN6</f>
        <v>36634.737949036993</v>
      </c>
      <c r="AO15" s="88" t="str">
        <f>'49Phases'!AO6</f>
        <v>1-1-28 4:2:2.23</v>
      </c>
      <c r="AP15" s="88">
        <f>'49Phases'!AP6</f>
        <v>44843.872232026886</v>
      </c>
      <c r="AQ15" s="88">
        <f>'49Phases'!AQ6</f>
        <v>44843.872232026886</v>
      </c>
      <c r="AR15" s="88">
        <f>'49Phases'!AR6</f>
        <v>44873.46058840584</v>
      </c>
      <c r="AS15" s="88">
        <f>'49Phases'!AS6</f>
        <v>44873.46058840584</v>
      </c>
      <c r="AT15" s="88">
        <f>'49Phases'!AT6</f>
        <v>44873.46058840584</v>
      </c>
      <c r="AU15" s="88">
        <f>'49Phases'!AU6</f>
        <v>26830.857815690804</v>
      </c>
      <c r="AV15" s="88">
        <f>'49Phases'!AV6</f>
        <v>35689.785734951496</v>
      </c>
      <c r="AW15" s="88">
        <f>'49Phases'!AW6</f>
        <v>12803.655966325197</v>
      </c>
      <c r="AX15" s="88">
        <f>'49Phases'!AX6</f>
        <v>20953.940781256184</v>
      </c>
      <c r="AY15" s="88">
        <f>'49Phases'!AY6</f>
        <v>44903.173172035255</v>
      </c>
      <c r="AZ15" s="88">
        <f>'49Phases'!AZ6</f>
        <v>44903.173172035255</v>
      </c>
      <c r="BA15" s="88">
        <f>'49Phases'!BA6</f>
        <v>44932.964708357118</v>
      </c>
      <c r="BB15" s="88">
        <f>'49Phases'!BB6</f>
        <v>44932.964708357118</v>
      </c>
      <c r="BC15" s="88">
        <f>'49Phases'!BC6</f>
        <v>44932.964708357118</v>
      </c>
      <c r="BD15" s="88">
        <f>'49Phases'!BD6</f>
        <v>44932.964708357118</v>
      </c>
      <c r="BE15" s="88">
        <f>'49Phases'!BE6</f>
        <v>44932.964708357118</v>
      </c>
      <c r="BF15" s="88">
        <f>'49Phases'!BF6</f>
        <v>44932.964708357118</v>
      </c>
      <c r="BG15" s="88">
        <f>'49Phases'!BG6</f>
        <v>28189.718067021109</v>
      </c>
    </row>
    <row r="16" spans="1:59" x14ac:dyDescent="0.25">
      <c r="C16" t="s">
        <v>568</v>
      </c>
      <c r="E16" s="88">
        <f>'49Phases'!E7</f>
        <v>21138.916748937219</v>
      </c>
      <c r="F16" s="88" t="str">
        <f>'49Phases'!F7</f>
        <v>333-3-25 14:21:24.24</v>
      </c>
      <c r="G16" s="88">
        <f>'49Phases'!G7</f>
        <v>36553.331841323525</v>
      </c>
      <c r="H16" s="88">
        <f>'49Phases'!H7</f>
        <v>36199.499346585479</v>
      </c>
      <c r="I16" s="88">
        <f>'49Phases'!I7</f>
        <v>31829.372715489473</v>
      </c>
      <c r="J16" s="88">
        <f>'49Phases'!J7</f>
        <v>31975.845600096975</v>
      </c>
      <c r="K16" s="88">
        <f>'49Phases'!K7</f>
        <v>32183.95954205934</v>
      </c>
      <c r="L16" s="88">
        <f>'49Phases'!L7</f>
        <v>32330.484125072602</v>
      </c>
      <c r="M16" s="88">
        <f>'49Phases'!M7</f>
        <v>23.99502891395241</v>
      </c>
      <c r="N16" s="88" t="str">
        <f>'49Phases'!N7</f>
        <v>1600-2-7 9:50:1.16</v>
      </c>
      <c r="O16" s="88" t="str">
        <f>'49Phases'!O7</f>
        <v>1601-2-25 2:17:9.91</v>
      </c>
      <c r="P16" s="88" t="str">
        <f>'49Phases'!P7</f>
        <v>837-5-1 6:35:1.16</v>
      </c>
      <c r="Q16" s="88" t="str">
        <f>'49Phases'!Q7</f>
        <v>-122-2-14 1:12:57.57</v>
      </c>
      <c r="R16" s="88" t="str">
        <f>'49Phases'!R7</f>
        <v>-122-1-15 13:3:46.46</v>
      </c>
      <c r="S16" s="88" t="str">
        <f>'49Phases'!S7</f>
        <v>-1000-7-28 20:3:47.47</v>
      </c>
      <c r="T16" s="88" t="str">
        <f>'49Phases'!T7</f>
        <v>-1000-5-1 14:8:6.68</v>
      </c>
      <c r="U16" s="88" t="str">
        <f>'49Phases'!U7</f>
        <v>-1001-9-7 5:38:24.24</v>
      </c>
      <c r="V16" s="88" t="str">
        <f>'49Phases'!V7</f>
        <v>-4712-2-2 16:6:46.46</v>
      </c>
      <c r="W16" s="88">
        <f>'49Phases'!W7</f>
        <v>31917.168935103808</v>
      </c>
      <c r="X16" s="88">
        <f>'49Phases'!X7</f>
        <v>33748.662768030073</v>
      </c>
      <c r="Y16" s="88">
        <f>'49Phases'!Y7</f>
        <v>28196.482858564705</v>
      </c>
      <c r="Z16" s="129">
        <f>'49Phases'!Z7</f>
        <v>52617.991863890551</v>
      </c>
      <c r="AA16" s="88">
        <f>'49Phases'!AA7</f>
        <v>36553.331841323525</v>
      </c>
      <c r="AB16" s="88">
        <f>'49Phases'!AB7</f>
        <v>19928.010134564713</v>
      </c>
      <c r="AC16" s="88">
        <f>'49Phases'!AC7</f>
        <v>28846.737802466378</v>
      </c>
      <c r="AD16" s="88">
        <f>'49Phases'!AD7</f>
        <v>32272.058072366752</v>
      </c>
      <c r="AE16" s="88">
        <f>'49Phases'!AE7</f>
        <v>28196.482858564705</v>
      </c>
      <c r="AF16" s="88">
        <f>'49Phases'!AF7</f>
        <v>33984.16825811984</v>
      </c>
      <c r="AG16" s="88">
        <f>'49Phases'!AG7</f>
        <v>33925.486206534784</v>
      </c>
      <c r="AH16" s="88">
        <f>'49Phases'!AH7</f>
        <v>33335.282128506806</v>
      </c>
      <c r="AI16" s="88">
        <f>'49Phases'!AI7</f>
        <v>33718.903359331656</v>
      </c>
      <c r="AJ16" s="88">
        <f>'49Phases'!AJ7</f>
        <v>34132.233879762702</v>
      </c>
      <c r="AK16" s="88" t="str">
        <f>'49Phases'!AK7</f>
        <v>1818-1-29 16:55:43.43</v>
      </c>
      <c r="AL16" s="88">
        <f>'49Phases'!AL7</f>
        <v>33157.147470206488</v>
      </c>
      <c r="AM16" s="88" t="str">
        <f>'49Phases'!AM7</f>
        <v>622-8-5 6:51:35.35</v>
      </c>
      <c r="AN16" s="88">
        <f>'49Phases'!AN7</f>
        <v>36642.813311886974</v>
      </c>
      <c r="AO16" s="88" t="str">
        <f>'49Phases'!AO7</f>
        <v>1-2-4 2:53:56.56</v>
      </c>
      <c r="AP16" s="88">
        <f>'49Phases'!AP7</f>
        <v>44851.719587889034</v>
      </c>
      <c r="AQ16" s="88">
        <f>'49Phases'!AQ7</f>
        <v>44851.719587889034</v>
      </c>
      <c r="AR16" s="88">
        <f>'49Phases'!AR7</f>
        <v>44881.561231534462</v>
      </c>
      <c r="AS16" s="88">
        <f>'49Phases'!AS7</f>
        <v>44881.561231534462</v>
      </c>
      <c r="AT16" s="88">
        <f>'49Phases'!AT7</f>
        <v>44881.561231534462</v>
      </c>
      <c r="AU16" s="88">
        <f>'49Phases'!AU7</f>
        <v>26838.823594016489</v>
      </c>
      <c r="AV16" s="88">
        <f>'49Phases'!AV7</f>
        <v>35696.566814030521</v>
      </c>
      <c r="AW16" s="88">
        <f>'49Phases'!AW7</f>
        <v>12811.832651881501</v>
      </c>
      <c r="AX16" s="88">
        <f>'49Phases'!AX7</f>
        <v>20961.710943603422</v>
      </c>
      <c r="AY16" s="88">
        <f>'49Phases'!AY7</f>
        <v>44911.37314569857</v>
      </c>
      <c r="AZ16" s="88">
        <f>'49Phases'!AZ7</f>
        <v>44911.37314569857</v>
      </c>
      <c r="BA16" s="88">
        <f>'49Phases'!BA7</f>
        <v>44941.091380720027</v>
      </c>
      <c r="BB16" s="88">
        <f>'49Phases'!BB7</f>
        <v>44941.091380720027</v>
      </c>
      <c r="BC16" s="88">
        <f>'49Phases'!BC7</f>
        <v>44941.091380720027</v>
      </c>
      <c r="BD16" s="88">
        <f>'49Phases'!BD7</f>
        <v>44941.091380720027</v>
      </c>
      <c r="BE16" s="88">
        <f>'49Phases'!BE7</f>
        <v>44941.091380720027</v>
      </c>
      <c r="BF16" s="88">
        <f>'49Phases'!BF7</f>
        <v>44941.091380720027</v>
      </c>
      <c r="BG16" s="88">
        <f>'49Phases'!BG7</f>
        <v>28196.482858564705</v>
      </c>
    </row>
    <row r="18" spans="1:59" x14ac:dyDescent="0.25">
      <c r="C18" t="s">
        <v>636</v>
      </c>
      <c r="E18" s="7" t="str">
        <f>'07JD'!E31</f>
        <v>Fri</v>
      </c>
      <c r="F18" s="7" t="str">
        <f>'07JD'!F31</f>
        <v>Sat</v>
      </c>
      <c r="G18" s="7" t="str">
        <f>'07JD'!G31</f>
        <v>Sat</v>
      </c>
      <c r="H18" s="7" t="str">
        <f>'07JD'!H31</f>
        <v>Fri</v>
      </c>
      <c r="I18" s="7" t="str">
        <f>'07JD'!I31</f>
        <v>Tue</v>
      </c>
      <c r="J18" s="7" t="str">
        <f>'07JD'!J31</f>
        <v>Fri</v>
      </c>
      <c r="K18" s="7" t="str">
        <f>'07JD'!K31</f>
        <v>Wed</v>
      </c>
      <c r="L18" s="7" t="str">
        <f>'07JD'!L31</f>
        <v>Sun</v>
      </c>
      <c r="M18" s="7" t="str">
        <f>'07JD'!M31</f>
        <v>Mon</v>
      </c>
      <c r="N18" s="7" t="str">
        <f>'07JD'!N31</f>
        <v>Sat</v>
      </c>
      <c r="O18" s="7" t="str">
        <f>'07JD'!O31</f>
        <v>Sun</v>
      </c>
      <c r="P18" s="7" t="str">
        <f>'07JD'!P31</f>
        <v>Tue</v>
      </c>
      <c r="Q18" s="7" t="str">
        <f>'07JD'!Q31</f>
        <v>Fri</v>
      </c>
      <c r="R18" s="7" t="str">
        <f>'07JD'!R31</f>
        <v>Sat</v>
      </c>
      <c r="S18" s="7" t="str">
        <f>'07JD'!S31</f>
        <v>Thu</v>
      </c>
      <c r="T18" s="7" t="str">
        <f>'07JD'!T31</f>
        <v>Wed</v>
      </c>
      <c r="U18" s="7" t="str">
        <f>'07JD'!U31</f>
        <v>Wed</v>
      </c>
      <c r="V18" s="7" t="str">
        <f>'07JD'!V31</f>
        <v>Mon</v>
      </c>
      <c r="W18" s="7" t="str">
        <f>'07JD'!W31</f>
        <v>Fri</v>
      </c>
      <c r="X18" s="7" t="str">
        <f>'07JD'!X31</f>
        <v>Sun</v>
      </c>
      <c r="Y18" s="7" t="str">
        <f>'07JD'!Y31</f>
        <v>Tue</v>
      </c>
      <c r="Z18" s="7" t="str">
        <f>'07JD'!Z31</f>
        <v>Fri</v>
      </c>
      <c r="AA18" s="7" t="str">
        <f>'07JD'!AA31</f>
        <v>Sat</v>
      </c>
      <c r="AB18" s="7" t="str">
        <f>'07JD'!AB31</f>
        <v>Wed</v>
      </c>
      <c r="AC18" s="7" t="str">
        <f>'07JD'!AC31</f>
        <v>Tue</v>
      </c>
      <c r="AD18" s="7" t="str">
        <f>'07JD'!AD31</f>
        <v>Fri</v>
      </c>
      <c r="AE18" s="7" t="str">
        <f>'07JD'!AE31</f>
        <v>Fri</v>
      </c>
      <c r="AF18" s="7" t="str">
        <f>'07JD'!AF31</f>
        <v>Sun</v>
      </c>
      <c r="AG18" s="7" t="str">
        <f>'07JD'!AG31</f>
        <v>Tue</v>
      </c>
      <c r="AH18" s="7" t="str">
        <f>'07JD'!AH31</f>
        <v>Fri</v>
      </c>
      <c r="AI18" s="7" t="str">
        <f>'07JD'!AI31</f>
        <v>Wed</v>
      </c>
      <c r="AJ18" s="7" t="str">
        <f>'07JD'!AJ31</f>
        <v>Sat</v>
      </c>
      <c r="AK18" s="7" t="str">
        <f>'07JD'!AK31</f>
        <v>Thu</v>
      </c>
      <c r="AL18" s="7" t="str">
        <f>'07JD'!AL31</f>
        <v>Thu</v>
      </c>
      <c r="AM18" s="7" t="str">
        <f>'07JD'!AM31</f>
        <v>Fri</v>
      </c>
      <c r="AN18" s="7" t="str">
        <f>'07JD'!AN31</f>
        <v>Thu</v>
      </c>
      <c r="AO18" s="7" t="str">
        <f>'07JD'!AO31</f>
        <v>Mon</v>
      </c>
      <c r="AP18" s="7" t="str">
        <f>'07JD'!AP31</f>
        <v>Sun</v>
      </c>
      <c r="AQ18" s="7" t="str">
        <f>'07JD'!AQ31</f>
        <v>Sun</v>
      </c>
      <c r="AR18" s="7" t="str">
        <f>'07JD'!AR31</f>
        <v>Sun</v>
      </c>
      <c r="AS18" s="7" t="str">
        <f>'07JD'!AS31</f>
        <v>Mon</v>
      </c>
      <c r="AT18" s="7" t="str">
        <f>'07JD'!AT31</f>
        <v>Tue</v>
      </c>
      <c r="AU18" s="7" t="str">
        <f>'07JD'!AU31</f>
        <v>Fri</v>
      </c>
      <c r="AV18" s="7" t="str">
        <f>'07JD'!AV31</f>
        <v>Mon</v>
      </c>
      <c r="AW18" s="7" t="str">
        <f>'07JD'!AW31</f>
        <v>Sat</v>
      </c>
      <c r="AX18" s="7" t="str">
        <f>'07JD'!AX31</f>
        <v>Mon</v>
      </c>
      <c r="AY18" s="7" t="str">
        <f>'07JD'!AY31</f>
        <v>Thu</v>
      </c>
      <c r="AZ18" s="7" t="str">
        <f>'07JD'!AZ31</f>
        <v>Fri</v>
      </c>
      <c r="BA18" s="7" t="str">
        <f>'07JD'!BA31</f>
        <v>Sat</v>
      </c>
      <c r="BB18" s="7" t="str">
        <f>'07JD'!BB31</f>
        <v>Sun</v>
      </c>
      <c r="BC18" s="7" t="str">
        <f>'07JD'!BC31</f>
        <v>Mon</v>
      </c>
      <c r="BD18" s="7" t="str">
        <f>'07JD'!BD31</f>
        <v>Tue</v>
      </c>
      <c r="BE18" s="7" t="str">
        <f>'07JD'!BE31</f>
        <v>Wed</v>
      </c>
      <c r="BF18" s="7" t="str">
        <f>'07JD'!BF31</f>
        <v>Thu</v>
      </c>
      <c r="BG18" s="7" t="str">
        <f>'07JD'!BG31</f>
        <v>Fri</v>
      </c>
    </row>
    <row r="19" spans="1:59" x14ac:dyDescent="0.25">
      <c r="C19" t="s">
        <v>644</v>
      </c>
      <c r="E19" s="7" t="str">
        <f>'07JD'!E44</f>
        <v>Common</v>
      </c>
      <c r="F19" s="7" t="str">
        <f>'07JD'!F44</f>
        <v>Common</v>
      </c>
      <c r="G19" s="7" t="str">
        <f>'07JD'!G44</f>
        <v>Leap</v>
      </c>
      <c r="H19" s="7" t="str">
        <f>'07JD'!H44</f>
        <v>Common</v>
      </c>
      <c r="I19" s="7" t="str">
        <f>'07JD'!I44</f>
        <v>Common</v>
      </c>
      <c r="J19" s="7" t="str">
        <f>'07JD'!J44</f>
        <v>Common</v>
      </c>
      <c r="K19" s="7" t="str">
        <f>'07JD'!K44</f>
        <v>Leap</v>
      </c>
      <c r="L19" s="7" t="str">
        <f>'07JD'!L44</f>
        <v>Leap</v>
      </c>
      <c r="M19" s="7" t="str">
        <f>'07JD'!M44</f>
        <v>Common</v>
      </c>
      <c r="N19" s="7" t="str">
        <f>'07JD'!N44</f>
        <v>Leap</v>
      </c>
      <c r="O19" s="7" t="str">
        <f>'07JD'!O44</f>
        <v>Leap</v>
      </c>
      <c r="P19" s="7" t="str">
        <f>'07JD'!P44</f>
        <v>Common</v>
      </c>
      <c r="Q19" s="7" t="str">
        <f>'07JD'!Q44</f>
        <v>Common</v>
      </c>
      <c r="R19" s="7" t="str">
        <f>'07JD'!R44</f>
        <v>Common</v>
      </c>
      <c r="S19" s="7" t="str">
        <f>'07JD'!S44</f>
        <v>Leap</v>
      </c>
      <c r="T19" s="7" t="str">
        <f>'07JD'!T44</f>
        <v>Leap</v>
      </c>
      <c r="U19" s="7" t="str">
        <f>'07JD'!U44</f>
        <v>Common</v>
      </c>
      <c r="V19" s="7" t="str">
        <f>'07JD'!V44</f>
        <v>Leap</v>
      </c>
      <c r="W19" s="7" t="str">
        <f>'07JD'!W44</f>
        <v>Common</v>
      </c>
      <c r="X19" s="7" t="str">
        <f>'07JD'!X44</f>
        <v>Leap</v>
      </c>
      <c r="Y19" s="7" t="str">
        <f>'07JD'!Y44</f>
        <v>Common</v>
      </c>
      <c r="Z19" s="7" t="str">
        <f>'07JD'!Z44</f>
        <v>Leap</v>
      </c>
      <c r="AA19" s="7" t="str">
        <f>'07JD'!AA44</f>
        <v>Leap</v>
      </c>
      <c r="AB19" s="7" t="str">
        <f>'07JD'!AB44</f>
        <v>Common</v>
      </c>
      <c r="AC19" s="7" t="str">
        <f>'07JD'!AC44</f>
        <v>Common</v>
      </c>
      <c r="AD19" s="7" t="str">
        <f>'07JD'!AD44</f>
        <v>Leap</v>
      </c>
      <c r="AE19" s="7" t="str">
        <f>'07JD'!AE44</f>
        <v>Common</v>
      </c>
      <c r="AF19" s="7" t="str">
        <f>'07JD'!AF44</f>
        <v>Leap</v>
      </c>
      <c r="AG19" s="7" t="str">
        <f>'07JD'!AG44</f>
        <v>Leap</v>
      </c>
      <c r="AH19" s="7" t="str">
        <f>'07JD'!AH44</f>
        <v>Common</v>
      </c>
      <c r="AI19" s="7" t="str">
        <f>'07JD'!AI44</f>
        <v>Leap</v>
      </c>
      <c r="AJ19" s="7" t="str">
        <f>'07JD'!AJ44</f>
        <v>Common</v>
      </c>
      <c r="AK19" s="7" t="str">
        <f>'07JD'!AK44</f>
        <v>Common</v>
      </c>
      <c r="AL19" s="7" t="str">
        <f>'07JD'!AL44</f>
        <v>Common</v>
      </c>
      <c r="AM19" s="7" t="str">
        <f>'07JD'!AM44</f>
        <v>Common</v>
      </c>
      <c r="AN19" s="7" t="str">
        <f>'07JD'!AN44</f>
        <v>Leap</v>
      </c>
      <c r="AO19" s="7" t="str">
        <f>'07JD'!AO44</f>
        <v>Common</v>
      </c>
      <c r="AP19" s="7" t="str">
        <f>'07JD'!AP44</f>
        <v>Common</v>
      </c>
      <c r="AQ19" s="7" t="str">
        <f>'07JD'!AQ44</f>
        <v>Common</v>
      </c>
      <c r="AR19" s="7" t="str">
        <f>'07JD'!AR44</f>
        <v>Common</v>
      </c>
      <c r="AS19" s="7" t="str">
        <f>'07JD'!AS44</f>
        <v>Common</v>
      </c>
      <c r="AT19" s="7" t="str">
        <f>'07JD'!AT44</f>
        <v>Common</v>
      </c>
      <c r="AU19" s="7" t="str">
        <f>'07JD'!AU44</f>
        <v>Common</v>
      </c>
      <c r="AV19" s="7" t="str">
        <f>'07JD'!AV44</f>
        <v>Common</v>
      </c>
      <c r="AW19" s="7" t="str">
        <f>'07JD'!AW44</f>
        <v>Common</v>
      </c>
      <c r="AX19" s="7" t="str">
        <f>'07JD'!AX44</f>
        <v>Common</v>
      </c>
      <c r="AY19" s="7" t="str">
        <f>'07JD'!AY44</f>
        <v>Common</v>
      </c>
      <c r="AZ19" s="7" t="str">
        <f>'07JD'!AZ44</f>
        <v>Common</v>
      </c>
      <c r="BA19" s="7" t="str">
        <f>'07JD'!BA44</f>
        <v>Common</v>
      </c>
      <c r="BB19" s="7" t="str">
        <f>'07JD'!BB44</f>
        <v>Common</v>
      </c>
      <c r="BC19" s="7" t="str">
        <f>'07JD'!BC44</f>
        <v>Common</v>
      </c>
      <c r="BD19" s="7" t="str">
        <f>'07JD'!BD44</f>
        <v>Common</v>
      </c>
      <c r="BE19" s="7" t="str">
        <f>'07JD'!BE44</f>
        <v>Common</v>
      </c>
      <c r="BF19" s="7" t="str">
        <f>'07JD'!BF44</f>
        <v>Common</v>
      </c>
      <c r="BG19" s="7" t="str">
        <f>'07JD'!BG44</f>
        <v>Common</v>
      </c>
    </row>
    <row r="20" spans="1:59" x14ac:dyDescent="0.25">
      <c r="C20" t="s">
        <v>626</v>
      </c>
      <c r="E20" s="7">
        <f>'07JD'!E50</f>
        <v>277</v>
      </c>
      <c r="F20" s="7">
        <f>'07JD'!F50</f>
        <v>27</v>
      </c>
      <c r="G20" s="7">
        <f>'07JD'!G50</f>
        <v>1</v>
      </c>
      <c r="H20" s="7">
        <f>'07JD'!H50</f>
        <v>1</v>
      </c>
      <c r="I20" s="7">
        <f>'07JD'!I50</f>
        <v>27</v>
      </c>
      <c r="J20" s="7">
        <f>'07JD'!J50</f>
        <v>170</v>
      </c>
      <c r="K20" s="7">
        <f>'07JD'!K50</f>
        <v>27</v>
      </c>
      <c r="L20" s="7">
        <f>'07JD'!L50</f>
        <v>171</v>
      </c>
      <c r="M20" s="7">
        <f>'07JD'!M50</f>
        <v>1</v>
      </c>
      <c r="N20" s="7">
        <f>'07JD'!N50</f>
        <v>1</v>
      </c>
      <c r="O20" s="7">
        <f>'07JD'!O50</f>
        <v>366</v>
      </c>
      <c r="P20" s="7">
        <f>'07JD'!P50</f>
        <v>100</v>
      </c>
      <c r="Q20" s="7">
        <f>'07JD'!Q50</f>
        <v>365</v>
      </c>
      <c r="R20" s="7">
        <f>'07JD'!R50</f>
        <v>1</v>
      </c>
      <c r="S20" s="7">
        <f>'07JD'!S50</f>
        <v>194</v>
      </c>
      <c r="T20" s="7">
        <f>'07JD'!T50</f>
        <v>60</v>
      </c>
      <c r="U20" s="7">
        <f>'07JD'!U50</f>
        <v>229</v>
      </c>
      <c r="V20" s="7">
        <f>'07JD'!V50</f>
        <v>1</v>
      </c>
      <c r="W20" s="7">
        <f>'07JD'!W50</f>
        <v>100</v>
      </c>
      <c r="X20" s="7">
        <f>'07JD'!X50</f>
        <v>103</v>
      </c>
      <c r="Y20" s="7">
        <f>'07JD'!Y50</f>
        <v>46</v>
      </c>
      <c r="Z20" s="7">
        <f>'07JD'!Z50</f>
        <v>1</v>
      </c>
      <c r="AA20" s="7">
        <f>'07JD'!AA50</f>
        <v>1</v>
      </c>
      <c r="AB20" s="7">
        <f>'07JD'!AB50</f>
        <v>181</v>
      </c>
      <c r="AC20" s="19">
        <f>'07JD'!AC50</f>
        <v>318</v>
      </c>
      <c r="AD20" s="19">
        <f>'07JD'!AD50</f>
        <v>113</v>
      </c>
      <c r="AE20" s="19">
        <f>'07JD'!AE50</f>
        <v>49</v>
      </c>
      <c r="AF20" s="19">
        <f>'07JD'!AF50</f>
        <v>355</v>
      </c>
      <c r="AG20" s="19">
        <f>'07JD'!AG50</f>
        <v>287</v>
      </c>
      <c r="AH20" s="19">
        <f>'07JD'!AH50</f>
        <v>60</v>
      </c>
      <c r="AI20" s="19">
        <f>'07JD'!AI50</f>
        <v>92</v>
      </c>
      <c r="AJ20" s="19">
        <f>'07JD'!AJ50</f>
        <v>121</v>
      </c>
      <c r="AK20" s="19">
        <f>'07JD'!AK50</f>
        <v>1</v>
      </c>
      <c r="AL20" s="19">
        <f>'07JD'!AL50</f>
        <v>263</v>
      </c>
      <c r="AM20" s="19">
        <f>'07JD'!AM50</f>
        <v>197</v>
      </c>
      <c r="AN20" s="19">
        <f>'07JD'!AN50</f>
        <v>97</v>
      </c>
      <c r="AO20" s="19">
        <f>'07JD'!AO50</f>
        <v>3</v>
      </c>
      <c r="AP20" s="19">
        <f>'07JD'!AP50</f>
        <v>268</v>
      </c>
      <c r="AQ20" s="19">
        <f>'07JD'!AQ50</f>
        <v>275</v>
      </c>
      <c r="AR20" s="19">
        <f>'07JD'!AR50</f>
        <v>282</v>
      </c>
      <c r="AS20" s="19">
        <f>'07JD'!AS50</f>
        <v>290</v>
      </c>
      <c r="AT20" s="19">
        <f>'07JD'!AT50</f>
        <v>305</v>
      </c>
      <c r="AU20" s="19">
        <f>'07JD'!AU50</f>
        <v>152</v>
      </c>
      <c r="AV20" s="19">
        <f>'07JD'!AV50</f>
        <v>244</v>
      </c>
      <c r="AW20" s="19">
        <f>'07JD'!AW50</f>
        <v>5</v>
      </c>
      <c r="AX20" s="19">
        <f>'07JD'!AX50</f>
        <v>105</v>
      </c>
      <c r="AY20" s="19">
        <f>'07JD'!AY50</f>
        <v>335</v>
      </c>
      <c r="AZ20" s="19">
        <f>'07JD'!AZ50</f>
        <v>336</v>
      </c>
      <c r="BA20" s="19">
        <f>'07JD'!BA50</f>
        <v>337</v>
      </c>
      <c r="BB20" s="19">
        <f>'07JD'!BB50</f>
        <v>338</v>
      </c>
      <c r="BC20" s="19">
        <f>'07JD'!BC50</f>
        <v>339</v>
      </c>
      <c r="BD20" s="19">
        <f>'07JD'!BD50</f>
        <v>340</v>
      </c>
      <c r="BE20" s="19">
        <f>'07JD'!BE50</f>
        <v>341</v>
      </c>
      <c r="BF20" s="19">
        <f>'07JD'!BF50</f>
        <v>342</v>
      </c>
      <c r="BG20" s="19">
        <f>'07JD'!BG50</f>
        <v>49</v>
      </c>
    </row>
    <row r="21" spans="1:59" x14ac:dyDescent="0.25">
      <c r="AC21">
        <v>318</v>
      </c>
      <c r="AD21">
        <v>113</v>
      </c>
      <c r="AE21">
        <v>113</v>
      </c>
      <c r="AF21">
        <v>113</v>
      </c>
      <c r="AG21">
        <v>113</v>
      </c>
      <c r="AH21">
        <v>113</v>
      </c>
      <c r="AI21">
        <v>113</v>
      </c>
      <c r="AJ21">
        <v>113</v>
      </c>
      <c r="AK21">
        <v>113</v>
      </c>
      <c r="AL21">
        <v>113</v>
      </c>
      <c r="AM21">
        <v>113</v>
      </c>
      <c r="AN21">
        <v>113</v>
      </c>
      <c r="AO21">
        <v>113</v>
      </c>
      <c r="AP21">
        <v>113</v>
      </c>
      <c r="AQ21">
        <v>113</v>
      </c>
      <c r="AR21">
        <v>113</v>
      </c>
      <c r="AS21">
        <v>113</v>
      </c>
      <c r="AT21">
        <v>113</v>
      </c>
      <c r="AU21">
        <v>113</v>
      </c>
      <c r="AV21">
        <v>113</v>
      </c>
      <c r="AW21">
        <v>113</v>
      </c>
      <c r="AX21">
        <v>113</v>
      </c>
      <c r="AY21">
        <v>113</v>
      </c>
      <c r="AZ21">
        <v>113</v>
      </c>
      <c r="BA21">
        <v>113</v>
      </c>
      <c r="BB21">
        <v>113</v>
      </c>
      <c r="BC21">
        <v>113</v>
      </c>
      <c r="BD21">
        <v>113</v>
      </c>
      <c r="BE21">
        <v>113</v>
      </c>
      <c r="BF21">
        <v>113</v>
      </c>
      <c r="BG21">
        <v>113</v>
      </c>
    </row>
    <row r="22" spans="1:59" x14ac:dyDescent="0.25">
      <c r="A22">
        <v>48.1</v>
      </c>
      <c r="B22">
        <v>345</v>
      </c>
      <c r="C22" s="5" t="s">
        <v>891</v>
      </c>
      <c r="D22" s="7" t="s">
        <v>1</v>
      </c>
      <c r="E22" s="150">
        <f>'48Illumination'!E39</f>
        <v>0.85618542970003297</v>
      </c>
      <c r="F22" s="150">
        <f>'48Illumination'!F39</f>
        <v>0.32333275416252927</v>
      </c>
      <c r="G22" s="150">
        <f>'48Illumination'!G39</f>
        <v>0.22923815522735214</v>
      </c>
      <c r="H22" s="150">
        <f>'48Illumination'!H39</f>
        <v>0.98267989896596286</v>
      </c>
      <c r="I22" s="150">
        <f>'48Illumination'!I39</f>
        <v>9.5937349025497387E-2</v>
      </c>
      <c r="J22" s="150">
        <f>'48Illumination'!J39</f>
        <v>0.38985696180989532</v>
      </c>
      <c r="K22" s="150">
        <f>'48Illumination'!K39</f>
        <v>0.61510756965731772</v>
      </c>
      <c r="L22" s="150">
        <f>'48Illumination'!L39</f>
        <v>0.23592131747449979</v>
      </c>
      <c r="M22" s="150">
        <f>'48Illumination'!M39</f>
        <v>4.5182952887085626E-3</v>
      </c>
      <c r="N22" s="150">
        <f>'48Illumination'!N39</f>
        <v>0.99831623504911615</v>
      </c>
      <c r="O22" s="150">
        <f>'48Illumination'!O39</f>
        <v>0.18023668390655634</v>
      </c>
      <c r="P22" s="150">
        <f>'48Illumination'!P39</f>
        <v>2.0369536270246236E-2</v>
      </c>
      <c r="Q22" s="150">
        <f>'48Illumination'!Q39</f>
        <v>0.32863499323100198</v>
      </c>
      <c r="R22" s="150">
        <f>'48Illumination'!R39</f>
        <v>0.42117803080106592</v>
      </c>
      <c r="S22" s="150">
        <f>'48Illumination'!S39</f>
        <v>0.43715472954346946</v>
      </c>
      <c r="T22" s="150">
        <f>'48Illumination'!T39</f>
        <v>0.78744740344119224</v>
      </c>
      <c r="U22" s="150">
        <f>'48Illumination'!U39</f>
        <v>3.7540258147309991E-2</v>
      </c>
      <c r="V22" s="150">
        <f>'48Illumination'!V39</f>
        <v>0.80522402224546497</v>
      </c>
      <c r="W22" s="150">
        <f>'48Illumination'!W39</f>
        <v>0.82558047216593788</v>
      </c>
      <c r="X22" s="150">
        <f>'48Illumination'!X39</f>
        <v>0.67856917385943272</v>
      </c>
      <c r="Y22" s="150">
        <f>'48Illumination'!Y39</f>
        <v>0.11670272502785956</v>
      </c>
      <c r="Z22" s="150">
        <f>'48Illumination'!Z39</f>
        <v>3.241312009220787E-3</v>
      </c>
      <c r="AA22" s="150">
        <f>'48Illumination'!AA39</f>
        <v>0.27071127216711544</v>
      </c>
      <c r="AB22" s="150">
        <f>'48Illumination'!AB39</f>
        <v>3.7177764218414566E-3</v>
      </c>
      <c r="AC22" s="150">
        <f>'48Illumination'!AC39</f>
        <v>0.99249061596848764</v>
      </c>
      <c r="AD22" s="150">
        <f>'48Illumination'!AD39</f>
        <v>0.31654944101088234</v>
      </c>
      <c r="AE22" s="150">
        <f>'48Illumination'!AE39</f>
        <v>8.9363484973015161E-7</v>
      </c>
      <c r="AF22" s="150">
        <f>'48Illumination'!AF39</f>
        <v>0.1726990534223945</v>
      </c>
      <c r="AG22" s="150">
        <f>'48Illumination'!AG39</f>
        <v>0.98439777584634713</v>
      </c>
      <c r="AH22" s="150">
        <f>'48Illumination'!AH39</f>
        <v>0.99920508979219269</v>
      </c>
      <c r="AI22" s="150">
        <f>'48Illumination'!AI39</f>
        <v>4.8731220741031089E-2</v>
      </c>
      <c r="AJ22" s="150">
        <f>'48Illumination'!AJ39</f>
        <v>0.66739273247592368</v>
      </c>
      <c r="AK22" s="150">
        <f>'48Illumination'!AK39</f>
        <v>0.42485169762166702</v>
      </c>
      <c r="AL22" s="150">
        <f>'48Illumination'!AL39</f>
        <v>9.9254994932664875E-3</v>
      </c>
      <c r="AM22" s="150">
        <f>'48Illumination'!AM39</f>
        <v>3.757975524355428E-2</v>
      </c>
      <c r="AN22" s="150">
        <f>'48Illumination'!AN39</f>
        <v>1.9919424256626739E-2</v>
      </c>
      <c r="AO22" s="150">
        <f>'48Illumination'!AO39</f>
        <v>0.75680619212887201</v>
      </c>
      <c r="AP22" s="150">
        <f>'48Illumination'!AP39</f>
        <v>1.2588626619230436E-3</v>
      </c>
      <c r="AQ22" s="150">
        <f>'48Illumination'!AQ39</f>
        <v>0.45959997696701266</v>
      </c>
      <c r="AR22" s="150">
        <f>'48Illumination'!AR39</f>
        <v>0.99852317572780258</v>
      </c>
      <c r="AS22" s="150">
        <f>'48Illumination'!AS39</f>
        <v>0.5360230918748905</v>
      </c>
      <c r="AT22" s="150">
        <f>'48Illumination'!AT39</f>
        <v>0.46960588032875666</v>
      </c>
      <c r="AU22" s="150">
        <f>'48Illumination'!AU39</f>
        <v>5.9085181422519062E-4</v>
      </c>
      <c r="AV22" s="150">
        <f>'48Illumination'!AV39</f>
        <v>9.0280530846193474E-3</v>
      </c>
      <c r="AW22" s="150">
        <f>'48Illumination'!AW39</f>
        <v>7.9370316126864404E-4</v>
      </c>
      <c r="AX22" s="150">
        <f>'48Illumination'!AX39</f>
        <v>0.99671287789501917</v>
      </c>
      <c r="AY22" s="150">
        <f>'48Illumination'!AY39</f>
        <v>0.54358231241849986</v>
      </c>
      <c r="AZ22" s="150">
        <f>'48Illumination'!AZ39</f>
        <v>0.65134111268303607</v>
      </c>
      <c r="BA22" s="150">
        <f>'48Illumination'!BA39</f>
        <v>0.74952212748738445</v>
      </c>
      <c r="BB22" s="150">
        <f>'48Illumination'!BB39</f>
        <v>0.83444336455692159</v>
      </c>
      <c r="BC22" s="150">
        <f>'48Illumination'!BC39</f>
        <v>0.90341050867515427</v>
      </c>
      <c r="BD22" s="150">
        <f>'48Illumination'!BD39</f>
        <v>0.95457198853164971</v>
      </c>
      <c r="BE22" s="150">
        <f>'48Illumination'!BE39</f>
        <v>0.98681535153574873</v>
      </c>
      <c r="BF22" s="150">
        <f>'48Illumination'!BF39</f>
        <v>0.99972076974558521</v>
      </c>
      <c r="BG22" s="150">
        <f>'48Illumination'!BG39</f>
        <v>2.952927322394383E-4</v>
      </c>
    </row>
    <row r="23" spans="1:59" s="7" customFormat="1" x14ac:dyDescent="0.25">
      <c r="E23" s="7" t="str">
        <f>'48Illumination'!E41</f>
        <v>Gibbous</v>
      </c>
      <c r="F23" s="7" t="str">
        <f>'48Illumination'!F41</f>
        <v>Crescent</v>
      </c>
      <c r="G23" s="7" t="str">
        <f>'48Illumination'!G41</f>
        <v>Crescent</v>
      </c>
      <c r="H23" s="7" t="str">
        <f>'48Illumination'!H41</f>
        <v>Gibbous</v>
      </c>
      <c r="I23" s="7" t="str">
        <f>'48Illumination'!I41</f>
        <v>Crescent</v>
      </c>
      <c r="J23" s="7" t="str">
        <f>'48Illumination'!J41</f>
        <v>Crescent</v>
      </c>
      <c r="K23" s="7" t="str">
        <f>'48Illumination'!K41</f>
        <v>Gibbous</v>
      </c>
      <c r="L23" s="7" t="str">
        <f>'48Illumination'!L41</f>
        <v>Crescent</v>
      </c>
      <c r="M23" s="7" t="str">
        <f>'48Illumination'!M41</f>
        <v>Crescent</v>
      </c>
      <c r="N23" s="7" t="str">
        <f>'48Illumination'!N41</f>
        <v>Full</v>
      </c>
      <c r="O23" s="7" t="str">
        <f>'48Illumination'!O41</f>
        <v>Crescent</v>
      </c>
      <c r="P23" s="7" t="str">
        <f>'48Illumination'!P41</f>
        <v>Crescent</v>
      </c>
      <c r="Q23" s="7" t="str">
        <f>'48Illumination'!Q41</f>
        <v>Crescent</v>
      </c>
      <c r="R23" s="7" t="str">
        <f>'48Illumination'!R41</f>
        <v>Crescent</v>
      </c>
      <c r="S23" s="7" t="str">
        <f>'48Illumination'!S41</f>
        <v>Crescent</v>
      </c>
      <c r="T23" s="7" t="str">
        <f>'48Illumination'!T41</f>
        <v>Gibbous</v>
      </c>
      <c r="U23" s="7" t="str">
        <f>'48Illumination'!U41</f>
        <v>Crescent</v>
      </c>
      <c r="V23" s="7" t="str">
        <f>'48Illumination'!V41</f>
        <v>Gibbous</v>
      </c>
      <c r="W23" s="7" t="str">
        <f>'48Illumination'!W41</f>
        <v>Gibbous</v>
      </c>
      <c r="X23" s="7" t="str">
        <f>'48Illumination'!X41</f>
        <v>Gibbous</v>
      </c>
      <c r="Y23" s="7" t="str">
        <f>'48Illumination'!Y41</f>
        <v>Crescent</v>
      </c>
      <c r="Z23" s="7" t="str">
        <f>'48Illumination'!Z41</f>
        <v>Crescent</v>
      </c>
      <c r="AA23" s="7" t="str">
        <f>'48Illumination'!AA41</f>
        <v>Crescent</v>
      </c>
      <c r="AB23" s="7" t="str">
        <f>'48Illumination'!AB41</f>
        <v>Crescent</v>
      </c>
      <c r="AC23" s="7" t="str">
        <f>'48Illumination'!AC41</f>
        <v>Full</v>
      </c>
      <c r="AD23" s="7" t="str">
        <f>'48Illumination'!AD41</f>
        <v>Crescent</v>
      </c>
      <c r="AE23" s="7" t="str">
        <f>'48Illumination'!AE41</f>
        <v>New</v>
      </c>
      <c r="AF23" s="7" t="str">
        <f>'48Illumination'!AF41</f>
        <v>Crescent</v>
      </c>
      <c r="AG23" s="7" t="str">
        <f>'48Illumination'!AG41</f>
        <v>Gibbous</v>
      </c>
      <c r="AH23" s="7" t="str">
        <f>'48Illumination'!AH41</f>
        <v>Full</v>
      </c>
      <c r="AI23" s="7" t="str">
        <f>'48Illumination'!AI41</f>
        <v>Crescent</v>
      </c>
      <c r="AJ23" s="7" t="str">
        <f>'48Illumination'!AJ41</f>
        <v>Gibbous</v>
      </c>
      <c r="AK23" s="7" t="str">
        <f>'48Illumination'!AK41</f>
        <v>Crescent</v>
      </c>
      <c r="AL23" s="7" t="str">
        <f>'48Illumination'!AL41</f>
        <v>Crescent</v>
      </c>
      <c r="AM23" s="7" t="str">
        <f>'48Illumination'!AM41</f>
        <v>Crescent</v>
      </c>
      <c r="AN23" s="7" t="str">
        <f>'48Illumination'!AN41</f>
        <v>Crescent</v>
      </c>
      <c r="AO23" s="7" t="str">
        <f>'48Illumination'!AO41</f>
        <v>Gibbous</v>
      </c>
      <c r="AP23" s="7" t="str">
        <f>'48Illumination'!AP41</f>
        <v>New</v>
      </c>
      <c r="AQ23" s="7" t="str">
        <f>'48Illumination'!AQ41</f>
        <v>Quarter</v>
      </c>
      <c r="AR23" s="7" t="str">
        <f>'48Illumination'!AR41</f>
        <v>Full</v>
      </c>
      <c r="AS23" s="7" t="str">
        <f>'48Illumination'!AS41</f>
        <v>Quarter</v>
      </c>
      <c r="AT23" s="7" t="str">
        <f>'48Illumination'!AT41</f>
        <v>Quarter</v>
      </c>
      <c r="AU23" s="7" t="str">
        <f>'48Illumination'!AU41</f>
        <v>New</v>
      </c>
      <c r="AV23" s="7" t="str">
        <f>'48Illumination'!AV41</f>
        <v>Crescent</v>
      </c>
      <c r="AW23" s="7" t="str">
        <f>'48Illumination'!AW41</f>
        <v>New</v>
      </c>
      <c r="AX23" s="7" t="str">
        <f>'48Illumination'!AX41</f>
        <v>Full</v>
      </c>
      <c r="AY23" s="7" t="str">
        <f>'48Illumination'!AY41</f>
        <v>Gibbous</v>
      </c>
      <c r="AZ23" s="7" t="str">
        <f>'48Illumination'!AZ41</f>
        <v>Gibbous</v>
      </c>
      <c r="BA23" s="7" t="str">
        <f>'48Illumination'!BA41</f>
        <v>Gibbous</v>
      </c>
      <c r="BB23" s="7" t="str">
        <f>'48Illumination'!BB41</f>
        <v>Gibbous</v>
      </c>
      <c r="BC23" s="7" t="str">
        <f>'48Illumination'!BC41</f>
        <v>Gibbous</v>
      </c>
      <c r="BD23" s="7" t="str">
        <f>'48Illumination'!BD41</f>
        <v>Gibbous</v>
      </c>
      <c r="BE23" s="7" t="str">
        <f>'48Illumination'!BE41</f>
        <v>Gibbous</v>
      </c>
      <c r="BF23" s="7" t="str">
        <f>'48Illumination'!BF41</f>
        <v>Full</v>
      </c>
      <c r="BG23" s="7" t="str">
        <f>'48Illumination'!BG41</f>
        <v>New</v>
      </c>
    </row>
    <row r="24" spans="1:59" x14ac:dyDescent="0.25">
      <c r="A24">
        <v>48.5</v>
      </c>
      <c r="B24">
        <v>346</v>
      </c>
      <c r="D24" s="7" t="str">
        <f>'48Illumination'!D47</f>
        <v>χ</v>
      </c>
      <c r="E24">
        <f>'48Illumination'!E48</f>
        <v>255.45546499863423</v>
      </c>
      <c r="F24">
        <f>'48Illumination'!F48</f>
        <v>101.16906863054253</v>
      </c>
      <c r="G24">
        <f>'48Illumination'!G48</f>
        <v>110.48142019956796</v>
      </c>
      <c r="H24">
        <f>'48Illumination'!H48</f>
        <v>252.20857008701751</v>
      </c>
      <c r="I24">
        <f>'48Illumination'!I48</f>
        <v>83.308991726847424</v>
      </c>
      <c r="J24">
        <f>'48Illumination'!J48</f>
        <v>66.950313466763475</v>
      </c>
      <c r="K24">
        <f>'48Illumination'!K48</f>
        <v>254.78593484031109</v>
      </c>
      <c r="L24">
        <f>'48Illumination'!L48</f>
        <v>288.91605204952754</v>
      </c>
      <c r="M24">
        <f>'48Illumination'!M48</f>
        <v>97.0613390832915</v>
      </c>
      <c r="N24">
        <f>'48Illumination'!N48</f>
        <v>79.953167198180211</v>
      </c>
      <c r="O24">
        <f>'48Illumination'!O48</f>
        <v>102.61682159586249</v>
      </c>
      <c r="P24">
        <f>'48Illumination'!P48</f>
        <v>235.39785534403137</v>
      </c>
      <c r="Q24">
        <f>'48Illumination'!Q48</f>
        <v>247.95003769924091</v>
      </c>
      <c r="R24">
        <f>'48Illumination'!R48</f>
        <v>246.91071594448485</v>
      </c>
      <c r="S24">
        <f>'48Illumination'!S48</f>
        <v>293.77732397477928</v>
      </c>
      <c r="T24">
        <f>'48Illumination'!T48</f>
        <v>110.47758449132766</v>
      </c>
      <c r="U24">
        <f>'48Illumination'!U48</f>
        <v>299.61303550652076</v>
      </c>
      <c r="V24">
        <f>'48Illumination'!V48</f>
        <v>98.825063922727111</v>
      </c>
      <c r="W24">
        <f>'48Illumination'!W48</f>
        <v>293.91187190994526</v>
      </c>
      <c r="X24">
        <f>'48Illumination'!X48</f>
        <v>285.04454781540176</v>
      </c>
      <c r="Y24">
        <f>'48Illumination'!Y48</f>
        <v>89.236482608931382</v>
      </c>
      <c r="Z24">
        <f>'48Illumination'!Z48</f>
        <v>297.63535510484394</v>
      </c>
      <c r="AA24">
        <f>'48Illumination'!AA48</f>
        <v>111.39430805331985</v>
      </c>
      <c r="AB24">
        <f>'48Illumination'!AB48</f>
        <v>100.82773297430442</v>
      </c>
      <c r="AC24">
        <f>'48Illumination'!AC48</f>
        <v>232.40578819692001</v>
      </c>
      <c r="AD24">
        <f>'48Illumination'!AD48</f>
        <v>272.71126012198863</v>
      </c>
      <c r="AE24">
        <f>'48Illumination'!AE48</f>
        <v>159.72636381789223</v>
      </c>
      <c r="AF24">
        <f>'48Illumination'!AF48</f>
        <v>105.74794087611434</v>
      </c>
      <c r="AG24">
        <f>'48Illumination'!AG48</f>
        <v>55.373653756940499</v>
      </c>
      <c r="AH24">
        <f>'48Illumination'!AH48</f>
        <v>254.31233836801312</v>
      </c>
      <c r="AI24">
        <f>'48Illumination'!AI48</f>
        <v>77.118312842808791</v>
      </c>
      <c r="AJ24">
        <f>'48Illumination'!AJ48</f>
        <v>288.51222372801777</v>
      </c>
      <c r="AK24">
        <f>'48Illumination'!AK48</f>
        <v>112.60794475939755</v>
      </c>
      <c r="AL24">
        <f>'48Illumination'!AL48</f>
        <v>314.70666897459967</v>
      </c>
      <c r="AM24">
        <f>'48Illumination'!AM48</f>
        <v>285.42194832753603</v>
      </c>
      <c r="AN24">
        <f>'48Illumination'!AN48</f>
        <v>267.05179131365799</v>
      </c>
      <c r="AO24">
        <f>'48Illumination'!AO48</f>
        <v>115.27931209641325</v>
      </c>
      <c r="AP24">
        <f>'48Illumination'!AP48</f>
        <v>155.9545160213512</v>
      </c>
      <c r="AQ24">
        <f>'48Illumination'!AQ48</f>
        <v>268.35062273727573</v>
      </c>
      <c r="AR24">
        <f>'48Illumination'!AR48</f>
        <v>214.1963143608468</v>
      </c>
      <c r="AS24">
        <f>'48Illumination'!AS48</f>
        <v>98.355772914740399</v>
      </c>
      <c r="AT24">
        <f>'48Illumination'!AT48</f>
        <v>255.89555546474779</v>
      </c>
      <c r="AU24">
        <f>'48Illumination'!AU48</f>
        <v>124.51549711289201</v>
      </c>
      <c r="AV24">
        <f>'48Illumination'!AV48</f>
        <v>99.763999695640848</v>
      </c>
      <c r="AW24">
        <f>'48Illumination'!AW48</f>
        <v>54.482884052642206</v>
      </c>
      <c r="AX24">
        <f>'48Illumination'!AX48</f>
        <v>124.56767405742484</v>
      </c>
      <c r="AY24">
        <f>'48Illumination'!AY48</f>
        <v>246.74593630072638</v>
      </c>
      <c r="AZ24">
        <f>'48Illumination'!AZ48</f>
        <v>245.31819727196256</v>
      </c>
      <c r="BA24">
        <f>'48Illumination'!BA48</f>
        <v>245.3604401832192</v>
      </c>
      <c r="BB24">
        <f>'48Illumination'!BB48</f>
        <v>246.87831970782577</v>
      </c>
      <c r="BC24">
        <f>'48Illumination'!BC48</f>
        <v>250.01847608098473</v>
      </c>
      <c r="BD24">
        <f>'48Illumination'!BD48</f>
        <v>255.31083057441981</v>
      </c>
      <c r="BE24">
        <f>'48Illumination'!BE48</f>
        <v>265.20532002014824</v>
      </c>
      <c r="BF24">
        <f>'48Illumination'!BF48</f>
        <v>316.84394353022947</v>
      </c>
      <c r="BG24">
        <f>'48Illumination'!BG48</f>
        <v>136.87450329763072</v>
      </c>
    </row>
    <row r="25" spans="1:59" x14ac:dyDescent="0.25">
      <c r="E25" s="7" t="str">
        <f>'48Illumination'!E50</f>
        <v>Waxing</v>
      </c>
      <c r="F25" s="7" t="str">
        <f>'48Illumination'!F50</f>
        <v>Waning</v>
      </c>
      <c r="G25" s="7" t="str">
        <f>'48Illumination'!G50</f>
        <v>Waning</v>
      </c>
      <c r="H25" s="7" t="str">
        <f>'48Illumination'!H50</f>
        <v>Waxing</v>
      </c>
      <c r="I25" s="7" t="str">
        <f>'48Illumination'!I50</f>
        <v>Waning</v>
      </c>
      <c r="J25" s="7" t="str">
        <f>'48Illumination'!J50</f>
        <v>Waning</v>
      </c>
      <c r="K25" s="7" t="str">
        <f>'48Illumination'!K50</f>
        <v>Waxing</v>
      </c>
      <c r="L25" s="7" t="str">
        <f>'48Illumination'!L50</f>
        <v>Waxing</v>
      </c>
      <c r="M25" s="7" t="str">
        <f>'48Illumination'!M50</f>
        <v>Waning</v>
      </c>
      <c r="N25" s="7" t="str">
        <f>'48Illumination'!N50</f>
        <v/>
      </c>
      <c r="O25" s="7" t="str">
        <f>'48Illumination'!O50</f>
        <v>Waning</v>
      </c>
      <c r="P25" s="7" t="str">
        <f>'48Illumination'!P50</f>
        <v>Waxing</v>
      </c>
      <c r="Q25" s="7" t="str">
        <f>'48Illumination'!Q50</f>
        <v>Waxing</v>
      </c>
      <c r="R25" s="7" t="str">
        <f>'48Illumination'!R50</f>
        <v>Waxing</v>
      </c>
      <c r="S25" s="7" t="str">
        <f>'48Illumination'!S50</f>
        <v>Waxing</v>
      </c>
      <c r="T25" s="7" t="str">
        <f>'48Illumination'!T50</f>
        <v>Waning</v>
      </c>
      <c r="U25" s="7" t="str">
        <f>'48Illumination'!U50</f>
        <v>Waxing</v>
      </c>
      <c r="V25" s="7" t="str">
        <f>'48Illumination'!V50</f>
        <v>Waning</v>
      </c>
      <c r="W25" s="7" t="str">
        <f>'48Illumination'!W50</f>
        <v>Waxing</v>
      </c>
      <c r="X25" s="7" t="str">
        <f>'48Illumination'!X50</f>
        <v>Waxing</v>
      </c>
      <c r="Y25" s="7" t="str">
        <f>'48Illumination'!Y50</f>
        <v>Waning</v>
      </c>
      <c r="Z25" s="7" t="str">
        <f>'48Illumination'!Z50</f>
        <v>Waxing</v>
      </c>
      <c r="AA25" s="7" t="str">
        <f>'48Illumination'!AA50</f>
        <v>Waning</v>
      </c>
      <c r="AB25" s="7" t="str">
        <f>'48Illumination'!AB50</f>
        <v>Waning</v>
      </c>
      <c r="AC25" s="7" t="str">
        <f>'48Illumination'!AC50</f>
        <v/>
      </c>
      <c r="AD25" s="7" t="str">
        <f>'48Illumination'!AD50</f>
        <v>Waxing</v>
      </c>
      <c r="AE25" s="7" t="str">
        <f>'48Illumination'!AE50</f>
        <v/>
      </c>
      <c r="AF25" s="7" t="str">
        <f>'48Illumination'!AF50</f>
        <v>Waning</v>
      </c>
      <c r="AG25" s="7" t="str">
        <f>'48Illumination'!AG50</f>
        <v>Waning</v>
      </c>
      <c r="AH25" s="7" t="str">
        <f>'48Illumination'!AH50</f>
        <v/>
      </c>
      <c r="AI25" s="7" t="str">
        <f>'48Illumination'!AI50</f>
        <v>Waning</v>
      </c>
      <c r="AJ25" s="7" t="str">
        <f>'48Illumination'!AJ50</f>
        <v>Waxing</v>
      </c>
      <c r="AK25" s="7" t="str">
        <f>'48Illumination'!AK50</f>
        <v>Waning</v>
      </c>
      <c r="AL25" s="7" t="str">
        <f>'48Illumination'!AL50</f>
        <v>Waxing</v>
      </c>
      <c r="AM25" s="7" t="str">
        <f>'48Illumination'!AM50</f>
        <v>Waxing</v>
      </c>
      <c r="AN25" s="7" t="str">
        <f>'48Illumination'!AN50</f>
        <v>Waxing</v>
      </c>
      <c r="AO25" s="7" t="str">
        <f>'48Illumination'!AO50</f>
        <v>Waning</v>
      </c>
      <c r="AP25" s="7" t="str">
        <f>'48Illumination'!AP50</f>
        <v/>
      </c>
      <c r="AQ25" s="7" t="str">
        <f>'48Illumination'!AQ50</f>
        <v>Waxing</v>
      </c>
      <c r="AR25" s="7" t="str">
        <f>'48Illumination'!AR50</f>
        <v/>
      </c>
      <c r="AS25" s="7" t="str">
        <f>'48Illumination'!AS50</f>
        <v>Waning</v>
      </c>
      <c r="AT25" s="7" t="str">
        <f>'48Illumination'!AT50</f>
        <v>Waxing</v>
      </c>
      <c r="AU25" s="7" t="str">
        <f>'48Illumination'!AU50</f>
        <v/>
      </c>
      <c r="AV25" s="7" t="str">
        <f>'48Illumination'!AV50</f>
        <v>Waning</v>
      </c>
      <c r="AW25" s="7" t="str">
        <f>'48Illumination'!AW50</f>
        <v/>
      </c>
      <c r="AX25" s="7" t="str">
        <f>'48Illumination'!AX50</f>
        <v/>
      </c>
      <c r="AY25" s="7" t="str">
        <f>'48Illumination'!AY50</f>
        <v>Waxing</v>
      </c>
      <c r="AZ25" s="7" t="str">
        <f>'48Illumination'!AZ50</f>
        <v>Waxing</v>
      </c>
      <c r="BA25" s="7" t="str">
        <f>'48Illumination'!BA50</f>
        <v>Waxing</v>
      </c>
      <c r="BB25" s="7" t="str">
        <f>'48Illumination'!BB50</f>
        <v>Waxing</v>
      </c>
      <c r="BC25" s="7" t="str">
        <f>'48Illumination'!BC50</f>
        <v>Waxing</v>
      </c>
      <c r="BD25" s="7" t="str">
        <f>'48Illumination'!BD50</f>
        <v>Waxing</v>
      </c>
      <c r="BE25" s="7" t="str">
        <f>'48Illumination'!BE50</f>
        <v>Waxing</v>
      </c>
      <c r="BF25" s="7" t="str">
        <f>'48Illumination'!BF50</f>
        <v/>
      </c>
      <c r="BG25" s="7" t="str">
        <f>'48Illumination'!BG50</f>
        <v/>
      </c>
    </row>
    <row r="26" spans="1:59" x14ac:dyDescent="0.25">
      <c r="C26" s="8" t="s">
        <v>1018</v>
      </c>
      <c r="H26" s="22"/>
      <c r="AP26" s="270"/>
    </row>
    <row r="27" spans="1:59" x14ac:dyDescent="0.25">
      <c r="C27" s="5" t="s">
        <v>1019</v>
      </c>
      <c r="E27" s="270">
        <f>Minkutel!E15</f>
        <v>0.35715901045401222</v>
      </c>
      <c r="F27" s="270">
        <f>Minkutel!F15</f>
        <v>0.82616245139760203</v>
      </c>
      <c r="G27" s="270">
        <f>Minkutel!G15</f>
        <v>0.82187098063084074</v>
      </c>
      <c r="H27" s="270">
        <f>Minkutel!H15</f>
        <v>0.44487382629691224</v>
      </c>
      <c r="I27" s="270">
        <f>Minkutel!I15</f>
        <v>0.90294058024239365</v>
      </c>
      <c r="J27" s="270">
        <f>Minkutel!J15</f>
        <v>0.76230882004244493</v>
      </c>
      <c r="K27" s="270">
        <f>Minkutel!K15</f>
        <v>0.26300613792196659</v>
      </c>
      <c r="L27" s="270">
        <f>Minkutel!L15</f>
        <v>0.15623757103072905</v>
      </c>
      <c r="M27" s="270">
        <f>Minkutel!M15</f>
        <v>0.98566736854305914</v>
      </c>
      <c r="N27" s="270">
        <f>Minkutel!N15</f>
        <v>0.49398656120277312</v>
      </c>
      <c r="O27" s="270">
        <f>Minkutel!O15</f>
        <v>0.854052118882346</v>
      </c>
      <c r="P27" s="270">
        <f>Minkutel!P15</f>
        <v>3.1206351677129259E-2</v>
      </c>
      <c r="Q27" s="270">
        <f>Minkutel!Q15</f>
        <v>0.20469185400928824</v>
      </c>
      <c r="R27" s="270">
        <f>Minkutel!R15</f>
        <v>0.2385550473179994</v>
      </c>
      <c r="S27" s="270">
        <f>Minkutel!S15</f>
        <v>0.20362078197211783</v>
      </c>
      <c r="T27" s="270">
        <f>Minkutel!T15</f>
        <v>0.64902128195046704</v>
      </c>
      <c r="U27" s="270">
        <f>Minkutel!U15</f>
        <v>4.2312267420919925E-2</v>
      </c>
      <c r="V27" s="270">
        <f>Minkutel!V15</f>
        <v>0.67963097632619829</v>
      </c>
      <c r="W27" s="270">
        <f>Minkutel!W15</f>
        <v>0.37495369177830828</v>
      </c>
      <c r="X27" s="270">
        <f>Minkutel!X15</f>
        <v>0.31073425341101757</v>
      </c>
      <c r="Y27" s="270">
        <f>Minkutel!Y15</f>
        <v>0.87795928969473069</v>
      </c>
      <c r="Z27" s="270">
        <f>Minkutel!Z15</f>
        <v>2.031904827349363E-2</v>
      </c>
      <c r="AA27" s="270">
        <f>Minkutel!AA15</f>
        <v>0.80493938397648512</v>
      </c>
      <c r="AB27" s="270">
        <f>Minkutel!AB15</f>
        <v>0.96480339988829267</v>
      </c>
      <c r="AC27" s="270">
        <f>Minkutel!AC15</f>
        <v>0.4488134273437388</v>
      </c>
      <c r="AD27" s="270">
        <f>Minkutel!AD15</f>
        <v>0.17524076247112624</v>
      </c>
      <c r="AE27" s="270">
        <f>Minkutel!AE15</f>
        <v>0.98466754213299079</v>
      </c>
      <c r="AF27" s="270">
        <f>Minkutel!AF15</f>
        <v>0.8442589672062295</v>
      </c>
      <c r="AG27" s="270">
        <f>Minkutel!AG15</f>
        <v>0.54156182221387072</v>
      </c>
      <c r="AH27" s="270">
        <f>Minkutel!AH15</f>
        <v>0.49455138345686478</v>
      </c>
      <c r="AI27" s="270">
        <f>Minkutel!AI15</f>
        <v>0.93823912701519485</v>
      </c>
      <c r="AJ27" s="270">
        <f>Minkutel!AJ15</f>
        <v>0.31420048395610251</v>
      </c>
      <c r="AK27" s="270">
        <f>Minkutel!AK15</f>
        <v>0.78302738071099032</v>
      </c>
      <c r="AL27" s="270">
        <f>Minkutel!AL15</f>
        <v>8.71406744565709E-3</v>
      </c>
      <c r="AM27" s="270">
        <f>Minkutel!AM15</f>
        <v>6.3069804847924751E-2</v>
      </c>
      <c r="AN27" s="270">
        <f>Minkutel!AN15</f>
        <v>5.5805941612756399E-2</v>
      </c>
      <c r="AO27" s="270">
        <f>Minkutel!AO15</f>
        <v>0.64410402109293852</v>
      </c>
      <c r="AP27" s="270">
        <f>Minkutel!AP15</f>
        <v>0.99064585899445212</v>
      </c>
      <c r="AQ27" s="270">
        <f>Minkutel!AQ15</f>
        <v>0.22956950067080539</v>
      </c>
      <c r="AR27" s="270">
        <f>Minkutel!AR15</f>
        <v>0.46331959893377828</v>
      </c>
      <c r="AS27" s="270">
        <f>Minkutel!AS15</f>
        <v>0.7276641516967276</v>
      </c>
      <c r="AT27" s="270">
        <f>Minkutel!AT15</f>
        <v>0.22397157862752554</v>
      </c>
      <c r="AU27" s="270">
        <f>Minkutel!AU15</f>
        <v>0.99333235639111062</v>
      </c>
      <c r="AV27" s="270">
        <f>Minkutel!AV15</f>
        <v>0.9534986849545779</v>
      </c>
      <c r="AW27" s="270">
        <f>Minkutel!AW15</f>
        <v>0.99431981509968714</v>
      </c>
      <c r="AX27" s="270">
        <f>Minkutel!AX15</f>
        <v>0.50526057477367459</v>
      </c>
      <c r="AY27" s="270">
        <f>Minkutel!AY15</f>
        <v>0.23986737788886031</v>
      </c>
      <c r="AZ27" s="270">
        <f>Minkutel!AZ15</f>
        <v>0.27373057119757149</v>
      </c>
      <c r="BA27" s="270">
        <f>Minkutel!BA15</f>
        <v>0.30759376450628262</v>
      </c>
      <c r="BB27" s="270">
        <f>Minkutel!BB15</f>
        <v>0.3414569578149938</v>
      </c>
      <c r="BC27" s="270">
        <f>Minkutel!BC15</f>
        <v>0.37532015112370493</v>
      </c>
      <c r="BD27" s="270">
        <f>Minkutel!BD15</f>
        <v>0.40918334443241611</v>
      </c>
      <c r="BE27" s="270">
        <f>Minkutel!BE15</f>
        <v>0.44304653774112723</v>
      </c>
      <c r="BF27" s="270">
        <f>Minkutel!BF15</f>
        <v>0.47690973104983841</v>
      </c>
      <c r="BG27" s="270">
        <f>Minkutel!BG15</f>
        <v>0.97954886962086418</v>
      </c>
    </row>
    <row r="28" spans="1:59" x14ac:dyDescent="0.25">
      <c r="C28" t="s">
        <v>612</v>
      </c>
      <c r="E28" s="7" t="str">
        <f>Minkutel!E14</f>
        <v>Waxing Gibbous</v>
      </c>
      <c r="F28" s="7" t="str">
        <f>Minkutel!F14</f>
        <v>Waning Crescent</v>
      </c>
      <c r="G28" s="7" t="str">
        <f>Minkutel!G14</f>
        <v>Waning Crescent</v>
      </c>
      <c r="H28" s="7" t="str">
        <f>Minkutel!H14</f>
        <v>Waxing Gibbous</v>
      </c>
      <c r="I28" s="7" t="str">
        <f>Minkutel!I14</f>
        <v>Waning Crescent</v>
      </c>
      <c r="J28" s="7" t="str">
        <f>Minkutel!J14</f>
        <v>Last Quarter</v>
      </c>
      <c r="K28" s="7" t="str">
        <f>Minkutel!K14</f>
        <v>First Quarter</v>
      </c>
      <c r="L28" s="7" t="str">
        <f>Minkutel!L14</f>
        <v>Waxing Crescent</v>
      </c>
      <c r="M28" s="7" t="str">
        <f>Minkutel!M14</f>
        <v>New</v>
      </c>
      <c r="N28" s="7" t="str">
        <f>Minkutel!N14</f>
        <v>Full</v>
      </c>
      <c r="O28" s="7" t="str">
        <f>Minkutel!O14</f>
        <v>Waning Crescent</v>
      </c>
      <c r="P28" s="7" t="str">
        <f>Minkutel!P14</f>
        <v>New</v>
      </c>
      <c r="Q28" s="7" t="str">
        <f>Minkutel!Q14</f>
        <v>Waxing Crescent</v>
      </c>
      <c r="R28" s="7" t="str">
        <f>Minkutel!R14</f>
        <v>First Quarter</v>
      </c>
      <c r="S28" s="7" t="str">
        <f>Minkutel!S14</f>
        <v>Waxing Crescent</v>
      </c>
      <c r="T28" s="7" t="str">
        <f>Minkutel!T14</f>
        <v>Waning Gibbous</v>
      </c>
      <c r="U28" s="7" t="str">
        <f>Minkutel!U14</f>
        <v>Waxing Crescent</v>
      </c>
      <c r="V28" s="7" t="str">
        <f>Minkutel!V14</f>
        <v>Waning Gibbous</v>
      </c>
      <c r="W28" s="7" t="str">
        <f>Minkutel!W14</f>
        <v>Waxing Gibbous</v>
      </c>
      <c r="X28" s="7" t="str">
        <f>Minkutel!X14</f>
        <v>Waxing Gibbous</v>
      </c>
      <c r="Y28" s="7" t="str">
        <f>Minkutel!Y14</f>
        <v>Waning Crescent</v>
      </c>
      <c r="Z28" s="7" t="str">
        <f>Minkutel!Z14</f>
        <v>New</v>
      </c>
      <c r="AA28" s="7" t="str">
        <f>Minkutel!AA14</f>
        <v>Waning Crescent</v>
      </c>
      <c r="AB28" s="7" t="str">
        <f>Minkutel!AB14</f>
        <v>Waning Crescent</v>
      </c>
      <c r="AC28" s="7" t="str">
        <f>Minkutel!AC14</f>
        <v>Waxing Gibbous</v>
      </c>
      <c r="AD28" s="7" t="str">
        <f>Minkutel!AD14</f>
        <v>Waxing Crescent</v>
      </c>
      <c r="AE28" s="7" t="str">
        <f>Minkutel!AE14</f>
        <v>New</v>
      </c>
      <c r="AF28" s="7" t="str">
        <f>Minkutel!AF14</f>
        <v>Waning Crescent</v>
      </c>
      <c r="AG28" s="7" t="str">
        <f>Minkutel!AG14</f>
        <v>Waning Gibbous</v>
      </c>
      <c r="AH28" s="7" t="str">
        <f>Minkutel!AH14</f>
        <v>Full</v>
      </c>
      <c r="AI28" s="7" t="str">
        <f>Minkutel!AI14</f>
        <v>Waning Crescent</v>
      </c>
      <c r="AJ28" s="7" t="str">
        <f>Minkutel!AJ14</f>
        <v>Waxing Gibbous</v>
      </c>
      <c r="AK28" s="7" t="str">
        <f>Minkutel!AK14</f>
        <v>Last Quarter</v>
      </c>
      <c r="AL28" s="7" t="str">
        <f>Minkutel!AL14</f>
        <v>New</v>
      </c>
      <c r="AM28" s="7" t="str">
        <f>Minkutel!AM14</f>
        <v>Waxing Crescent</v>
      </c>
      <c r="AN28" s="7" t="str">
        <f>Minkutel!AN14</f>
        <v>Waxing Crescent</v>
      </c>
      <c r="AO28" s="7" t="str">
        <f>Minkutel!AO14</f>
        <v>Waning Gibbous</v>
      </c>
      <c r="AP28" s="7" t="str">
        <f>Minkutel!AP14</f>
        <v>New</v>
      </c>
      <c r="AQ28" s="7" t="str">
        <f>Minkutel!AQ14</f>
        <v>First Quarter</v>
      </c>
      <c r="AR28" s="7" t="str">
        <f>Minkutel!AR14</f>
        <v>Waxing Gibbous</v>
      </c>
      <c r="AS28" s="7" t="str">
        <f>Minkutel!AS14</f>
        <v>Last Quarter</v>
      </c>
      <c r="AT28" s="7" t="str">
        <f>Minkutel!AT14</f>
        <v>First Quarter</v>
      </c>
      <c r="AU28" s="7" t="str">
        <f>Minkutel!AU14</f>
        <v>New</v>
      </c>
      <c r="AV28" s="7" t="str">
        <f>Minkutel!AV14</f>
        <v>Waning Crescent</v>
      </c>
      <c r="AW28" s="7" t="str">
        <f>Minkutel!AW14</f>
        <v>New</v>
      </c>
      <c r="AX28" s="7" t="str">
        <f>Minkutel!AX14</f>
        <v>Full</v>
      </c>
      <c r="AY28" s="7" t="str">
        <f>Minkutel!AY14</f>
        <v>First Quarter</v>
      </c>
      <c r="AZ28" s="7" t="str">
        <f>Minkutel!AZ14</f>
        <v>First Quarter</v>
      </c>
      <c r="BA28" s="7" t="str">
        <f>Minkutel!BA14</f>
        <v>Waxing Gibbous</v>
      </c>
      <c r="BB28" s="7" t="str">
        <f>Minkutel!BB14</f>
        <v>Waxing Gibbous</v>
      </c>
      <c r="BC28" s="7" t="str">
        <f>Minkutel!BC14</f>
        <v>Waxing Gibbous</v>
      </c>
      <c r="BD28" s="7" t="str">
        <f>Minkutel!BD14</f>
        <v>Waxing Gibbous</v>
      </c>
      <c r="BE28" s="7" t="str">
        <f>Minkutel!BE14</f>
        <v>Waxing Gibbous</v>
      </c>
      <c r="BF28" s="7" t="str">
        <f>Minkutel!BF14</f>
        <v>Full</v>
      </c>
      <c r="BG28" s="7" t="str">
        <f>Minkutel!BG14</f>
        <v>New</v>
      </c>
    </row>
    <row r="29" spans="1:59" x14ac:dyDescent="0.25">
      <c r="H29" s="22"/>
    </row>
    <row r="30" spans="1:59" x14ac:dyDescent="0.25">
      <c r="H30" s="22"/>
    </row>
    <row r="31" spans="1:59" x14ac:dyDescent="0.25">
      <c r="H31" s="22"/>
    </row>
    <row r="32" spans="1:59" x14ac:dyDescent="0.25">
      <c r="H32" s="22"/>
      <c r="AQ32" s="30"/>
      <c r="AR32" s="30"/>
      <c r="AS32" s="30"/>
      <c r="AT32" s="30"/>
    </row>
    <row r="33" spans="8:11" x14ac:dyDescent="0.25">
      <c r="H33" s="22"/>
    </row>
    <row r="34" spans="8:11" x14ac:dyDescent="0.25">
      <c r="H34" s="22"/>
      <c r="K34" s="56"/>
    </row>
    <row r="35" spans="8:11" x14ac:dyDescent="0.25">
      <c r="H35" s="57"/>
    </row>
    <row r="36" spans="8:11" x14ac:dyDescent="0.25">
      <c r="H36" s="57"/>
    </row>
    <row r="37" spans="8:11" x14ac:dyDescent="0.25">
      <c r="H37" s="57"/>
    </row>
    <row r="38" spans="8:11" x14ac:dyDescent="0.25">
      <c r="H38" s="57"/>
    </row>
    <row r="39" spans="8:11" x14ac:dyDescent="0.25">
      <c r="H39" s="57"/>
    </row>
    <row r="40" spans="8:11" x14ac:dyDescent="0.25">
      <c r="H40" s="57"/>
    </row>
    <row r="41" spans="8:11" x14ac:dyDescent="0.25">
      <c r="H41" s="22"/>
    </row>
    <row r="42" spans="8:11" x14ac:dyDescent="0.25">
      <c r="H42" s="22"/>
    </row>
    <row r="43" spans="8:11" x14ac:dyDescent="0.25">
      <c r="H43" s="22"/>
    </row>
    <row r="44" spans="8:11" x14ac:dyDescent="0.25">
      <c r="H44" s="22"/>
    </row>
    <row r="45" spans="8:11" x14ac:dyDescent="0.25">
      <c r="H45" s="22"/>
    </row>
    <row r="46" spans="8:11" x14ac:dyDescent="0.25">
      <c r="H46" s="22"/>
    </row>
    <row r="47" spans="8:11" x14ac:dyDescent="0.25">
      <c r="H47" s="22"/>
    </row>
    <row r="48" spans="8:11" x14ac:dyDescent="0.25">
      <c r="H48" s="22"/>
    </row>
    <row r="49" spans="8:8" x14ac:dyDescent="0.25">
      <c r="H49" s="22"/>
    </row>
    <row r="50" spans="8:8" x14ac:dyDescent="0.25">
      <c r="H50" s="22"/>
    </row>
    <row r="51" spans="8:8" x14ac:dyDescent="0.25">
      <c r="H51" s="22"/>
    </row>
    <row r="52" spans="8:8" x14ac:dyDescent="0.25">
      <c r="H52" s="22"/>
    </row>
    <row r="53" spans="8:8" x14ac:dyDescent="0.25">
      <c r="H53" s="22"/>
    </row>
    <row r="54" spans="8:8" x14ac:dyDescent="0.25">
      <c r="H54" s="22"/>
    </row>
    <row r="55" spans="8:8" x14ac:dyDescent="0.25">
      <c r="H55" s="22"/>
    </row>
    <row r="56" spans="8:8" x14ac:dyDescent="0.25">
      <c r="H56" s="22"/>
    </row>
    <row r="57" spans="8:8" x14ac:dyDescent="0.25">
      <c r="H57" s="22"/>
    </row>
    <row r="58" spans="8:8" x14ac:dyDescent="0.25">
      <c r="H58" s="22"/>
    </row>
    <row r="59" spans="8:8" x14ac:dyDescent="0.25">
      <c r="H59" s="22"/>
    </row>
    <row r="60" spans="8:8" x14ac:dyDescent="0.25">
      <c r="H60" s="22"/>
    </row>
    <row r="61" spans="8:8" x14ac:dyDescent="0.25">
      <c r="H61" s="22"/>
    </row>
    <row r="62" spans="8:8" x14ac:dyDescent="0.25">
      <c r="H62" s="2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BF46-E012-4D75-9A02-D2BA98D66166}">
  <dimension ref="A1:BG216"/>
  <sheetViews>
    <sheetView workbookViewId="0">
      <selection sqref="A1:D1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1.42578125" bestFit="1" customWidth="1"/>
    <col min="4" max="4" width="9.85546875" style="7" bestFit="1" customWidth="1"/>
    <col min="5" max="5" width="21.7109375" bestFit="1" customWidth="1"/>
    <col min="6" max="6" width="18.28515625" bestFit="1" customWidth="1"/>
    <col min="7" max="7" width="22.140625" bestFit="1" customWidth="1"/>
    <col min="8" max="8" width="21.7109375" bestFit="1" customWidth="1"/>
    <col min="9" max="9" width="22.7109375" bestFit="1" customWidth="1"/>
    <col min="10" max="10" width="21.7109375" bestFit="1" customWidth="1"/>
    <col min="11" max="11" width="23.5703125" bestFit="1" customWidth="1"/>
    <col min="12" max="13" width="22.7109375" bestFit="1" customWidth="1"/>
    <col min="14" max="14" width="17.85546875" bestFit="1" customWidth="1"/>
    <col min="15" max="15" width="19.85546875" bestFit="1" customWidth="1"/>
    <col min="16" max="16" width="18.85546875" bestFit="1" customWidth="1"/>
    <col min="17" max="19" width="19.5703125" bestFit="1" customWidth="1"/>
    <col min="20" max="22" width="20.5703125" bestFit="1" customWidth="1"/>
    <col min="23" max="23" width="21.7109375" bestFit="1" customWidth="1"/>
    <col min="24" max="25" width="22.7109375" bestFit="1" customWidth="1"/>
    <col min="26" max="26" width="21.7109375" bestFit="1" customWidth="1"/>
    <col min="27" max="27" width="22.140625" bestFit="1" customWidth="1"/>
    <col min="28" max="28" width="23.5703125" bestFit="1" customWidth="1"/>
    <col min="29" max="29" width="22.7109375" bestFit="1" customWidth="1"/>
    <col min="30" max="31" width="21.7109375" bestFit="1" customWidth="1"/>
    <col min="32" max="33" width="22.7109375" bestFit="1" customWidth="1"/>
    <col min="34" max="34" width="21.7109375" bestFit="1" customWidth="1"/>
    <col min="35" max="35" width="23.5703125" bestFit="1" customWidth="1"/>
    <col min="36" max="36" width="22.140625" bestFit="1" customWidth="1"/>
    <col min="37" max="37" width="19.85546875" bestFit="1" customWidth="1"/>
    <col min="38" max="38" width="22.7109375" bestFit="1" customWidth="1"/>
    <col min="39" max="39" width="17.85546875" bestFit="1" customWidth="1"/>
    <col min="40" max="40" width="22.7109375" bestFit="1" customWidth="1"/>
    <col min="41" max="41" width="17.85546875" bestFit="1" customWidth="1"/>
    <col min="42" max="42" width="22.7109375" bestFit="1" customWidth="1"/>
    <col min="43" max="43" width="23.5703125" bestFit="1" customWidth="1"/>
    <col min="44" max="44" width="22.7109375" bestFit="1" customWidth="1"/>
    <col min="45" max="45" width="21.7109375" bestFit="1" customWidth="1"/>
    <col min="46" max="46" width="22.140625" bestFit="1" customWidth="1"/>
    <col min="47" max="47" width="22.7109375" bestFit="1" customWidth="1"/>
    <col min="48" max="48" width="23.42578125" bestFit="1" customWidth="1"/>
    <col min="49" max="49" width="22.7109375" bestFit="1" customWidth="1"/>
    <col min="50" max="50" width="23.5703125" bestFit="1" customWidth="1"/>
    <col min="51" max="51" width="22.7109375" bestFit="1" customWidth="1"/>
    <col min="52" max="52" width="21.7109375" bestFit="1" customWidth="1"/>
    <col min="53" max="53" width="22.140625" bestFit="1" customWidth="1"/>
    <col min="54" max="54" width="22.7109375" bestFit="1" customWidth="1"/>
    <col min="55" max="55" width="23.42578125" bestFit="1" customWidth="1"/>
    <col min="56" max="56" width="22.7109375" bestFit="1" customWidth="1"/>
    <col min="57" max="57" width="23.5703125" bestFit="1" customWidth="1"/>
    <col min="58" max="58" width="22.7109375" bestFit="1" customWidth="1"/>
    <col min="59" max="59" width="21.7109375" bestFit="1" customWidth="1"/>
  </cols>
  <sheetData>
    <row r="1" spans="1:59" ht="15.75" x14ac:dyDescent="0.25">
      <c r="A1" s="338" t="s">
        <v>330</v>
      </c>
      <c r="B1" s="338"/>
      <c r="C1" s="338"/>
      <c r="D1" s="338"/>
      <c r="AM1" s="41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s="168" customFormat="1" x14ac:dyDescent="0.25">
      <c r="C3" s="169" t="s">
        <v>291</v>
      </c>
      <c r="D3" s="170" t="s">
        <v>168</v>
      </c>
      <c r="E3" s="171">
        <f>Examples!E3</f>
        <v>21097.81</v>
      </c>
      <c r="F3" s="171" t="str">
        <f>Examples!F3</f>
        <v>0333-01-27 12:00:00</v>
      </c>
      <c r="G3" s="171">
        <f>Examples!G3</f>
        <v>36526.5</v>
      </c>
      <c r="H3" s="171">
        <f>Examples!H3</f>
        <v>36161</v>
      </c>
      <c r="I3" s="171">
        <f>Examples!I3</f>
        <v>31804</v>
      </c>
      <c r="J3" s="171">
        <f>Examples!J3</f>
        <v>31947.5</v>
      </c>
      <c r="K3" s="171">
        <f>Examples!K3</f>
        <v>32169</v>
      </c>
      <c r="L3" s="171">
        <f>Examples!L3</f>
        <v>32313.5</v>
      </c>
      <c r="M3" s="171">
        <f>Examples!M3</f>
        <v>1.000011574074074</v>
      </c>
      <c r="N3" s="171" t="str">
        <f>Examples!N3</f>
        <v>1600-01-01</v>
      </c>
      <c r="O3" s="171" t="str">
        <f>Examples!O3</f>
        <v>1600-12-31</v>
      </c>
      <c r="P3" s="171" t="str">
        <f>Examples!P3</f>
        <v>0837-04-10 07:12</v>
      </c>
      <c r="Q3" s="171" t="str">
        <f>Examples!Q3</f>
        <v>-0123-12-31</v>
      </c>
      <c r="R3" s="171" t="str">
        <f>Examples!R3</f>
        <v>-0122-01-01</v>
      </c>
      <c r="S3" s="171" t="str">
        <f>Examples!S3</f>
        <v>-1000-07-12 12:00</v>
      </c>
      <c r="T3" s="171" t="str">
        <f>Examples!T3</f>
        <v>-1000-02-29</v>
      </c>
      <c r="U3" s="171" t="str">
        <f>Examples!U3</f>
        <v>-1001-08-17 21:36</v>
      </c>
      <c r="V3" s="171" t="str">
        <f>Examples!V3</f>
        <v>-4712-01-01 12:00</v>
      </c>
      <c r="W3" s="171">
        <f>Examples!W3</f>
        <v>31877</v>
      </c>
      <c r="X3" s="171">
        <f>Examples!X3</f>
        <v>33706</v>
      </c>
      <c r="Y3" s="171">
        <f>Examples!Y3</f>
        <v>28171</v>
      </c>
      <c r="Z3" s="171">
        <f>Examples!Z3</f>
        <v>52597</v>
      </c>
      <c r="AA3" s="171">
        <f>Examples!AA3</f>
        <v>36526</v>
      </c>
      <c r="AB3" s="171">
        <f>Examples!AB3</f>
        <v>19905</v>
      </c>
      <c r="AC3" s="171">
        <f>Examples!AC3</f>
        <v>28808</v>
      </c>
      <c r="AD3" s="171">
        <f>Examples!AD3</f>
        <v>32255</v>
      </c>
      <c r="AE3" s="171">
        <f>Examples!AE3</f>
        <v>28174.151157407407</v>
      </c>
      <c r="AF3" s="171">
        <f>Examples!AF3</f>
        <v>33958</v>
      </c>
      <c r="AG3" s="171">
        <f>Examples!AG3</f>
        <v>33890</v>
      </c>
      <c r="AH3" s="171">
        <f>Examples!AH3</f>
        <v>33298</v>
      </c>
      <c r="AI3" s="171">
        <f>Examples!AI3</f>
        <v>33695</v>
      </c>
      <c r="AJ3" s="171">
        <f>Examples!AJ3</f>
        <v>34090</v>
      </c>
      <c r="AK3" s="171" t="str">
        <f>Examples!AK3</f>
        <v>1818-01-01</v>
      </c>
      <c r="AL3" s="171">
        <f>Examples!AL3</f>
        <v>33136</v>
      </c>
      <c r="AM3" s="171" t="str">
        <f>Examples!AM3</f>
        <v>0622-07-16</v>
      </c>
      <c r="AN3" s="171">
        <f>Examples!AN3</f>
        <v>36622</v>
      </c>
      <c r="AO3" s="171" t="str">
        <f>Examples!AO3</f>
        <v>0001-01-03</v>
      </c>
      <c r="AP3" s="171">
        <f>Examples!AP3</f>
        <v>44829.57916666667</v>
      </c>
      <c r="AQ3" s="171">
        <f>Examples!AQ3</f>
        <v>44836.634722222225</v>
      </c>
      <c r="AR3" s="171">
        <f>Examples!AR3</f>
        <v>44843.537499999999</v>
      </c>
      <c r="AS3" s="171">
        <f>Examples!AS3</f>
        <v>44851.34375</v>
      </c>
      <c r="AT3" s="171">
        <f>Examples!AT3</f>
        <v>44866</v>
      </c>
      <c r="AU3" s="171">
        <f>Examples!AU3</f>
        <v>26816</v>
      </c>
      <c r="AV3" s="171">
        <f>Examples!AV3</f>
        <v>35674</v>
      </c>
      <c r="AW3" s="171">
        <f>Examples!AW3</f>
        <v>12789</v>
      </c>
      <c r="AX3" s="171">
        <f>Examples!AX3</f>
        <v>20925</v>
      </c>
      <c r="AY3" s="171">
        <f>Examples!AY3</f>
        <v>44896</v>
      </c>
      <c r="AZ3" s="171">
        <f>Examples!AZ3</f>
        <v>44897</v>
      </c>
      <c r="BA3" s="171">
        <f>Examples!BA3</f>
        <v>44898</v>
      </c>
      <c r="BB3" s="171">
        <f>Examples!BB3</f>
        <v>44899</v>
      </c>
      <c r="BC3" s="171">
        <f>Examples!BC3</f>
        <v>44900</v>
      </c>
      <c r="BD3" s="171">
        <f>Examples!BD3</f>
        <v>44901</v>
      </c>
      <c r="BE3" s="171">
        <f>Examples!BE3</f>
        <v>44902</v>
      </c>
      <c r="BF3" s="171">
        <f>Examples!BF3</f>
        <v>44903</v>
      </c>
      <c r="BG3" s="171">
        <f>Examples!BG3</f>
        <v>28174</v>
      </c>
    </row>
    <row r="4" spans="1:59" x14ac:dyDescent="0.25">
      <c r="A4">
        <v>7.1</v>
      </c>
      <c r="B4">
        <v>59</v>
      </c>
      <c r="C4" s="8" t="s">
        <v>292</v>
      </c>
    </row>
    <row r="5" spans="1:59" x14ac:dyDescent="0.25">
      <c r="C5" t="s">
        <v>98</v>
      </c>
      <c r="D5" s="7" t="s">
        <v>108</v>
      </c>
      <c r="E5" s="279">
        <f>IF(ISNUMBER(E3),YEAR(E3),IF(LEFT(E3,1)="-",INT(LEFT(E3,5)),INT(LEFT(E3,4))))</f>
        <v>1957</v>
      </c>
      <c r="F5" s="279">
        <f t="shared" ref="F5:BG5" si="0">IF(ISNUMBER(F3),YEAR(F3),IF(LEFT(F3,1)="-",INT(LEFT(F3,5)),INT(LEFT(F3,4))))</f>
        <v>333</v>
      </c>
      <c r="G5" s="279">
        <f t="shared" si="0"/>
        <v>2000</v>
      </c>
      <c r="H5" s="279">
        <f t="shared" si="0"/>
        <v>1999</v>
      </c>
      <c r="I5" s="279">
        <f t="shared" si="0"/>
        <v>1987</v>
      </c>
      <c r="J5" s="279">
        <f t="shared" si="0"/>
        <v>1987</v>
      </c>
      <c r="K5" s="279">
        <f t="shared" si="0"/>
        <v>1988</v>
      </c>
      <c r="L5" s="279">
        <f t="shared" si="0"/>
        <v>1988</v>
      </c>
      <c r="M5" s="279">
        <f t="shared" si="0"/>
        <v>1900</v>
      </c>
      <c r="N5" s="279">
        <f t="shared" si="0"/>
        <v>1600</v>
      </c>
      <c r="O5" s="279">
        <f t="shared" si="0"/>
        <v>1600</v>
      </c>
      <c r="P5" s="279">
        <f t="shared" si="0"/>
        <v>837</v>
      </c>
      <c r="Q5" s="279">
        <f t="shared" si="0"/>
        <v>-123</v>
      </c>
      <c r="R5" s="279">
        <f t="shared" si="0"/>
        <v>-122</v>
      </c>
      <c r="S5" s="279">
        <f t="shared" si="0"/>
        <v>-1000</v>
      </c>
      <c r="T5" s="279">
        <f t="shared" si="0"/>
        <v>-1000</v>
      </c>
      <c r="U5" s="279">
        <f t="shared" si="0"/>
        <v>-1001</v>
      </c>
      <c r="V5" s="279">
        <f t="shared" si="0"/>
        <v>-4712</v>
      </c>
      <c r="W5" s="279">
        <f t="shared" si="0"/>
        <v>1987</v>
      </c>
      <c r="X5" s="279">
        <f t="shared" si="0"/>
        <v>1992</v>
      </c>
      <c r="Y5" s="279">
        <f t="shared" si="0"/>
        <v>1977</v>
      </c>
      <c r="Z5" s="279">
        <f t="shared" si="0"/>
        <v>2044</v>
      </c>
      <c r="AA5" s="279">
        <f t="shared" si="0"/>
        <v>2000</v>
      </c>
      <c r="AB5" s="279">
        <f t="shared" si="0"/>
        <v>1954</v>
      </c>
      <c r="AC5" s="279">
        <f t="shared" si="0"/>
        <v>1978</v>
      </c>
      <c r="AD5" s="279">
        <f t="shared" si="0"/>
        <v>1988</v>
      </c>
      <c r="AE5" s="279">
        <f t="shared" si="0"/>
        <v>1977</v>
      </c>
      <c r="AF5" s="279">
        <f t="shared" si="0"/>
        <v>1992</v>
      </c>
      <c r="AG5" s="279">
        <f t="shared" si="0"/>
        <v>1992</v>
      </c>
      <c r="AH5" s="279">
        <f t="shared" si="0"/>
        <v>1991</v>
      </c>
      <c r="AI5" s="279">
        <f t="shared" si="0"/>
        <v>1992</v>
      </c>
      <c r="AJ5" s="279">
        <f t="shared" si="0"/>
        <v>1993</v>
      </c>
      <c r="AK5" s="279">
        <f t="shared" si="0"/>
        <v>1818</v>
      </c>
      <c r="AL5" s="279">
        <f t="shared" si="0"/>
        <v>1990</v>
      </c>
      <c r="AM5" s="279">
        <f t="shared" si="0"/>
        <v>622</v>
      </c>
      <c r="AN5" s="279">
        <f t="shared" si="0"/>
        <v>2000</v>
      </c>
      <c r="AO5" s="279">
        <f t="shared" si="0"/>
        <v>1</v>
      </c>
      <c r="AP5" s="279">
        <f t="shared" si="0"/>
        <v>2022</v>
      </c>
      <c r="AQ5" s="279">
        <f t="shared" si="0"/>
        <v>2022</v>
      </c>
      <c r="AR5" s="279">
        <f t="shared" si="0"/>
        <v>2022</v>
      </c>
      <c r="AS5" s="279">
        <f t="shared" si="0"/>
        <v>2022</v>
      </c>
      <c r="AT5" s="279">
        <f t="shared" si="0"/>
        <v>2022</v>
      </c>
      <c r="AU5" s="279">
        <f t="shared" si="0"/>
        <v>1973</v>
      </c>
      <c r="AV5" s="279">
        <f t="shared" si="0"/>
        <v>1997</v>
      </c>
      <c r="AW5" s="279">
        <f t="shared" si="0"/>
        <v>1935</v>
      </c>
      <c r="AX5" s="279">
        <f t="shared" si="0"/>
        <v>1957</v>
      </c>
      <c r="AY5" s="279">
        <f t="shared" si="0"/>
        <v>2022</v>
      </c>
      <c r="AZ5" s="279">
        <f t="shared" si="0"/>
        <v>2022</v>
      </c>
      <c r="BA5" s="279">
        <f t="shared" si="0"/>
        <v>2022</v>
      </c>
      <c r="BB5" s="279">
        <f t="shared" si="0"/>
        <v>2022</v>
      </c>
      <c r="BC5" s="279">
        <f t="shared" si="0"/>
        <v>2022</v>
      </c>
      <c r="BD5" s="279">
        <f t="shared" si="0"/>
        <v>2022</v>
      </c>
      <c r="BE5" s="279">
        <f t="shared" si="0"/>
        <v>2022</v>
      </c>
      <c r="BF5" s="279">
        <f t="shared" si="0"/>
        <v>2022</v>
      </c>
      <c r="BG5" s="279">
        <f t="shared" si="0"/>
        <v>1977</v>
      </c>
    </row>
    <row r="6" spans="1:59" x14ac:dyDescent="0.25">
      <c r="C6" t="s">
        <v>99</v>
      </c>
      <c r="D6" s="7" t="s">
        <v>109</v>
      </c>
      <c r="E6" s="279">
        <f>IF(ISNUMBER(E3),MONTH(E3),IF(LEFT(E3,1)="-",INT(MID(E3,7,2)),INT(MID(E3,6,2))))</f>
        <v>10</v>
      </c>
      <c r="F6" s="279">
        <f t="shared" ref="F6:BG6" si="1">IF(ISNUMBER(F3),MONTH(F3),IF(LEFT(F3,1)="-",INT(MID(F3,7,2)),INT(MID(F3,6,2))))</f>
        <v>1</v>
      </c>
      <c r="G6" s="279">
        <f t="shared" si="1"/>
        <v>1</v>
      </c>
      <c r="H6" s="279">
        <f t="shared" si="1"/>
        <v>1</v>
      </c>
      <c r="I6" s="279">
        <f t="shared" si="1"/>
        <v>1</v>
      </c>
      <c r="J6" s="279">
        <f t="shared" si="1"/>
        <v>6</v>
      </c>
      <c r="K6" s="279">
        <f t="shared" si="1"/>
        <v>1</v>
      </c>
      <c r="L6" s="279">
        <f t="shared" si="1"/>
        <v>6</v>
      </c>
      <c r="M6" s="279">
        <f t="shared" si="1"/>
        <v>1</v>
      </c>
      <c r="N6" s="279">
        <f t="shared" si="1"/>
        <v>1</v>
      </c>
      <c r="O6" s="279">
        <f t="shared" si="1"/>
        <v>12</v>
      </c>
      <c r="P6" s="279">
        <f t="shared" si="1"/>
        <v>4</v>
      </c>
      <c r="Q6" s="279">
        <f t="shared" si="1"/>
        <v>12</v>
      </c>
      <c r="R6" s="279">
        <f t="shared" si="1"/>
        <v>1</v>
      </c>
      <c r="S6" s="279">
        <f t="shared" si="1"/>
        <v>7</v>
      </c>
      <c r="T6" s="279">
        <f t="shared" si="1"/>
        <v>2</v>
      </c>
      <c r="U6" s="279">
        <f t="shared" si="1"/>
        <v>8</v>
      </c>
      <c r="V6" s="279">
        <f t="shared" si="1"/>
        <v>1</v>
      </c>
      <c r="W6" s="279">
        <f t="shared" si="1"/>
        <v>4</v>
      </c>
      <c r="X6" s="279">
        <f t="shared" si="1"/>
        <v>4</v>
      </c>
      <c r="Y6" s="279">
        <f t="shared" si="1"/>
        <v>2</v>
      </c>
      <c r="Z6" s="279">
        <f t="shared" si="1"/>
        <v>1</v>
      </c>
      <c r="AA6" s="279">
        <f t="shared" si="1"/>
        <v>1</v>
      </c>
      <c r="AB6" s="279">
        <f t="shared" si="1"/>
        <v>6</v>
      </c>
      <c r="AC6" s="279">
        <f t="shared" si="1"/>
        <v>11</v>
      </c>
      <c r="AD6" s="279">
        <f t="shared" si="1"/>
        <v>4</v>
      </c>
      <c r="AE6" s="279">
        <f t="shared" si="1"/>
        <v>2</v>
      </c>
      <c r="AF6" s="279">
        <f t="shared" si="1"/>
        <v>12</v>
      </c>
      <c r="AG6" s="279">
        <f t="shared" si="1"/>
        <v>10</v>
      </c>
      <c r="AH6" s="279">
        <f t="shared" si="1"/>
        <v>3</v>
      </c>
      <c r="AI6" s="279">
        <f t="shared" si="1"/>
        <v>4</v>
      </c>
      <c r="AJ6" s="279">
        <f t="shared" si="1"/>
        <v>5</v>
      </c>
      <c r="AK6" s="279">
        <f t="shared" si="1"/>
        <v>1</v>
      </c>
      <c r="AL6" s="279">
        <f t="shared" si="1"/>
        <v>9</v>
      </c>
      <c r="AM6" s="279">
        <f t="shared" si="1"/>
        <v>7</v>
      </c>
      <c r="AN6" s="279">
        <f t="shared" si="1"/>
        <v>4</v>
      </c>
      <c r="AO6" s="279">
        <f t="shared" si="1"/>
        <v>1</v>
      </c>
      <c r="AP6" s="279">
        <f t="shared" si="1"/>
        <v>9</v>
      </c>
      <c r="AQ6" s="279">
        <f t="shared" si="1"/>
        <v>10</v>
      </c>
      <c r="AR6" s="279">
        <f t="shared" si="1"/>
        <v>10</v>
      </c>
      <c r="AS6" s="279">
        <f t="shared" si="1"/>
        <v>10</v>
      </c>
      <c r="AT6" s="279">
        <f t="shared" si="1"/>
        <v>11</v>
      </c>
      <c r="AU6" s="279">
        <f t="shared" si="1"/>
        <v>6</v>
      </c>
      <c r="AV6" s="279">
        <f t="shared" si="1"/>
        <v>9</v>
      </c>
      <c r="AW6" s="279">
        <f t="shared" si="1"/>
        <v>1</v>
      </c>
      <c r="AX6" s="279">
        <f t="shared" si="1"/>
        <v>4</v>
      </c>
      <c r="AY6" s="279">
        <f t="shared" si="1"/>
        <v>12</v>
      </c>
      <c r="AZ6" s="279">
        <f t="shared" si="1"/>
        <v>12</v>
      </c>
      <c r="BA6" s="279">
        <f t="shared" si="1"/>
        <v>12</v>
      </c>
      <c r="BB6" s="279">
        <f t="shared" si="1"/>
        <v>12</v>
      </c>
      <c r="BC6" s="279">
        <f t="shared" si="1"/>
        <v>12</v>
      </c>
      <c r="BD6" s="279">
        <f t="shared" si="1"/>
        <v>12</v>
      </c>
      <c r="BE6" s="279">
        <f t="shared" si="1"/>
        <v>12</v>
      </c>
      <c r="BF6" s="279">
        <f t="shared" si="1"/>
        <v>12</v>
      </c>
      <c r="BG6" s="279">
        <f t="shared" si="1"/>
        <v>2</v>
      </c>
    </row>
    <row r="7" spans="1:59" s="71" customFormat="1" x14ac:dyDescent="0.25">
      <c r="C7" s="6" t="s">
        <v>100</v>
      </c>
      <c r="D7" s="7" t="s">
        <v>293</v>
      </c>
      <c r="E7" s="279">
        <f>IF(ISNUMBER(E3),DAY(E3),IF(LEFT(E3,1)="-",INT(MID(E3,10,2)),INT(MID(E3,9,2))))</f>
        <v>4</v>
      </c>
      <c r="F7" s="279">
        <f t="shared" ref="F7:BG7" si="2">IF(ISNUMBER(F3),DAY(F3),IF(LEFT(F3,1)="-",INT(MID(F3,10,2)),INT(MID(F3,9,2))))</f>
        <v>27</v>
      </c>
      <c r="G7" s="279">
        <f t="shared" si="2"/>
        <v>1</v>
      </c>
      <c r="H7" s="279">
        <f t="shared" si="2"/>
        <v>1</v>
      </c>
      <c r="I7" s="279">
        <f t="shared" si="2"/>
        <v>27</v>
      </c>
      <c r="J7" s="279">
        <f t="shared" si="2"/>
        <v>19</v>
      </c>
      <c r="K7" s="279">
        <f t="shared" si="2"/>
        <v>27</v>
      </c>
      <c r="L7" s="279">
        <f t="shared" si="2"/>
        <v>19</v>
      </c>
      <c r="M7" s="279">
        <f t="shared" si="2"/>
        <v>1</v>
      </c>
      <c r="N7" s="279">
        <f t="shared" si="2"/>
        <v>1</v>
      </c>
      <c r="O7" s="279">
        <f t="shared" si="2"/>
        <v>31</v>
      </c>
      <c r="P7" s="279">
        <f t="shared" si="2"/>
        <v>10</v>
      </c>
      <c r="Q7" s="279">
        <f t="shared" si="2"/>
        <v>31</v>
      </c>
      <c r="R7" s="279">
        <f t="shared" si="2"/>
        <v>1</v>
      </c>
      <c r="S7" s="279">
        <f t="shared" si="2"/>
        <v>12</v>
      </c>
      <c r="T7" s="279">
        <f t="shared" si="2"/>
        <v>29</v>
      </c>
      <c r="U7" s="279">
        <f t="shared" si="2"/>
        <v>17</v>
      </c>
      <c r="V7" s="279">
        <f t="shared" si="2"/>
        <v>1</v>
      </c>
      <c r="W7" s="279">
        <f t="shared" si="2"/>
        <v>10</v>
      </c>
      <c r="X7" s="279">
        <f t="shared" si="2"/>
        <v>12</v>
      </c>
      <c r="Y7" s="279">
        <f t="shared" si="2"/>
        <v>15</v>
      </c>
      <c r="Z7" s="279">
        <f t="shared" si="2"/>
        <v>1</v>
      </c>
      <c r="AA7" s="279">
        <f t="shared" si="2"/>
        <v>1</v>
      </c>
      <c r="AB7" s="279">
        <f t="shared" si="2"/>
        <v>30</v>
      </c>
      <c r="AC7" s="279">
        <f t="shared" si="2"/>
        <v>14</v>
      </c>
      <c r="AD7" s="279">
        <f t="shared" si="2"/>
        <v>22</v>
      </c>
      <c r="AE7" s="279">
        <f t="shared" si="2"/>
        <v>18</v>
      </c>
      <c r="AF7" s="279">
        <f t="shared" si="2"/>
        <v>20</v>
      </c>
      <c r="AG7" s="279">
        <f t="shared" si="2"/>
        <v>13</v>
      </c>
      <c r="AH7" s="279">
        <f t="shared" si="2"/>
        <v>1</v>
      </c>
      <c r="AI7" s="279">
        <f t="shared" si="2"/>
        <v>1</v>
      </c>
      <c r="AJ7" s="279">
        <f t="shared" si="2"/>
        <v>1</v>
      </c>
      <c r="AK7" s="279">
        <f t="shared" si="2"/>
        <v>1</v>
      </c>
      <c r="AL7" s="279">
        <f t="shared" si="2"/>
        <v>20</v>
      </c>
      <c r="AM7" s="279">
        <f t="shared" si="2"/>
        <v>16</v>
      </c>
      <c r="AN7" s="279">
        <f t="shared" si="2"/>
        <v>6</v>
      </c>
      <c r="AO7" s="279">
        <f t="shared" si="2"/>
        <v>3</v>
      </c>
      <c r="AP7" s="279">
        <f t="shared" si="2"/>
        <v>25</v>
      </c>
      <c r="AQ7" s="279">
        <f t="shared" si="2"/>
        <v>2</v>
      </c>
      <c r="AR7" s="279">
        <f t="shared" si="2"/>
        <v>9</v>
      </c>
      <c r="AS7" s="279">
        <f t="shared" si="2"/>
        <v>17</v>
      </c>
      <c r="AT7" s="279">
        <f t="shared" si="2"/>
        <v>1</v>
      </c>
      <c r="AU7" s="279">
        <f t="shared" si="2"/>
        <v>1</v>
      </c>
      <c r="AV7" s="279">
        <f t="shared" si="2"/>
        <v>1</v>
      </c>
      <c r="AW7" s="279">
        <f t="shared" si="2"/>
        <v>5</v>
      </c>
      <c r="AX7" s="279">
        <f t="shared" si="2"/>
        <v>15</v>
      </c>
      <c r="AY7" s="279">
        <f t="shared" si="2"/>
        <v>1</v>
      </c>
      <c r="AZ7" s="279">
        <f t="shared" si="2"/>
        <v>2</v>
      </c>
      <c r="BA7" s="279">
        <f t="shared" si="2"/>
        <v>3</v>
      </c>
      <c r="BB7" s="279">
        <f t="shared" si="2"/>
        <v>4</v>
      </c>
      <c r="BC7" s="279">
        <f t="shared" si="2"/>
        <v>5</v>
      </c>
      <c r="BD7" s="279">
        <f t="shared" si="2"/>
        <v>6</v>
      </c>
      <c r="BE7" s="279">
        <f t="shared" si="2"/>
        <v>7</v>
      </c>
      <c r="BF7" s="279">
        <f t="shared" si="2"/>
        <v>8</v>
      </c>
      <c r="BG7" s="279">
        <f t="shared" si="2"/>
        <v>18</v>
      </c>
    </row>
    <row r="8" spans="1:59" x14ac:dyDescent="0.25">
      <c r="C8" t="s">
        <v>92</v>
      </c>
      <c r="D8" s="7" t="s">
        <v>166</v>
      </c>
      <c r="E8" s="279">
        <f>IF(ISNUMBER(E3),HOUR(E3),IF(LEN(E3)&lt;14,0,IF(LEFT(E3,1)="-",INT(MID(E3,13,2)),INT(MID(E3,12,2)))))</f>
        <v>19</v>
      </c>
      <c r="F8" s="279">
        <f t="shared" ref="F8:BG8" si="3">IF(ISNUMBER(F3),HOUR(F3),IF(LEN(F3)&lt;14,0,IF(LEFT(F3,1)="-",INT(MID(F3,13,2)),INT(MID(F3,12,2)))))</f>
        <v>12</v>
      </c>
      <c r="G8" s="279">
        <f t="shared" si="3"/>
        <v>12</v>
      </c>
      <c r="H8" s="279">
        <f t="shared" si="3"/>
        <v>0</v>
      </c>
      <c r="I8" s="279">
        <f t="shared" si="3"/>
        <v>0</v>
      </c>
      <c r="J8" s="279">
        <f t="shared" si="3"/>
        <v>12</v>
      </c>
      <c r="K8" s="279">
        <f t="shared" si="3"/>
        <v>0</v>
      </c>
      <c r="L8" s="279">
        <f t="shared" si="3"/>
        <v>12</v>
      </c>
      <c r="M8" s="279">
        <f t="shared" si="3"/>
        <v>0</v>
      </c>
      <c r="N8" s="279">
        <f t="shared" si="3"/>
        <v>0</v>
      </c>
      <c r="O8" s="279">
        <f t="shared" si="3"/>
        <v>0</v>
      </c>
      <c r="P8" s="279">
        <f t="shared" si="3"/>
        <v>7</v>
      </c>
      <c r="Q8" s="279">
        <f t="shared" si="3"/>
        <v>0</v>
      </c>
      <c r="R8" s="279">
        <f t="shared" si="3"/>
        <v>0</v>
      </c>
      <c r="S8" s="279">
        <f t="shared" si="3"/>
        <v>12</v>
      </c>
      <c r="T8" s="279">
        <f t="shared" si="3"/>
        <v>0</v>
      </c>
      <c r="U8" s="279">
        <f t="shared" si="3"/>
        <v>21</v>
      </c>
      <c r="V8" s="279">
        <f t="shared" si="3"/>
        <v>12</v>
      </c>
      <c r="W8" s="279">
        <f t="shared" si="3"/>
        <v>0</v>
      </c>
      <c r="X8" s="279">
        <f t="shared" si="3"/>
        <v>0</v>
      </c>
      <c r="Y8" s="279">
        <f t="shared" si="3"/>
        <v>0</v>
      </c>
      <c r="Z8" s="279">
        <f t="shared" si="3"/>
        <v>0</v>
      </c>
      <c r="AA8" s="279">
        <f t="shared" si="3"/>
        <v>0</v>
      </c>
      <c r="AB8" s="279">
        <f t="shared" si="3"/>
        <v>0</v>
      </c>
      <c r="AC8" s="279">
        <f t="shared" si="3"/>
        <v>0</v>
      </c>
      <c r="AD8" s="279">
        <f t="shared" si="3"/>
        <v>0</v>
      </c>
      <c r="AE8" s="279">
        <f t="shared" si="3"/>
        <v>3</v>
      </c>
      <c r="AF8" s="279">
        <f t="shared" si="3"/>
        <v>0</v>
      </c>
      <c r="AG8" s="279">
        <f t="shared" si="3"/>
        <v>0</v>
      </c>
      <c r="AH8" s="279">
        <f t="shared" si="3"/>
        <v>0</v>
      </c>
      <c r="AI8" s="279">
        <f t="shared" si="3"/>
        <v>0</v>
      </c>
      <c r="AJ8" s="279">
        <f t="shared" si="3"/>
        <v>0</v>
      </c>
      <c r="AK8" s="279">
        <f t="shared" si="3"/>
        <v>0</v>
      </c>
      <c r="AL8" s="279">
        <f t="shared" si="3"/>
        <v>0</v>
      </c>
      <c r="AM8" s="279">
        <f t="shared" si="3"/>
        <v>0</v>
      </c>
      <c r="AN8" s="279">
        <f t="shared" si="3"/>
        <v>0</v>
      </c>
      <c r="AO8" s="279">
        <f t="shared" si="3"/>
        <v>0</v>
      </c>
      <c r="AP8" s="279">
        <f t="shared" si="3"/>
        <v>13</v>
      </c>
      <c r="AQ8" s="279">
        <f t="shared" si="3"/>
        <v>15</v>
      </c>
      <c r="AR8" s="279">
        <f t="shared" si="3"/>
        <v>12</v>
      </c>
      <c r="AS8" s="279">
        <f t="shared" si="3"/>
        <v>8</v>
      </c>
      <c r="AT8" s="279">
        <f t="shared" si="3"/>
        <v>0</v>
      </c>
      <c r="AU8" s="279">
        <f t="shared" si="3"/>
        <v>0</v>
      </c>
      <c r="AV8" s="279">
        <f t="shared" si="3"/>
        <v>0</v>
      </c>
      <c r="AW8" s="279">
        <f t="shared" si="3"/>
        <v>0</v>
      </c>
      <c r="AX8" s="279">
        <f t="shared" si="3"/>
        <v>0</v>
      </c>
      <c r="AY8" s="279">
        <f t="shared" si="3"/>
        <v>0</v>
      </c>
      <c r="AZ8" s="279">
        <f t="shared" si="3"/>
        <v>0</v>
      </c>
      <c r="BA8" s="279">
        <f t="shared" si="3"/>
        <v>0</v>
      </c>
      <c r="BB8" s="279">
        <f t="shared" si="3"/>
        <v>0</v>
      </c>
      <c r="BC8" s="279">
        <f t="shared" si="3"/>
        <v>0</v>
      </c>
      <c r="BD8" s="279">
        <f t="shared" si="3"/>
        <v>0</v>
      </c>
      <c r="BE8" s="279">
        <f t="shared" si="3"/>
        <v>0</v>
      </c>
      <c r="BF8" s="279">
        <f t="shared" si="3"/>
        <v>0</v>
      </c>
      <c r="BG8" s="279">
        <f t="shared" si="3"/>
        <v>0</v>
      </c>
    </row>
    <row r="9" spans="1:59" x14ac:dyDescent="0.25">
      <c r="C9" t="s">
        <v>93</v>
      </c>
      <c r="D9" s="7" t="s">
        <v>294</v>
      </c>
      <c r="E9" s="279">
        <f>IF(ISNUMBER(E3),MINUTE(E3),IF(LEN(E3)&lt;14,0,IF(LEFT(E3,1)="-",INT(MID(E3,16,2)),INT(MID(E3,15,2)))))</f>
        <v>26</v>
      </c>
      <c r="F9" s="279">
        <f t="shared" ref="F9:BG9" si="4">IF(ISNUMBER(F3),MINUTE(F3),IF(LEN(F3)&lt;14,0,IF(LEFT(F3,1)="-",INT(MID(F3,16,2)),INT(MID(F3,15,2)))))</f>
        <v>0</v>
      </c>
      <c r="G9" s="279">
        <f t="shared" si="4"/>
        <v>0</v>
      </c>
      <c r="H9" s="279">
        <f t="shared" si="4"/>
        <v>0</v>
      </c>
      <c r="I9" s="279">
        <f t="shared" si="4"/>
        <v>0</v>
      </c>
      <c r="J9" s="279">
        <f t="shared" si="4"/>
        <v>0</v>
      </c>
      <c r="K9" s="279">
        <f t="shared" si="4"/>
        <v>0</v>
      </c>
      <c r="L9" s="279">
        <f t="shared" si="4"/>
        <v>0</v>
      </c>
      <c r="M9" s="279">
        <f t="shared" si="4"/>
        <v>0</v>
      </c>
      <c r="N9" s="279">
        <f t="shared" si="4"/>
        <v>0</v>
      </c>
      <c r="O9" s="279">
        <f t="shared" si="4"/>
        <v>0</v>
      </c>
      <c r="P9" s="279">
        <f t="shared" si="4"/>
        <v>12</v>
      </c>
      <c r="Q9" s="279">
        <f t="shared" si="4"/>
        <v>0</v>
      </c>
      <c r="R9" s="279">
        <f t="shared" si="4"/>
        <v>0</v>
      </c>
      <c r="S9" s="279">
        <f t="shared" si="4"/>
        <v>0</v>
      </c>
      <c r="T9" s="279">
        <f t="shared" si="4"/>
        <v>0</v>
      </c>
      <c r="U9" s="279">
        <f t="shared" si="4"/>
        <v>36</v>
      </c>
      <c r="V9" s="279">
        <f t="shared" si="4"/>
        <v>0</v>
      </c>
      <c r="W9" s="279">
        <f t="shared" si="4"/>
        <v>0</v>
      </c>
      <c r="X9" s="279">
        <f t="shared" si="4"/>
        <v>0</v>
      </c>
      <c r="Y9" s="279">
        <f t="shared" si="4"/>
        <v>0</v>
      </c>
      <c r="Z9" s="279">
        <f t="shared" si="4"/>
        <v>0</v>
      </c>
      <c r="AA9" s="279">
        <f t="shared" si="4"/>
        <v>0</v>
      </c>
      <c r="AB9" s="279">
        <f t="shared" si="4"/>
        <v>0</v>
      </c>
      <c r="AC9" s="279">
        <f t="shared" si="4"/>
        <v>0</v>
      </c>
      <c r="AD9" s="279">
        <f t="shared" si="4"/>
        <v>0</v>
      </c>
      <c r="AE9" s="279">
        <f t="shared" si="4"/>
        <v>37</v>
      </c>
      <c r="AF9" s="279">
        <f t="shared" si="4"/>
        <v>0</v>
      </c>
      <c r="AG9" s="279">
        <f t="shared" si="4"/>
        <v>0</v>
      </c>
      <c r="AH9" s="279">
        <f t="shared" si="4"/>
        <v>0</v>
      </c>
      <c r="AI9" s="279">
        <f t="shared" si="4"/>
        <v>0</v>
      </c>
      <c r="AJ9" s="279">
        <f t="shared" si="4"/>
        <v>0</v>
      </c>
      <c r="AK9" s="279">
        <f t="shared" si="4"/>
        <v>0</v>
      </c>
      <c r="AL9" s="279">
        <f t="shared" si="4"/>
        <v>0</v>
      </c>
      <c r="AM9" s="279">
        <f t="shared" si="4"/>
        <v>0</v>
      </c>
      <c r="AN9" s="279">
        <f t="shared" si="4"/>
        <v>0</v>
      </c>
      <c r="AO9" s="279">
        <f t="shared" si="4"/>
        <v>0</v>
      </c>
      <c r="AP9" s="279">
        <f t="shared" si="4"/>
        <v>54</v>
      </c>
      <c r="AQ9" s="279">
        <f t="shared" si="4"/>
        <v>14</v>
      </c>
      <c r="AR9" s="279">
        <f t="shared" si="4"/>
        <v>54</v>
      </c>
      <c r="AS9" s="279">
        <f t="shared" si="4"/>
        <v>15</v>
      </c>
      <c r="AT9" s="279">
        <f t="shared" si="4"/>
        <v>0</v>
      </c>
      <c r="AU9" s="279">
        <f t="shared" si="4"/>
        <v>0</v>
      </c>
      <c r="AV9" s="279">
        <f t="shared" si="4"/>
        <v>0</v>
      </c>
      <c r="AW9" s="279">
        <f t="shared" si="4"/>
        <v>0</v>
      </c>
      <c r="AX9" s="279">
        <f t="shared" si="4"/>
        <v>0</v>
      </c>
      <c r="AY9" s="279">
        <f t="shared" si="4"/>
        <v>0</v>
      </c>
      <c r="AZ9" s="279">
        <f t="shared" si="4"/>
        <v>0</v>
      </c>
      <c r="BA9" s="279">
        <f t="shared" si="4"/>
        <v>0</v>
      </c>
      <c r="BB9" s="279">
        <f t="shared" si="4"/>
        <v>0</v>
      </c>
      <c r="BC9" s="279">
        <f t="shared" si="4"/>
        <v>0</v>
      </c>
      <c r="BD9" s="279">
        <f t="shared" si="4"/>
        <v>0</v>
      </c>
      <c r="BE9" s="279">
        <f t="shared" si="4"/>
        <v>0</v>
      </c>
      <c r="BF9" s="279">
        <f t="shared" si="4"/>
        <v>0</v>
      </c>
      <c r="BG9" s="279">
        <f t="shared" si="4"/>
        <v>0</v>
      </c>
    </row>
    <row r="10" spans="1:59" x14ac:dyDescent="0.25">
      <c r="C10" t="s">
        <v>94</v>
      </c>
      <c r="D10" s="7" t="s">
        <v>295</v>
      </c>
      <c r="E10" s="23">
        <f t="shared" ref="E10:P10" si="5">IF(ISNUMBER(E3),SECOND(E5),0)</f>
        <v>0</v>
      </c>
      <c r="F10" s="23">
        <f t="shared" si="5"/>
        <v>0</v>
      </c>
      <c r="G10" s="23">
        <f t="shared" si="5"/>
        <v>0</v>
      </c>
      <c r="H10" s="23">
        <f t="shared" si="5"/>
        <v>0</v>
      </c>
      <c r="I10" s="23">
        <f t="shared" si="5"/>
        <v>0</v>
      </c>
      <c r="J10" s="23">
        <f t="shared" si="5"/>
        <v>0</v>
      </c>
      <c r="K10" s="23">
        <f t="shared" si="5"/>
        <v>0</v>
      </c>
      <c r="L10" s="23">
        <f t="shared" si="5"/>
        <v>0</v>
      </c>
      <c r="M10" s="23">
        <f t="shared" si="5"/>
        <v>0</v>
      </c>
      <c r="N10" s="23">
        <f t="shared" si="5"/>
        <v>0</v>
      </c>
      <c r="O10" s="23">
        <f t="shared" si="5"/>
        <v>0</v>
      </c>
      <c r="P10" s="23">
        <f t="shared" si="5"/>
        <v>0</v>
      </c>
      <c r="Q10" s="23">
        <f>IF(ISNUMBER(Q3),SECOND(Q5),0)</f>
        <v>0</v>
      </c>
      <c r="R10" s="23">
        <f t="shared" ref="R10:BG10" si="6">IF(ISNUMBER(R3),SECOND(R5),0)</f>
        <v>0</v>
      </c>
      <c r="S10" s="23">
        <f t="shared" si="6"/>
        <v>0</v>
      </c>
      <c r="T10" s="23">
        <f t="shared" si="6"/>
        <v>0</v>
      </c>
      <c r="U10" s="23">
        <f t="shared" si="6"/>
        <v>0</v>
      </c>
      <c r="V10" s="23">
        <f t="shared" si="6"/>
        <v>0</v>
      </c>
      <c r="W10" s="23">
        <f t="shared" si="6"/>
        <v>0</v>
      </c>
      <c r="X10" s="23">
        <f t="shared" si="6"/>
        <v>0</v>
      </c>
      <c r="Y10" s="23">
        <f t="shared" si="6"/>
        <v>0</v>
      </c>
      <c r="Z10" s="23">
        <f t="shared" si="6"/>
        <v>0</v>
      </c>
      <c r="AA10" s="23">
        <f t="shared" si="6"/>
        <v>0</v>
      </c>
      <c r="AB10" s="23">
        <f t="shared" si="6"/>
        <v>0</v>
      </c>
      <c r="AC10" s="23">
        <f t="shared" si="6"/>
        <v>0</v>
      </c>
      <c r="AD10" s="23">
        <f t="shared" si="6"/>
        <v>0</v>
      </c>
      <c r="AE10" s="23">
        <f t="shared" si="6"/>
        <v>0</v>
      </c>
      <c r="AF10" s="23">
        <f t="shared" si="6"/>
        <v>0</v>
      </c>
      <c r="AG10" s="23">
        <f t="shared" si="6"/>
        <v>0</v>
      </c>
      <c r="AH10" s="23">
        <f t="shared" si="6"/>
        <v>0</v>
      </c>
      <c r="AI10" s="23">
        <f t="shared" si="6"/>
        <v>0</v>
      </c>
      <c r="AJ10" s="23">
        <f t="shared" si="6"/>
        <v>0</v>
      </c>
      <c r="AK10" s="23">
        <f t="shared" si="6"/>
        <v>0</v>
      </c>
      <c r="AL10" s="23">
        <f t="shared" si="6"/>
        <v>0</v>
      </c>
      <c r="AM10" s="23">
        <f t="shared" si="6"/>
        <v>0</v>
      </c>
      <c r="AN10" s="23">
        <f t="shared" si="6"/>
        <v>0</v>
      </c>
      <c r="AO10" s="23">
        <f t="shared" si="6"/>
        <v>0</v>
      </c>
      <c r="AP10" s="23">
        <f t="shared" si="6"/>
        <v>0</v>
      </c>
      <c r="AQ10" s="23">
        <f t="shared" si="6"/>
        <v>0</v>
      </c>
      <c r="AR10" s="23">
        <f t="shared" si="6"/>
        <v>0</v>
      </c>
      <c r="AS10" s="23">
        <f t="shared" si="6"/>
        <v>0</v>
      </c>
      <c r="AT10" s="23">
        <f t="shared" si="6"/>
        <v>0</v>
      </c>
      <c r="AU10" s="23">
        <f t="shared" si="6"/>
        <v>0</v>
      </c>
      <c r="AV10" s="23">
        <f t="shared" si="6"/>
        <v>0</v>
      </c>
      <c r="AW10" s="23">
        <f t="shared" si="6"/>
        <v>0</v>
      </c>
      <c r="AX10" s="23">
        <f t="shared" si="6"/>
        <v>0</v>
      </c>
      <c r="AY10" s="23">
        <f t="shared" si="6"/>
        <v>0</v>
      </c>
      <c r="AZ10" s="23">
        <f t="shared" si="6"/>
        <v>0</v>
      </c>
      <c r="BA10" s="23">
        <f t="shared" si="6"/>
        <v>0</v>
      </c>
      <c r="BB10" s="23">
        <f t="shared" si="6"/>
        <v>0</v>
      </c>
      <c r="BC10" s="23">
        <f t="shared" si="6"/>
        <v>0</v>
      </c>
      <c r="BD10" s="23">
        <f t="shared" si="6"/>
        <v>0</v>
      </c>
      <c r="BE10" s="23">
        <f t="shared" si="6"/>
        <v>0</v>
      </c>
      <c r="BF10" s="23">
        <f t="shared" si="6"/>
        <v>0</v>
      </c>
      <c r="BG10" s="23">
        <f t="shared" si="6"/>
        <v>0</v>
      </c>
    </row>
    <row r="11" spans="1:59" x14ac:dyDescent="0.25">
      <c r="C11" t="s">
        <v>95</v>
      </c>
      <c r="D11" s="7" t="s">
        <v>296</v>
      </c>
      <c r="E11" s="24" t="str">
        <f>IF(ISNUMBER(E3),RIGHT(TEXT(E3, "hh:mm:ss.000"),3),0)</f>
        <v>000</v>
      </c>
      <c r="F11" s="24">
        <f t="shared" ref="F11:BG11" si="7">IF(ISNUMBER(F3),RIGHT(TEXT(F3, "hh:mm:ss.000"),3),0)</f>
        <v>0</v>
      </c>
      <c r="G11" s="24" t="str">
        <f t="shared" si="7"/>
        <v>000</v>
      </c>
      <c r="H11" s="24" t="str">
        <f t="shared" si="7"/>
        <v>000</v>
      </c>
      <c r="I11" s="24" t="str">
        <f t="shared" si="7"/>
        <v>000</v>
      </c>
      <c r="J11" s="24" t="str">
        <f t="shared" si="7"/>
        <v>000</v>
      </c>
      <c r="K11" s="24" t="str">
        <f t="shared" si="7"/>
        <v>000</v>
      </c>
      <c r="L11" s="24" t="str">
        <f t="shared" si="7"/>
        <v>000</v>
      </c>
      <c r="M11" s="24" t="str">
        <f t="shared" si="7"/>
        <v>000</v>
      </c>
      <c r="N11" s="24">
        <f t="shared" si="7"/>
        <v>0</v>
      </c>
      <c r="O11" s="24">
        <f t="shared" si="7"/>
        <v>0</v>
      </c>
      <c r="P11" s="24">
        <f t="shared" si="7"/>
        <v>0</v>
      </c>
      <c r="Q11" s="24">
        <f t="shared" si="7"/>
        <v>0</v>
      </c>
      <c r="R11" s="24">
        <f t="shared" si="7"/>
        <v>0</v>
      </c>
      <c r="S11" s="24">
        <f t="shared" si="7"/>
        <v>0</v>
      </c>
      <c r="T11" s="24">
        <f t="shared" si="7"/>
        <v>0</v>
      </c>
      <c r="U11" s="24">
        <f t="shared" si="7"/>
        <v>0</v>
      </c>
      <c r="V11" s="24">
        <f t="shared" si="7"/>
        <v>0</v>
      </c>
      <c r="W11" s="24" t="str">
        <f t="shared" si="7"/>
        <v>000</v>
      </c>
      <c r="X11" s="24" t="str">
        <f t="shared" si="7"/>
        <v>000</v>
      </c>
      <c r="Y11" s="24" t="str">
        <f t="shared" si="7"/>
        <v>000</v>
      </c>
      <c r="Z11" s="24" t="str">
        <f t="shared" si="7"/>
        <v>000</v>
      </c>
      <c r="AA11" s="24" t="str">
        <f t="shared" si="7"/>
        <v>000</v>
      </c>
      <c r="AB11" s="24" t="str">
        <f t="shared" si="7"/>
        <v>000</v>
      </c>
      <c r="AC11" s="24" t="str">
        <f t="shared" si="7"/>
        <v>000</v>
      </c>
      <c r="AD11" s="24" t="str">
        <f t="shared" si="7"/>
        <v>000</v>
      </c>
      <c r="AE11" s="24" t="str">
        <f t="shared" si="7"/>
        <v>000</v>
      </c>
      <c r="AF11" s="24" t="str">
        <f t="shared" si="7"/>
        <v>000</v>
      </c>
      <c r="AG11" s="24" t="str">
        <f t="shared" si="7"/>
        <v>000</v>
      </c>
      <c r="AH11" s="24" t="str">
        <f t="shared" si="7"/>
        <v>000</v>
      </c>
      <c r="AI11" s="24" t="str">
        <f t="shared" si="7"/>
        <v>000</v>
      </c>
      <c r="AJ11" s="24" t="str">
        <f t="shared" si="7"/>
        <v>000</v>
      </c>
      <c r="AK11" s="24">
        <f t="shared" si="7"/>
        <v>0</v>
      </c>
      <c r="AL11" s="24" t="str">
        <f t="shared" si="7"/>
        <v>000</v>
      </c>
      <c r="AM11" s="24">
        <f t="shared" si="7"/>
        <v>0</v>
      </c>
      <c r="AN11" s="24" t="str">
        <f t="shared" si="7"/>
        <v>000</v>
      </c>
      <c r="AO11" s="24">
        <f t="shared" si="7"/>
        <v>0</v>
      </c>
      <c r="AP11" s="24" t="str">
        <f t="shared" si="7"/>
        <v>000</v>
      </c>
      <c r="AQ11" s="24" t="str">
        <f t="shared" si="7"/>
        <v>000</v>
      </c>
      <c r="AR11" s="24" t="str">
        <f t="shared" si="7"/>
        <v>000</v>
      </c>
      <c r="AS11" s="24" t="str">
        <f t="shared" si="7"/>
        <v>000</v>
      </c>
      <c r="AT11" s="24" t="str">
        <f t="shared" si="7"/>
        <v>000</v>
      </c>
      <c r="AU11" s="24" t="str">
        <f t="shared" si="7"/>
        <v>000</v>
      </c>
      <c r="AV11" s="24" t="str">
        <f t="shared" si="7"/>
        <v>000</v>
      </c>
      <c r="AW11" s="24" t="str">
        <f t="shared" si="7"/>
        <v>000</v>
      </c>
      <c r="AX11" s="24" t="str">
        <f t="shared" si="7"/>
        <v>000</v>
      </c>
      <c r="AY11" s="24" t="str">
        <f t="shared" si="7"/>
        <v>000</v>
      </c>
      <c r="AZ11" s="24" t="str">
        <f t="shared" si="7"/>
        <v>000</v>
      </c>
      <c r="BA11" s="24" t="str">
        <f t="shared" si="7"/>
        <v>000</v>
      </c>
      <c r="BB11" s="24" t="str">
        <f t="shared" si="7"/>
        <v>000</v>
      </c>
      <c r="BC11" s="24" t="str">
        <f t="shared" si="7"/>
        <v>000</v>
      </c>
      <c r="BD11" s="24" t="str">
        <f t="shared" si="7"/>
        <v>000</v>
      </c>
      <c r="BE11" s="24" t="str">
        <f t="shared" si="7"/>
        <v>000</v>
      </c>
      <c r="BF11" s="24" t="str">
        <f t="shared" si="7"/>
        <v>000</v>
      </c>
      <c r="BG11" s="24" t="str">
        <f t="shared" si="7"/>
        <v>000</v>
      </c>
    </row>
    <row r="12" spans="1:59" x14ac:dyDescent="0.25">
      <c r="C12" t="s">
        <v>107</v>
      </c>
      <c r="D12" s="7" t="s">
        <v>297</v>
      </c>
      <c r="E12" s="25">
        <f>IF(ISNUMBER(E3),E3-_xlfn.FLOOR.MATH(E3),((((((E11/1000)+E10)/60)+E9)/60)+E8)/24)</f>
        <v>0.81000000000130967</v>
      </c>
      <c r="F12" s="25">
        <f t="shared" ref="F12:BG12" si="8">IF(ISNUMBER(F3),F3-_xlfn.FLOOR.MATH(F3),((((((F11/1000)+F10)/60)+F9)/60)+F8)/24)</f>
        <v>0.5</v>
      </c>
      <c r="G12" s="25">
        <f t="shared" si="8"/>
        <v>0.5</v>
      </c>
      <c r="H12" s="25">
        <f t="shared" si="8"/>
        <v>0</v>
      </c>
      <c r="I12" s="25">
        <f t="shared" si="8"/>
        <v>0</v>
      </c>
      <c r="J12" s="25">
        <f t="shared" si="8"/>
        <v>0.5</v>
      </c>
      <c r="K12" s="25">
        <f t="shared" si="8"/>
        <v>0</v>
      </c>
      <c r="L12" s="25">
        <f t="shared" si="8"/>
        <v>0.5</v>
      </c>
      <c r="M12" s="25">
        <f t="shared" si="8"/>
        <v>1.1574074074038876E-5</v>
      </c>
      <c r="N12" s="25">
        <f t="shared" si="8"/>
        <v>0</v>
      </c>
      <c r="O12" s="25">
        <f t="shared" si="8"/>
        <v>0</v>
      </c>
      <c r="P12" s="25">
        <f t="shared" si="8"/>
        <v>0.3</v>
      </c>
      <c r="Q12" s="25">
        <f t="shared" si="8"/>
        <v>0</v>
      </c>
      <c r="R12" s="25">
        <f t="shared" si="8"/>
        <v>0</v>
      </c>
      <c r="S12" s="25">
        <f t="shared" si="8"/>
        <v>0.5</v>
      </c>
      <c r="T12" s="25">
        <f t="shared" si="8"/>
        <v>0</v>
      </c>
      <c r="U12" s="25">
        <f t="shared" si="8"/>
        <v>0.9</v>
      </c>
      <c r="V12" s="25">
        <f t="shared" si="8"/>
        <v>0.5</v>
      </c>
      <c r="W12" s="25">
        <f t="shared" si="8"/>
        <v>0</v>
      </c>
      <c r="X12" s="25">
        <f t="shared" si="8"/>
        <v>0</v>
      </c>
      <c r="Y12" s="25">
        <f t="shared" si="8"/>
        <v>0</v>
      </c>
      <c r="Z12" s="25">
        <f t="shared" si="8"/>
        <v>0</v>
      </c>
      <c r="AA12" s="25">
        <f t="shared" si="8"/>
        <v>0</v>
      </c>
      <c r="AB12" s="25">
        <f t="shared" si="8"/>
        <v>0</v>
      </c>
      <c r="AC12" s="25">
        <f t="shared" si="8"/>
        <v>0</v>
      </c>
      <c r="AD12" s="25">
        <f t="shared" si="8"/>
        <v>0</v>
      </c>
      <c r="AE12" s="25">
        <f t="shared" si="8"/>
        <v>0.15115740740657202</v>
      </c>
      <c r="AF12" s="25">
        <f t="shared" si="8"/>
        <v>0</v>
      </c>
      <c r="AG12" s="25">
        <f t="shared" si="8"/>
        <v>0</v>
      </c>
      <c r="AH12" s="25">
        <f t="shared" si="8"/>
        <v>0</v>
      </c>
      <c r="AI12" s="25">
        <f t="shared" si="8"/>
        <v>0</v>
      </c>
      <c r="AJ12" s="25">
        <f t="shared" si="8"/>
        <v>0</v>
      </c>
      <c r="AK12" s="25">
        <f t="shared" si="8"/>
        <v>0</v>
      </c>
      <c r="AL12" s="25">
        <f t="shared" si="8"/>
        <v>0</v>
      </c>
      <c r="AM12" s="25">
        <f t="shared" si="8"/>
        <v>0</v>
      </c>
      <c r="AN12" s="25">
        <f t="shared" si="8"/>
        <v>0</v>
      </c>
      <c r="AO12" s="25">
        <f t="shared" si="8"/>
        <v>0</v>
      </c>
      <c r="AP12" s="25">
        <f t="shared" si="8"/>
        <v>0.57916666667006211</v>
      </c>
      <c r="AQ12" s="25">
        <f t="shared" si="8"/>
        <v>0.63472222222480923</v>
      </c>
      <c r="AR12" s="25">
        <f t="shared" si="8"/>
        <v>0.53749999999854481</v>
      </c>
      <c r="AS12" s="25">
        <f t="shared" si="8"/>
        <v>0.34375</v>
      </c>
      <c r="AT12" s="25">
        <f t="shared" si="8"/>
        <v>0</v>
      </c>
      <c r="AU12" s="25">
        <f t="shared" si="8"/>
        <v>0</v>
      </c>
      <c r="AV12" s="25">
        <f t="shared" si="8"/>
        <v>0</v>
      </c>
      <c r="AW12" s="25">
        <f t="shared" si="8"/>
        <v>0</v>
      </c>
      <c r="AX12" s="25">
        <f t="shared" si="8"/>
        <v>0</v>
      </c>
      <c r="AY12" s="25">
        <f t="shared" si="8"/>
        <v>0</v>
      </c>
      <c r="AZ12" s="25">
        <f t="shared" si="8"/>
        <v>0</v>
      </c>
      <c r="BA12" s="25">
        <f t="shared" si="8"/>
        <v>0</v>
      </c>
      <c r="BB12" s="25">
        <f t="shared" si="8"/>
        <v>0</v>
      </c>
      <c r="BC12" s="25">
        <f t="shared" si="8"/>
        <v>0</v>
      </c>
      <c r="BD12" s="25">
        <f t="shared" si="8"/>
        <v>0</v>
      </c>
      <c r="BE12" s="25">
        <f t="shared" si="8"/>
        <v>0</v>
      </c>
      <c r="BF12" s="25">
        <f t="shared" si="8"/>
        <v>0</v>
      </c>
      <c r="BG12" s="25">
        <f t="shared" si="8"/>
        <v>0</v>
      </c>
    </row>
    <row r="13" spans="1:59" x14ac:dyDescent="0.25">
      <c r="C13" t="s">
        <v>96</v>
      </c>
      <c r="E13" s="25">
        <f>((((((E11/1000)+E10)/60)+E9)/60)+E8)/24</f>
        <v>0.80972222222222223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</row>
    <row r="14" spans="1:59" x14ac:dyDescent="0.25">
      <c r="C14" t="s">
        <v>328</v>
      </c>
      <c r="E14" s="3">
        <f t="shared" ref="E14" si="9">E7+E12</f>
        <v>4.8100000000013097</v>
      </c>
      <c r="F14" s="3">
        <f t="shared" ref="F14:BG14" si="10">F7+F12</f>
        <v>27.5</v>
      </c>
      <c r="G14" s="3">
        <f t="shared" si="10"/>
        <v>1.5</v>
      </c>
      <c r="H14" s="3">
        <f t="shared" si="10"/>
        <v>1</v>
      </c>
      <c r="I14" s="3">
        <f t="shared" si="10"/>
        <v>27</v>
      </c>
      <c r="J14" s="3">
        <f t="shared" si="10"/>
        <v>19.5</v>
      </c>
      <c r="K14" s="3">
        <f t="shared" si="10"/>
        <v>27</v>
      </c>
      <c r="L14" s="3">
        <f t="shared" si="10"/>
        <v>19.5</v>
      </c>
      <c r="M14" s="3">
        <f t="shared" si="10"/>
        <v>1.000011574074074</v>
      </c>
      <c r="N14" s="3">
        <f t="shared" si="10"/>
        <v>1</v>
      </c>
      <c r="O14" s="3">
        <f t="shared" si="10"/>
        <v>31</v>
      </c>
      <c r="P14" s="3">
        <f t="shared" si="10"/>
        <v>10.3</v>
      </c>
      <c r="Q14" s="3">
        <f t="shared" si="10"/>
        <v>31</v>
      </c>
      <c r="R14" s="3">
        <f t="shared" si="10"/>
        <v>1</v>
      </c>
      <c r="S14" s="3">
        <f t="shared" si="10"/>
        <v>12.5</v>
      </c>
      <c r="T14" s="3">
        <f t="shared" si="10"/>
        <v>29</v>
      </c>
      <c r="U14" s="3">
        <f t="shared" si="10"/>
        <v>17.899999999999999</v>
      </c>
      <c r="V14" s="3">
        <f t="shared" si="10"/>
        <v>1.5</v>
      </c>
      <c r="W14" s="3">
        <f t="shared" si="10"/>
        <v>10</v>
      </c>
      <c r="X14" s="3">
        <f t="shared" si="10"/>
        <v>12</v>
      </c>
      <c r="Y14" s="3">
        <f t="shared" si="10"/>
        <v>15</v>
      </c>
      <c r="Z14" s="3">
        <f t="shared" si="10"/>
        <v>1</v>
      </c>
      <c r="AA14" s="3">
        <f t="shared" si="10"/>
        <v>1</v>
      </c>
      <c r="AB14" s="3">
        <f t="shared" si="10"/>
        <v>30</v>
      </c>
      <c r="AC14" s="3">
        <f t="shared" si="10"/>
        <v>14</v>
      </c>
      <c r="AD14" s="3">
        <f t="shared" si="10"/>
        <v>22</v>
      </c>
      <c r="AE14" s="3">
        <f t="shared" si="10"/>
        <v>18.151157407406572</v>
      </c>
      <c r="AF14" s="3">
        <f t="shared" si="10"/>
        <v>20</v>
      </c>
      <c r="AG14" s="3">
        <f t="shared" si="10"/>
        <v>13</v>
      </c>
      <c r="AH14" s="3">
        <f t="shared" si="10"/>
        <v>1</v>
      </c>
      <c r="AI14" s="3">
        <f t="shared" si="10"/>
        <v>1</v>
      </c>
      <c r="AJ14" s="3">
        <f t="shared" si="10"/>
        <v>1</v>
      </c>
      <c r="AK14" s="3">
        <f t="shared" si="10"/>
        <v>1</v>
      </c>
      <c r="AL14" s="3">
        <f t="shared" si="10"/>
        <v>20</v>
      </c>
      <c r="AM14" s="3">
        <f t="shared" si="10"/>
        <v>16</v>
      </c>
      <c r="AN14" s="3">
        <f t="shared" si="10"/>
        <v>6</v>
      </c>
      <c r="AO14" s="3">
        <f t="shared" si="10"/>
        <v>3</v>
      </c>
      <c r="AP14" s="3">
        <f t="shared" si="10"/>
        <v>25.579166666670062</v>
      </c>
      <c r="AQ14" s="3">
        <f t="shared" si="10"/>
        <v>2.6347222222248092</v>
      </c>
      <c r="AR14" s="3">
        <f t="shared" si="10"/>
        <v>9.5374999999985448</v>
      </c>
      <c r="AS14" s="3">
        <f t="shared" si="10"/>
        <v>17.34375</v>
      </c>
      <c r="AT14" s="3">
        <f t="shared" si="10"/>
        <v>1</v>
      </c>
      <c r="AU14" s="3">
        <f t="shared" si="10"/>
        <v>1</v>
      </c>
      <c r="AV14" s="3">
        <f t="shared" si="10"/>
        <v>1</v>
      </c>
      <c r="AW14" s="3">
        <f t="shared" si="10"/>
        <v>5</v>
      </c>
      <c r="AX14" s="3">
        <f t="shared" si="10"/>
        <v>15</v>
      </c>
      <c r="AY14" s="3">
        <f t="shared" si="10"/>
        <v>1</v>
      </c>
      <c r="AZ14" s="3">
        <f t="shared" si="10"/>
        <v>2</v>
      </c>
      <c r="BA14" s="3">
        <f t="shared" si="10"/>
        <v>3</v>
      </c>
      <c r="BB14" s="3">
        <f t="shared" si="10"/>
        <v>4</v>
      </c>
      <c r="BC14" s="3">
        <f t="shared" si="10"/>
        <v>5</v>
      </c>
      <c r="BD14" s="3">
        <f t="shared" si="10"/>
        <v>6</v>
      </c>
      <c r="BE14" s="3">
        <f t="shared" si="10"/>
        <v>7</v>
      </c>
      <c r="BF14" s="3">
        <f t="shared" si="10"/>
        <v>8</v>
      </c>
      <c r="BG14" s="3">
        <f t="shared" si="10"/>
        <v>18</v>
      </c>
    </row>
    <row r="15" spans="1:59" x14ac:dyDescent="0.25">
      <c r="C15" t="s">
        <v>97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</row>
    <row r="16" spans="1:59" x14ac:dyDescent="0.25">
      <c r="C16" t="s">
        <v>101</v>
      </c>
      <c r="D16" s="7" t="s">
        <v>323</v>
      </c>
      <c r="E16" s="23">
        <f t="shared" ref="E16" si="11">IF(E6&lt;3,E5-1,E5)</f>
        <v>1957</v>
      </c>
      <c r="F16" s="23">
        <f t="shared" ref="F16:BG16" si="12">IF(F6&lt;3,F5-1,F5)</f>
        <v>332</v>
      </c>
      <c r="G16" s="23">
        <f t="shared" si="12"/>
        <v>1999</v>
      </c>
      <c r="H16" s="23">
        <f t="shared" si="12"/>
        <v>1998</v>
      </c>
      <c r="I16" s="23">
        <f t="shared" si="12"/>
        <v>1986</v>
      </c>
      <c r="J16" s="23">
        <f t="shared" si="12"/>
        <v>1987</v>
      </c>
      <c r="K16" s="23">
        <f t="shared" si="12"/>
        <v>1987</v>
      </c>
      <c r="L16" s="23">
        <f t="shared" si="12"/>
        <v>1988</v>
      </c>
      <c r="M16" s="23">
        <f t="shared" si="12"/>
        <v>1899</v>
      </c>
      <c r="N16" s="23">
        <f t="shared" si="12"/>
        <v>1599</v>
      </c>
      <c r="O16" s="23">
        <f t="shared" si="12"/>
        <v>1600</v>
      </c>
      <c r="P16" s="23">
        <f t="shared" si="12"/>
        <v>837</v>
      </c>
      <c r="Q16" s="23">
        <f t="shared" si="12"/>
        <v>-123</v>
      </c>
      <c r="R16" s="23">
        <f t="shared" si="12"/>
        <v>-123</v>
      </c>
      <c r="S16" s="23">
        <f t="shared" si="12"/>
        <v>-1000</v>
      </c>
      <c r="T16" s="23">
        <f t="shared" si="12"/>
        <v>-1001</v>
      </c>
      <c r="U16" s="23">
        <f t="shared" si="12"/>
        <v>-1001</v>
      </c>
      <c r="V16" s="23">
        <f t="shared" si="12"/>
        <v>-4713</v>
      </c>
      <c r="W16" s="23">
        <f t="shared" si="12"/>
        <v>1987</v>
      </c>
      <c r="X16" s="23">
        <f t="shared" si="12"/>
        <v>1992</v>
      </c>
      <c r="Y16" s="23">
        <f t="shared" si="12"/>
        <v>1976</v>
      </c>
      <c r="Z16" s="23">
        <f t="shared" si="12"/>
        <v>2043</v>
      </c>
      <c r="AA16" s="23">
        <f t="shared" si="12"/>
        <v>1999</v>
      </c>
      <c r="AB16" s="23">
        <f t="shared" si="12"/>
        <v>1954</v>
      </c>
      <c r="AC16" s="23">
        <f t="shared" si="12"/>
        <v>1978</v>
      </c>
      <c r="AD16" s="23">
        <f t="shared" si="12"/>
        <v>1988</v>
      </c>
      <c r="AE16" s="23">
        <f t="shared" si="12"/>
        <v>1976</v>
      </c>
      <c r="AF16" s="23">
        <f t="shared" si="12"/>
        <v>1992</v>
      </c>
      <c r="AG16" s="23">
        <f t="shared" si="12"/>
        <v>1992</v>
      </c>
      <c r="AH16" s="23">
        <f t="shared" si="12"/>
        <v>1991</v>
      </c>
      <c r="AI16" s="23">
        <f t="shared" si="12"/>
        <v>1992</v>
      </c>
      <c r="AJ16" s="23">
        <f t="shared" si="12"/>
        <v>1993</v>
      </c>
      <c r="AK16" s="23">
        <f t="shared" si="12"/>
        <v>1817</v>
      </c>
      <c r="AL16" s="23">
        <f t="shared" si="12"/>
        <v>1990</v>
      </c>
      <c r="AM16" s="23">
        <f t="shared" si="12"/>
        <v>622</v>
      </c>
      <c r="AN16" s="23">
        <f t="shared" si="12"/>
        <v>2000</v>
      </c>
      <c r="AO16" s="23">
        <f t="shared" si="12"/>
        <v>0</v>
      </c>
      <c r="AP16" s="23">
        <f t="shared" si="12"/>
        <v>2022</v>
      </c>
      <c r="AQ16" s="23">
        <f t="shared" si="12"/>
        <v>2022</v>
      </c>
      <c r="AR16" s="23">
        <f t="shared" si="12"/>
        <v>2022</v>
      </c>
      <c r="AS16" s="23">
        <f t="shared" si="12"/>
        <v>2022</v>
      </c>
      <c r="AT16" s="23">
        <f t="shared" si="12"/>
        <v>2022</v>
      </c>
      <c r="AU16" s="23">
        <f t="shared" si="12"/>
        <v>1973</v>
      </c>
      <c r="AV16" s="23">
        <f t="shared" si="12"/>
        <v>1997</v>
      </c>
      <c r="AW16" s="23">
        <f t="shared" si="12"/>
        <v>1934</v>
      </c>
      <c r="AX16" s="23">
        <f t="shared" si="12"/>
        <v>1957</v>
      </c>
      <c r="AY16" s="23">
        <f t="shared" si="12"/>
        <v>2022</v>
      </c>
      <c r="AZ16" s="23">
        <f t="shared" si="12"/>
        <v>2022</v>
      </c>
      <c r="BA16" s="23">
        <f t="shared" si="12"/>
        <v>2022</v>
      </c>
      <c r="BB16" s="23">
        <f t="shared" si="12"/>
        <v>2022</v>
      </c>
      <c r="BC16" s="23">
        <f t="shared" si="12"/>
        <v>2022</v>
      </c>
      <c r="BD16" s="23">
        <f t="shared" si="12"/>
        <v>2022</v>
      </c>
      <c r="BE16" s="23">
        <f t="shared" si="12"/>
        <v>2022</v>
      </c>
      <c r="BF16" s="23">
        <f t="shared" si="12"/>
        <v>2022</v>
      </c>
      <c r="BG16" s="23">
        <f t="shared" si="12"/>
        <v>1976</v>
      </c>
    </row>
    <row r="17" spans="2:59" x14ac:dyDescent="0.25">
      <c r="C17" t="s">
        <v>102</v>
      </c>
      <c r="D17" s="7" t="s">
        <v>5</v>
      </c>
      <c r="E17" s="23">
        <f t="shared" ref="E17" si="13">IF(E6&lt;3,E6+12,E6)</f>
        <v>10</v>
      </c>
      <c r="F17" s="23">
        <f t="shared" ref="F17:BG17" si="14">IF(F6&lt;3,F6+12,F6)</f>
        <v>13</v>
      </c>
      <c r="G17" s="23">
        <f t="shared" si="14"/>
        <v>13</v>
      </c>
      <c r="H17" s="23">
        <f t="shared" si="14"/>
        <v>13</v>
      </c>
      <c r="I17" s="23">
        <f t="shared" si="14"/>
        <v>13</v>
      </c>
      <c r="J17" s="23">
        <f t="shared" si="14"/>
        <v>6</v>
      </c>
      <c r="K17" s="23">
        <f t="shared" si="14"/>
        <v>13</v>
      </c>
      <c r="L17" s="23">
        <f t="shared" si="14"/>
        <v>6</v>
      </c>
      <c r="M17" s="23">
        <f t="shared" si="14"/>
        <v>13</v>
      </c>
      <c r="N17" s="23">
        <f t="shared" si="14"/>
        <v>13</v>
      </c>
      <c r="O17" s="23">
        <f t="shared" si="14"/>
        <v>12</v>
      </c>
      <c r="P17" s="23">
        <f t="shared" si="14"/>
        <v>4</v>
      </c>
      <c r="Q17" s="23">
        <f t="shared" si="14"/>
        <v>12</v>
      </c>
      <c r="R17" s="23">
        <f t="shared" si="14"/>
        <v>13</v>
      </c>
      <c r="S17" s="23">
        <f t="shared" si="14"/>
        <v>7</v>
      </c>
      <c r="T17" s="23">
        <f t="shared" si="14"/>
        <v>14</v>
      </c>
      <c r="U17" s="23">
        <f t="shared" si="14"/>
        <v>8</v>
      </c>
      <c r="V17" s="23">
        <f t="shared" si="14"/>
        <v>13</v>
      </c>
      <c r="W17" s="23">
        <f t="shared" si="14"/>
        <v>4</v>
      </c>
      <c r="X17" s="23">
        <f t="shared" si="14"/>
        <v>4</v>
      </c>
      <c r="Y17" s="23">
        <f t="shared" si="14"/>
        <v>14</v>
      </c>
      <c r="Z17" s="23">
        <f t="shared" si="14"/>
        <v>13</v>
      </c>
      <c r="AA17" s="23">
        <f t="shared" si="14"/>
        <v>13</v>
      </c>
      <c r="AB17" s="23">
        <f t="shared" si="14"/>
        <v>6</v>
      </c>
      <c r="AC17" s="23">
        <f t="shared" si="14"/>
        <v>11</v>
      </c>
      <c r="AD17" s="23">
        <f t="shared" si="14"/>
        <v>4</v>
      </c>
      <c r="AE17" s="23">
        <f t="shared" si="14"/>
        <v>14</v>
      </c>
      <c r="AF17" s="23">
        <f t="shared" si="14"/>
        <v>12</v>
      </c>
      <c r="AG17" s="23">
        <f t="shared" si="14"/>
        <v>10</v>
      </c>
      <c r="AH17" s="23">
        <f t="shared" si="14"/>
        <v>3</v>
      </c>
      <c r="AI17" s="23">
        <f t="shared" si="14"/>
        <v>4</v>
      </c>
      <c r="AJ17" s="23">
        <f t="shared" si="14"/>
        <v>5</v>
      </c>
      <c r="AK17" s="23">
        <f t="shared" si="14"/>
        <v>13</v>
      </c>
      <c r="AL17" s="23">
        <f t="shared" si="14"/>
        <v>9</v>
      </c>
      <c r="AM17" s="23">
        <f t="shared" si="14"/>
        <v>7</v>
      </c>
      <c r="AN17" s="23">
        <f t="shared" si="14"/>
        <v>4</v>
      </c>
      <c r="AO17" s="23">
        <f t="shared" si="14"/>
        <v>13</v>
      </c>
      <c r="AP17" s="23">
        <f t="shared" si="14"/>
        <v>9</v>
      </c>
      <c r="AQ17" s="23">
        <f t="shared" si="14"/>
        <v>10</v>
      </c>
      <c r="AR17" s="23">
        <f t="shared" si="14"/>
        <v>10</v>
      </c>
      <c r="AS17" s="23">
        <f t="shared" si="14"/>
        <v>10</v>
      </c>
      <c r="AT17" s="23">
        <f t="shared" si="14"/>
        <v>11</v>
      </c>
      <c r="AU17" s="23">
        <f t="shared" si="14"/>
        <v>6</v>
      </c>
      <c r="AV17" s="23">
        <f t="shared" si="14"/>
        <v>9</v>
      </c>
      <c r="AW17" s="23">
        <f t="shared" si="14"/>
        <v>13</v>
      </c>
      <c r="AX17" s="23">
        <f t="shared" si="14"/>
        <v>4</v>
      </c>
      <c r="AY17" s="23">
        <f t="shared" si="14"/>
        <v>12</v>
      </c>
      <c r="AZ17" s="23">
        <f t="shared" si="14"/>
        <v>12</v>
      </c>
      <c r="BA17" s="23">
        <f t="shared" si="14"/>
        <v>12</v>
      </c>
      <c r="BB17" s="23">
        <f t="shared" si="14"/>
        <v>12</v>
      </c>
      <c r="BC17" s="23">
        <f t="shared" si="14"/>
        <v>12</v>
      </c>
      <c r="BD17" s="23">
        <f t="shared" si="14"/>
        <v>12</v>
      </c>
      <c r="BE17" s="23">
        <f t="shared" si="14"/>
        <v>12</v>
      </c>
      <c r="BF17" s="23">
        <f t="shared" si="14"/>
        <v>12</v>
      </c>
      <c r="BG17" s="23">
        <f t="shared" si="14"/>
        <v>14</v>
      </c>
    </row>
    <row r="18" spans="2:59" x14ac:dyDescent="0.25">
      <c r="C18" t="s">
        <v>103</v>
      </c>
      <c r="D18" s="7" t="s">
        <v>110</v>
      </c>
      <c r="E18" s="23">
        <f t="shared" ref="E18" si="15">_xlfn.FLOOR.MATH(E16/100)</f>
        <v>19</v>
      </c>
      <c r="F18" s="23">
        <f t="shared" ref="F18:BG18" si="16">_xlfn.FLOOR.MATH(F16/100)</f>
        <v>3</v>
      </c>
      <c r="G18" s="23">
        <f t="shared" si="16"/>
        <v>19</v>
      </c>
      <c r="H18" s="23">
        <f t="shared" si="16"/>
        <v>19</v>
      </c>
      <c r="I18" s="23">
        <f t="shared" si="16"/>
        <v>19</v>
      </c>
      <c r="J18" s="23">
        <f t="shared" si="16"/>
        <v>19</v>
      </c>
      <c r="K18" s="23">
        <f t="shared" si="16"/>
        <v>19</v>
      </c>
      <c r="L18" s="23">
        <f t="shared" si="16"/>
        <v>19</v>
      </c>
      <c r="M18" s="23">
        <f t="shared" si="16"/>
        <v>18</v>
      </c>
      <c r="N18" s="23">
        <f t="shared" si="16"/>
        <v>15</v>
      </c>
      <c r="O18" s="23">
        <f t="shared" si="16"/>
        <v>16</v>
      </c>
      <c r="P18" s="23">
        <f t="shared" si="16"/>
        <v>8</v>
      </c>
      <c r="Q18" s="23">
        <f t="shared" si="16"/>
        <v>-2</v>
      </c>
      <c r="R18" s="23">
        <f t="shared" si="16"/>
        <v>-2</v>
      </c>
      <c r="S18" s="23">
        <f t="shared" si="16"/>
        <v>-10</v>
      </c>
      <c r="T18" s="23">
        <f t="shared" si="16"/>
        <v>-11</v>
      </c>
      <c r="U18" s="23">
        <f t="shared" si="16"/>
        <v>-11</v>
      </c>
      <c r="V18" s="23">
        <f t="shared" si="16"/>
        <v>-48</v>
      </c>
      <c r="W18" s="23">
        <f t="shared" si="16"/>
        <v>19</v>
      </c>
      <c r="X18" s="23">
        <f t="shared" si="16"/>
        <v>19</v>
      </c>
      <c r="Y18" s="23">
        <f t="shared" si="16"/>
        <v>19</v>
      </c>
      <c r="Z18" s="23">
        <f t="shared" si="16"/>
        <v>20</v>
      </c>
      <c r="AA18" s="23">
        <f t="shared" si="16"/>
        <v>19</v>
      </c>
      <c r="AB18" s="23">
        <f t="shared" si="16"/>
        <v>19</v>
      </c>
      <c r="AC18" s="23">
        <f t="shared" si="16"/>
        <v>19</v>
      </c>
      <c r="AD18" s="23">
        <f t="shared" si="16"/>
        <v>19</v>
      </c>
      <c r="AE18" s="23">
        <f t="shared" si="16"/>
        <v>19</v>
      </c>
      <c r="AF18" s="23">
        <f t="shared" si="16"/>
        <v>19</v>
      </c>
      <c r="AG18" s="23">
        <f t="shared" si="16"/>
        <v>19</v>
      </c>
      <c r="AH18" s="23">
        <f t="shared" si="16"/>
        <v>19</v>
      </c>
      <c r="AI18" s="23">
        <f t="shared" si="16"/>
        <v>19</v>
      </c>
      <c r="AJ18" s="23">
        <f t="shared" si="16"/>
        <v>19</v>
      </c>
      <c r="AK18" s="23">
        <f t="shared" si="16"/>
        <v>18</v>
      </c>
      <c r="AL18" s="23">
        <f t="shared" si="16"/>
        <v>19</v>
      </c>
      <c r="AM18" s="23">
        <f t="shared" si="16"/>
        <v>6</v>
      </c>
      <c r="AN18" s="23">
        <f t="shared" si="16"/>
        <v>20</v>
      </c>
      <c r="AO18" s="23">
        <f t="shared" si="16"/>
        <v>0</v>
      </c>
      <c r="AP18" s="23">
        <f t="shared" si="16"/>
        <v>20</v>
      </c>
      <c r="AQ18" s="23">
        <f t="shared" si="16"/>
        <v>20</v>
      </c>
      <c r="AR18" s="23">
        <f t="shared" si="16"/>
        <v>20</v>
      </c>
      <c r="AS18" s="23">
        <f t="shared" si="16"/>
        <v>20</v>
      </c>
      <c r="AT18" s="23">
        <f t="shared" si="16"/>
        <v>20</v>
      </c>
      <c r="AU18" s="23">
        <f t="shared" si="16"/>
        <v>19</v>
      </c>
      <c r="AV18" s="23">
        <f t="shared" si="16"/>
        <v>19</v>
      </c>
      <c r="AW18" s="23">
        <f t="shared" si="16"/>
        <v>19</v>
      </c>
      <c r="AX18" s="23">
        <f t="shared" si="16"/>
        <v>19</v>
      </c>
      <c r="AY18" s="23">
        <f t="shared" si="16"/>
        <v>20</v>
      </c>
      <c r="AZ18" s="23">
        <f t="shared" si="16"/>
        <v>20</v>
      </c>
      <c r="BA18" s="23">
        <f t="shared" si="16"/>
        <v>20</v>
      </c>
      <c r="BB18" s="23">
        <f t="shared" si="16"/>
        <v>20</v>
      </c>
      <c r="BC18" s="23">
        <f t="shared" si="16"/>
        <v>20</v>
      </c>
      <c r="BD18" s="23">
        <f t="shared" si="16"/>
        <v>20</v>
      </c>
      <c r="BE18" s="23">
        <f t="shared" si="16"/>
        <v>20</v>
      </c>
      <c r="BF18" s="23">
        <f t="shared" si="16"/>
        <v>20</v>
      </c>
      <c r="BG18" s="23">
        <f t="shared" si="16"/>
        <v>19</v>
      </c>
    </row>
    <row r="19" spans="2:59" x14ac:dyDescent="0.25">
      <c r="C19" t="s">
        <v>104</v>
      </c>
      <c r="D19" s="7" t="s">
        <v>324</v>
      </c>
      <c r="E19" s="23">
        <f t="shared" ref="E19" si="17">2-E18+_xlfn.FLOOR.MATH(E18/4)</f>
        <v>-13</v>
      </c>
      <c r="F19" s="23">
        <f t="shared" ref="F19:BG19" si="18">2-F18+_xlfn.FLOOR.MATH(F18/4)</f>
        <v>-1</v>
      </c>
      <c r="G19" s="23">
        <f t="shared" si="18"/>
        <v>-13</v>
      </c>
      <c r="H19" s="23">
        <f t="shared" si="18"/>
        <v>-13</v>
      </c>
      <c r="I19" s="23">
        <f t="shared" si="18"/>
        <v>-13</v>
      </c>
      <c r="J19" s="23">
        <f t="shared" si="18"/>
        <v>-13</v>
      </c>
      <c r="K19" s="23">
        <f t="shared" si="18"/>
        <v>-13</v>
      </c>
      <c r="L19" s="23">
        <f t="shared" si="18"/>
        <v>-13</v>
      </c>
      <c r="M19" s="23">
        <f t="shared" si="18"/>
        <v>-12</v>
      </c>
      <c r="N19" s="23">
        <f t="shared" si="18"/>
        <v>-10</v>
      </c>
      <c r="O19" s="23">
        <f t="shared" si="18"/>
        <v>-10</v>
      </c>
      <c r="P19" s="23">
        <f t="shared" si="18"/>
        <v>-4</v>
      </c>
      <c r="Q19" s="23">
        <f t="shared" si="18"/>
        <v>3</v>
      </c>
      <c r="R19" s="23">
        <f t="shared" si="18"/>
        <v>3</v>
      </c>
      <c r="S19" s="23">
        <f t="shared" si="18"/>
        <v>9</v>
      </c>
      <c r="T19" s="23">
        <f t="shared" si="18"/>
        <v>10</v>
      </c>
      <c r="U19" s="23">
        <f t="shared" si="18"/>
        <v>10</v>
      </c>
      <c r="V19" s="23">
        <f t="shared" si="18"/>
        <v>38</v>
      </c>
      <c r="W19" s="23">
        <f t="shared" si="18"/>
        <v>-13</v>
      </c>
      <c r="X19" s="23">
        <f t="shared" si="18"/>
        <v>-13</v>
      </c>
      <c r="Y19" s="23">
        <f t="shared" si="18"/>
        <v>-13</v>
      </c>
      <c r="Z19" s="23">
        <f t="shared" si="18"/>
        <v>-13</v>
      </c>
      <c r="AA19" s="23">
        <f t="shared" si="18"/>
        <v>-13</v>
      </c>
      <c r="AB19" s="23">
        <f t="shared" si="18"/>
        <v>-13</v>
      </c>
      <c r="AC19" s="23">
        <f t="shared" si="18"/>
        <v>-13</v>
      </c>
      <c r="AD19" s="23">
        <f t="shared" si="18"/>
        <v>-13</v>
      </c>
      <c r="AE19" s="23">
        <f t="shared" si="18"/>
        <v>-13</v>
      </c>
      <c r="AF19" s="23">
        <f t="shared" si="18"/>
        <v>-13</v>
      </c>
      <c r="AG19" s="23">
        <f t="shared" si="18"/>
        <v>-13</v>
      </c>
      <c r="AH19" s="23">
        <f t="shared" si="18"/>
        <v>-13</v>
      </c>
      <c r="AI19" s="23">
        <f t="shared" si="18"/>
        <v>-13</v>
      </c>
      <c r="AJ19" s="23">
        <f t="shared" si="18"/>
        <v>-13</v>
      </c>
      <c r="AK19" s="23">
        <f t="shared" si="18"/>
        <v>-12</v>
      </c>
      <c r="AL19" s="23">
        <f t="shared" si="18"/>
        <v>-13</v>
      </c>
      <c r="AM19" s="23">
        <f t="shared" si="18"/>
        <v>-3</v>
      </c>
      <c r="AN19" s="23">
        <f t="shared" si="18"/>
        <v>-13</v>
      </c>
      <c r="AO19" s="23">
        <f t="shared" si="18"/>
        <v>2</v>
      </c>
      <c r="AP19" s="23">
        <f t="shared" si="18"/>
        <v>-13</v>
      </c>
      <c r="AQ19" s="23">
        <f t="shared" si="18"/>
        <v>-13</v>
      </c>
      <c r="AR19" s="23">
        <f t="shared" si="18"/>
        <v>-13</v>
      </c>
      <c r="AS19" s="23">
        <f t="shared" si="18"/>
        <v>-13</v>
      </c>
      <c r="AT19" s="23">
        <f t="shared" si="18"/>
        <v>-13</v>
      </c>
      <c r="AU19" s="23">
        <f t="shared" si="18"/>
        <v>-13</v>
      </c>
      <c r="AV19" s="23">
        <f t="shared" si="18"/>
        <v>-13</v>
      </c>
      <c r="AW19" s="23">
        <f t="shared" si="18"/>
        <v>-13</v>
      </c>
      <c r="AX19" s="23">
        <f t="shared" si="18"/>
        <v>-13</v>
      </c>
      <c r="AY19" s="23">
        <f t="shared" si="18"/>
        <v>-13</v>
      </c>
      <c r="AZ19" s="23">
        <f t="shared" si="18"/>
        <v>-13</v>
      </c>
      <c r="BA19" s="23">
        <f t="shared" si="18"/>
        <v>-13</v>
      </c>
      <c r="BB19" s="23">
        <f t="shared" si="18"/>
        <v>-13</v>
      </c>
      <c r="BC19" s="23">
        <f t="shared" si="18"/>
        <v>-13</v>
      </c>
      <c r="BD19" s="23">
        <f t="shared" si="18"/>
        <v>-13</v>
      </c>
      <c r="BE19" s="23">
        <f t="shared" si="18"/>
        <v>-13</v>
      </c>
      <c r="BF19" s="23">
        <f t="shared" si="18"/>
        <v>-13</v>
      </c>
      <c r="BG19" s="23">
        <f t="shared" si="18"/>
        <v>-13</v>
      </c>
    </row>
    <row r="20" spans="2:59" x14ac:dyDescent="0.25">
      <c r="C20" t="s">
        <v>105</v>
      </c>
    </row>
    <row r="21" spans="2:59" x14ac:dyDescent="0.25">
      <c r="C21" t="s">
        <v>325</v>
      </c>
      <c r="D21" s="7" t="s">
        <v>111</v>
      </c>
      <c r="E21">
        <f>IF(E5&lt;1582,0,E19)</f>
        <v>-13</v>
      </c>
      <c r="F21">
        <f t="shared" ref="F21:BG21" si="19">IF(F5&lt;1582,0,F19)</f>
        <v>0</v>
      </c>
      <c r="G21">
        <f t="shared" si="19"/>
        <v>-13</v>
      </c>
      <c r="H21">
        <f t="shared" si="19"/>
        <v>-13</v>
      </c>
      <c r="I21">
        <f t="shared" si="19"/>
        <v>-13</v>
      </c>
      <c r="J21">
        <f t="shared" si="19"/>
        <v>-13</v>
      </c>
      <c r="K21">
        <f t="shared" si="19"/>
        <v>-13</v>
      </c>
      <c r="L21">
        <f t="shared" si="19"/>
        <v>-13</v>
      </c>
      <c r="M21">
        <f t="shared" si="19"/>
        <v>-12</v>
      </c>
      <c r="N21">
        <f t="shared" si="19"/>
        <v>-10</v>
      </c>
      <c r="O21">
        <f t="shared" si="19"/>
        <v>-10</v>
      </c>
      <c r="P21">
        <f t="shared" si="19"/>
        <v>0</v>
      </c>
      <c r="Q21">
        <f t="shared" si="19"/>
        <v>0</v>
      </c>
      <c r="R21">
        <f t="shared" si="19"/>
        <v>0</v>
      </c>
      <c r="S21">
        <f t="shared" si="19"/>
        <v>0</v>
      </c>
      <c r="T21">
        <f t="shared" si="19"/>
        <v>0</v>
      </c>
      <c r="U21">
        <f t="shared" si="19"/>
        <v>0</v>
      </c>
      <c r="V21">
        <f t="shared" si="19"/>
        <v>0</v>
      </c>
      <c r="W21">
        <f t="shared" si="19"/>
        <v>-13</v>
      </c>
      <c r="X21">
        <f t="shared" si="19"/>
        <v>-13</v>
      </c>
      <c r="Y21">
        <f t="shared" si="19"/>
        <v>-13</v>
      </c>
      <c r="Z21">
        <f t="shared" si="19"/>
        <v>-13</v>
      </c>
      <c r="AA21">
        <f t="shared" si="19"/>
        <v>-13</v>
      </c>
      <c r="AB21">
        <f t="shared" si="19"/>
        <v>-13</v>
      </c>
      <c r="AC21">
        <f t="shared" si="19"/>
        <v>-13</v>
      </c>
      <c r="AD21">
        <f t="shared" si="19"/>
        <v>-13</v>
      </c>
      <c r="AE21">
        <f t="shared" si="19"/>
        <v>-13</v>
      </c>
      <c r="AF21">
        <f t="shared" si="19"/>
        <v>-13</v>
      </c>
      <c r="AG21">
        <f t="shared" si="19"/>
        <v>-13</v>
      </c>
      <c r="AH21">
        <f t="shared" si="19"/>
        <v>-13</v>
      </c>
      <c r="AI21">
        <f t="shared" si="19"/>
        <v>-13</v>
      </c>
      <c r="AJ21">
        <f t="shared" si="19"/>
        <v>-13</v>
      </c>
      <c r="AK21">
        <f t="shared" si="19"/>
        <v>-12</v>
      </c>
      <c r="AL21">
        <f t="shared" si="19"/>
        <v>-13</v>
      </c>
      <c r="AM21">
        <f t="shared" si="19"/>
        <v>0</v>
      </c>
      <c r="AN21">
        <f t="shared" si="19"/>
        <v>-13</v>
      </c>
      <c r="AO21">
        <f t="shared" si="19"/>
        <v>0</v>
      </c>
      <c r="AP21">
        <f t="shared" si="19"/>
        <v>-13</v>
      </c>
      <c r="AQ21">
        <f t="shared" si="19"/>
        <v>-13</v>
      </c>
      <c r="AR21">
        <f t="shared" si="19"/>
        <v>-13</v>
      </c>
      <c r="AS21">
        <f t="shared" si="19"/>
        <v>-13</v>
      </c>
      <c r="AT21">
        <f t="shared" si="19"/>
        <v>-13</v>
      </c>
      <c r="AU21">
        <f t="shared" si="19"/>
        <v>-13</v>
      </c>
      <c r="AV21">
        <f t="shared" si="19"/>
        <v>-13</v>
      </c>
      <c r="AW21">
        <f t="shared" si="19"/>
        <v>-13</v>
      </c>
      <c r="AX21">
        <f t="shared" si="19"/>
        <v>-13</v>
      </c>
      <c r="AY21">
        <f t="shared" si="19"/>
        <v>-13</v>
      </c>
      <c r="AZ21">
        <f t="shared" si="19"/>
        <v>-13</v>
      </c>
      <c r="BA21">
        <f t="shared" si="19"/>
        <v>-13</v>
      </c>
      <c r="BB21">
        <f t="shared" si="19"/>
        <v>-13</v>
      </c>
      <c r="BC21">
        <f t="shared" si="19"/>
        <v>-13</v>
      </c>
      <c r="BD21">
        <f t="shared" si="19"/>
        <v>-13</v>
      </c>
      <c r="BE21">
        <f t="shared" si="19"/>
        <v>-13</v>
      </c>
      <c r="BF21">
        <f t="shared" si="19"/>
        <v>-13</v>
      </c>
      <c r="BG21">
        <f t="shared" si="19"/>
        <v>-13</v>
      </c>
    </row>
    <row r="22" spans="2:59" x14ac:dyDescent="0.25">
      <c r="C22" t="s">
        <v>326</v>
      </c>
    </row>
    <row r="23" spans="2:59" x14ac:dyDescent="0.25">
      <c r="C23" t="s">
        <v>327</v>
      </c>
    </row>
    <row r="24" spans="2:59" x14ac:dyDescent="0.25">
      <c r="C24" t="s">
        <v>106</v>
      </c>
    </row>
    <row r="25" spans="2:59" x14ac:dyDescent="0.25">
      <c r="C25" s="134" t="s">
        <v>288</v>
      </c>
      <c r="D25" s="135" t="s">
        <v>298</v>
      </c>
      <c r="E25" s="284">
        <f>_xlfn.FLOOR.MATH(365.25*(E16+4716))+_xlfn.FLOOR.MATH(30.6001*(E17+1))+E14+E21-1524.5</f>
        <v>2436116.31</v>
      </c>
      <c r="F25" s="136">
        <f>_xlfn.FLOOR.MATH(365.25*(F16+4716))+_xlfn.FLOOR.MATH(30.6001*(F17+1))+F14+F21-1524.5</f>
        <v>1842713</v>
      </c>
      <c r="G25" s="136">
        <f t="shared" ref="G25:P25" si="20">_xlfn.FLOOR.MATH(365.25*(G16+4716))+_xlfn.FLOOR.MATH(30.6001*(G17+1))+G14+G21-1524.5</f>
        <v>2451545</v>
      </c>
      <c r="H25" s="136">
        <f t="shared" si="20"/>
        <v>2451179.5</v>
      </c>
      <c r="I25" s="136">
        <f t="shared" si="20"/>
        <v>2446822.5</v>
      </c>
      <c r="J25" s="136">
        <f t="shared" si="20"/>
        <v>2446966</v>
      </c>
      <c r="K25" s="136">
        <f t="shared" si="20"/>
        <v>2447187.5</v>
      </c>
      <c r="L25" s="136">
        <f t="shared" si="20"/>
        <v>2447332</v>
      </c>
      <c r="M25" s="136">
        <f t="shared" si="20"/>
        <v>2415020.500011574</v>
      </c>
      <c r="N25" s="136">
        <f t="shared" si="20"/>
        <v>2305447.5</v>
      </c>
      <c r="O25" s="136">
        <f t="shared" si="20"/>
        <v>2305812.5</v>
      </c>
      <c r="P25" s="136">
        <f t="shared" si="20"/>
        <v>2026871.8</v>
      </c>
      <c r="Q25" s="136">
        <f t="shared" ref="Q25:AD25" si="21">_xlfn.FLOOR.MATH(365.25*(Q16+4716))+_xlfn.FLOOR.MATH(30.6001*(Q17+1))+Q14+Q21-1524.5</f>
        <v>1676496.5</v>
      </c>
      <c r="R25" s="136">
        <f t="shared" si="21"/>
        <v>1676497.5</v>
      </c>
      <c r="S25" s="136">
        <f t="shared" si="21"/>
        <v>1356001</v>
      </c>
      <c r="T25" s="136">
        <f t="shared" si="21"/>
        <v>1355866.5</v>
      </c>
      <c r="U25" s="136">
        <f t="shared" si="21"/>
        <v>1355671.4</v>
      </c>
      <c r="V25" s="136">
        <f t="shared" si="21"/>
        <v>0</v>
      </c>
      <c r="W25" s="136">
        <f t="shared" si="21"/>
        <v>2446895.5</v>
      </c>
      <c r="X25" s="136">
        <f t="shared" si="21"/>
        <v>2448724.5</v>
      </c>
      <c r="Y25" s="136">
        <f t="shared" si="21"/>
        <v>2443189.5</v>
      </c>
      <c r="Z25" s="136">
        <f t="shared" si="21"/>
        <v>2467615.5</v>
      </c>
      <c r="AA25" s="136">
        <f t="shared" si="21"/>
        <v>2451544.5</v>
      </c>
      <c r="AB25" s="136">
        <f t="shared" si="21"/>
        <v>2434923.5</v>
      </c>
      <c r="AC25" s="136">
        <f t="shared" si="21"/>
        <v>2443826.5</v>
      </c>
      <c r="AD25" s="136">
        <f t="shared" si="21"/>
        <v>2447273.5</v>
      </c>
      <c r="AE25" s="136">
        <f t="shared" ref="AE25:AM25" si="22">_xlfn.FLOOR.MATH(365.25*(AE16+4716))+_xlfn.FLOOR.MATH(30.6001*(AE17+1))+AE14+AE21-1524.5</f>
        <v>2443192.6511574076</v>
      </c>
      <c r="AF25" s="136">
        <f t="shared" si="22"/>
        <v>2448976.5</v>
      </c>
      <c r="AG25" s="136">
        <f t="shared" si="22"/>
        <v>2448908.5</v>
      </c>
      <c r="AH25" s="136">
        <f t="shared" si="22"/>
        <v>2448316.5</v>
      </c>
      <c r="AI25" s="136">
        <f t="shared" si="22"/>
        <v>2448713.5</v>
      </c>
      <c r="AJ25" s="136">
        <f t="shared" si="22"/>
        <v>2449108.5</v>
      </c>
      <c r="AK25" s="136">
        <f t="shared" si="22"/>
        <v>2385070.5</v>
      </c>
      <c r="AL25" s="136">
        <f t="shared" si="22"/>
        <v>2448154.5</v>
      </c>
      <c r="AM25" s="136">
        <f t="shared" si="22"/>
        <v>1948439.5</v>
      </c>
      <c r="AN25" s="136">
        <f t="shared" ref="AN25:BG25" si="23">_xlfn.FLOOR.MATH(365.25*(AN16+4716))+_xlfn.FLOOR.MATH(30.6001*(AN17+1))+AN14+AN21-1524.5</f>
        <v>2451640.5</v>
      </c>
      <c r="AO25" s="136">
        <f t="shared" si="23"/>
        <v>1721425.5</v>
      </c>
      <c r="AP25" s="136">
        <f t="shared" si="23"/>
        <v>2459848.0791666666</v>
      </c>
      <c r="AQ25" s="136">
        <f t="shared" si="23"/>
        <v>2459855.1347222221</v>
      </c>
      <c r="AR25" s="136">
        <f t="shared" si="23"/>
        <v>2459862.0375000001</v>
      </c>
      <c r="AS25" s="136">
        <f t="shared" si="23"/>
        <v>2459869.84375</v>
      </c>
      <c r="AT25" s="136">
        <f t="shared" si="23"/>
        <v>2459884.5</v>
      </c>
      <c r="AU25" s="136">
        <f t="shared" si="23"/>
        <v>2441834.5</v>
      </c>
      <c r="AV25" s="136">
        <f t="shared" si="23"/>
        <v>2450692.5</v>
      </c>
      <c r="AW25" s="136">
        <f t="shared" si="23"/>
        <v>2427807.5</v>
      </c>
      <c r="AX25" s="136">
        <f t="shared" si="23"/>
        <v>2435943.5</v>
      </c>
      <c r="AY25" s="136">
        <f t="shared" si="23"/>
        <v>2459914.5</v>
      </c>
      <c r="AZ25" s="136">
        <f t="shared" si="23"/>
        <v>2459915.5</v>
      </c>
      <c r="BA25" s="136">
        <f t="shared" si="23"/>
        <v>2459916.5</v>
      </c>
      <c r="BB25" s="136">
        <f t="shared" si="23"/>
        <v>2459917.5</v>
      </c>
      <c r="BC25" s="136">
        <f t="shared" si="23"/>
        <v>2459918.5</v>
      </c>
      <c r="BD25" s="136">
        <f t="shared" si="23"/>
        <v>2459919.5</v>
      </c>
      <c r="BE25" s="136">
        <f t="shared" si="23"/>
        <v>2459920.5</v>
      </c>
      <c r="BF25" s="136">
        <f t="shared" si="23"/>
        <v>2459921.5</v>
      </c>
      <c r="BG25" s="136">
        <f t="shared" si="23"/>
        <v>2443192.5</v>
      </c>
    </row>
    <row r="27" spans="2:59" x14ac:dyDescent="0.25">
      <c r="C27" s="8" t="s">
        <v>636</v>
      </c>
    </row>
    <row r="28" spans="2:59" x14ac:dyDescent="0.25">
      <c r="B28">
        <v>65</v>
      </c>
      <c r="C28" t="s">
        <v>621</v>
      </c>
      <c r="D28" s="7" t="s">
        <v>622</v>
      </c>
      <c r="E28" s="1">
        <f>E25+1.5</f>
        <v>2436117.81</v>
      </c>
      <c r="F28" s="1">
        <f t="shared" ref="F28:AD28" si="24">F25+1.5</f>
        <v>1842714.5</v>
      </c>
      <c r="G28" s="1">
        <f t="shared" si="24"/>
        <v>2451546.5</v>
      </c>
      <c r="H28" s="1">
        <f t="shared" si="24"/>
        <v>2451181</v>
      </c>
      <c r="I28" s="1">
        <f t="shared" si="24"/>
        <v>2446824</v>
      </c>
      <c r="J28" s="1">
        <f t="shared" si="24"/>
        <v>2446967.5</v>
      </c>
      <c r="K28" s="1">
        <f t="shared" si="24"/>
        <v>2447189</v>
      </c>
      <c r="L28" s="1">
        <f t="shared" si="24"/>
        <v>2447333.5</v>
      </c>
      <c r="M28" s="1">
        <f t="shared" si="24"/>
        <v>2415022.000011574</v>
      </c>
      <c r="N28" s="1">
        <f t="shared" si="24"/>
        <v>2305449</v>
      </c>
      <c r="O28" s="1">
        <f t="shared" si="24"/>
        <v>2305814</v>
      </c>
      <c r="P28" s="1">
        <f t="shared" si="24"/>
        <v>2026873.3</v>
      </c>
      <c r="Q28" s="1">
        <f t="shared" si="24"/>
        <v>1676498</v>
      </c>
      <c r="R28" s="1">
        <f t="shared" si="24"/>
        <v>1676499</v>
      </c>
      <c r="S28" s="1">
        <f t="shared" si="24"/>
        <v>1356002.5</v>
      </c>
      <c r="T28" s="1">
        <f t="shared" si="24"/>
        <v>1355868</v>
      </c>
      <c r="U28" s="1">
        <f t="shared" si="24"/>
        <v>1355672.9</v>
      </c>
      <c r="V28" s="1">
        <f t="shared" si="24"/>
        <v>1.5</v>
      </c>
      <c r="W28" s="1">
        <f t="shared" si="24"/>
        <v>2446897</v>
      </c>
      <c r="X28" s="1">
        <f t="shared" si="24"/>
        <v>2448726</v>
      </c>
      <c r="Y28" s="1">
        <f t="shared" si="24"/>
        <v>2443191</v>
      </c>
      <c r="Z28" s="1">
        <f t="shared" si="24"/>
        <v>2467617</v>
      </c>
      <c r="AA28" s="1">
        <f t="shared" si="24"/>
        <v>2451546</v>
      </c>
      <c r="AB28" s="1">
        <f t="shared" si="24"/>
        <v>2434925</v>
      </c>
      <c r="AC28" s="1">
        <f t="shared" si="24"/>
        <v>2443828</v>
      </c>
      <c r="AD28" s="1">
        <f t="shared" si="24"/>
        <v>2447275</v>
      </c>
      <c r="AE28" s="1">
        <f t="shared" ref="AE28:AM28" si="25">AE25+1.5</f>
        <v>2443194.1511574076</v>
      </c>
      <c r="AF28" s="1">
        <f t="shared" si="25"/>
        <v>2448978</v>
      </c>
      <c r="AG28" s="1">
        <f t="shared" si="25"/>
        <v>2448910</v>
      </c>
      <c r="AH28" s="1">
        <f t="shared" si="25"/>
        <v>2448318</v>
      </c>
      <c r="AI28" s="1">
        <f t="shared" si="25"/>
        <v>2448715</v>
      </c>
      <c r="AJ28" s="1">
        <f t="shared" si="25"/>
        <v>2449110</v>
      </c>
      <c r="AK28" s="1">
        <f t="shared" si="25"/>
        <v>2385072</v>
      </c>
      <c r="AL28" s="1">
        <f t="shared" si="25"/>
        <v>2448156</v>
      </c>
      <c r="AM28" s="1">
        <f t="shared" si="25"/>
        <v>1948441</v>
      </c>
      <c r="AN28" s="1">
        <f t="shared" ref="AN28:BG28" si="26">AN25+1.5</f>
        <v>2451642</v>
      </c>
      <c r="AO28" s="1">
        <f t="shared" si="26"/>
        <v>1721427</v>
      </c>
      <c r="AP28" s="1">
        <f t="shared" si="26"/>
        <v>2459849.5791666666</v>
      </c>
      <c r="AQ28" s="1">
        <f t="shared" si="26"/>
        <v>2459856.6347222221</v>
      </c>
      <c r="AR28" s="1">
        <f t="shared" si="26"/>
        <v>2459863.5375000001</v>
      </c>
      <c r="AS28" s="1">
        <f t="shared" si="26"/>
        <v>2459871.34375</v>
      </c>
      <c r="AT28" s="1">
        <f t="shared" si="26"/>
        <v>2459886</v>
      </c>
      <c r="AU28" s="1">
        <f t="shared" si="26"/>
        <v>2441836</v>
      </c>
      <c r="AV28" s="1">
        <f t="shared" si="26"/>
        <v>2450694</v>
      </c>
      <c r="AW28" s="1">
        <f t="shared" si="26"/>
        <v>2427809</v>
      </c>
      <c r="AX28" s="1">
        <f t="shared" si="26"/>
        <v>2435945</v>
      </c>
      <c r="AY28" s="1">
        <f t="shared" si="26"/>
        <v>2459916</v>
      </c>
      <c r="AZ28" s="1">
        <f t="shared" si="26"/>
        <v>2459917</v>
      </c>
      <c r="BA28" s="1">
        <f t="shared" si="26"/>
        <v>2459918</v>
      </c>
      <c r="BB28" s="1">
        <f t="shared" si="26"/>
        <v>2459919</v>
      </c>
      <c r="BC28" s="1">
        <f t="shared" si="26"/>
        <v>2459920</v>
      </c>
      <c r="BD28" s="1">
        <f t="shared" si="26"/>
        <v>2459921</v>
      </c>
      <c r="BE28" s="1">
        <f t="shared" si="26"/>
        <v>2459922</v>
      </c>
      <c r="BF28" s="1">
        <f t="shared" si="26"/>
        <v>2459923</v>
      </c>
      <c r="BG28" s="1">
        <f t="shared" si="26"/>
        <v>2443194</v>
      </c>
    </row>
    <row r="29" spans="2:59" x14ac:dyDescent="0.25">
      <c r="B29">
        <v>65</v>
      </c>
      <c r="C29" t="s">
        <v>623</v>
      </c>
      <c r="D29" s="7" t="s">
        <v>625</v>
      </c>
      <c r="E29" s="1">
        <f>MOD(E28,7)</f>
        <v>5.8100000000558794</v>
      </c>
      <c r="F29" s="1">
        <f t="shared" ref="F29:AD29" si="27">MOD(F28,7)</f>
        <v>6.5</v>
      </c>
      <c r="G29" s="1">
        <f t="shared" si="27"/>
        <v>6.5</v>
      </c>
      <c r="H29" s="1">
        <f t="shared" si="27"/>
        <v>5</v>
      </c>
      <c r="I29" s="1">
        <f t="shared" si="27"/>
        <v>2</v>
      </c>
      <c r="J29" s="1">
        <f t="shared" si="27"/>
        <v>5.5</v>
      </c>
      <c r="K29" s="1">
        <f t="shared" si="27"/>
        <v>3</v>
      </c>
      <c r="L29" s="1">
        <f t="shared" si="27"/>
        <v>0.5</v>
      </c>
      <c r="M29" s="1">
        <f t="shared" si="27"/>
        <v>1.000011574011296</v>
      </c>
      <c r="N29" s="1">
        <f t="shared" si="27"/>
        <v>6</v>
      </c>
      <c r="O29" s="1">
        <f t="shared" si="27"/>
        <v>0</v>
      </c>
      <c r="P29" s="1">
        <f t="shared" si="27"/>
        <v>2.3000000000465661</v>
      </c>
      <c r="Q29" s="1">
        <f t="shared" si="27"/>
        <v>5</v>
      </c>
      <c r="R29" s="1">
        <f t="shared" si="27"/>
        <v>6</v>
      </c>
      <c r="S29" s="1">
        <f t="shared" si="27"/>
        <v>4.5</v>
      </c>
      <c r="T29" s="1">
        <f t="shared" si="27"/>
        <v>3</v>
      </c>
      <c r="U29" s="1">
        <f t="shared" si="27"/>
        <v>3.8999999999068677</v>
      </c>
      <c r="V29" s="1">
        <f t="shared" si="27"/>
        <v>1.5</v>
      </c>
      <c r="W29" s="1">
        <f t="shared" si="27"/>
        <v>5</v>
      </c>
      <c r="X29" s="1">
        <f t="shared" si="27"/>
        <v>0</v>
      </c>
      <c r="Y29" s="1">
        <f t="shared" si="27"/>
        <v>2</v>
      </c>
      <c r="Z29" s="1">
        <f t="shared" si="27"/>
        <v>5</v>
      </c>
      <c r="AA29" s="1">
        <f t="shared" si="27"/>
        <v>6</v>
      </c>
      <c r="AB29" s="1">
        <f t="shared" si="27"/>
        <v>3</v>
      </c>
      <c r="AC29" s="1">
        <f t="shared" si="27"/>
        <v>2</v>
      </c>
      <c r="AD29" s="1">
        <f t="shared" si="27"/>
        <v>5</v>
      </c>
      <c r="AE29" s="1">
        <f t="shared" ref="AE29" si="28">MOD(AE28,7)</f>
        <v>5.1511574075557292</v>
      </c>
      <c r="AF29" s="1">
        <f t="shared" ref="AF29" si="29">MOD(AF28,7)</f>
        <v>0</v>
      </c>
      <c r="AG29" s="1">
        <f t="shared" ref="AG29" si="30">MOD(AG28,7)</f>
        <v>2</v>
      </c>
      <c r="AH29" s="1">
        <f t="shared" ref="AH29" si="31">MOD(AH28,7)</f>
        <v>5</v>
      </c>
      <c r="AI29" s="1">
        <f t="shared" ref="AI29" si="32">MOD(AI28,7)</f>
        <v>3</v>
      </c>
      <c r="AJ29" s="1">
        <f t="shared" ref="AJ29" si="33">MOD(AJ28,7)</f>
        <v>6</v>
      </c>
      <c r="AK29" s="1">
        <f t="shared" ref="AK29" si="34">MOD(AK28,7)</f>
        <v>4</v>
      </c>
      <c r="AL29" s="1">
        <f t="shared" ref="AL29" si="35">MOD(AL28,7)</f>
        <v>4</v>
      </c>
      <c r="AM29" s="1">
        <f t="shared" ref="AM29" si="36">MOD(AM28,7)</f>
        <v>5</v>
      </c>
      <c r="AN29" s="1">
        <f t="shared" ref="AN29" si="37">MOD(AN28,7)</f>
        <v>4</v>
      </c>
      <c r="AO29" s="1">
        <f t="shared" ref="AO29" si="38">MOD(AO28,7)</f>
        <v>1</v>
      </c>
      <c r="AP29" s="1">
        <f t="shared" ref="AP29" si="39">MOD(AP28,7)</f>
        <v>0.5791666666045785</v>
      </c>
      <c r="AQ29" s="1">
        <f t="shared" ref="AQ29" si="40">MOD(AQ28,7)</f>
        <v>0.63472222210839391</v>
      </c>
      <c r="AR29" s="1">
        <f t="shared" ref="AR29" si="41">MOD(AR28,7)</f>
        <v>0.53750000009313226</v>
      </c>
      <c r="AS29" s="1">
        <f t="shared" ref="AS29" si="42">MOD(AS28,7)</f>
        <v>1.34375</v>
      </c>
      <c r="AT29" s="1">
        <f t="shared" ref="AT29" si="43">MOD(AT28,7)</f>
        <v>2</v>
      </c>
      <c r="AU29" s="1">
        <f t="shared" ref="AU29" si="44">MOD(AU28,7)</f>
        <v>5</v>
      </c>
      <c r="AV29" s="1">
        <f t="shared" ref="AV29" si="45">MOD(AV28,7)</f>
        <v>1</v>
      </c>
      <c r="AW29" s="1">
        <f t="shared" ref="AW29" si="46">MOD(AW28,7)</f>
        <v>6</v>
      </c>
      <c r="AX29" s="1">
        <f t="shared" ref="AX29" si="47">MOD(AX28,7)</f>
        <v>1</v>
      </c>
      <c r="AY29" s="1">
        <f t="shared" ref="AY29" si="48">MOD(AY28,7)</f>
        <v>4</v>
      </c>
      <c r="AZ29" s="1">
        <f t="shared" ref="AZ29" si="49">MOD(AZ28,7)</f>
        <v>5</v>
      </c>
      <c r="BA29" s="1">
        <f t="shared" ref="BA29" si="50">MOD(BA28,7)</f>
        <v>6</v>
      </c>
      <c r="BB29" s="1">
        <f t="shared" ref="BB29" si="51">MOD(BB28,7)</f>
        <v>0</v>
      </c>
      <c r="BC29" s="1">
        <f t="shared" ref="BC29" si="52">MOD(BC28,7)</f>
        <v>1</v>
      </c>
      <c r="BD29" s="1">
        <f t="shared" ref="BD29" si="53">MOD(BD28,7)</f>
        <v>2</v>
      </c>
      <c r="BE29" s="1">
        <f t="shared" ref="BE29" si="54">MOD(BE28,7)</f>
        <v>3</v>
      </c>
      <c r="BF29" s="1">
        <f t="shared" ref="BF29" si="55">MOD(BF28,7)</f>
        <v>4</v>
      </c>
      <c r="BG29" s="1">
        <f t="shared" ref="BG29" si="56">MOD(BG28,7)</f>
        <v>5</v>
      </c>
    </row>
    <row r="30" spans="2:59" x14ac:dyDescent="0.25">
      <c r="E30" s="1">
        <f>_xlfn.FLOOR.MATH(E29)</f>
        <v>5</v>
      </c>
      <c r="F30" s="1">
        <f t="shared" ref="F30:AD30" si="57">_xlfn.FLOOR.MATH(F29)</f>
        <v>6</v>
      </c>
      <c r="G30" s="1">
        <f t="shared" si="57"/>
        <v>6</v>
      </c>
      <c r="H30" s="1">
        <f t="shared" si="57"/>
        <v>5</v>
      </c>
      <c r="I30" s="1">
        <f t="shared" si="57"/>
        <v>2</v>
      </c>
      <c r="J30" s="1">
        <f t="shared" si="57"/>
        <v>5</v>
      </c>
      <c r="K30" s="1">
        <f t="shared" si="57"/>
        <v>3</v>
      </c>
      <c r="L30" s="1">
        <f t="shared" si="57"/>
        <v>0</v>
      </c>
      <c r="M30" s="1">
        <f t="shared" si="57"/>
        <v>1</v>
      </c>
      <c r="N30" s="1">
        <f t="shared" si="57"/>
        <v>6</v>
      </c>
      <c r="O30" s="1">
        <f t="shared" si="57"/>
        <v>0</v>
      </c>
      <c r="P30" s="1">
        <f t="shared" si="57"/>
        <v>2</v>
      </c>
      <c r="Q30" s="1">
        <f t="shared" si="57"/>
        <v>5</v>
      </c>
      <c r="R30" s="1">
        <f t="shared" si="57"/>
        <v>6</v>
      </c>
      <c r="S30" s="1">
        <f t="shared" si="57"/>
        <v>4</v>
      </c>
      <c r="T30" s="1">
        <f t="shared" si="57"/>
        <v>3</v>
      </c>
      <c r="U30" s="1">
        <f t="shared" si="57"/>
        <v>3</v>
      </c>
      <c r="V30" s="1">
        <f t="shared" si="57"/>
        <v>1</v>
      </c>
      <c r="W30" s="1">
        <f t="shared" si="57"/>
        <v>5</v>
      </c>
      <c r="X30" s="1">
        <f t="shared" si="57"/>
        <v>0</v>
      </c>
      <c r="Y30" s="1">
        <f t="shared" si="57"/>
        <v>2</v>
      </c>
      <c r="Z30" s="1">
        <f t="shared" si="57"/>
        <v>5</v>
      </c>
      <c r="AA30" s="1">
        <f t="shared" si="57"/>
        <v>6</v>
      </c>
      <c r="AB30" s="1">
        <f t="shared" si="57"/>
        <v>3</v>
      </c>
      <c r="AC30" s="1">
        <f t="shared" si="57"/>
        <v>2</v>
      </c>
      <c r="AD30" s="1">
        <f t="shared" si="57"/>
        <v>5</v>
      </c>
      <c r="AE30" s="1">
        <f t="shared" ref="AE30" si="58">_xlfn.FLOOR.MATH(AE29)</f>
        <v>5</v>
      </c>
      <c r="AF30" s="1">
        <f t="shared" ref="AF30" si="59">_xlfn.FLOOR.MATH(AF29)</f>
        <v>0</v>
      </c>
      <c r="AG30" s="1">
        <f t="shared" ref="AG30" si="60">_xlfn.FLOOR.MATH(AG29)</f>
        <v>2</v>
      </c>
      <c r="AH30" s="1">
        <f t="shared" ref="AH30" si="61">_xlfn.FLOOR.MATH(AH29)</f>
        <v>5</v>
      </c>
      <c r="AI30" s="1">
        <f t="shared" ref="AI30" si="62">_xlfn.FLOOR.MATH(AI29)</f>
        <v>3</v>
      </c>
      <c r="AJ30" s="1">
        <f t="shared" ref="AJ30" si="63">_xlfn.FLOOR.MATH(AJ29)</f>
        <v>6</v>
      </c>
      <c r="AK30" s="1">
        <f t="shared" ref="AK30" si="64">_xlfn.FLOOR.MATH(AK29)</f>
        <v>4</v>
      </c>
      <c r="AL30" s="1">
        <f t="shared" ref="AL30" si="65">_xlfn.FLOOR.MATH(AL29)</f>
        <v>4</v>
      </c>
      <c r="AM30" s="1">
        <f t="shared" ref="AM30" si="66">_xlfn.FLOOR.MATH(AM29)</f>
        <v>5</v>
      </c>
      <c r="AN30" s="1">
        <f t="shared" ref="AN30" si="67">_xlfn.FLOOR.MATH(AN29)</f>
        <v>4</v>
      </c>
      <c r="AO30" s="1">
        <f t="shared" ref="AO30" si="68">_xlfn.FLOOR.MATH(AO29)</f>
        <v>1</v>
      </c>
      <c r="AP30" s="1">
        <f t="shared" ref="AP30" si="69">_xlfn.FLOOR.MATH(AP29)</f>
        <v>0</v>
      </c>
      <c r="AQ30" s="1">
        <f t="shared" ref="AQ30" si="70">_xlfn.FLOOR.MATH(AQ29)</f>
        <v>0</v>
      </c>
      <c r="AR30" s="1">
        <f t="shared" ref="AR30" si="71">_xlfn.FLOOR.MATH(AR29)</f>
        <v>0</v>
      </c>
      <c r="AS30" s="1">
        <f t="shared" ref="AS30" si="72">_xlfn.FLOOR.MATH(AS29)</f>
        <v>1</v>
      </c>
      <c r="AT30" s="1">
        <f t="shared" ref="AT30" si="73">_xlfn.FLOOR.MATH(AT29)</f>
        <v>2</v>
      </c>
      <c r="AU30" s="1">
        <f t="shared" ref="AU30" si="74">_xlfn.FLOOR.MATH(AU29)</f>
        <v>5</v>
      </c>
      <c r="AV30" s="1">
        <f t="shared" ref="AV30" si="75">_xlfn.FLOOR.MATH(AV29)</f>
        <v>1</v>
      </c>
      <c r="AW30" s="1">
        <f t="shared" ref="AW30" si="76">_xlfn.FLOOR.MATH(AW29)</f>
        <v>6</v>
      </c>
      <c r="AX30" s="1">
        <f t="shared" ref="AX30" si="77">_xlfn.FLOOR.MATH(AX29)</f>
        <v>1</v>
      </c>
      <c r="AY30" s="1">
        <f t="shared" ref="AY30" si="78">_xlfn.FLOOR.MATH(AY29)</f>
        <v>4</v>
      </c>
      <c r="AZ30" s="1">
        <f t="shared" ref="AZ30" si="79">_xlfn.FLOOR.MATH(AZ29)</f>
        <v>5</v>
      </c>
      <c r="BA30" s="1">
        <f t="shared" ref="BA30" si="80">_xlfn.FLOOR.MATH(BA29)</f>
        <v>6</v>
      </c>
      <c r="BB30" s="1">
        <f t="shared" ref="BB30" si="81">_xlfn.FLOOR.MATH(BB29)</f>
        <v>0</v>
      </c>
      <c r="BC30" s="1">
        <f t="shared" ref="BC30" si="82">_xlfn.FLOOR.MATH(BC29)</f>
        <v>1</v>
      </c>
      <c r="BD30" s="1">
        <f t="shared" ref="BD30" si="83">_xlfn.FLOOR.MATH(BD29)</f>
        <v>2</v>
      </c>
      <c r="BE30" s="1">
        <f t="shared" ref="BE30" si="84">_xlfn.FLOOR.MATH(BE29)</f>
        <v>3</v>
      </c>
      <c r="BF30" s="1">
        <f t="shared" ref="BF30" si="85">_xlfn.FLOOR.MATH(BF29)</f>
        <v>4</v>
      </c>
      <c r="BG30" s="1">
        <f t="shared" ref="BG30" si="86">_xlfn.FLOOR.MATH(BG29)</f>
        <v>5</v>
      </c>
    </row>
    <row r="31" spans="2:59" x14ac:dyDescent="0.25">
      <c r="D31" s="19" t="s">
        <v>624</v>
      </c>
      <c r="E31" s="7" t="str">
        <f>IF(E30=0,"Sun",IF(E30=1,"Mon",IF(E30=2,"Tue",IF(E30=3,"Wed",IF(E30=4,"Thu",IF(E30=5,"Fri",IF(E30=6,"Sat","--")))))))</f>
        <v>Fri</v>
      </c>
      <c r="F31" s="7" t="str">
        <f t="shared" ref="F31:AD31" si="87">IF(F30=0,"Sun",IF(F30=1,"Mon",IF(F30=2,"Tue",IF(F30=3,"Wed",IF(F30=4,"Thu",IF(F30=5,"Fri",IF(F30=6,"Sat","--")))))))</f>
        <v>Sat</v>
      </c>
      <c r="G31" s="7" t="str">
        <f t="shared" si="87"/>
        <v>Sat</v>
      </c>
      <c r="H31" s="7" t="str">
        <f t="shared" si="87"/>
        <v>Fri</v>
      </c>
      <c r="I31" s="7" t="str">
        <f t="shared" si="87"/>
        <v>Tue</v>
      </c>
      <c r="J31" s="7" t="str">
        <f t="shared" si="87"/>
        <v>Fri</v>
      </c>
      <c r="K31" s="7" t="str">
        <f t="shared" si="87"/>
        <v>Wed</v>
      </c>
      <c r="L31" s="7" t="str">
        <f t="shared" si="87"/>
        <v>Sun</v>
      </c>
      <c r="M31" s="172" t="str">
        <f t="shared" si="87"/>
        <v>Mon</v>
      </c>
      <c r="N31" s="7" t="str">
        <f t="shared" si="87"/>
        <v>Sat</v>
      </c>
      <c r="O31" s="7" t="str">
        <f t="shared" si="87"/>
        <v>Sun</v>
      </c>
      <c r="P31" s="7" t="str">
        <f t="shared" si="87"/>
        <v>Tue</v>
      </c>
      <c r="Q31" s="7" t="str">
        <f t="shared" si="87"/>
        <v>Fri</v>
      </c>
      <c r="R31" s="7" t="str">
        <f t="shared" si="87"/>
        <v>Sat</v>
      </c>
      <c r="S31" s="7" t="str">
        <f t="shared" si="87"/>
        <v>Thu</v>
      </c>
      <c r="T31" s="7" t="str">
        <f t="shared" si="87"/>
        <v>Wed</v>
      </c>
      <c r="U31" s="7" t="str">
        <f t="shared" si="87"/>
        <v>Wed</v>
      </c>
      <c r="V31" s="7" t="str">
        <f t="shared" si="87"/>
        <v>Mon</v>
      </c>
      <c r="W31" s="7" t="str">
        <f t="shared" si="87"/>
        <v>Fri</v>
      </c>
      <c r="X31" s="7" t="str">
        <f t="shared" si="87"/>
        <v>Sun</v>
      </c>
      <c r="Y31" s="7" t="str">
        <f t="shared" si="87"/>
        <v>Tue</v>
      </c>
      <c r="Z31" s="7" t="str">
        <f t="shared" si="87"/>
        <v>Fri</v>
      </c>
      <c r="AA31" s="7" t="str">
        <f t="shared" si="87"/>
        <v>Sat</v>
      </c>
      <c r="AB31" s="7" t="str">
        <f t="shared" si="87"/>
        <v>Wed</v>
      </c>
      <c r="AC31" s="7" t="str">
        <f t="shared" si="87"/>
        <v>Tue</v>
      </c>
      <c r="AD31" s="7" t="str">
        <f t="shared" si="87"/>
        <v>Fri</v>
      </c>
      <c r="AE31" s="7" t="str">
        <f t="shared" ref="AE31" si="88">IF(AE30=0,"Sun",IF(AE30=1,"Mon",IF(AE30=2,"Tue",IF(AE30=3,"Wed",IF(AE30=4,"Thu",IF(AE30=5,"Fri",IF(AE30=6,"Sat","--")))))))</f>
        <v>Fri</v>
      </c>
      <c r="AF31" s="7" t="str">
        <f t="shared" ref="AF31" si="89">IF(AF30=0,"Sun",IF(AF30=1,"Mon",IF(AF30=2,"Tue",IF(AF30=3,"Wed",IF(AF30=4,"Thu",IF(AF30=5,"Fri",IF(AF30=6,"Sat","--")))))))</f>
        <v>Sun</v>
      </c>
      <c r="AG31" s="7" t="str">
        <f t="shared" ref="AG31" si="90">IF(AG30=0,"Sun",IF(AG30=1,"Mon",IF(AG30=2,"Tue",IF(AG30=3,"Wed",IF(AG30=4,"Thu",IF(AG30=5,"Fri",IF(AG30=6,"Sat","--")))))))</f>
        <v>Tue</v>
      </c>
      <c r="AH31" s="7" t="str">
        <f t="shared" ref="AH31" si="91">IF(AH30=0,"Sun",IF(AH30=1,"Mon",IF(AH30=2,"Tue",IF(AH30=3,"Wed",IF(AH30=4,"Thu",IF(AH30=5,"Fri",IF(AH30=6,"Sat","--")))))))</f>
        <v>Fri</v>
      </c>
      <c r="AI31" s="7" t="str">
        <f t="shared" ref="AI31" si="92">IF(AI30=0,"Sun",IF(AI30=1,"Mon",IF(AI30=2,"Tue",IF(AI30=3,"Wed",IF(AI30=4,"Thu",IF(AI30=5,"Fri",IF(AI30=6,"Sat","--")))))))</f>
        <v>Wed</v>
      </c>
      <c r="AJ31" s="7" t="str">
        <f t="shared" ref="AJ31" si="93">IF(AJ30=0,"Sun",IF(AJ30=1,"Mon",IF(AJ30=2,"Tue",IF(AJ30=3,"Wed",IF(AJ30=4,"Thu",IF(AJ30=5,"Fri",IF(AJ30=6,"Sat","--")))))))</f>
        <v>Sat</v>
      </c>
      <c r="AK31" s="7" t="str">
        <f t="shared" ref="AK31" si="94">IF(AK30=0,"Sun",IF(AK30=1,"Mon",IF(AK30=2,"Tue",IF(AK30=3,"Wed",IF(AK30=4,"Thu",IF(AK30=5,"Fri",IF(AK30=6,"Sat","--")))))))</f>
        <v>Thu</v>
      </c>
      <c r="AL31" s="7" t="str">
        <f t="shared" ref="AL31" si="95">IF(AL30=0,"Sun",IF(AL30=1,"Mon",IF(AL30=2,"Tue",IF(AL30=3,"Wed",IF(AL30=4,"Thu",IF(AL30=5,"Fri",IF(AL30=6,"Sat","--")))))))</f>
        <v>Thu</v>
      </c>
      <c r="AM31" s="7" t="str">
        <f t="shared" ref="AM31" si="96">IF(AM30=0,"Sun",IF(AM30=1,"Mon",IF(AM30=2,"Tue",IF(AM30=3,"Wed",IF(AM30=4,"Thu",IF(AM30=5,"Fri",IF(AM30=6,"Sat","--")))))))</f>
        <v>Fri</v>
      </c>
      <c r="AN31" s="7" t="str">
        <f t="shared" ref="AN31" si="97">IF(AN30=0,"Sun",IF(AN30=1,"Mon",IF(AN30=2,"Tue",IF(AN30=3,"Wed",IF(AN30=4,"Thu",IF(AN30=5,"Fri",IF(AN30=6,"Sat","--")))))))</f>
        <v>Thu</v>
      </c>
      <c r="AO31" s="7" t="str">
        <f t="shared" ref="AO31" si="98">IF(AO30=0,"Sun",IF(AO30=1,"Mon",IF(AO30=2,"Tue",IF(AO30=3,"Wed",IF(AO30=4,"Thu",IF(AO30=5,"Fri",IF(AO30=6,"Sat","--")))))))</f>
        <v>Mon</v>
      </c>
      <c r="AP31" s="7" t="str">
        <f t="shared" ref="AP31" si="99">IF(AP30=0,"Sun",IF(AP30=1,"Mon",IF(AP30=2,"Tue",IF(AP30=3,"Wed",IF(AP30=4,"Thu",IF(AP30=5,"Fri",IF(AP30=6,"Sat","--")))))))</f>
        <v>Sun</v>
      </c>
      <c r="AQ31" s="7" t="str">
        <f t="shared" ref="AQ31" si="100">IF(AQ30=0,"Sun",IF(AQ30=1,"Mon",IF(AQ30=2,"Tue",IF(AQ30=3,"Wed",IF(AQ30=4,"Thu",IF(AQ30=5,"Fri",IF(AQ30=6,"Sat","--")))))))</f>
        <v>Sun</v>
      </c>
      <c r="AR31" s="7" t="str">
        <f t="shared" ref="AR31" si="101">IF(AR30=0,"Sun",IF(AR30=1,"Mon",IF(AR30=2,"Tue",IF(AR30=3,"Wed",IF(AR30=4,"Thu",IF(AR30=5,"Fri",IF(AR30=6,"Sat","--")))))))</f>
        <v>Sun</v>
      </c>
      <c r="AS31" s="7" t="str">
        <f t="shared" ref="AS31" si="102">IF(AS30=0,"Sun",IF(AS30=1,"Mon",IF(AS30=2,"Tue",IF(AS30=3,"Wed",IF(AS30=4,"Thu",IF(AS30=5,"Fri",IF(AS30=6,"Sat","--")))))))</f>
        <v>Mon</v>
      </c>
      <c r="AT31" s="7" t="str">
        <f t="shared" ref="AT31" si="103">IF(AT30=0,"Sun",IF(AT30=1,"Mon",IF(AT30=2,"Tue",IF(AT30=3,"Wed",IF(AT30=4,"Thu",IF(AT30=5,"Fri",IF(AT30=6,"Sat","--")))))))</f>
        <v>Tue</v>
      </c>
      <c r="AU31" s="7" t="str">
        <f t="shared" ref="AU31" si="104">IF(AU30=0,"Sun",IF(AU30=1,"Mon",IF(AU30=2,"Tue",IF(AU30=3,"Wed",IF(AU30=4,"Thu",IF(AU30=5,"Fri",IF(AU30=6,"Sat","--")))))))</f>
        <v>Fri</v>
      </c>
      <c r="AV31" s="7" t="str">
        <f t="shared" ref="AV31" si="105">IF(AV30=0,"Sun",IF(AV30=1,"Mon",IF(AV30=2,"Tue",IF(AV30=3,"Wed",IF(AV30=4,"Thu",IF(AV30=5,"Fri",IF(AV30=6,"Sat","--")))))))</f>
        <v>Mon</v>
      </c>
      <c r="AW31" s="7" t="str">
        <f t="shared" ref="AW31" si="106">IF(AW30=0,"Sun",IF(AW30=1,"Mon",IF(AW30=2,"Tue",IF(AW30=3,"Wed",IF(AW30=4,"Thu",IF(AW30=5,"Fri",IF(AW30=6,"Sat","--")))))))</f>
        <v>Sat</v>
      </c>
      <c r="AX31" s="7" t="str">
        <f t="shared" ref="AX31" si="107">IF(AX30=0,"Sun",IF(AX30=1,"Mon",IF(AX30=2,"Tue",IF(AX30=3,"Wed",IF(AX30=4,"Thu",IF(AX30=5,"Fri",IF(AX30=6,"Sat","--")))))))</f>
        <v>Mon</v>
      </c>
      <c r="AY31" s="7" t="str">
        <f t="shared" ref="AY31" si="108">IF(AY30=0,"Sun",IF(AY30=1,"Mon",IF(AY30=2,"Tue",IF(AY30=3,"Wed",IF(AY30=4,"Thu",IF(AY30=5,"Fri",IF(AY30=6,"Sat","--")))))))</f>
        <v>Thu</v>
      </c>
      <c r="AZ31" s="7" t="str">
        <f t="shared" ref="AZ31" si="109">IF(AZ30=0,"Sun",IF(AZ30=1,"Mon",IF(AZ30=2,"Tue",IF(AZ30=3,"Wed",IF(AZ30=4,"Thu",IF(AZ30=5,"Fri",IF(AZ30=6,"Sat","--")))))))</f>
        <v>Fri</v>
      </c>
      <c r="BA31" s="7" t="str">
        <f t="shared" ref="BA31" si="110">IF(BA30=0,"Sun",IF(BA30=1,"Mon",IF(BA30=2,"Tue",IF(BA30=3,"Wed",IF(BA30=4,"Thu",IF(BA30=5,"Fri",IF(BA30=6,"Sat","--")))))))</f>
        <v>Sat</v>
      </c>
      <c r="BB31" s="7" t="str">
        <f t="shared" ref="BB31" si="111">IF(BB30=0,"Sun",IF(BB30=1,"Mon",IF(BB30=2,"Tue",IF(BB30=3,"Wed",IF(BB30=4,"Thu",IF(BB30=5,"Fri",IF(BB30=6,"Sat","--")))))))</f>
        <v>Sun</v>
      </c>
      <c r="BC31" s="7" t="str">
        <f t="shared" ref="BC31" si="112">IF(BC30=0,"Sun",IF(BC30=1,"Mon",IF(BC30=2,"Tue",IF(BC30=3,"Wed",IF(BC30=4,"Thu",IF(BC30=5,"Fri",IF(BC30=6,"Sat","--")))))))</f>
        <v>Mon</v>
      </c>
      <c r="BD31" s="7" t="str">
        <f t="shared" ref="BD31" si="113">IF(BD30=0,"Sun",IF(BD30=1,"Mon",IF(BD30=2,"Tue",IF(BD30=3,"Wed",IF(BD30=4,"Thu",IF(BD30=5,"Fri",IF(BD30=6,"Sat","--")))))))</f>
        <v>Tue</v>
      </c>
      <c r="BE31" s="7" t="str">
        <f t="shared" ref="BE31" si="114">IF(BE30=0,"Sun",IF(BE30=1,"Mon",IF(BE30=2,"Tue",IF(BE30=3,"Wed",IF(BE30=4,"Thu",IF(BE30=5,"Fri",IF(BE30=6,"Sat","--")))))))</f>
        <v>Wed</v>
      </c>
      <c r="BF31" s="7" t="str">
        <f t="shared" ref="BF31" si="115">IF(BF30=0,"Sun",IF(BF30=1,"Mon",IF(BF30=2,"Tue",IF(BF30=3,"Wed",IF(BF30=4,"Thu",IF(BF30=5,"Fri",IF(BF30=6,"Sat","--")))))))</f>
        <v>Thu</v>
      </c>
      <c r="BG31" s="7" t="str">
        <f t="shared" ref="BG31" si="116">IF(BG30=0,"Sun",IF(BG30=1,"Mon",IF(BG30=2,"Tue",IF(BG30=3,"Wed",IF(BG30=4,"Thu",IF(BG30=5,"Fri",IF(BG30=6,"Sat","--")))))))</f>
        <v>Fri</v>
      </c>
    </row>
    <row r="34" spans="2:59" x14ac:dyDescent="0.25">
      <c r="B34">
        <v>63</v>
      </c>
      <c r="C34" s="8" t="s">
        <v>631</v>
      </c>
    </row>
    <row r="35" spans="2:59" x14ac:dyDescent="0.25">
      <c r="C35" s="8" t="s">
        <v>632</v>
      </c>
    </row>
    <row r="36" spans="2:59" x14ac:dyDescent="0.25">
      <c r="C36" t="s">
        <v>635</v>
      </c>
      <c r="E36">
        <f>IF(E5&lt;1582,IF(MOD(E5,4)=0,1,0),0)</f>
        <v>0</v>
      </c>
      <c r="F36">
        <f t="shared" ref="F36:AD36" si="117">IF(F5&lt;1582,IF(MOD(F5,4)=0,1,0),0)</f>
        <v>0</v>
      </c>
      <c r="G36">
        <f t="shared" si="117"/>
        <v>0</v>
      </c>
      <c r="H36">
        <f t="shared" si="117"/>
        <v>0</v>
      </c>
      <c r="I36">
        <f t="shared" si="117"/>
        <v>0</v>
      </c>
      <c r="J36">
        <f t="shared" si="117"/>
        <v>0</v>
      </c>
      <c r="K36">
        <f t="shared" si="117"/>
        <v>0</v>
      </c>
      <c r="L36">
        <f t="shared" si="117"/>
        <v>0</v>
      </c>
      <c r="M36">
        <f t="shared" si="117"/>
        <v>0</v>
      </c>
      <c r="N36">
        <f t="shared" si="117"/>
        <v>0</v>
      </c>
      <c r="O36">
        <f t="shared" si="117"/>
        <v>0</v>
      </c>
      <c r="P36">
        <f t="shared" si="117"/>
        <v>0</v>
      </c>
      <c r="Q36">
        <f t="shared" si="117"/>
        <v>0</v>
      </c>
      <c r="R36">
        <f t="shared" si="117"/>
        <v>0</v>
      </c>
      <c r="S36">
        <f t="shared" si="117"/>
        <v>1</v>
      </c>
      <c r="T36">
        <f t="shared" si="117"/>
        <v>1</v>
      </c>
      <c r="U36">
        <f t="shared" si="117"/>
        <v>0</v>
      </c>
      <c r="V36">
        <f t="shared" si="117"/>
        <v>1</v>
      </c>
      <c r="W36">
        <f t="shared" si="117"/>
        <v>0</v>
      </c>
      <c r="X36">
        <f t="shared" si="117"/>
        <v>0</v>
      </c>
      <c r="Y36">
        <f t="shared" si="117"/>
        <v>0</v>
      </c>
      <c r="Z36">
        <f t="shared" si="117"/>
        <v>0</v>
      </c>
      <c r="AA36">
        <f t="shared" si="117"/>
        <v>0</v>
      </c>
      <c r="AB36">
        <f t="shared" si="117"/>
        <v>0</v>
      </c>
      <c r="AC36">
        <f t="shared" si="117"/>
        <v>0</v>
      </c>
      <c r="AD36">
        <f t="shared" si="117"/>
        <v>0</v>
      </c>
      <c r="AE36">
        <f t="shared" ref="AE36:AM36" si="118">IF(AE5&lt;1582,IF(MOD(AE5,4)=0,1,0),0)</f>
        <v>0</v>
      </c>
      <c r="AF36">
        <f t="shared" si="118"/>
        <v>0</v>
      </c>
      <c r="AG36">
        <f t="shared" si="118"/>
        <v>0</v>
      </c>
      <c r="AH36">
        <f t="shared" si="118"/>
        <v>0</v>
      </c>
      <c r="AI36">
        <f t="shared" si="118"/>
        <v>0</v>
      </c>
      <c r="AJ36">
        <f t="shared" si="118"/>
        <v>0</v>
      </c>
      <c r="AK36">
        <f t="shared" si="118"/>
        <v>0</v>
      </c>
      <c r="AL36">
        <f t="shared" si="118"/>
        <v>0</v>
      </c>
      <c r="AM36">
        <f t="shared" si="118"/>
        <v>0</v>
      </c>
      <c r="AN36">
        <f t="shared" ref="AN36:BG36" si="119">IF(AN5&lt;1582,IF(MOD(AN5,4)=0,1,0),0)</f>
        <v>0</v>
      </c>
      <c r="AO36">
        <f t="shared" si="119"/>
        <v>0</v>
      </c>
      <c r="AP36">
        <f t="shared" si="119"/>
        <v>0</v>
      </c>
      <c r="AQ36">
        <f t="shared" si="119"/>
        <v>0</v>
      </c>
      <c r="AR36">
        <f t="shared" si="119"/>
        <v>0</v>
      </c>
      <c r="AS36">
        <f t="shared" si="119"/>
        <v>0</v>
      </c>
      <c r="AT36">
        <f t="shared" si="119"/>
        <v>0</v>
      </c>
      <c r="AU36">
        <f t="shared" si="119"/>
        <v>0</v>
      </c>
      <c r="AV36">
        <f t="shared" si="119"/>
        <v>0</v>
      </c>
      <c r="AW36">
        <f t="shared" si="119"/>
        <v>0</v>
      </c>
      <c r="AX36">
        <f t="shared" si="119"/>
        <v>0</v>
      </c>
      <c r="AY36">
        <f t="shared" si="119"/>
        <v>0</v>
      </c>
      <c r="AZ36">
        <f t="shared" si="119"/>
        <v>0</v>
      </c>
      <c r="BA36">
        <f t="shared" si="119"/>
        <v>0</v>
      </c>
      <c r="BB36">
        <f t="shared" si="119"/>
        <v>0</v>
      </c>
      <c r="BC36">
        <f t="shared" si="119"/>
        <v>0</v>
      </c>
      <c r="BD36">
        <f t="shared" si="119"/>
        <v>0</v>
      </c>
      <c r="BE36">
        <f t="shared" si="119"/>
        <v>0</v>
      </c>
      <c r="BF36">
        <f t="shared" si="119"/>
        <v>0</v>
      </c>
      <c r="BG36">
        <f t="shared" si="119"/>
        <v>0</v>
      </c>
    </row>
    <row r="37" spans="2:59" x14ac:dyDescent="0.25">
      <c r="C37" s="8" t="s">
        <v>633</v>
      </c>
    </row>
    <row r="38" spans="2:59" x14ac:dyDescent="0.25">
      <c r="C38" t="s">
        <v>638</v>
      </c>
    </row>
    <row r="39" spans="2:59" x14ac:dyDescent="0.25">
      <c r="C39" t="s">
        <v>639</v>
      </c>
    </row>
    <row r="40" spans="2:59" x14ac:dyDescent="0.25">
      <c r="C40" t="s">
        <v>640</v>
      </c>
    </row>
    <row r="41" spans="2:59" x14ac:dyDescent="0.25">
      <c r="C41" t="s">
        <v>641</v>
      </c>
    </row>
    <row r="42" spans="2:59" x14ac:dyDescent="0.25">
      <c r="C42" t="s">
        <v>634</v>
      </c>
      <c r="E42">
        <f t="shared" ref="E42:AD42" si="120">IF(E5&lt;1582,0,IF(MOD(E5,4)&lt;&gt;0,0,IF(MOD(E5,100)=0,IF(MOD(E5,400)=0,1,0),1)))</f>
        <v>0</v>
      </c>
      <c r="F42">
        <f t="shared" si="120"/>
        <v>0</v>
      </c>
      <c r="G42">
        <f t="shared" si="120"/>
        <v>1</v>
      </c>
      <c r="H42">
        <f t="shared" si="120"/>
        <v>0</v>
      </c>
      <c r="I42">
        <f t="shared" si="120"/>
        <v>0</v>
      </c>
      <c r="J42">
        <f t="shared" si="120"/>
        <v>0</v>
      </c>
      <c r="K42">
        <f t="shared" si="120"/>
        <v>1</v>
      </c>
      <c r="L42">
        <f t="shared" si="120"/>
        <v>1</v>
      </c>
      <c r="M42">
        <f t="shared" si="120"/>
        <v>0</v>
      </c>
      <c r="N42">
        <f t="shared" si="120"/>
        <v>1</v>
      </c>
      <c r="O42">
        <f t="shared" si="120"/>
        <v>1</v>
      </c>
      <c r="P42">
        <f t="shared" si="120"/>
        <v>0</v>
      </c>
      <c r="Q42">
        <f t="shared" si="120"/>
        <v>0</v>
      </c>
      <c r="R42">
        <f t="shared" si="120"/>
        <v>0</v>
      </c>
      <c r="S42">
        <f t="shared" si="120"/>
        <v>0</v>
      </c>
      <c r="T42">
        <f t="shared" si="120"/>
        <v>0</v>
      </c>
      <c r="U42">
        <f t="shared" si="120"/>
        <v>0</v>
      </c>
      <c r="V42">
        <f t="shared" si="120"/>
        <v>0</v>
      </c>
      <c r="W42">
        <f t="shared" si="120"/>
        <v>0</v>
      </c>
      <c r="X42">
        <f t="shared" si="120"/>
        <v>1</v>
      </c>
      <c r="Y42">
        <f t="shared" si="120"/>
        <v>0</v>
      </c>
      <c r="Z42">
        <f t="shared" si="120"/>
        <v>1</v>
      </c>
      <c r="AA42">
        <f t="shared" si="120"/>
        <v>1</v>
      </c>
      <c r="AB42">
        <f t="shared" si="120"/>
        <v>0</v>
      </c>
      <c r="AC42">
        <f t="shared" si="120"/>
        <v>0</v>
      </c>
      <c r="AD42">
        <f t="shared" si="120"/>
        <v>1</v>
      </c>
      <c r="AE42">
        <f t="shared" ref="AE42:AM42" si="121">IF(AE5&lt;1582,0,IF(MOD(AE5,4)&lt;&gt;0,0,IF(MOD(AE5,100)=0,IF(MOD(AE5,400)=0,1,0),1)))</f>
        <v>0</v>
      </c>
      <c r="AF42">
        <f t="shared" si="121"/>
        <v>1</v>
      </c>
      <c r="AG42">
        <f t="shared" si="121"/>
        <v>1</v>
      </c>
      <c r="AH42">
        <f t="shared" si="121"/>
        <v>0</v>
      </c>
      <c r="AI42">
        <f t="shared" si="121"/>
        <v>1</v>
      </c>
      <c r="AJ42">
        <f t="shared" si="121"/>
        <v>0</v>
      </c>
      <c r="AK42">
        <f t="shared" si="121"/>
        <v>0</v>
      </c>
      <c r="AL42">
        <f t="shared" si="121"/>
        <v>0</v>
      </c>
      <c r="AM42">
        <f t="shared" si="121"/>
        <v>0</v>
      </c>
      <c r="AN42">
        <f t="shared" ref="AN42:BG42" si="122">IF(AN5&lt;1582,0,IF(MOD(AN5,4)&lt;&gt;0,0,IF(MOD(AN5,100)=0,IF(MOD(AN5,400)=0,1,0),1)))</f>
        <v>1</v>
      </c>
      <c r="AO42">
        <f t="shared" si="122"/>
        <v>0</v>
      </c>
      <c r="AP42">
        <f t="shared" si="122"/>
        <v>0</v>
      </c>
      <c r="AQ42">
        <f t="shared" si="122"/>
        <v>0</v>
      </c>
      <c r="AR42">
        <f t="shared" si="122"/>
        <v>0</v>
      </c>
      <c r="AS42">
        <f t="shared" si="122"/>
        <v>0</v>
      </c>
      <c r="AT42">
        <f t="shared" si="122"/>
        <v>0</v>
      </c>
      <c r="AU42">
        <f t="shared" si="122"/>
        <v>0</v>
      </c>
      <c r="AV42">
        <f t="shared" si="122"/>
        <v>0</v>
      </c>
      <c r="AW42">
        <f t="shared" si="122"/>
        <v>0</v>
      </c>
      <c r="AX42">
        <f t="shared" si="122"/>
        <v>0</v>
      </c>
      <c r="AY42">
        <f t="shared" si="122"/>
        <v>0</v>
      </c>
      <c r="AZ42">
        <f t="shared" si="122"/>
        <v>0</v>
      </c>
      <c r="BA42">
        <f t="shared" si="122"/>
        <v>0</v>
      </c>
      <c r="BB42">
        <f t="shared" si="122"/>
        <v>0</v>
      </c>
      <c r="BC42">
        <f t="shared" si="122"/>
        <v>0</v>
      </c>
      <c r="BD42">
        <f t="shared" si="122"/>
        <v>0</v>
      </c>
      <c r="BE42">
        <f t="shared" si="122"/>
        <v>0</v>
      </c>
      <c r="BF42">
        <f t="shared" si="122"/>
        <v>0</v>
      </c>
      <c r="BG42">
        <f t="shared" si="122"/>
        <v>0</v>
      </c>
    </row>
    <row r="44" spans="2:59" x14ac:dyDescent="0.25">
      <c r="C44" s="8" t="s">
        <v>637</v>
      </c>
      <c r="D44" s="19" t="s">
        <v>645</v>
      </c>
      <c r="E44" t="str">
        <f t="shared" ref="E44:AD44" si="123">IF(E36+E42&gt;0,"Leap","Common")</f>
        <v>Common</v>
      </c>
      <c r="F44" t="str">
        <f t="shared" si="123"/>
        <v>Common</v>
      </c>
      <c r="G44" t="str">
        <f t="shared" si="123"/>
        <v>Leap</v>
      </c>
      <c r="H44" t="str">
        <f t="shared" si="123"/>
        <v>Common</v>
      </c>
      <c r="I44" t="str">
        <f t="shared" si="123"/>
        <v>Common</v>
      </c>
      <c r="J44" t="str">
        <f t="shared" si="123"/>
        <v>Common</v>
      </c>
      <c r="K44" t="str">
        <f t="shared" si="123"/>
        <v>Leap</v>
      </c>
      <c r="L44" t="str">
        <f t="shared" si="123"/>
        <v>Leap</v>
      </c>
      <c r="M44" t="str">
        <f t="shared" si="123"/>
        <v>Common</v>
      </c>
      <c r="N44" t="str">
        <f t="shared" si="123"/>
        <v>Leap</v>
      </c>
      <c r="O44" t="str">
        <f t="shared" si="123"/>
        <v>Leap</v>
      </c>
      <c r="P44" t="str">
        <f t="shared" si="123"/>
        <v>Common</v>
      </c>
      <c r="Q44" t="str">
        <f t="shared" si="123"/>
        <v>Common</v>
      </c>
      <c r="R44" t="str">
        <f t="shared" si="123"/>
        <v>Common</v>
      </c>
      <c r="S44" t="str">
        <f t="shared" si="123"/>
        <v>Leap</v>
      </c>
      <c r="T44" t="str">
        <f t="shared" si="123"/>
        <v>Leap</v>
      </c>
      <c r="U44" t="str">
        <f t="shared" si="123"/>
        <v>Common</v>
      </c>
      <c r="V44" t="str">
        <f t="shared" si="123"/>
        <v>Leap</v>
      </c>
      <c r="W44" t="str">
        <f t="shared" si="123"/>
        <v>Common</v>
      </c>
      <c r="X44" t="str">
        <f t="shared" si="123"/>
        <v>Leap</v>
      </c>
      <c r="Y44" t="str">
        <f t="shared" si="123"/>
        <v>Common</v>
      </c>
      <c r="Z44" t="str">
        <f t="shared" si="123"/>
        <v>Leap</v>
      </c>
      <c r="AA44" t="str">
        <f t="shared" si="123"/>
        <v>Leap</v>
      </c>
      <c r="AB44" t="str">
        <f t="shared" si="123"/>
        <v>Common</v>
      </c>
      <c r="AC44" t="str">
        <f t="shared" si="123"/>
        <v>Common</v>
      </c>
      <c r="AD44" t="str">
        <f t="shared" si="123"/>
        <v>Leap</v>
      </c>
      <c r="AE44" t="str">
        <f t="shared" ref="AE44:AM44" si="124">IF(AE36+AE42&gt;0,"Leap","Common")</f>
        <v>Common</v>
      </c>
      <c r="AF44" t="str">
        <f t="shared" si="124"/>
        <v>Leap</v>
      </c>
      <c r="AG44" t="str">
        <f t="shared" si="124"/>
        <v>Leap</v>
      </c>
      <c r="AH44" t="str">
        <f t="shared" si="124"/>
        <v>Common</v>
      </c>
      <c r="AI44" t="str">
        <f t="shared" si="124"/>
        <v>Leap</v>
      </c>
      <c r="AJ44" t="str">
        <f t="shared" si="124"/>
        <v>Common</v>
      </c>
      <c r="AK44" t="str">
        <f t="shared" si="124"/>
        <v>Common</v>
      </c>
      <c r="AL44" t="str">
        <f t="shared" si="124"/>
        <v>Common</v>
      </c>
      <c r="AM44" t="str">
        <f t="shared" si="124"/>
        <v>Common</v>
      </c>
      <c r="AN44" t="str">
        <f t="shared" ref="AN44:BG44" si="125">IF(AN36+AN42&gt;0,"Leap","Common")</f>
        <v>Leap</v>
      </c>
      <c r="AO44" t="str">
        <f t="shared" si="125"/>
        <v>Common</v>
      </c>
      <c r="AP44" t="str">
        <f t="shared" si="125"/>
        <v>Common</v>
      </c>
      <c r="AQ44" t="str">
        <f t="shared" si="125"/>
        <v>Common</v>
      </c>
      <c r="AR44" t="str">
        <f t="shared" si="125"/>
        <v>Common</v>
      </c>
      <c r="AS44" t="str">
        <f t="shared" si="125"/>
        <v>Common</v>
      </c>
      <c r="AT44" t="str">
        <f t="shared" si="125"/>
        <v>Common</v>
      </c>
      <c r="AU44" t="str">
        <f t="shared" si="125"/>
        <v>Common</v>
      </c>
      <c r="AV44" t="str">
        <f t="shared" si="125"/>
        <v>Common</v>
      </c>
      <c r="AW44" t="str">
        <f t="shared" si="125"/>
        <v>Common</v>
      </c>
      <c r="AX44" t="str">
        <f t="shared" si="125"/>
        <v>Common</v>
      </c>
      <c r="AY44" t="str">
        <f t="shared" si="125"/>
        <v>Common</v>
      </c>
      <c r="AZ44" t="str">
        <f t="shared" si="125"/>
        <v>Common</v>
      </c>
      <c r="BA44" t="str">
        <f t="shared" si="125"/>
        <v>Common</v>
      </c>
      <c r="BB44" t="str">
        <f t="shared" si="125"/>
        <v>Common</v>
      </c>
      <c r="BC44" t="str">
        <f t="shared" si="125"/>
        <v>Common</v>
      </c>
      <c r="BD44" t="str">
        <f t="shared" si="125"/>
        <v>Common</v>
      </c>
      <c r="BE44" t="str">
        <f t="shared" si="125"/>
        <v>Common</v>
      </c>
      <c r="BF44" t="str">
        <f t="shared" si="125"/>
        <v>Common</v>
      </c>
      <c r="BG44" t="str">
        <f t="shared" si="125"/>
        <v>Common</v>
      </c>
    </row>
    <row r="46" spans="2:59" x14ac:dyDescent="0.25">
      <c r="C46" s="8" t="s">
        <v>626</v>
      </c>
    </row>
    <row r="47" spans="2:59" x14ac:dyDescent="0.25">
      <c r="C47" t="s">
        <v>628</v>
      </c>
      <c r="D47" s="7" t="s">
        <v>5</v>
      </c>
      <c r="E47">
        <f>E6</f>
        <v>10</v>
      </c>
      <c r="F47">
        <f t="shared" ref="F47:AD47" si="126">F6</f>
        <v>1</v>
      </c>
      <c r="G47">
        <f t="shared" si="126"/>
        <v>1</v>
      </c>
      <c r="H47">
        <f t="shared" si="126"/>
        <v>1</v>
      </c>
      <c r="I47">
        <f t="shared" si="126"/>
        <v>1</v>
      </c>
      <c r="J47">
        <f t="shared" si="126"/>
        <v>6</v>
      </c>
      <c r="K47">
        <f t="shared" si="126"/>
        <v>1</v>
      </c>
      <c r="L47">
        <f t="shared" si="126"/>
        <v>6</v>
      </c>
      <c r="M47">
        <f t="shared" si="126"/>
        <v>1</v>
      </c>
      <c r="N47">
        <f t="shared" si="126"/>
        <v>1</v>
      </c>
      <c r="O47">
        <f t="shared" si="126"/>
        <v>12</v>
      </c>
      <c r="P47">
        <f t="shared" si="126"/>
        <v>4</v>
      </c>
      <c r="Q47">
        <f t="shared" si="126"/>
        <v>12</v>
      </c>
      <c r="R47">
        <f t="shared" si="126"/>
        <v>1</v>
      </c>
      <c r="S47">
        <f t="shared" si="126"/>
        <v>7</v>
      </c>
      <c r="T47">
        <f t="shared" si="126"/>
        <v>2</v>
      </c>
      <c r="U47">
        <f t="shared" si="126"/>
        <v>8</v>
      </c>
      <c r="V47">
        <f t="shared" si="126"/>
        <v>1</v>
      </c>
      <c r="W47">
        <f t="shared" si="126"/>
        <v>4</v>
      </c>
      <c r="X47">
        <f t="shared" si="126"/>
        <v>4</v>
      </c>
      <c r="Y47">
        <f t="shared" si="126"/>
        <v>2</v>
      </c>
      <c r="Z47">
        <f t="shared" si="126"/>
        <v>1</v>
      </c>
      <c r="AA47">
        <f t="shared" si="126"/>
        <v>1</v>
      </c>
      <c r="AB47">
        <f t="shared" si="126"/>
        <v>6</v>
      </c>
      <c r="AC47">
        <f t="shared" si="126"/>
        <v>11</v>
      </c>
      <c r="AD47">
        <f t="shared" si="126"/>
        <v>4</v>
      </c>
      <c r="AE47">
        <f t="shared" ref="AE47:AM47" si="127">AE6</f>
        <v>2</v>
      </c>
      <c r="AF47">
        <f t="shared" si="127"/>
        <v>12</v>
      </c>
      <c r="AG47">
        <f t="shared" si="127"/>
        <v>10</v>
      </c>
      <c r="AH47">
        <f t="shared" si="127"/>
        <v>3</v>
      </c>
      <c r="AI47">
        <f t="shared" si="127"/>
        <v>4</v>
      </c>
      <c r="AJ47">
        <f t="shared" si="127"/>
        <v>5</v>
      </c>
      <c r="AK47">
        <f t="shared" si="127"/>
        <v>1</v>
      </c>
      <c r="AL47">
        <f t="shared" si="127"/>
        <v>9</v>
      </c>
      <c r="AM47">
        <f t="shared" si="127"/>
        <v>7</v>
      </c>
      <c r="AN47">
        <f t="shared" ref="AN47:BG47" si="128">AN6</f>
        <v>4</v>
      </c>
      <c r="AO47">
        <f t="shared" si="128"/>
        <v>1</v>
      </c>
      <c r="AP47">
        <f t="shared" si="128"/>
        <v>9</v>
      </c>
      <c r="AQ47">
        <f t="shared" si="128"/>
        <v>10</v>
      </c>
      <c r="AR47">
        <f t="shared" si="128"/>
        <v>10</v>
      </c>
      <c r="AS47">
        <f t="shared" si="128"/>
        <v>10</v>
      </c>
      <c r="AT47">
        <f t="shared" si="128"/>
        <v>11</v>
      </c>
      <c r="AU47">
        <f t="shared" si="128"/>
        <v>6</v>
      </c>
      <c r="AV47">
        <f t="shared" si="128"/>
        <v>9</v>
      </c>
      <c r="AW47">
        <f t="shared" si="128"/>
        <v>1</v>
      </c>
      <c r="AX47">
        <f t="shared" si="128"/>
        <v>4</v>
      </c>
      <c r="AY47">
        <f t="shared" si="128"/>
        <v>12</v>
      </c>
      <c r="AZ47">
        <f t="shared" si="128"/>
        <v>12</v>
      </c>
      <c r="BA47">
        <f t="shared" si="128"/>
        <v>12</v>
      </c>
      <c r="BB47">
        <f t="shared" si="128"/>
        <v>12</v>
      </c>
      <c r="BC47">
        <f t="shared" si="128"/>
        <v>12</v>
      </c>
      <c r="BD47">
        <f t="shared" si="128"/>
        <v>12</v>
      </c>
      <c r="BE47">
        <f t="shared" si="128"/>
        <v>12</v>
      </c>
      <c r="BF47">
        <f t="shared" si="128"/>
        <v>12</v>
      </c>
      <c r="BG47">
        <f t="shared" si="128"/>
        <v>2</v>
      </c>
    </row>
    <row r="48" spans="2:59" x14ac:dyDescent="0.25">
      <c r="C48" t="s">
        <v>629</v>
      </c>
      <c r="D48" s="7" t="s">
        <v>162</v>
      </c>
      <c r="E48">
        <f>E7</f>
        <v>4</v>
      </c>
      <c r="F48">
        <f t="shared" ref="F48:AD48" si="129">F7</f>
        <v>27</v>
      </c>
      <c r="G48">
        <f t="shared" si="129"/>
        <v>1</v>
      </c>
      <c r="H48">
        <f t="shared" si="129"/>
        <v>1</v>
      </c>
      <c r="I48">
        <f t="shared" si="129"/>
        <v>27</v>
      </c>
      <c r="J48">
        <f t="shared" si="129"/>
        <v>19</v>
      </c>
      <c r="K48">
        <f t="shared" si="129"/>
        <v>27</v>
      </c>
      <c r="L48">
        <f t="shared" si="129"/>
        <v>19</v>
      </c>
      <c r="M48">
        <f t="shared" si="129"/>
        <v>1</v>
      </c>
      <c r="N48">
        <f t="shared" si="129"/>
        <v>1</v>
      </c>
      <c r="O48">
        <f t="shared" si="129"/>
        <v>31</v>
      </c>
      <c r="P48">
        <f t="shared" si="129"/>
        <v>10</v>
      </c>
      <c r="Q48">
        <f t="shared" si="129"/>
        <v>31</v>
      </c>
      <c r="R48">
        <f t="shared" si="129"/>
        <v>1</v>
      </c>
      <c r="S48">
        <f t="shared" si="129"/>
        <v>12</v>
      </c>
      <c r="T48">
        <f t="shared" si="129"/>
        <v>29</v>
      </c>
      <c r="U48">
        <f t="shared" si="129"/>
        <v>17</v>
      </c>
      <c r="V48">
        <f t="shared" si="129"/>
        <v>1</v>
      </c>
      <c r="W48">
        <f t="shared" si="129"/>
        <v>10</v>
      </c>
      <c r="X48">
        <f t="shared" si="129"/>
        <v>12</v>
      </c>
      <c r="Y48">
        <f t="shared" si="129"/>
        <v>15</v>
      </c>
      <c r="Z48">
        <f t="shared" si="129"/>
        <v>1</v>
      </c>
      <c r="AA48">
        <f t="shared" si="129"/>
        <v>1</v>
      </c>
      <c r="AB48">
        <f t="shared" si="129"/>
        <v>30</v>
      </c>
      <c r="AC48">
        <f t="shared" si="129"/>
        <v>14</v>
      </c>
      <c r="AD48">
        <f t="shared" si="129"/>
        <v>22</v>
      </c>
      <c r="AE48">
        <f t="shared" ref="AE48:AM48" si="130">AE7</f>
        <v>18</v>
      </c>
      <c r="AF48">
        <f t="shared" si="130"/>
        <v>20</v>
      </c>
      <c r="AG48">
        <f t="shared" si="130"/>
        <v>13</v>
      </c>
      <c r="AH48">
        <f t="shared" si="130"/>
        <v>1</v>
      </c>
      <c r="AI48">
        <f t="shared" si="130"/>
        <v>1</v>
      </c>
      <c r="AJ48">
        <f t="shared" si="130"/>
        <v>1</v>
      </c>
      <c r="AK48">
        <f t="shared" si="130"/>
        <v>1</v>
      </c>
      <c r="AL48">
        <f t="shared" si="130"/>
        <v>20</v>
      </c>
      <c r="AM48">
        <f t="shared" si="130"/>
        <v>16</v>
      </c>
      <c r="AN48">
        <f t="shared" ref="AN48:BG48" si="131">AN7</f>
        <v>6</v>
      </c>
      <c r="AO48">
        <f t="shared" si="131"/>
        <v>3</v>
      </c>
      <c r="AP48">
        <f t="shared" si="131"/>
        <v>25</v>
      </c>
      <c r="AQ48">
        <f t="shared" si="131"/>
        <v>2</v>
      </c>
      <c r="AR48">
        <f t="shared" si="131"/>
        <v>9</v>
      </c>
      <c r="AS48">
        <f t="shared" si="131"/>
        <v>17</v>
      </c>
      <c r="AT48">
        <f t="shared" si="131"/>
        <v>1</v>
      </c>
      <c r="AU48">
        <f t="shared" si="131"/>
        <v>1</v>
      </c>
      <c r="AV48">
        <f t="shared" si="131"/>
        <v>1</v>
      </c>
      <c r="AW48">
        <f t="shared" si="131"/>
        <v>5</v>
      </c>
      <c r="AX48">
        <f t="shared" si="131"/>
        <v>15</v>
      </c>
      <c r="AY48">
        <f t="shared" si="131"/>
        <v>1</v>
      </c>
      <c r="AZ48">
        <f t="shared" si="131"/>
        <v>2</v>
      </c>
      <c r="BA48">
        <f t="shared" si="131"/>
        <v>3</v>
      </c>
      <c r="BB48">
        <f t="shared" si="131"/>
        <v>4</v>
      </c>
      <c r="BC48">
        <f t="shared" si="131"/>
        <v>5</v>
      </c>
      <c r="BD48">
        <f t="shared" si="131"/>
        <v>6</v>
      </c>
      <c r="BE48">
        <f t="shared" si="131"/>
        <v>7</v>
      </c>
      <c r="BF48">
        <f t="shared" si="131"/>
        <v>8</v>
      </c>
      <c r="BG48">
        <f t="shared" si="131"/>
        <v>18</v>
      </c>
    </row>
    <row r="49" spans="3:59" x14ac:dyDescent="0.25">
      <c r="C49" t="s">
        <v>630</v>
      </c>
      <c r="D49" s="7" t="s">
        <v>642</v>
      </c>
      <c r="E49">
        <f>IF(E42+E36&gt;0,1,2)</f>
        <v>2</v>
      </c>
      <c r="F49">
        <f t="shared" ref="F49:AD49" si="132">IF(F42+F36&gt;0,1,2)</f>
        <v>2</v>
      </c>
      <c r="G49">
        <f t="shared" si="132"/>
        <v>1</v>
      </c>
      <c r="H49">
        <f t="shared" si="132"/>
        <v>2</v>
      </c>
      <c r="I49">
        <f t="shared" si="132"/>
        <v>2</v>
      </c>
      <c r="J49">
        <f t="shared" si="132"/>
        <v>2</v>
      </c>
      <c r="K49">
        <f t="shared" si="132"/>
        <v>1</v>
      </c>
      <c r="L49">
        <f t="shared" si="132"/>
        <v>1</v>
      </c>
      <c r="M49">
        <f t="shared" si="132"/>
        <v>2</v>
      </c>
      <c r="N49">
        <f t="shared" si="132"/>
        <v>1</v>
      </c>
      <c r="O49">
        <f t="shared" si="132"/>
        <v>1</v>
      </c>
      <c r="P49">
        <f t="shared" si="132"/>
        <v>2</v>
      </c>
      <c r="Q49">
        <f t="shared" si="132"/>
        <v>2</v>
      </c>
      <c r="R49">
        <f t="shared" si="132"/>
        <v>2</v>
      </c>
      <c r="S49">
        <f t="shared" si="132"/>
        <v>1</v>
      </c>
      <c r="T49">
        <f t="shared" si="132"/>
        <v>1</v>
      </c>
      <c r="U49">
        <f t="shared" si="132"/>
        <v>2</v>
      </c>
      <c r="V49">
        <f t="shared" si="132"/>
        <v>1</v>
      </c>
      <c r="W49">
        <f t="shared" si="132"/>
        <v>2</v>
      </c>
      <c r="X49">
        <f t="shared" si="132"/>
        <v>1</v>
      </c>
      <c r="Y49">
        <f t="shared" si="132"/>
        <v>2</v>
      </c>
      <c r="Z49">
        <f t="shared" si="132"/>
        <v>1</v>
      </c>
      <c r="AA49">
        <f t="shared" si="132"/>
        <v>1</v>
      </c>
      <c r="AB49">
        <f t="shared" si="132"/>
        <v>2</v>
      </c>
      <c r="AC49">
        <f t="shared" si="132"/>
        <v>2</v>
      </c>
      <c r="AD49">
        <f t="shared" si="132"/>
        <v>1</v>
      </c>
      <c r="AE49">
        <f t="shared" ref="AE49:AM49" si="133">IF(AE42+AE36&gt;0,1,2)</f>
        <v>2</v>
      </c>
      <c r="AF49">
        <f t="shared" si="133"/>
        <v>1</v>
      </c>
      <c r="AG49">
        <f t="shared" si="133"/>
        <v>1</v>
      </c>
      <c r="AH49">
        <f t="shared" si="133"/>
        <v>2</v>
      </c>
      <c r="AI49">
        <f t="shared" si="133"/>
        <v>1</v>
      </c>
      <c r="AJ49">
        <f t="shared" si="133"/>
        <v>2</v>
      </c>
      <c r="AK49">
        <f t="shared" si="133"/>
        <v>2</v>
      </c>
      <c r="AL49">
        <f t="shared" si="133"/>
        <v>2</v>
      </c>
      <c r="AM49">
        <f t="shared" si="133"/>
        <v>2</v>
      </c>
      <c r="AN49">
        <f t="shared" ref="AN49:BG49" si="134">IF(AN42+AN36&gt;0,1,2)</f>
        <v>1</v>
      </c>
      <c r="AO49">
        <f t="shared" si="134"/>
        <v>2</v>
      </c>
      <c r="AP49">
        <f t="shared" si="134"/>
        <v>2</v>
      </c>
      <c r="AQ49">
        <f t="shared" si="134"/>
        <v>2</v>
      </c>
      <c r="AR49">
        <f t="shared" si="134"/>
        <v>2</v>
      </c>
      <c r="AS49">
        <f t="shared" si="134"/>
        <v>2</v>
      </c>
      <c r="AT49">
        <f t="shared" si="134"/>
        <v>2</v>
      </c>
      <c r="AU49">
        <f t="shared" si="134"/>
        <v>2</v>
      </c>
      <c r="AV49">
        <f t="shared" si="134"/>
        <v>2</v>
      </c>
      <c r="AW49">
        <f t="shared" si="134"/>
        <v>2</v>
      </c>
      <c r="AX49">
        <f t="shared" si="134"/>
        <v>2</v>
      </c>
      <c r="AY49">
        <f t="shared" si="134"/>
        <v>2</v>
      </c>
      <c r="AZ49">
        <f t="shared" si="134"/>
        <v>2</v>
      </c>
      <c r="BA49">
        <f t="shared" si="134"/>
        <v>2</v>
      </c>
      <c r="BB49">
        <f t="shared" si="134"/>
        <v>2</v>
      </c>
      <c r="BC49">
        <f t="shared" si="134"/>
        <v>2</v>
      </c>
      <c r="BD49">
        <f t="shared" si="134"/>
        <v>2</v>
      </c>
      <c r="BE49">
        <f t="shared" si="134"/>
        <v>2</v>
      </c>
      <c r="BF49">
        <f t="shared" si="134"/>
        <v>2</v>
      </c>
      <c r="BG49">
        <f t="shared" si="134"/>
        <v>2</v>
      </c>
    </row>
    <row r="50" spans="3:59" x14ac:dyDescent="0.25">
      <c r="C50" s="35" t="s">
        <v>627</v>
      </c>
      <c r="D50" s="60" t="s">
        <v>643</v>
      </c>
      <c r="E50" s="35">
        <f xml:space="preserve"> INT((275 *E47) / 9) - E49 * INT((E47+9) / 12) + E48 - 30</f>
        <v>277</v>
      </c>
      <c r="F50" s="35">
        <f t="shared" ref="F50:AD50" si="135" xml:space="preserve"> INT((275 *F47) / 9) - F49 * INT((F47+9) / 12) + F48 - 30</f>
        <v>27</v>
      </c>
      <c r="G50" s="35">
        <f t="shared" si="135"/>
        <v>1</v>
      </c>
      <c r="H50" s="35">
        <f t="shared" si="135"/>
        <v>1</v>
      </c>
      <c r="I50" s="35">
        <f t="shared" si="135"/>
        <v>27</v>
      </c>
      <c r="J50" s="35">
        <f t="shared" si="135"/>
        <v>170</v>
      </c>
      <c r="K50" s="35">
        <f t="shared" si="135"/>
        <v>27</v>
      </c>
      <c r="L50" s="35">
        <f t="shared" si="135"/>
        <v>171</v>
      </c>
      <c r="M50" s="35">
        <f t="shared" si="135"/>
        <v>1</v>
      </c>
      <c r="N50" s="35">
        <f t="shared" si="135"/>
        <v>1</v>
      </c>
      <c r="O50" s="35">
        <f t="shared" si="135"/>
        <v>366</v>
      </c>
      <c r="P50" s="35">
        <f t="shared" si="135"/>
        <v>100</v>
      </c>
      <c r="Q50" s="35">
        <f t="shared" si="135"/>
        <v>365</v>
      </c>
      <c r="R50" s="35">
        <f t="shared" si="135"/>
        <v>1</v>
      </c>
      <c r="S50" s="35">
        <f t="shared" si="135"/>
        <v>194</v>
      </c>
      <c r="T50" s="35">
        <f t="shared" si="135"/>
        <v>60</v>
      </c>
      <c r="U50" s="35">
        <f t="shared" si="135"/>
        <v>229</v>
      </c>
      <c r="V50" s="35">
        <f t="shared" si="135"/>
        <v>1</v>
      </c>
      <c r="W50" s="35">
        <f t="shared" si="135"/>
        <v>100</v>
      </c>
      <c r="X50" s="35">
        <f t="shared" si="135"/>
        <v>103</v>
      </c>
      <c r="Y50" s="35">
        <f t="shared" si="135"/>
        <v>46</v>
      </c>
      <c r="Z50" s="35">
        <f t="shared" si="135"/>
        <v>1</v>
      </c>
      <c r="AA50" s="35">
        <f t="shared" si="135"/>
        <v>1</v>
      </c>
      <c r="AB50" s="35">
        <f t="shared" si="135"/>
        <v>181</v>
      </c>
      <c r="AC50" s="35">
        <f t="shared" si="135"/>
        <v>318</v>
      </c>
      <c r="AD50" s="35">
        <f t="shared" si="135"/>
        <v>113</v>
      </c>
      <c r="AE50" s="35">
        <f t="shared" ref="AE50" si="136" xml:space="preserve"> INT((275 *AE47) / 9) - AE49 * INT((AE47+9) / 12) + AE48 - 30</f>
        <v>49</v>
      </c>
      <c r="AF50" s="35">
        <f t="shared" ref="AF50" si="137" xml:space="preserve"> INT((275 *AF47) / 9) - AF49 * INT((AF47+9) / 12) + AF48 - 30</f>
        <v>355</v>
      </c>
      <c r="AG50" s="35">
        <f t="shared" ref="AG50" si="138" xml:space="preserve"> INT((275 *AG47) / 9) - AG49 * INT((AG47+9) / 12) + AG48 - 30</f>
        <v>287</v>
      </c>
      <c r="AH50" s="35">
        <f t="shared" ref="AH50" si="139" xml:space="preserve"> INT((275 *AH47) / 9) - AH49 * INT((AH47+9) / 12) + AH48 - 30</f>
        <v>60</v>
      </c>
      <c r="AI50" s="35">
        <f t="shared" ref="AI50" si="140" xml:space="preserve"> INT((275 *AI47) / 9) - AI49 * INT((AI47+9) / 12) + AI48 - 30</f>
        <v>92</v>
      </c>
      <c r="AJ50" s="35">
        <f t="shared" ref="AJ50" si="141" xml:space="preserve"> INT((275 *AJ47) / 9) - AJ49 * INT((AJ47+9) / 12) + AJ48 - 30</f>
        <v>121</v>
      </c>
      <c r="AK50" s="35">
        <f t="shared" ref="AK50" si="142" xml:space="preserve"> INT((275 *AK47) / 9) - AK49 * INT((AK47+9) / 12) + AK48 - 30</f>
        <v>1</v>
      </c>
      <c r="AL50" s="35">
        <f t="shared" ref="AL50" si="143" xml:space="preserve"> INT((275 *AL47) / 9) - AL49 * INT((AL47+9) / 12) + AL48 - 30</f>
        <v>263</v>
      </c>
      <c r="AM50" s="35">
        <f t="shared" ref="AM50" si="144" xml:space="preserve"> INT((275 *AM47) / 9) - AM49 * INT((AM47+9) / 12) + AM48 - 30</f>
        <v>197</v>
      </c>
      <c r="AN50" s="35">
        <f t="shared" ref="AN50" si="145" xml:space="preserve"> INT((275 *AN47) / 9) - AN49 * INT((AN47+9) / 12) + AN48 - 30</f>
        <v>97</v>
      </c>
      <c r="AO50" s="35">
        <f t="shared" ref="AO50" si="146" xml:space="preserve"> INT((275 *AO47) / 9) - AO49 * INT((AO47+9) / 12) + AO48 - 30</f>
        <v>3</v>
      </c>
      <c r="AP50" s="35">
        <f t="shared" ref="AP50" si="147" xml:space="preserve"> INT((275 *AP47) / 9) - AP49 * INT((AP47+9) / 12) + AP48 - 30</f>
        <v>268</v>
      </c>
      <c r="AQ50" s="35">
        <f t="shared" ref="AQ50" si="148" xml:space="preserve"> INT((275 *AQ47) / 9) - AQ49 * INT((AQ47+9) / 12) + AQ48 - 30</f>
        <v>275</v>
      </c>
      <c r="AR50" s="35">
        <f t="shared" ref="AR50" si="149" xml:space="preserve"> INT((275 *AR47) / 9) - AR49 * INT((AR47+9) / 12) + AR48 - 30</f>
        <v>282</v>
      </c>
      <c r="AS50" s="35">
        <f t="shared" ref="AS50" si="150" xml:space="preserve"> INT((275 *AS47) / 9) - AS49 * INT((AS47+9) / 12) + AS48 - 30</f>
        <v>290</v>
      </c>
      <c r="AT50" s="35">
        <f t="shared" ref="AT50" si="151" xml:space="preserve"> INT((275 *AT47) / 9) - AT49 * INT((AT47+9) / 12) + AT48 - 30</f>
        <v>305</v>
      </c>
      <c r="AU50" s="35">
        <f t="shared" ref="AU50" si="152" xml:space="preserve"> INT((275 *AU47) / 9) - AU49 * INT((AU47+9) / 12) + AU48 - 30</f>
        <v>152</v>
      </c>
      <c r="AV50" s="35">
        <f t="shared" ref="AV50" si="153" xml:space="preserve"> INT((275 *AV47) / 9) - AV49 * INT((AV47+9) / 12) + AV48 - 30</f>
        <v>244</v>
      </c>
      <c r="AW50" s="35">
        <f t="shared" ref="AW50" si="154" xml:space="preserve"> INT((275 *AW47) / 9) - AW49 * INT((AW47+9) / 12) + AW48 - 30</f>
        <v>5</v>
      </c>
      <c r="AX50" s="35">
        <f t="shared" ref="AX50" si="155" xml:space="preserve"> INT((275 *AX47) / 9) - AX49 * INT((AX47+9) / 12) + AX48 - 30</f>
        <v>105</v>
      </c>
      <c r="AY50" s="35">
        <f t="shared" ref="AY50" si="156" xml:space="preserve"> INT((275 *AY47) / 9) - AY49 * INT((AY47+9) / 12) + AY48 - 30</f>
        <v>335</v>
      </c>
      <c r="AZ50" s="35">
        <f t="shared" ref="AZ50" si="157" xml:space="preserve"> INT((275 *AZ47) / 9) - AZ49 * INT((AZ47+9) / 12) + AZ48 - 30</f>
        <v>336</v>
      </c>
      <c r="BA50" s="35">
        <f t="shared" ref="BA50" si="158" xml:space="preserve"> INT((275 *BA47) / 9) - BA49 * INT((BA47+9) / 12) + BA48 - 30</f>
        <v>337</v>
      </c>
      <c r="BB50" s="35">
        <f t="shared" ref="BB50" si="159" xml:space="preserve"> INT((275 *BB47) / 9) - BB49 * INT((BB47+9) / 12) + BB48 - 30</f>
        <v>338</v>
      </c>
      <c r="BC50" s="35">
        <f t="shared" ref="BC50" si="160" xml:space="preserve"> INT((275 *BC47) / 9) - BC49 * INT((BC47+9) / 12) + BC48 - 30</f>
        <v>339</v>
      </c>
      <c r="BD50" s="35">
        <f t="shared" ref="BD50" si="161" xml:space="preserve"> INT((275 *BD47) / 9) - BD49 * INT((BD47+9) / 12) + BD48 - 30</f>
        <v>340</v>
      </c>
      <c r="BE50" s="35">
        <f t="shared" ref="BE50" si="162" xml:space="preserve"> INT((275 *BE47) / 9) - BE49 * INT((BE47+9) / 12) + BE48 - 30</f>
        <v>341</v>
      </c>
      <c r="BF50" s="35">
        <f t="shared" ref="BF50" si="163" xml:space="preserve"> INT((275 *BF47) / 9) - BF49 * INT((BF47+9) / 12) + BF48 - 30</f>
        <v>342</v>
      </c>
      <c r="BG50" s="35">
        <f t="shared" ref="BG50" si="164" xml:space="preserve"> INT((275 *BG47) / 9) - BG49 * INT((BG47+9) / 12) + BG48 - 30</f>
        <v>49</v>
      </c>
    </row>
    <row r="52" spans="3:59" x14ac:dyDescent="0.25">
      <c r="C52" t="s">
        <v>1000</v>
      </c>
      <c r="D52" s="7" t="s">
        <v>1001</v>
      </c>
      <c r="E52">
        <f>_xlfn.FLOOR.MATH(E25+0.5)</f>
        <v>2436116</v>
      </c>
      <c r="F52">
        <f t="shared" ref="F52:BG52" si="165">_xlfn.FLOOR.MATH(F25+0.5)</f>
        <v>1842713</v>
      </c>
      <c r="G52">
        <f t="shared" si="165"/>
        <v>2451545</v>
      </c>
      <c r="H52">
        <f t="shared" si="165"/>
        <v>2451180</v>
      </c>
      <c r="I52">
        <f t="shared" si="165"/>
        <v>2446823</v>
      </c>
      <c r="J52">
        <f t="shared" si="165"/>
        <v>2446966</v>
      </c>
      <c r="K52">
        <f t="shared" si="165"/>
        <v>2447188</v>
      </c>
      <c r="L52">
        <f t="shared" si="165"/>
        <v>2447332</v>
      </c>
      <c r="M52">
        <f t="shared" si="165"/>
        <v>2415021</v>
      </c>
      <c r="N52">
        <f t="shared" si="165"/>
        <v>2305448</v>
      </c>
      <c r="O52">
        <f t="shared" si="165"/>
        <v>2305813</v>
      </c>
      <c r="P52">
        <f t="shared" si="165"/>
        <v>2026872</v>
      </c>
      <c r="Q52">
        <f t="shared" si="165"/>
        <v>1676497</v>
      </c>
      <c r="R52">
        <f t="shared" si="165"/>
        <v>1676498</v>
      </c>
      <c r="S52">
        <f t="shared" si="165"/>
        <v>1356001</v>
      </c>
      <c r="T52">
        <f t="shared" si="165"/>
        <v>1355867</v>
      </c>
      <c r="U52">
        <f t="shared" si="165"/>
        <v>1355671</v>
      </c>
      <c r="V52">
        <f t="shared" si="165"/>
        <v>0</v>
      </c>
      <c r="W52">
        <f t="shared" si="165"/>
        <v>2446896</v>
      </c>
      <c r="X52">
        <f t="shared" si="165"/>
        <v>2448725</v>
      </c>
      <c r="Y52">
        <f t="shared" si="165"/>
        <v>2443190</v>
      </c>
      <c r="Z52">
        <f t="shared" si="165"/>
        <v>2467616</v>
      </c>
      <c r="AA52">
        <f t="shared" si="165"/>
        <v>2451545</v>
      </c>
      <c r="AB52">
        <f t="shared" si="165"/>
        <v>2434924</v>
      </c>
      <c r="AC52">
        <f t="shared" si="165"/>
        <v>2443827</v>
      </c>
      <c r="AD52">
        <f t="shared" si="165"/>
        <v>2447274</v>
      </c>
      <c r="AE52">
        <f t="shared" si="165"/>
        <v>2443193</v>
      </c>
      <c r="AF52">
        <f t="shared" si="165"/>
        <v>2448977</v>
      </c>
      <c r="AG52">
        <f t="shared" si="165"/>
        <v>2448909</v>
      </c>
      <c r="AH52">
        <f t="shared" si="165"/>
        <v>2448317</v>
      </c>
      <c r="AI52">
        <f t="shared" si="165"/>
        <v>2448714</v>
      </c>
      <c r="AJ52">
        <f t="shared" si="165"/>
        <v>2449109</v>
      </c>
      <c r="AK52">
        <f t="shared" si="165"/>
        <v>2385071</v>
      </c>
      <c r="AL52">
        <f t="shared" si="165"/>
        <v>2448155</v>
      </c>
      <c r="AM52">
        <f t="shared" si="165"/>
        <v>1948440</v>
      </c>
      <c r="AN52">
        <f t="shared" si="165"/>
        <v>2451641</v>
      </c>
      <c r="AO52">
        <f t="shared" si="165"/>
        <v>1721426</v>
      </c>
      <c r="AP52">
        <f t="shared" si="165"/>
        <v>2459848</v>
      </c>
      <c r="AQ52">
        <f t="shared" si="165"/>
        <v>2459855</v>
      </c>
      <c r="AR52">
        <f t="shared" si="165"/>
        <v>2459862</v>
      </c>
      <c r="AS52">
        <f t="shared" si="165"/>
        <v>2459870</v>
      </c>
      <c r="AT52">
        <f t="shared" si="165"/>
        <v>2459885</v>
      </c>
      <c r="AU52">
        <f t="shared" si="165"/>
        <v>2441835</v>
      </c>
      <c r="AV52">
        <f t="shared" si="165"/>
        <v>2450693</v>
      </c>
      <c r="AW52">
        <f t="shared" si="165"/>
        <v>2427808</v>
      </c>
      <c r="AX52">
        <f t="shared" si="165"/>
        <v>2435944</v>
      </c>
      <c r="AY52">
        <f t="shared" si="165"/>
        <v>2459915</v>
      </c>
      <c r="AZ52">
        <f t="shared" si="165"/>
        <v>2459916</v>
      </c>
      <c r="BA52">
        <f t="shared" si="165"/>
        <v>2459917</v>
      </c>
      <c r="BB52">
        <f t="shared" si="165"/>
        <v>2459918</v>
      </c>
      <c r="BC52">
        <f t="shared" si="165"/>
        <v>2459919</v>
      </c>
      <c r="BD52">
        <f t="shared" si="165"/>
        <v>2459920</v>
      </c>
      <c r="BE52">
        <f t="shared" si="165"/>
        <v>2459921</v>
      </c>
      <c r="BF52">
        <f t="shared" si="165"/>
        <v>2459922</v>
      </c>
      <c r="BG52">
        <f t="shared" si="165"/>
        <v>2443193</v>
      </c>
    </row>
    <row r="53" spans="3:59" x14ac:dyDescent="0.25">
      <c r="C53" t="s">
        <v>1002</v>
      </c>
      <c r="D53" s="7" t="s">
        <v>7</v>
      </c>
      <c r="E53" s="285">
        <f>(E25+0.5)-E52</f>
        <v>0.81000000005587935</v>
      </c>
      <c r="F53" s="285">
        <f t="shared" ref="F53:BG53" si="166">(F25+0.5)-F52</f>
        <v>0.5</v>
      </c>
      <c r="G53" s="285">
        <f t="shared" si="166"/>
        <v>0.5</v>
      </c>
      <c r="H53" s="285">
        <f t="shared" si="166"/>
        <v>0</v>
      </c>
      <c r="I53" s="285">
        <f t="shared" si="166"/>
        <v>0</v>
      </c>
      <c r="J53" s="285">
        <f t="shared" si="166"/>
        <v>0.5</v>
      </c>
      <c r="K53" s="285">
        <f t="shared" si="166"/>
        <v>0</v>
      </c>
      <c r="L53" s="285">
        <f t="shared" si="166"/>
        <v>0.5</v>
      </c>
      <c r="M53" s="285">
        <f t="shared" si="166"/>
        <v>1.1574011296033859E-5</v>
      </c>
      <c r="N53" s="285">
        <f t="shared" si="166"/>
        <v>0</v>
      </c>
      <c r="O53" s="285">
        <f t="shared" si="166"/>
        <v>0</v>
      </c>
      <c r="P53" s="285">
        <f t="shared" si="166"/>
        <v>0.30000000004656613</v>
      </c>
      <c r="Q53" s="285">
        <f t="shared" si="166"/>
        <v>0</v>
      </c>
      <c r="R53" s="285">
        <f t="shared" si="166"/>
        <v>0</v>
      </c>
      <c r="S53" s="285">
        <f t="shared" si="166"/>
        <v>0.5</v>
      </c>
      <c r="T53" s="285">
        <f t="shared" si="166"/>
        <v>0</v>
      </c>
      <c r="U53" s="285">
        <f t="shared" si="166"/>
        <v>0.89999999990686774</v>
      </c>
      <c r="V53" s="285">
        <f t="shared" si="166"/>
        <v>0.5</v>
      </c>
      <c r="W53" s="285">
        <f t="shared" si="166"/>
        <v>0</v>
      </c>
      <c r="X53" s="285">
        <f t="shared" si="166"/>
        <v>0</v>
      </c>
      <c r="Y53" s="285">
        <f t="shared" si="166"/>
        <v>0</v>
      </c>
      <c r="Z53" s="285">
        <f t="shared" si="166"/>
        <v>0</v>
      </c>
      <c r="AA53" s="285">
        <f t="shared" si="166"/>
        <v>0</v>
      </c>
      <c r="AB53" s="285">
        <f t="shared" si="166"/>
        <v>0</v>
      </c>
      <c r="AC53" s="285">
        <f t="shared" si="166"/>
        <v>0</v>
      </c>
      <c r="AD53" s="285">
        <f t="shared" si="166"/>
        <v>0</v>
      </c>
      <c r="AE53" s="285">
        <f t="shared" si="166"/>
        <v>0.15115740755572915</v>
      </c>
      <c r="AF53" s="285">
        <f t="shared" si="166"/>
        <v>0</v>
      </c>
      <c r="AG53" s="285">
        <f t="shared" si="166"/>
        <v>0</v>
      </c>
      <c r="AH53" s="285">
        <f t="shared" si="166"/>
        <v>0</v>
      </c>
      <c r="AI53" s="285">
        <f t="shared" si="166"/>
        <v>0</v>
      </c>
      <c r="AJ53" s="285">
        <f t="shared" si="166"/>
        <v>0</v>
      </c>
      <c r="AK53" s="285">
        <f t="shared" si="166"/>
        <v>0</v>
      </c>
      <c r="AL53" s="285">
        <f t="shared" si="166"/>
        <v>0</v>
      </c>
      <c r="AM53" s="285">
        <f t="shared" si="166"/>
        <v>0</v>
      </c>
      <c r="AN53" s="285">
        <f t="shared" si="166"/>
        <v>0</v>
      </c>
      <c r="AO53" s="285">
        <f t="shared" si="166"/>
        <v>0</v>
      </c>
      <c r="AP53" s="285">
        <f t="shared" si="166"/>
        <v>0.5791666666045785</v>
      </c>
      <c r="AQ53" s="285">
        <f t="shared" si="166"/>
        <v>0.63472222210839391</v>
      </c>
      <c r="AR53" s="285">
        <f t="shared" si="166"/>
        <v>0.53750000009313226</v>
      </c>
      <c r="AS53" s="285">
        <f t="shared" si="166"/>
        <v>0.34375</v>
      </c>
      <c r="AT53" s="285">
        <f t="shared" si="166"/>
        <v>0</v>
      </c>
      <c r="AU53" s="285">
        <f t="shared" si="166"/>
        <v>0</v>
      </c>
      <c r="AV53" s="285">
        <f t="shared" si="166"/>
        <v>0</v>
      </c>
      <c r="AW53" s="285">
        <f t="shared" si="166"/>
        <v>0</v>
      </c>
      <c r="AX53" s="285">
        <f t="shared" si="166"/>
        <v>0</v>
      </c>
      <c r="AY53" s="285">
        <f t="shared" si="166"/>
        <v>0</v>
      </c>
      <c r="AZ53" s="285">
        <f t="shared" si="166"/>
        <v>0</v>
      </c>
      <c r="BA53" s="285">
        <f t="shared" si="166"/>
        <v>0</v>
      </c>
      <c r="BB53" s="285">
        <f t="shared" si="166"/>
        <v>0</v>
      </c>
      <c r="BC53" s="285">
        <f t="shared" si="166"/>
        <v>0</v>
      </c>
      <c r="BD53" s="285">
        <f t="shared" si="166"/>
        <v>0</v>
      </c>
      <c r="BE53" s="285">
        <f t="shared" si="166"/>
        <v>0</v>
      </c>
      <c r="BF53" s="285">
        <f t="shared" si="166"/>
        <v>0</v>
      </c>
      <c r="BG53" s="285">
        <f t="shared" si="166"/>
        <v>0</v>
      </c>
    </row>
    <row r="54" spans="3:59" x14ac:dyDescent="0.25">
      <c r="C54" t="s">
        <v>1003</v>
      </c>
      <c r="D54" s="7" t="s">
        <v>281</v>
      </c>
      <c r="E54">
        <f>_xlfn.FLOOR.MATH((E52-1867216.25) /36524.25)</f>
        <v>15</v>
      </c>
      <c r="F54">
        <f t="shared" ref="F54:BG54" si="167">_xlfn.FLOOR.MATH((F52-1867216.25) /36524.25)</f>
        <v>-1</v>
      </c>
      <c r="G54">
        <f t="shared" si="167"/>
        <v>15</v>
      </c>
      <c r="H54">
        <f t="shared" si="167"/>
        <v>15</v>
      </c>
      <c r="I54">
        <f t="shared" si="167"/>
        <v>15</v>
      </c>
      <c r="J54">
        <f t="shared" si="167"/>
        <v>15</v>
      </c>
      <c r="K54">
        <f t="shared" si="167"/>
        <v>15</v>
      </c>
      <c r="L54">
        <f t="shared" si="167"/>
        <v>15</v>
      </c>
      <c r="M54">
        <f t="shared" si="167"/>
        <v>14</v>
      </c>
      <c r="N54">
        <f t="shared" si="167"/>
        <v>11</v>
      </c>
      <c r="O54">
        <f t="shared" si="167"/>
        <v>12</v>
      </c>
      <c r="P54">
        <f t="shared" si="167"/>
        <v>4</v>
      </c>
      <c r="Q54">
        <f t="shared" si="167"/>
        <v>-6</v>
      </c>
      <c r="R54">
        <f t="shared" si="167"/>
        <v>-6</v>
      </c>
      <c r="S54">
        <f t="shared" si="167"/>
        <v>-14</v>
      </c>
      <c r="T54">
        <f t="shared" si="167"/>
        <v>-15</v>
      </c>
      <c r="U54">
        <f t="shared" si="167"/>
        <v>-15</v>
      </c>
      <c r="V54">
        <f t="shared" si="167"/>
        <v>-52</v>
      </c>
      <c r="W54">
        <f t="shared" si="167"/>
        <v>15</v>
      </c>
      <c r="X54">
        <f t="shared" si="167"/>
        <v>15</v>
      </c>
      <c r="Y54">
        <f t="shared" si="167"/>
        <v>15</v>
      </c>
      <c r="Z54">
        <f t="shared" si="167"/>
        <v>16</v>
      </c>
      <c r="AA54">
        <f t="shared" si="167"/>
        <v>15</v>
      </c>
      <c r="AB54">
        <f t="shared" si="167"/>
        <v>15</v>
      </c>
      <c r="AC54">
        <f t="shared" si="167"/>
        <v>15</v>
      </c>
      <c r="AD54">
        <f t="shared" si="167"/>
        <v>15</v>
      </c>
      <c r="AE54">
        <f t="shared" si="167"/>
        <v>15</v>
      </c>
      <c r="AF54">
        <f t="shared" si="167"/>
        <v>15</v>
      </c>
      <c r="AG54">
        <f t="shared" si="167"/>
        <v>15</v>
      </c>
      <c r="AH54">
        <f t="shared" si="167"/>
        <v>15</v>
      </c>
      <c r="AI54">
        <f t="shared" si="167"/>
        <v>15</v>
      </c>
      <c r="AJ54">
        <f t="shared" si="167"/>
        <v>15</v>
      </c>
      <c r="AK54">
        <f t="shared" si="167"/>
        <v>14</v>
      </c>
      <c r="AL54">
        <f t="shared" si="167"/>
        <v>15</v>
      </c>
      <c r="AM54">
        <f t="shared" si="167"/>
        <v>2</v>
      </c>
      <c r="AN54">
        <f t="shared" si="167"/>
        <v>16</v>
      </c>
      <c r="AO54">
        <f t="shared" si="167"/>
        <v>-4</v>
      </c>
      <c r="AP54">
        <f t="shared" si="167"/>
        <v>16</v>
      </c>
      <c r="AQ54">
        <f t="shared" si="167"/>
        <v>16</v>
      </c>
      <c r="AR54">
        <f t="shared" si="167"/>
        <v>16</v>
      </c>
      <c r="AS54">
        <f t="shared" si="167"/>
        <v>16</v>
      </c>
      <c r="AT54">
        <f t="shared" si="167"/>
        <v>16</v>
      </c>
      <c r="AU54">
        <f t="shared" si="167"/>
        <v>15</v>
      </c>
      <c r="AV54">
        <f t="shared" si="167"/>
        <v>15</v>
      </c>
      <c r="AW54">
        <f t="shared" si="167"/>
        <v>15</v>
      </c>
      <c r="AX54">
        <f t="shared" si="167"/>
        <v>15</v>
      </c>
      <c r="AY54">
        <f t="shared" si="167"/>
        <v>16</v>
      </c>
      <c r="AZ54">
        <f t="shared" si="167"/>
        <v>16</v>
      </c>
      <c r="BA54">
        <f t="shared" si="167"/>
        <v>16</v>
      </c>
      <c r="BB54">
        <f t="shared" si="167"/>
        <v>16</v>
      </c>
      <c r="BC54">
        <f t="shared" si="167"/>
        <v>16</v>
      </c>
      <c r="BD54">
        <f t="shared" si="167"/>
        <v>16</v>
      </c>
      <c r="BE54">
        <f t="shared" si="167"/>
        <v>16</v>
      </c>
      <c r="BF54">
        <f t="shared" si="167"/>
        <v>16</v>
      </c>
      <c r="BG54">
        <f t="shared" si="167"/>
        <v>15</v>
      </c>
    </row>
    <row r="55" spans="3:59" x14ac:dyDescent="0.25">
      <c r="C55" t="s">
        <v>1004</v>
      </c>
      <c r="D55" s="7" t="s">
        <v>256</v>
      </c>
      <c r="E55">
        <f>E52+1+E54-_xlfn.FLOOR.MATH(E54/4)</f>
        <v>2436129</v>
      </c>
      <c r="F55">
        <f t="shared" ref="F55:BG55" si="168">F52+1+F54-_xlfn.FLOOR.MATH(F54/4)</f>
        <v>1842714</v>
      </c>
      <c r="G55">
        <f t="shared" si="168"/>
        <v>2451558</v>
      </c>
      <c r="H55">
        <f t="shared" si="168"/>
        <v>2451193</v>
      </c>
      <c r="I55">
        <f t="shared" si="168"/>
        <v>2446836</v>
      </c>
      <c r="J55">
        <f t="shared" si="168"/>
        <v>2446979</v>
      </c>
      <c r="K55">
        <f t="shared" si="168"/>
        <v>2447201</v>
      </c>
      <c r="L55">
        <f t="shared" si="168"/>
        <v>2447345</v>
      </c>
      <c r="M55">
        <f t="shared" si="168"/>
        <v>2415033</v>
      </c>
      <c r="N55">
        <f t="shared" si="168"/>
        <v>2305458</v>
      </c>
      <c r="O55">
        <f t="shared" si="168"/>
        <v>2305823</v>
      </c>
      <c r="P55">
        <f t="shared" si="168"/>
        <v>2026876</v>
      </c>
      <c r="Q55">
        <f t="shared" si="168"/>
        <v>1676494</v>
      </c>
      <c r="R55">
        <f t="shared" si="168"/>
        <v>1676495</v>
      </c>
      <c r="S55">
        <f t="shared" si="168"/>
        <v>1355992</v>
      </c>
      <c r="T55">
        <f t="shared" si="168"/>
        <v>1355857</v>
      </c>
      <c r="U55">
        <f t="shared" si="168"/>
        <v>1355661</v>
      </c>
      <c r="V55">
        <f t="shared" si="168"/>
        <v>-38</v>
      </c>
      <c r="W55">
        <f t="shared" si="168"/>
        <v>2446909</v>
      </c>
      <c r="X55">
        <f t="shared" si="168"/>
        <v>2448738</v>
      </c>
      <c r="Y55">
        <f t="shared" si="168"/>
        <v>2443203</v>
      </c>
      <c r="Z55">
        <f t="shared" si="168"/>
        <v>2467629</v>
      </c>
      <c r="AA55">
        <f t="shared" si="168"/>
        <v>2451558</v>
      </c>
      <c r="AB55">
        <f t="shared" si="168"/>
        <v>2434937</v>
      </c>
      <c r="AC55">
        <f t="shared" si="168"/>
        <v>2443840</v>
      </c>
      <c r="AD55">
        <f t="shared" si="168"/>
        <v>2447287</v>
      </c>
      <c r="AE55">
        <f t="shared" si="168"/>
        <v>2443206</v>
      </c>
      <c r="AF55">
        <f t="shared" si="168"/>
        <v>2448990</v>
      </c>
      <c r="AG55">
        <f t="shared" si="168"/>
        <v>2448922</v>
      </c>
      <c r="AH55">
        <f t="shared" si="168"/>
        <v>2448330</v>
      </c>
      <c r="AI55">
        <f t="shared" si="168"/>
        <v>2448727</v>
      </c>
      <c r="AJ55">
        <f t="shared" si="168"/>
        <v>2449122</v>
      </c>
      <c r="AK55">
        <f t="shared" si="168"/>
        <v>2385083</v>
      </c>
      <c r="AL55">
        <f t="shared" si="168"/>
        <v>2448168</v>
      </c>
      <c r="AM55">
        <f t="shared" si="168"/>
        <v>1948443</v>
      </c>
      <c r="AN55">
        <f t="shared" si="168"/>
        <v>2451654</v>
      </c>
      <c r="AO55">
        <f t="shared" si="168"/>
        <v>1721424</v>
      </c>
      <c r="AP55">
        <f t="shared" si="168"/>
        <v>2459861</v>
      </c>
      <c r="AQ55">
        <f t="shared" si="168"/>
        <v>2459868</v>
      </c>
      <c r="AR55">
        <f t="shared" si="168"/>
        <v>2459875</v>
      </c>
      <c r="AS55">
        <f t="shared" si="168"/>
        <v>2459883</v>
      </c>
      <c r="AT55">
        <f t="shared" si="168"/>
        <v>2459898</v>
      </c>
      <c r="AU55">
        <f t="shared" si="168"/>
        <v>2441848</v>
      </c>
      <c r="AV55">
        <f t="shared" si="168"/>
        <v>2450706</v>
      </c>
      <c r="AW55">
        <f t="shared" si="168"/>
        <v>2427821</v>
      </c>
      <c r="AX55">
        <f t="shared" si="168"/>
        <v>2435957</v>
      </c>
      <c r="AY55">
        <f t="shared" si="168"/>
        <v>2459928</v>
      </c>
      <c r="AZ55">
        <f t="shared" si="168"/>
        <v>2459929</v>
      </c>
      <c r="BA55">
        <f t="shared" si="168"/>
        <v>2459930</v>
      </c>
      <c r="BB55">
        <f t="shared" si="168"/>
        <v>2459931</v>
      </c>
      <c r="BC55">
        <f t="shared" si="168"/>
        <v>2459932</v>
      </c>
      <c r="BD55">
        <f t="shared" si="168"/>
        <v>2459933</v>
      </c>
      <c r="BE55">
        <f t="shared" si="168"/>
        <v>2459934</v>
      </c>
      <c r="BF55">
        <f t="shared" si="168"/>
        <v>2459935</v>
      </c>
      <c r="BG55">
        <f t="shared" si="168"/>
        <v>2443206</v>
      </c>
    </row>
    <row r="56" spans="3:59" x14ac:dyDescent="0.25">
      <c r="C56" t="s">
        <v>1005</v>
      </c>
      <c r="D56" s="7" t="s">
        <v>110</v>
      </c>
      <c r="E56">
        <f>IF(E52&lt;2299161,E52,E55)</f>
        <v>2436129</v>
      </c>
      <c r="F56">
        <f t="shared" ref="F56:BG56" si="169">IF(F52&lt;2299161,F52,F55)</f>
        <v>1842713</v>
      </c>
      <c r="G56">
        <f t="shared" si="169"/>
        <v>2451558</v>
      </c>
      <c r="H56">
        <f t="shared" si="169"/>
        <v>2451193</v>
      </c>
      <c r="I56">
        <f t="shared" si="169"/>
        <v>2446836</v>
      </c>
      <c r="J56">
        <f t="shared" si="169"/>
        <v>2446979</v>
      </c>
      <c r="K56">
        <f t="shared" si="169"/>
        <v>2447201</v>
      </c>
      <c r="L56">
        <f t="shared" si="169"/>
        <v>2447345</v>
      </c>
      <c r="M56">
        <f t="shared" si="169"/>
        <v>2415033</v>
      </c>
      <c r="N56">
        <f t="shared" si="169"/>
        <v>2305458</v>
      </c>
      <c r="O56">
        <f t="shared" si="169"/>
        <v>2305823</v>
      </c>
      <c r="P56">
        <f t="shared" si="169"/>
        <v>2026872</v>
      </c>
      <c r="Q56">
        <f t="shared" si="169"/>
        <v>1676497</v>
      </c>
      <c r="R56">
        <f t="shared" si="169"/>
        <v>1676498</v>
      </c>
      <c r="S56">
        <f t="shared" si="169"/>
        <v>1356001</v>
      </c>
      <c r="T56">
        <f t="shared" si="169"/>
        <v>1355867</v>
      </c>
      <c r="U56">
        <f t="shared" si="169"/>
        <v>1355671</v>
      </c>
      <c r="V56">
        <f t="shared" si="169"/>
        <v>0</v>
      </c>
      <c r="W56">
        <f t="shared" si="169"/>
        <v>2446909</v>
      </c>
      <c r="X56">
        <f t="shared" si="169"/>
        <v>2448738</v>
      </c>
      <c r="Y56">
        <f t="shared" si="169"/>
        <v>2443203</v>
      </c>
      <c r="Z56">
        <f t="shared" si="169"/>
        <v>2467629</v>
      </c>
      <c r="AA56">
        <f t="shared" si="169"/>
        <v>2451558</v>
      </c>
      <c r="AB56">
        <f t="shared" si="169"/>
        <v>2434937</v>
      </c>
      <c r="AC56">
        <f t="shared" si="169"/>
        <v>2443840</v>
      </c>
      <c r="AD56">
        <f t="shared" si="169"/>
        <v>2447287</v>
      </c>
      <c r="AE56">
        <f t="shared" si="169"/>
        <v>2443206</v>
      </c>
      <c r="AF56">
        <f t="shared" si="169"/>
        <v>2448990</v>
      </c>
      <c r="AG56">
        <f t="shared" si="169"/>
        <v>2448922</v>
      </c>
      <c r="AH56">
        <f t="shared" si="169"/>
        <v>2448330</v>
      </c>
      <c r="AI56">
        <f t="shared" si="169"/>
        <v>2448727</v>
      </c>
      <c r="AJ56">
        <f t="shared" si="169"/>
        <v>2449122</v>
      </c>
      <c r="AK56">
        <f t="shared" si="169"/>
        <v>2385083</v>
      </c>
      <c r="AL56">
        <f t="shared" si="169"/>
        <v>2448168</v>
      </c>
      <c r="AM56">
        <f t="shared" si="169"/>
        <v>1948440</v>
      </c>
      <c r="AN56">
        <f t="shared" si="169"/>
        <v>2451654</v>
      </c>
      <c r="AO56">
        <f t="shared" si="169"/>
        <v>1721426</v>
      </c>
      <c r="AP56">
        <f t="shared" si="169"/>
        <v>2459861</v>
      </c>
      <c r="AQ56">
        <f t="shared" si="169"/>
        <v>2459868</v>
      </c>
      <c r="AR56">
        <f t="shared" si="169"/>
        <v>2459875</v>
      </c>
      <c r="AS56">
        <f t="shared" si="169"/>
        <v>2459883</v>
      </c>
      <c r="AT56">
        <f t="shared" si="169"/>
        <v>2459898</v>
      </c>
      <c r="AU56">
        <f t="shared" si="169"/>
        <v>2441848</v>
      </c>
      <c r="AV56">
        <f t="shared" si="169"/>
        <v>2450706</v>
      </c>
      <c r="AW56">
        <f t="shared" si="169"/>
        <v>2427821</v>
      </c>
      <c r="AX56">
        <f t="shared" si="169"/>
        <v>2435957</v>
      </c>
      <c r="AY56">
        <f t="shared" si="169"/>
        <v>2459928</v>
      </c>
      <c r="AZ56">
        <f t="shared" si="169"/>
        <v>2459929</v>
      </c>
      <c r="BA56">
        <f t="shared" si="169"/>
        <v>2459930</v>
      </c>
      <c r="BB56">
        <f t="shared" si="169"/>
        <v>2459931</v>
      </c>
      <c r="BC56">
        <f t="shared" si="169"/>
        <v>2459932</v>
      </c>
      <c r="BD56">
        <f t="shared" si="169"/>
        <v>2459933</v>
      </c>
      <c r="BE56">
        <f t="shared" si="169"/>
        <v>2459934</v>
      </c>
      <c r="BF56">
        <f t="shared" si="169"/>
        <v>2459935</v>
      </c>
      <c r="BG56">
        <f t="shared" si="169"/>
        <v>2443206</v>
      </c>
    </row>
    <row r="57" spans="3:59" x14ac:dyDescent="0.25">
      <c r="C57" t="s">
        <v>1006</v>
      </c>
      <c r="D57" s="7" t="s">
        <v>111</v>
      </c>
      <c r="E57">
        <f>E56+1524</f>
        <v>2437653</v>
      </c>
      <c r="F57">
        <f t="shared" ref="F57:BG57" si="170">F56+1524</f>
        <v>1844237</v>
      </c>
      <c r="G57">
        <f t="shared" si="170"/>
        <v>2453082</v>
      </c>
      <c r="H57">
        <f t="shared" si="170"/>
        <v>2452717</v>
      </c>
      <c r="I57">
        <f t="shared" si="170"/>
        <v>2448360</v>
      </c>
      <c r="J57">
        <f t="shared" si="170"/>
        <v>2448503</v>
      </c>
      <c r="K57">
        <f t="shared" si="170"/>
        <v>2448725</v>
      </c>
      <c r="L57">
        <f t="shared" si="170"/>
        <v>2448869</v>
      </c>
      <c r="M57">
        <f t="shared" si="170"/>
        <v>2416557</v>
      </c>
      <c r="N57">
        <f t="shared" si="170"/>
        <v>2306982</v>
      </c>
      <c r="O57">
        <f t="shared" si="170"/>
        <v>2307347</v>
      </c>
      <c r="P57">
        <f t="shared" si="170"/>
        <v>2028396</v>
      </c>
      <c r="Q57">
        <f t="shared" si="170"/>
        <v>1678021</v>
      </c>
      <c r="R57">
        <f t="shared" si="170"/>
        <v>1678022</v>
      </c>
      <c r="S57">
        <f t="shared" si="170"/>
        <v>1357525</v>
      </c>
      <c r="T57">
        <f t="shared" si="170"/>
        <v>1357391</v>
      </c>
      <c r="U57">
        <f t="shared" si="170"/>
        <v>1357195</v>
      </c>
      <c r="V57">
        <f t="shared" si="170"/>
        <v>1524</v>
      </c>
      <c r="W57">
        <f t="shared" si="170"/>
        <v>2448433</v>
      </c>
      <c r="X57">
        <f t="shared" si="170"/>
        <v>2450262</v>
      </c>
      <c r="Y57">
        <f t="shared" si="170"/>
        <v>2444727</v>
      </c>
      <c r="Z57">
        <f t="shared" si="170"/>
        <v>2469153</v>
      </c>
      <c r="AA57">
        <f t="shared" si="170"/>
        <v>2453082</v>
      </c>
      <c r="AB57">
        <f t="shared" si="170"/>
        <v>2436461</v>
      </c>
      <c r="AC57">
        <f t="shared" si="170"/>
        <v>2445364</v>
      </c>
      <c r="AD57">
        <f t="shared" si="170"/>
        <v>2448811</v>
      </c>
      <c r="AE57">
        <f t="shared" si="170"/>
        <v>2444730</v>
      </c>
      <c r="AF57">
        <f t="shared" si="170"/>
        <v>2450514</v>
      </c>
      <c r="AG57">
        <f t="shared" si="170"/>
        <v>2450446</v>
      </c>
      <c r="AH57">
        <f t="shared" si="170"/>
        <v>2449854</v>
      </c>
      <c r="AI57">
        <f t="shared" si="170"/>
        <v>2450251</v>
      </c>
      <c r="AJ57">
        <f t="shared" si="170"/>
        <v>2450646</v>
      </c>
      <c r="AK57">
        <f t="shared" si="170"/>
        <v>2386607</v>
      </c>
      <c r="AL57">
        <f t="shared" si="170"/>
        <v>2449692</v>
      </c>
      <c r="AM57">
        <f t="shared" si="170"/>
        <v>1949964</v>
      </c>
      <c r="AN57">
        <f t="shared" si="170"/>
        <v>2453178</v>
      </c>
      <c r="AO57">
        <f t="shared" si="170"/>
        <v>1722950</v>
      </c>
      <c r="AP57">
        <f t="shared" si="170"/>
        <v>2461385</v>
      </c>
      <c r="AQ57">
        <f t="shared" si="170"/>
        <v>2461392</v>
      </c>
      <c r="AR57">
        <f t="shared" si="170"/>
        <v>2461399</v>
      </c>
      <c r="AS57">
        <f t="shared" si="170"/>
        <v>2461407</v>
      </c>
      <c r="AT57">
        <f t="shared" si="170"/>
        <v>2461422</v>
      </c>
      <c r="AU57">
        <f t="shared" si="170"/>
        <v>2443372</v>
      </c>
      <c r="AV57">
        <f t="shared" si="170"/>
        <v>2452230</v>
      </c>
      <c r="AW57">
        <f t="shared" si="170"/>
        <v>2429345</v>
      </c>
      <c r="AX57">
        <f t="shared" si="170"/>
        <v>2437481</v>
      </c>
      <c r="AY57">
        <f t="shared" si="170"/>
        <v>2461452</v>
      </c>
      <c r="AZ57">
        <f t="shared" si="170"/>
        <v>2461453</v>
      </c>
      <c r="BA57">
        <f t="shared" si="170"/>
        <v>2461454</v>
      </c>
      <c r="BB57">
        <f t="shared" si="170"/>
        <v>2461455</v>
      </c>
      <c r="BC57">
        <f t="shared" si="170"/>
        <v>2461456</v>
      </c>
      <c r="BD57">
        <f t="shared" si="170"/>
        <v>2461457</v>
      </c>
      <c r="BE57">
        <f t="shared" si="170"/>
        <v>2461458</v>
      </c>
      <c r="BF57">
        <f t="shared" si="170"/>
        <v>2461459</v>
      </c>
      <c r="BG57">
        <f t="shared" si="170"/>
        <v>2444730</v>
      </c>
    </row>
    <row r="58" spans="3:59" x14ac:dyDescent="0.25">
      <c r="C58" t="s">
        <v>1007</v>
      </c>
      <c r="D58" s="7" t="s">
        <v>161</v>
      </c>
      <c r="E58">
        <f>_xlfn.FLOOR.MATH((E57-122.1)/365.25)</f>
        <v>6673</v>
      </c>
      <c r="F58">
        <f t="shared" ref="F58:BG58" si="171">_xlfn.FLOOR.MATH((F57-122.1)/365.25)</f>
        <v>5048</v>
      </c>
      <c r="G58">
        <f t="shared" si="171"/>
        <v>6715</v>
      </c>
      <c r="H58">
        <f t="shared" si="171"/>
        <v>6714</v>
      </c>
      <c r="I58">
        <f t="shared" si="171"/>
        <v>6702</v>
      </c>
      <c r="J58">
        <f t="shared" si="171"/>
        <v>6703</v>
      </c>
      <c r="K58">
        <f t="shared" si="171"/>
        <v>6703</v>
      </c>
      <c r="L58">
        <f t="shared" si="171"/>
        <v>6704</v>
      </c>
      <c r="M58">
        <f t="shared" si="171"/>
        <v>6615</v>
      </c>
      <c r="N58">
        <f t="shared" si="171"/>
        <v>6315</v>
      </c>
      <c r="O58">
        <f t="shared" si="171"/>
        <v>6316</v>
      </c>
      <c r="P58">
        <f t="shared" si="171"/>
        <v>5553</v>
      </c>
      <c r="Q58">
        <f t="shared" si="171"/>
        <v>4593</v>
      </c>
      <c r="R58">
        <f t="shared" si="171"/>
        <v>4593</v>
      </c>
      <c r="S58">
        <f t="shared" si="171"/>
        <v>3716</v>
      </c>
      <c r="T58">
        <f t="shared" si="171"/>
        <v>3715</v>
      </c>
      <c r="U58">
        <f t="shared" si="171"/>
        <v>3715</v>
      </c>
      <c r="V58">
        <f t="shared" si="171"/>
        <v>3</v>
      </c>
      <c r="W58">
        <f t="shared" si="171"/>
        <v>6703</v>
      </c>
      <c r="X58">
        <f t="shared" si="171"/>
        <v>6708</v>
      </c>
      <c r="Y58">
        <f t="shared" si="171"/>
        <v>6692</v>
      </c>
      <c r="Z58">
        <f t="shared" si="171"/>
        <v>6759</v>
      </c>
      <c r="AA58">
        <f t="shared" si="171"/>
        <v>6715</v>
      </c>
      <c r="AB58">
        <f t="shared" si="171"/>
        <v>6670</v>
      </c>
      <c r="AC58">
        <f t="shared" si="171"/>
        <v>6694</v>
      </c>
      <c r="AD58">
        <f t="shared" si="171"/>
        <v>6704</v>
      </c>
      <c r="AE58">
        <f t="shared" si="171"/>
        <v>6692</v>
      </c>
      <c r="AF58">
        <f t="shared" si="171"/>
        <v>6708</v>
      </c>
      <c r="AG58">
        <f t="shared" si="171"/>
        <v>6708</v>
      </c>
      <c r="AH58">
        <f t="shared" si="171"/>
        <v>6707</v>
      </c>
      <c r="AI58">
        <f t="shared" si="171"/>
        <v>6708</v>
      </c>
      <c r="AJ58">
        <f t="shared" si="171"/>
        <v>6709</v>
      </c>
      <c r="AK58">
        <f t="shared" si="171"/>
        <v>6533</v>
      </c>
      <c r="AL58">
        <f t="shared" si="171"/>
        <v>6706</v>
      </c>
      <c r="AM58">
        <f t="shared" si="171"/>
        <v>5338</v>
      </c>
      <c r="AN58">
        <f t="shared" si="171"/>
        <v>6716</v>
      </c>
      <c r="AO58">
        <f t="shared" si="171"/>
        <v>4716</v>
      </c>
      <c r="AP58">
        <f t="shared" si="171"/>
        <v>6738</v>
      </c>
      <c r="AQ58">
        <f t="shared" si="171"/>
        <v>6738</v>
      </c>
      <c r="AR58">
        <f t="shared" si="171"/>
        <v>6738</v>
      </c>
      <c r="AS58">
        <f t="shared" si="171"/>
        <v>6738</v>
      </c>
      <c r="AT58">
        <f t="shared" si="171"/>
        <v>6738</v>
      </c>
      <c r="AU58">
        <f t="shared" si="171"/>
        <v>6689</v>
      </c>
      <c r="AV58">
        <f t="shared" si="171"/>
        <v>6713</v>
      </c>
      <c r="AW58">
        <f t="shared" si="171"/>
        <v>6650</v>
      </c>
      <c r="AX58">
        <f t="shared" si="171"/>
        <v>6673</v>
      </c>
      <c r="AY58">
        <f t="shared" si="171"/>
        <v>6738</v>
      </c>
      <c r="AZ58">
        <f t="shared" si="171"/>
        <v>6738</v>
      </c>
      <c r="BA58">
        <f t="shared" si="171"/>
        <v>6738</v>
      </c>
      <c r="BB58">
        <f t="shared" si="171"/>
        <v>6738</v>
      </c>
      <c r="BC58">
        <f t="shared" si="171"/>
        <v>6738</v>
      </c>
      <c r="BD58">
        <f t="shared" si="171"/>
        <v>6738</v>
      </c>
      <c r="BE58">
        <f t="shared" si="171"/>
        <v>6738</v>
      </c>
      <c r="BF58">
        <f t="shared" si="171"/>
        <v>6738</v>
      </c>
      <c r="BG58">
        <f t="shared" si="171"/>
        <v>6692</v>
      </c>
    </row>
    <row r="59" spans="3:59" x14ac:dyDescent="0.25">
      <c r="C59" t="s">
        <v>1008</v>
      </c>
      <c r="D59" s="7" t="s">
        <v>162</v>
      </c>
      <c r="E59">
        <f>_xlfn.FLOOR.MATH(365.25*E58)</f>
        <v>2437313</v>
      </c>
      <c r="F59">
        <f t="shared" ref="F59:BG59" si="172">_xlfn.FLOOR.MATH(365.25*F58)</f>
        <v>1843782</v>
      </c>
      <c r="G59">
        <f t="shared" si="172"/>
        <v>2452653</v>
      </c>
      <c r="H59">
        <f t="shared" si="172"/>
        <v>2452288</v>
      </c>
      <c r="I59">
        <f t="shared" si="172"/>
        <v>2447905</v>
      </c>
      <c r="J59">
        <f t="shared" si="172"/>
        <v>2448270</v>
      </c>
      <c r="K59">
        <f t="shared" si="172"/>
        <v>2448270</v>
      </c>
      <c r="L59">
        <f t="shared" si="172"/>
        <v>2448636</v>
      </c>
      <c r="M59">
        <f t="shared" si="172"/>
        <v>2416128</v>
      </c>
      <c r="N59">
        <f t="shared" si="172"/>
        <v>2306553</v>
      </c>
      <c r="O59">
        <f t="shared" si="172"/>
        <v>2306919</v>
      </c>
      <c r="P59">
        <f t="shared" si="172"/>
        <v>2028233</v>
      </c>
      <c r="Q59">
        <f t="shared" si="172"/>
        <v>1677593</v>
      </c>
      <c r="R59">
        <f t="shared" si="172"/>
        <v>1677593</v>
      </c>
      <c r="S59">
        <f t="shared" si="172"/>
        <v>1357269</v>
      </c>
      <c r="T59">
        <f t="shared" si="172"/>
        <v>1356903</v>
      </c>
      <c r="U59">
        <f t="shared" si="172"/>
        <v>1356903</v>
      </c>
      <c r="V59">
        <f t="shared" si="172"/>
        <v>1095</v>
      </c>
      <c r="W59">
        <f t="shared" si="172"/>
        <v>2448270</v>
      </c>
      <c r="X59">
        <f t="shared" si="172"/>
        <v>2450097</v>
      </c>
      <c r="Y59">
        <f t="shared" si="172"/>
        <v>2444253</v>
      </c>
      <c r="Z59">
        <f t="shared" si="172"/>
        <v>2468724</v>
      </c>
      <c r="AA59">
        <f t="shared" si="172"/>
        <v>2452653</v>
      </c>
      <c r="AB59">
        <f t="shared" si="172"/>
        <v>2436217</v>
      </c>
      <c r="AC59">
        <f t="shared" si="172"/>
        <v>2444983</v>
      </c>
      <c r="AD59">
        <f t="shared" si="172"/>
        <v>2448636</v>
      </c>
      <c r="AE59">
        <f t="shared" si="172"/>
        <v>2444253</v>
      </c>
      <c r="AF59">
        <f t="shared" si="172"/>
        <v>2450097</v>
      </c>
      <c r="AG59">
        <f t="shared" si="172"/>
        <v>2450097</v>
      </c>
      <c r="AH59">
        <f t="shared" si="172"/>
        <v>2449731</v>
      </c>
      <c r="AI59">
        <f t="shared" si="172"/>
        <v>2450097</v>
      </c>
      <c r="AJ59">
        <f t="shared" si="172"/>
        <v>2450462</v>
      </c>
      <c r="AK59">
        <f t="shared" si="172"/>
        <v>2386178</v>
      </c>
      <c r="AL59">
        <f t="shared" si="172"/>
        <v>2449366</v>
      </c>
      <c r="AM59">
        <f t="shared" si="172"/>
        <v>1949704</v>
      </c>
      <c r="AN59">
        <f t="shared" si="172"/>
        <v>2453019</v>
      </c>
      <c r="AO59">
        <f t="shared" si="172"/>
        <v>1722519</v>
      </c>
      <c r="AP59">
        <f t="shared" si="172"/>
        <v>2461054</v>
      </c>
      <c r="AQ59">
        <f t="shared" si="172"/>
        <v>2461054</v>
      </c>
      <c r="AR59">
        <f t="shared" si="172"/>
        <v>2461054</v>
      </c>
      <c r="AS59">
        <f t="shared" si="172"/>
        <v>2461054</v>
      </c>
      <c r="AT59">
        <f t="shared" si="172"/>
        <v>2461054</v>
      </c>
      <c r="AU59">
        <f t="shared" si="172"/>
        <v>2443157</v>
      </c>
      <c r="AV59">
        <f t="shared" si="172"/>
        <v>2451923</v>
      </c>
      <c r="AW59">
        <f t="shared" si="172"/>
        <v>2428912</v>
      </c>
      <c r="AX59">
        <f t="shared" si="172"/>
        <v>2437313</v>
      </c>
      <c r="AY59">
        <f t="shared" si="172"/>
        <v>2461054</v>
      </c>
      <c r="AZ59">
        <f t="shared" si="172"/>
        <v>2461054</v>
      </c>
      <c r="BA59">
        <f t="shared" si="172"/>
        <v>2461054</v>
      </c>
      <c r="BB59">
        <f t="shared" si="172"/>
        <v>2461054</v>
      </c>
      <c r="BC59">
        <f t="shared" si="172"/>
        <v>2461054</v>
      </c>
      <c r="BD59">
        <f t="shared" si="172"/>
        <v>2461054</v>
      </c>
      <c r="BE59">
        <f t="shared" si="172"/>
        <v>2461054</v>
      </c>
      <c r="BF59">
        <f t="shared" si="172"/>
        <v>2461054</v>
      </c>
      <c r="BG59">
        <f t="shared" si="172"/>
        <v>2444253</v>
      </c>
    </row>
    <row r="60" spans="3:59" x14ac:dyDescent="0.25">
      <c r="C60" t="s">
        <v>1009</v>
      </c>
      <c r="D60" s="7" t="s">
        <v>4</v>
      </c>
      <c r="E60">
        <f>_xlfn.FLOOR.MATH((E57-E59)/30.6001)</f>
        <v>11</v>
      </c>
      <c r="F60">
        <f t="shared" ref="F60:BG60" si="173">_xlfn.FLOOR.MATH((F57-F59)/30.6001)</f>
        <v>14</v>
      </c>
      <c r="G60">
        <f t="shared" si="173"/>
        <v>14</v>
      </c>
      <c r="H60">
        <f t="shared" si="173"/>
        <v>14</v>
      </c>
      <c r="I60">
        <f t="shared" si="173"/>
        <v>14</v>
      </c>
      <c r="J60">
        <f t="shared" si="173"/>
        <v>7</v>
      </c>
      <c r="K60">
        <f t="shared" si="173"/>
        <v>14</v>
      </c>
      <c r="L60">
        <f t="shared" si="173"/>
        <v>7</v>
      </c>
      <c r="M60">
        <f t="shared" si="173"/>
        <v>14</v>
      </c>
      <c r="N60">
        <f t="shared" si="173"/>
        <v>14</v>
      </c>
      <c r="O60">
        <f t="shared" si="173"/>
        <v>13</v>
      </c>
      <c r="P60">
        <f t="shared" si="173"/>
        <v>5</v>
      </c>
      <c r="Q60">
        <f t="shared" si="173"/>
        <v>13</v>
      </c>
      <c r="R60">
        <f t="shared" si="173"/>
        <v>14</v>
      </c>
      <c r="S60">
        <f t="shared" si="173"/>
        <v>8</v>
      </c>
      <c r="T60">
        <f t="shared" si="173"/>
        <v>15</v>
      </c>
      <c r="U60">
        <f t="shared" si="173"/>
        <v>9</v>
      </c>
      <c r="V60">
        <f t="shared" si="173"/>
        <v>14</v>
      </c>
      <c r="W60">
        <f t="shared" si="173"/>
        <v>5</v>
      </c>
      <c r="X60">
        <f t="shared" si="173"/>
        <v>5</v>
      </c>
      <c r="Y60">
        <f t="shared" si="173"/>
        <v>15</v>
      </c>
      <c r="Z60">
        <f t="shared" si="173"/>
        <v>14</v>
      </c>
      <c r="AA60">
        <f t="shared" si="173"/>
        <v>14</v>
      </c>
      <c r="AB60">
        <f t="shared" si="173"/>
        <v>7</v>
      </c>
      <c r="AC60">
        <f t="shared" si="173"/>
        <v>12</v>
      </c>
      <c r="AD60">
        <f t="shared" si="173"/>
        <v>5</v>
      </c>
      <c r="AE60">
        <f t="shared" si="173"/>
        <v>15</v>
      </c>
      <c r="AF60">
        <f t="shared" si="173"/>
        <v>13</v>
      </c>
      <c r="AG60">
        <f t="shared" si="173"/>
        <v>11</v>
      </c>
      <c r="AH60">
        <f t="shared" si="173"/>
        <v>4</v>
      </c>
      <c r="AI60">
        <f t="shared" si="173"/>
        <v>5</v>
      </c>
      <c r="AJ60">
        <f t="shared" si="173"/>
        <v>6</v>
      </c>
      <c r="AK60">
        <f t="shared" si="173"/>
        <v>14</v>
      </c>
      <c r="AL60">
        <f t="shared" si="173"/>
        <v>10</v>
      </c>
      <c r="AM60">
        <f t="shared" si="173"/>
        <v>8</v>
      </c>
      <c r="AN60">
        <f t="shared" si="173"/>
        <v>5</v>
      </c>
      <c r="AO60">
        <f t="shared" si="173"/>
        <v>14</v>
      </c>
      <c r="AP60">
        <f t="shared" si="173"/>
        <v>10</v>
      </c>
      <c r="AQ60">
        <f t="shared" si="173"/>
        <v>11</v>
      </c>
      <c r="AR60">
        <f t="shared" si="173"/>
        <v>11</v>
      </c>
      <c r="AS60">
        <f t="shared" si="173"/>
        <v>11</v>
      </c>
      <c r="AT60">
        <f t="shared" si="173"/>
        <v>12</v>
      </c>
      <c r="AU60">
        <f t="shared" si="173"/>
        <v>7</v>
      </c>
      <c r="AV60">
        <f t="shared" si="173"/>
        <v>10</v>
      </c>
      <c r="AW60">
        <f t="shared" si="173"/>
        <v>14</v>
      </c>
      <c r="AX60">
        <f t="shared" si="173"/>
        <v>5</v>
      </c>
      <c r="AY60">
        <f t="shared" si="173"/>
        <v>13</v>
      </c>
      <c r="AZ60">
        <f t="shared" si="173"/>
        <v>13</v>
      </c>
      <c r="BA60">
        <f t="shared" si="173"/>
        <v>13</v>
      </c>
      <c r="BB60">
        <f t="shared" si="173"/>
        <v>13</v>
      </c>
      <c r="BC60">
        <f t="shared" si="173"/>
        <v>13</v>
      </c>
      <c r="BD60">
        <f t="shared" si="173"/>
        <v>13</v>
      </c>
      <c r="BE60">
        <f t="shared" si="173"/>
        <v>13</v>
      </c>
      <c r="BF60">
        <f t="shared" si="173"/>
        <v>13</v>
      </c>
      <c r="BG60">
        <f t="shared" si="173"/>
        <v>15</v>
      </c>
    </row>
    <row r="61" spans="3:59" x14ac:dyDescent="0.25">
      <c r="C61" t="s">
        <v>1010</v>
      </c>
      <c r="D61" s="7" t="s">
        <v>1011</v>
      </c>
      <c r="E61" s="2">
        <f>E57-E59-_xlfn.FLOOR.MATH(30.6001*E60)+E53</f>
        <v>4.8100000000558794</v>
      </c>
      <c r="F61" s="1">
        <f t="shared" ref="F61:BG61" si="174">F57-F59-_xlfn.FLOOR.MATH(30.6001*F60)+F53</f>
        <v>27.5</v>
      </c>
      <c r="G61" s="1">
        <f t="shared" si="174"/>
        <v>1.5</v>
      </c>
      <c r="H61" s="1">
        <f t="shared" si="174"/>
        <v>1</v>
      </c>
      <c r="I61" s="1">
        <f t="shared" si="174"/>
        <v>27</v>
      </c>
      <c r="J61" s="1">
        <f t="shared" si="174"/>
        <v>19.5</v>
      </c>
      <c r="K61" s="1">
        <f t="shared" si="174"/>
        <v>27</v>
      </c>
      <c r="L61" s="1">
        <f t="shared" si="174"/>
        <v>19.5</v>
      </c>
      <c r="M61" s="1">
        <f t="shared" si="174"/>
        <v>1.000011574011296</v>
      </c>
      <c r="N61" s="1">
        <f t="shared" si="174"/>
        <v>1</v>
      </c>
      <c r="O61" s="1">
        <f t="shared" si="174"/>
        <v>31</v>
      </c>
      <c r="P61" s="1">
        <f t="shared" si="174"/>
        <v>10.300000000046566</v>
      </c>
      <c r="Q61" s="1">
        <f t="shared" si="174"/>
        <v>31</v>
      </c>
      <c r="R61" s="1">
        <f t="shared" si="174"/>
        <v>1</v>
      </c>
      <c r="S61" s="1">
        <f t="shared" si="174"/>
        <v>12.5</v>
      </c>
      <c r="T61" s="1">
        <f t="shared" si="174"/>
        <v>29</v>
      </c>
      <c r="U61" s="1">
        <f t="shared" si="174"/>
        <v>17.899999999906868</v>
      </c>
      <c r="V61" s="1">
        <f t="shared" si="174"/>
        <v>1.5</v>
      </c>
      <c r="W61" s="1">
        <f t="shared" si="174"/>
        <v>10</v>
      </c>
      <c r="X61" s="1">
        <f t="shared" si="174"/>
        <v>12</v>
      </c>
      <c r="Y61" s="1">
        <f t="shared" si="174"/>
        <v>15</v>
      </c>
      <c r="Z61" s="1">
        <f t="shared" si="174"/>
        <v>1</v>
      </c>
      <c r="AA61" s="1">
        <f t="shared" si="174"/>
        <v>1</v>
      </c>
      <c r="AB61" s="1">
        <f t="shared" si="174"/>
        <v>30</v>
      </c>
      <c r="AC61" s="1">
        <f t="shared" si="174"/>
        <v>14</v>
      </c>
      <c r="AD61" s="1">
        <f t="shared" si="174"/>
        <v>22</v>
      </c>
      <c r="AE61" s="1">
        <f t="shared" si="174"/>
        <v>18.151157407555729</v>
      </c>
      <c r="AF61" s="1">
        <f t="shared" si="174"/>
        <v>20</v>
      </c>
      <c r="AG61" s="1">
        <f t="shared" si="174"/>
        <v>13</v>
      </c>
      <c r="AH61" s="1">
        <f t="shared" si="174"/>
        <v>1</v>
      </c>
      <c r="AI61" s="1">
        <f t="shared" si="174"/>
        <v>1</v>
      </c>
      <c r="AJ61" s="1">
        <f t="shared" si="174"/>
        <v>1</v>
      </c>
      <c r="AK61" s="1">
        <f t="shared" si="174"/>
        <v>1</v>
      </c>
      <c r="AL61" s="1">
        <f t="shared" si="174"/>
        <v>20</v>
      </c>
      <c r="AM61" s="1">
        <f t="shared" si="174"/>
        <v>16</v>
      </c>
      <c r="AN61" s="1">
        <f t="shared" si="174"/>
        <v>6</v>
      </c>
      <c r="AO61" s="1">
        <f t="shared" si="174"/>
        <v>3</v>
      </c>
      <c r="AP61" s="1">
        <f t="shared" si="174"/>
        <v>25.579166666604578</v>
      </c>
      <c r="AQ61" s="1">
        <f t="shared" si="174"/>
        <v>2.6347222221083939</v>
      </c>
      <c r="AR61" s="1">
        <f t="shared" si="174"/>
        <v>9.5375000000931323</v>
      </c>
      <c r="AS61" s="1">
        <f t="shared" si="174"/>
        <v>17.34375</v>
      </c>
      <c r="AT61" s="1">
        <f t="shared" si="174"/>
        <v>1</v>
      </c>
      <c r="AU61" s="1">
        <f t="shared" si="174"/>
        <v>1</v>
      </c>
      <c r="AV61" s="1">
        <f t="shared" si="174"/>
        <v>1</v>
      </c>
      <c r="AW61" s="1">
        <f t="shared" si="174"/>
        <v>5</v>
      </c>
      <c r="AX61" s="1">
        <f t="shared" si="174"/>
        <v>15</v>
      </c>
      <c r="AY61" s="1">
        <f t="shared" si="174"/>
        <v>1</v>
      </c>
      <c r="AZ61" s="1">
        <f t="shared" si="174"/>
        <v>2</v>
      </c>
      <c r="BA61" s="1">
        <f t="shared" si="174"/>
        <v>3</v>
      </c>
      <c r="BB61" s="1">
        <f t="shared" si="174"/>
        <v>4</v>
      </c>
      <c r="BC61" s="1">
        <f t="shared" si="174"/>
        <v>5</v>
      </c>
      <c r="BD61" s="1">
        <f t="shared" si="174"/>
        <v>6</v>
      </c>
      <c r="BE61" s="1">
        <f t="shared" si="174"/>
        <v>7</v>
      </c>
      <c r="BF61" s="1">
        <f t="shared" si="174"/>
        <v>8</v>
      </c>
      <c r="BG61" s="1">
        <f t="shared" si="174"/>
        <v>18</v>
      </c>
    </row>
    <row r="62" spans="3:59" x14ac:dyDescent="0.25">
      <c r="C62" t="s">
        <v>1012</v>
      </c>
      <c r="D62" s="7" t="s">
        <v>1013</v>
      </c>
      <c r="E62">
        <f>IF(E60&lt;14,E60-1,E60-13)</f>
        <v>10</v>
      </c>
      <c r="F62">
        <f t="shared" ref="F62:BG62" si="175">IF(F60&lt;14,F60-1,F60-13)</f>
        <v>1</v>
      </c>
      <c r="G62">
        <f t="shared" si="175"/>
        <v>1</v>
      </c>
      <c r="H62">
        <f t="shared" si="175"/>
        <v>1</v>
      </c>
      <c r="I62">
        <f t="shared" si="175"/>
        <v>1</v>
      </c>
      <c r="J62">
        <f t="shared" si="175"/>
        <v>6</v>
      </c>
      <c r="K62">
        <f t="shared" si="175"/>
        <v>1</v>
      </c>
      <c r="L62">
        <f t="shared" si="175"/>
        <v>6</v>
      </c>
      <c r="M62">
        <f t="shared" si="175"/>
        <v>1</v>
      </c>
      <c r="N62">
        <f t="shared" si="175"/>
        <v>1</v>
      </c>
      <c r="O62">
        <f t="shared" si="175"/>
        <v>12</v>
      </c>
      <c r="P62">
        <f t="shared" si="175"/>
        <v>4</v>
      </c>
      <c r="Q62">
        <f t="shared" si="175"/>
        <v>12</v>
      </c>
      <c r="R62">
        <f t="shared" si="175"/>
        <v>1</v>
      </c>
      <c r="S62">
        <f t="shared" si="175"/>
        <v>7</v>
      </c>
      <c r="T62">
        <f t="shared" si="175"/>
        <v>2</v>
      </c>
      <c r="U62">
        <f t="shared" si="175"/>
        <v>8</v>
      </c>
      <c r="V62">
        <f t="shared" si="175"/>
        <v>1</v>
      </c>
      <c r="W62">
        <f t="shared" si="175"/>
        <v>4</v>
      </c>
      <c r="X62">
        <f t="shared" si="175"/>
        <v>4</v>
      </c>
      <c r="Y62">
        <f t="shared" si="175"/>
        <v>2</v>
      </c>
      <c r="Z62">
        <f t="shared" si="175"/>
        <v>1</v>
      </c>
      <c r="AA62">
        <f t="shared" si="175"/>
        <v>1</v>
      </c>
      <c r="AB62">
        <f t="shared" si="175"/>
        <v>6</v>
      </c>
      <c r="AC62">
        <f t="shared" si="175"/>
        <v>11</v>
      </c>
      <c r="AD62">
        <f t="shared" si="175"/>
        <v>4</v>
      </c>
      <c r="AE62">
        <f t="shared" si="175"/>
        <v>2</v>
      </c>
      <c r="AF62">
        <f t="shared" si="175"/>
        <v>12</v>
      </c>
      <c r="AG62">
        <f t="shared" si="175"/>
        <v>10</v>
      </c>
      <c r="AH62">
        <f t="shared" si="175"/>
        <v>3</v>
      </c>
      <c r="AI62">
        <f t="shared" si="175"/>
        <v>4</v>
      </c>
      <c r="AJ62">
        <f t="shared" si="175"/>
        <v>5</v>
      </c>
      <c r="AK62">
        <f t="shared" si="175"/>
        <v>1</v>
      </c>
      <c r="AL62">
        <f t="shared" si="175"/>
        <v>9</v>
      </c>
      <c r="AM62">
        <f t="shared" si="175"/>
        <v>7</v>
      </c>
      <c r="AN62">
        <f t="shared" si="175"/>
        <v>4</v>
      </c>
      <c r="AO62">
        <f t="shared" si="175"/>
        <v>1</v>
      </c>
      <c r="AP62">
        <f t="shared" si="175"/>
        <v>9</v>
      </c>
      <c r="AQ62">
        <f t="shared" si="175"/>
        <v>10</v>
      </c>
      <c r="AR62">
        <f t="shared" si="175"/>
        <v>10</v>
      </c>
      <c r="AS62">
        <f t="shared" si="175"/>
        <v>10</v>
      </c>
      <c r="AT62">
        <f t="shared" si="175"/>
        <v>11</v>
      </c>
      <c r="AU62">
        <f t="shared" si="175"/>
        <v>6</v>
      </c>
      <c r="AV62">
        <f t="shared" si="175"/>
        <v>9</v>
      </c>
      <c r="AW62">
        <f t="shared" si="175"/>
        <v>1</v>
      </c>
      <c r="AX62">
        <f t="shared" si="175"/>
        <v>4</v>
      </c>
      <c r="AY62">
        <f t="shared" si="175"/>
        <v>12</v>
      </c>
      <c r="AZ62">
        <f t="shared" si="175"/>
        <v>12</v>
      </c>
      <c r="BA62">
        <f t="shared" si="175"/>
        <v>12</v>
      </c>
      <c r="BB62">
        <f t="shared" si="175"/>
        <v>12</v>
      </c>
      <c r="BC62">
        <f t="shared" si="175"/>
        <v>12</v>
      </c>
      <c r="BD62">
        <f t="shared" si="175"/>
        <v>12</v>
      </c>
      <c r="BE62">
        <f t="shared" si="175"/>
        <v>12</v>
      </c>
      <c r="BF62">
        <f t="shared" si="175"/>
        <v>12</v>
      </c>
      <c r="BG62">
        <f t="shared" si="175"/>
        <v>2</v>
      </c>
    </row>
    <row r="63" spans="3:59" x14ac:dyDescent="0.25">
      <c r="C63" t="s">
        <v>1014</v>
      </c>
      <c r="D63" s="7" t="s">
        <v>980</v>
      </c>
      <c r="E63">
        <f>IF(E62&gt;2, E58-4716,E58-4715)</f>
        <v>1957</v>
      </c>
      <c r="F63">
        <f t="shared" ref="F63:BG63" si="176">IF(F62&gt;2, F58-4716,F58-4715)</f>
        <v>333</v>
      </c>
      <c r="G63">
        <f t="shared" si="176"/>
        <v>2000</v>
      </c>
      <c r="H63">
        <f t="shared" si="176"/>
        <v>1999</v>
      </c>
      <c r="I63">
        <f t="shared" si="176"/>
        <v>1987</v>
      </c>
      <c r="J63">
        <f t="shared" si="176"/>
        <v>1987</v>
      </c>
      <c r="K63">
        <f t="shared" si="176"/>
        <v>1988</v>
      </c>
      <c r="L63">
        <f t="shared" si="176"/>
        <v>1988</v>
      </c>
      <c r="M63">
        <f t="shared" si="176"/>
        <v>1900</v>
      </c>
      <c r="N63">
        <f t="shared" si="176"/>
        <v>1600</v>
      </c>
      <c r="O63">
        <f t="shared" si="176"/>
        <v>1600</v>
      </c>
      <c r="P63">
        <f t="shared" si="176"/>
        <v>837</v>
      </c>
      <c r="Q63">
        <f t="shared" si="176"/>
        <v>-123</v>
      </c>
      <c r="R63">
        <f t="shared" si="176"/>
        <v>-122</v>
      </c>
      <c r="S63">
        <f t="shared" si="176"/>
        <v>-1000</v>
      </c>
      <c r="T63">
        <f t="shared" si="176"/>
        <v>-1000</v>
      </c>
      <c r="U63">
        <f t="shared" si="176"/>
        <v>-1001</v>
      </c>
      <c r="V63">
        <f t="shared" si="176"/>
        <v>-4712</v>
      </c>
      <c r="W63">
        <f t="shared" si="176"/>
        <v>1987</v>
      </c>
      <c r="X63">
        <f t="shared" si="176"/>
        <v>1992</v>
      </c>
      <c r="Y63">
        <f t="shared" si="176"/>
        <v>1977</v>
      </c>
      <c r="Z63">
        <f t="shared" si="176"/>
        <v>2044</v>
      </c>
      <c r="AA63">
        <f t="shared" si="176"/>
        <v>2000</v>
      </c>
      <c r="AB63">
        <f t="shared" si="176"/>
        <v>1954</v>
      </c>
      <c r="AC63">
        <f t="shared" si="176"/>
        <v>1978</v>
      </c>
      <c r="AD63">
        <f t="shared" si="176"/>
        <v>1988</v>
      </c>
      <c r="AE63">
        <f t="shared" si="176"/>
        <v>1977</v>
      </c>
      <c r="AF63">
        <f t="shared" si="176"/>
        <v>1992</v>
      </c>
      <c r="AG63">
        <f t="shared" si="176"/>
        <v>1992</v>
      </c>
      <c r="AH63">
        <f t="shared" si="176"/>
        <v>1991</v>
      </c>
      <c r="AI63">
        <f t="shared" si="176"/>
        <v>1992</v>
      </c>
      <c r="AJ63">
        <f t="shared" si="176"/>
        <v>1993</v>
      </c>
      <c r="AK63">
        <f t="shared" si="176"/>
        <v>1818</v>
      </c>
      <c r="AL63">
        <f t="shared" si="176"/>
        <v>1990</v>
      </c>
      <c r="AM63">
        <f t="shared" si="176"/>
        <v>622</v>
      </c>
      <c r="AN63">
        <f t="shared" si="176"/>
        <v>2000</v>
      </c>
      <c r="AO63">
        <f t="shared" si="176"/>
        <v>1</v>
      </c>
      <c r="AP63">
        <f t="shared" si="176"/>
        <v>2022</v>
      </c>
      <c r="AQ63">
        <f t="shared" si="176"/>
        <v>2022</v>
      </c>
      <c r="AR63">
        <f t="shared" si="176"/>
        <v>2022</v>
      </c>
      <c r="AS63">
        <f t="shared" si="176"/>
        <v>2022</v>
      </c>
      <c r="AT63">
        <f t="shared" si="176"/>
        <v>2022</v>
      </c>
      <c r="AU63">
        <f t="shared" si="176"/>
        <v>1973</v>
      </c>
      <c r="AV63">
        <f t="shared" si="176"/>
        <v>1997</v>
      </c>
      <c r="AW63">
        <f t="shared" si="176"/>
        <v>1935</v>
      </c>
      <c r="AX63">
        <f t="shared" si="176"/>
        <v>1957</v>
      </c>
      <c r="AY63">
        <f t="shared" si="176"/>
        <v>2022</v>
      </c>
      <c r="AZ63">
        <f t="shared" si="176"/>
        <v>2022</v>
      </c>
      <c r="BA63">
        <f t="shared" si="176"/>
        <v>2022</v>
      </c>
      <c r="BB63">
        <f t="shared" si="176"/>
        <v>2022</v>
      </c>
      <c r="BC63">
        <f t="shared" si="176"/>
        <v>2022</v>
      </c>
      <c r="BD63">
        <f t="shared" si="176"/>
        <v>2022</v>
      </c>
      <c r="BE63">
        <f t="shared" si="176"/>
        <v>2022</v>
      </c>
      <c r="BF63">
        <f t="shared" si="176"/>
        <v>2022</v>
      </c>
      <c r="BG63">
        <f t="shared" si="176"/>
        <v>1977</v>
      </c>
    </row>
    <row r="64" spans="3:59" x14ac:dyDescent="0.25">
      <c r="D64" s="7" t="s">
        <v>938</v>
      </c>
      <c r="E64" s="171">
        <f>IF(E63&gt;1899,DATE(E63,E62,E61)+E53,E63&amp;"-"&amp;E62&amp;"-"&amp;E61)</f>
        <v>21097.810000000056</v>
      </c>
      <c r="F64" s="171" t="str">
        <f t="shared" ref="F64:BG64" si="177">IF(F63&gt;1899,DATE(F63,F62,F61)+F53,F63&amp;"-"&amp;F62&amp;"-"&amp;F61)</f>
        <v>333-1-27.5</v>
      </c>
      <c r="G64" s="171">
        <f t="shared" si="177"/>
        <v>36526.5</v>
      </c>
      <c r="H64" s="171">
        <f t="shared" si="177"/>
        <v>36161</v>
      </c>
      <c r="I64" s="171">
        <f t="shared" si="177"/>
        <v>31804</v>
      </c>
      <c r="J64" s="171">
        <f t="shared" si="177"/>
        <v>31947.5</v>
      </c>
      <c r="K64" s="171">
        <f t="shared" si="177"/>
        <v>32169</v>
      </c>
      <c r="L64" s="171">
        <f t="shared" si="177"/>
        <v>32313.5</v>
      </c>
      <c r="M64" s="171">
        <f t="shared" si="177"/>
        <v>1.000011574011296</v>
      </c>
      <c r="N64" s="171" t="str">
        <f t="shared" si="177"/>
        <v>1600-1-1</v>
      </c>
      <c r="O64" s="171" t="str">
        <f t="shared" si="177"/>
        <v>1600-12-31</v>
      </c>
      <c r="P64" s="171" t="str">
        <f t="shared" si="177"/>
        <v>837-4-10.3000000000465</v>
      </c>
      <c r="Q64" s="171" t="str">
        <f t="shared" si="177"/>
        <v>-123-12-31</v>
      </c>
      <c r="R64" s="171" t="str">
        <f t="shared" si="177"/>
        <v>-122-1-1</v>
      </c>
      <c r="S64" s="171" t="str">
        <f t="shared" si="177"/>
        <v>-1000-7-12.5</v>
      </c>
      <c r="T64" s="171" t="str">
        <f t="shared" si="177"/>
        <v>-1000-2-29</v>
      </c>
      <c r="U64" s="171" t="str">
        <f t="shared" si="177"/>
        <v>-1001-8-17.8999999999068</v>
      </c>
      <c r="V64" s="171" t="str">
        <f t="shared" si="177"/>
        <v>-4712-1-1.5</v>
      </c>
      <c r="W64" s="171">
        <f t="shared" si="177"/>
        <v>31877</v>
      </c>
      <c r="X64" s="171">
        <f t="shared" si="177"/>
        <v>33706</v>
      </c>
      <c r="Y64" s="171">
        <f t="shared" si="177"/>
        <v>28171</v>
      </c>
      <c r="Z64" s="171">
        <f t="shared" si="177"/>
        <v>52597</v>
      </c>
      <c r="AA64" s="171">
        <f t="shared" si="177"/>
        <v>36526</v>
      </c>
      <c r="AB64" s="171">
        <f t="shared" si="177"/>
        <v>19905</v>
      </c>
      <c r="AC64" s="171">
        <f t="shared" si="177"/>
        <v>28808</v>
      </c>
      <c r="AD64" s="171">
        <f t="shared" si="177"/>
        <v>32255</v>
      </c>
      <c r="AE64" s="171">
        <f t="shared" si="177"/>
        <v>28174.151157407556</v>
      </c>
      <c r="AF64" s="171">
        <f t="shared" si="177"/>
        <v>33958</v>
      </c>
      <c r="AG64" s="171">
        <f t="shared" si="177"/>
        <v>33890</v>
      </c>
      <c r="AH64" s="171">
        <f t="shared" si="177"/>
        <v>33298</v>
      </c>
      <c r="AI64" s="171">
        <f t="shared" si="177"/>
        <v>33695</v>
      </c>
      <c r="AJ64" s="171">
        <f t="shared" si="177"/>
        <v>34090</v>
      </c>
      <c r="AK64" s="171" t="str">
        <f t="shared" si="177"/>
        <v>1818-1-1</v>
      </c>
      <c r="AL64" s="171">
        <f t="shared" si="177"/>
        <v>33136</v>
      </c>
      <c r="AM64" s="171" t="str">
        <f t="shared" si="177"/>
        <v>622-7-16</v>
      </c>
      <c r="AN64" s="171">
        <f t="shared" si="177"/>
        <v>36622</v>
      </c>
      <c r="AO64" s="171" t="str">
        <f t="shared" si="177"/>
        <v>1-1-3</v>
      </c>
      <c r="AP64" s="171">
        <f t="shared" si="177"/>
        <v>44829.579166666605</v>
      </c>
      <c r="AQ64" s="171">
        <f t="shared" si="177"/>
        <v>44836.634722222108</v>
      </c>
      <c r="AR64" s="171">
        <f t="shared" si="177"/>
        <v>44843.537500000093</v>
      </c>
      <c r="AS64" s="171">
        <f t="shared" si="177"/>
        <v>44851.34375</v>
      </c>
      <c r="AT64" s="171">
        <f t="shared" si="177"/>
        <v>44866</v>
      </c>
      <c r="AU64" s="171">
        <f t="shared" si="177"/>
        <v>26816</v>
      </c>
      <c r="AV64" s="171">
        <f t="shared" si="177"/>
        <v>35674</v>
      </c>
      <c r="AW64" s="171">
        <f t="shared" si="177"/>
        <v>12789</v>
      </c>
      <c r="AX64" s="171">
        <f t="shared" si="177"/>
        <v>20925</v>
      </c>
      <c r="AY64" s="171">
        <f t="shared" si="177"/>
        <v>44896</v>
      </c>
      <c r="AZ64" s="171">
        <f t="shared" si="177"/>
        <v>44897</v>
      </c>
      <c r="BA64" s="171">
        <f t="shared" si="177"/>
        <v>44898</v>
      </c>
      <c r="BB64" s="171">
        <f t="shared" si="177"/>
        <v>44899</v>
      </c>
      <c r="BC64" s="171">
        <f t="shared" si="177"/>
        <v>44900</v>
      </c>
      <c r="BD64" s="171">
        <f t="shared" si="177"/>
        <v>44901</v>
      </c>
      <c r="BE64" s="171">
        <f t="shared" si="177"/>
        <v>44902</v>
      </c>
      <c r="BF64" s="171">
        <f t="shared" si="177"/>
        <v>44903</v>
      </c>
      <c r="BG64" s="171">
        <f t="shared" si="177"/>
        <v>28174</v>
      </c>
    </row>
    <row r="65" spans="2:59" s="213" customFormat="1" ht="15.75" thickBot="1" x14ac:dyDescent="0.3">
      <c r="C65" s="213" t="s">
        <v>1017</v>
      </c>
      <c r="D65" s="286" t="s">
        <v>1016</v>
      </c>
      <c r="E65" s="287">
        <f>IF(ISNUMBER(E3),(E64-E3)*24*60*60*1000,"?")</f>
        <v>4.71482053399086E-3</v>
      </c>
      <c r="F65" s="287" t="str">
        <f t="shared" ref="F65:BG65" si="178">IF(ISNUMBER(F3),(F64-F3)*24*60*60*1000,"?")</f>
        <v>?</v>
      </c>
      <c r="G65" s="287">
        <f t="shared" si="178"/>
        <v>0</v>
      </c>
      <c r="H65" s="287">
        <f t="shared" si="178"/>
        <v>0</v>
      </c>
      <c r="I65" s="287">
        <f t="shared" si="178"/>
        <v>0</v>
      </c>
      <c r="J65" s="287">
        <f t="shared" si="178"/>
        <v>0</v>
      </c>
      <c r="K65" s="287">
        <f t="shared" si="178"/>
        <v>0</v>
      </c>
      <c r="L65" s="287">
        <f t="shared" si="178"/>
        <v>0</v>
      </c>
      <c r="M65" s="287">
        <f t="shared" si="178"/>
        <v>-5.4240196334376378E-3</v>
      </c>
      <c r="N65" s="287" t="str">
        <f t="shared" si="178"/>
        <v>?</v>
      </c>
      <c r="O65" s="287" t="str">
        <f t="shared" si="178"/>
        <v>?</v>
      </c>
      <c r="P65" s="287" t="str">
        <f t="shared" si="178"/>
        <v>?</v>
      </c>
      <c r="Q65" s="287" t="str">
        <f t="shared" si="178"/>
        <v>?</v>
      </c>
      <c r="R65" s="287" t="str">
        <f t="shared" si="178"/>
        <v>?</v>
      </c>
      <c r="S65" s="287" t="str">
        <f t="shared" si="178"/>
        <v>?</v>
      </c>
      <c r="T65" s="287" t="str">
        <f t="shared" si="178"/>
        <v>?</v>
      </c>
      <c r="U65" s="287" t="str">
        <f t="shared" si="178"/>
        <v>?</v>
      </c>
      <c r="V65" s="287" t="str">
        <f t="shared" si="178"/>
        <v>?</v>
      </c>
      <c r="W65" s="287">
        <f t="shared" si="178"/>
        <v>0</v>
      </c>
      <c r="X65" s="287">
        <f t="shared" si="178"/>
        <v>0</v>
      </c>
      <c r="Y65" s="287">
        <f t="shared" si="178"/>
        <v>0</v>
      </c>
      <c r="Z65" s="287">
        <f t="shared" si="178"/>
        <v>0</v>
      </c>
      <c r="AA65" s="287">
        <f t="shared" si="178"/>
        <v>0</v>
      </c>
      <c r="AB65" s="287">
        <f t="shared" si="178"/>
        <v>0</v>
      </c>
      <c r="AC65" s="287">
        <f t="shared" si="178"/>
        <v>0</v>
      </c>
      <c r="AD65" s="287">
        <f t="shared" si="178"/>
        <v>0</v>
      </c>
      <c r="AE65" s="287">
        <f t="shared" si="178"/>
        <v>1.2887176126241684E-2</v>
      </c>
      <c r="AF65" s="287">
        <f t="shared" si="178"/>
        <v>0</v>
      </c>
      <c r="AG65" s="287">
        <f t="shared" si="178"/>
        <v>0</v>
      </c>
      <c r="AH65" s="287">
        <f t="shared" si="178"/>
        <v>0</v>
      </c>
      <c r="AI65" s="287">
        <f t="shared" si="178"/>
        <v>0</v>
      </c>
      <c r="AJ65" s="287">
        <f t="shared" si="178"/>
        <v>0</v>
      </c>
      <c r="AK65" s="287" t="str">
        <f t="shared" si="178"/>
        <v>?</v>
      </c>
      <c r="AL65" s="287">
        <f t="shared" si="178"/>
        <v>0</v>
      </c>
      <c r="AM65" s="287" t="str">
        <f t="shared" si="178"/>
        <v>?</v>
      </c>
      <c r="AN65" s="287">
        <f t="shared" si="178"/>
        <v>0</v>
      </c>
      <c r="AO65" s="287" t="str">
        <f t="shared" si="178"/>
        <v>?</v>
      </c>
      <c r="AP65" s="287">
        <f t="shared" si="178"/>
        <v>-5.657784640789032E-3</v>
      </c>
      <c r="AQ65" s="287">
        <f t="shared" si="178"/>
        <v>-1.0058283805847168E-2</v>
      </c>
      <c r="AR65" s="287">
        <f t="shared" si="178"/>
        <v>8.172355592250824E-3</v>
      </c>
      <c r="AS65" s="287">
        <f t="shared" si="178"/>
        <v>0</v>
      </c>
      <c r="AT65" s="287">
        <f t="shared" si="178"/>
        <v>0</v>
      </c>
      <c r="AU65" s="287">
        <f t="shared" si="178"/>
        <v>0</v>
      </c>
      <c r="AV65" s="287">
        <f t="shared" si="178"/>
        <v>0</v>
      </c>
      <c r="AW65" s="287">
        <f t="shared" si="178"/>
        <v>0</v>
      </c>
      <c r="AX65" s="287">
        <f t="shared" si="178"/>
        <v>0</v>
      </c>
      <c r="AY65" s="287">
        <f t="shared" si="178"/>
        <v>0</v>
      </c>
      <c r="AZ65" s="287">
        <f t="shared" si="178"/>
        <v>0</v>
      </c>
      <c r="BA65" s="287">
        <f t="shared" si="178"/>
        <v>0</v>
      </c>
      <c r="BB65" s="287">
        <f t="shared" si="178"/>
        <v>0</v>
      </c>
      <c r="BC65" s="287">
        <f t="shared" si="178"/>
        <v>0</v>
      </c>
      <c r="BD65" s="287">
        <f t="shared" si="178"/>
        <v>0</v>
      </c>
      <c r="BE65" s="287">
        <f t="shared" si="178"/>
        <v>0</v>
      </c>
      <c r="BF65" s="287">
        <f t="shared" si="178"/>
        <v>0</v>
      </c>
      <c r="BG65" s="287">
        <f t="shared" si="178"/>
        <v>0</v>
      </c>
    </row>
    <row r="66" spans="2:59" x14ac:dyDescent="0.25">
      <c r="C66" s="214" t="s">
        <v>555</v>
      </c>
    </row>
    <row r="67" spans="2:59" x14ac:dyDescent="0.25">
      <c r="C67" s="67" t="s">
        <v>694</v>
      </c>
      <c r="D67" s="203" t="s">
        <v>298</v>
      </c>
      <c r="E67" s="216">
        <f>'49Phases'!E99</f>
        <v>2436134.6971960245</v>
      </c>
      <c r="F67" s="216">
        <f>'49Phases'!F99</f>
        <v>1842747.4368686618</v>
      </c>
      <c r="G67" s="216">
        <f>'49Phases'!G99</f>
        <v>2451550.2602577913</v>
      </c>
      <c r="H67" s="216">
        <f>'49Phases'!H99</f>
        <v>2451196.1578377932</v>
      </c>
      <c r="I67" s="216">
        <f>'49Phases'!I99</f>
        <v>2446825.0731883598</v>
      </c>
      <c r="J67" s="216">
        <f>'49Phases'!J99</f>
        <v>2446972.7345336978</v>
      </c>
      <c r="K67" s="216">
        <f>'49Phases'!K99</f>
        <v>2447179.7266962738</v>
      </c>
      <c r="L67" s="216">
        <f>'49Phases'!L99</f>
        <v>2447326.8851884641</v>
      </c>
      <c r="M67" s="216">
        <f>'49Phases'!M99</f>
        <v>2415021.0776915257</v>
      </c>
      <c r="N67" s="216">
        <f>'49Phases'!N99</f>
        <v>2305462.7136972747</v>
      </c>
      <c r="O67" s="216">
        <f>'49Phases'!O99</f>
        <v>2305846.697128165</v>
      </c>
      <c r="P67" s="216">
        <f>'49Phases'!P99</f>
        <v>2026870.4678683053</v>
      </c>
      <c r="Q67" s="216">
        <f>'49Phases'!Q99</f>
        <v>1676519.8736408127</v>
      </c>
      <c r="R67" s="216">
        <f>'49Phases'!R99</f>
        <v>1676490.0972646</v>
      </c>
      <c r="S67" s="216">
        <f>'49Phases'!S99</f>
        <v>1355994.6273358425</v>
      </c>
      <c r="T67" s="216">
        <f>'49Phases'!T99</f>
        <v>1355906.7494074411</v>
      </c>
      <c r="U67" s="216">
        <f>'49Phases'!U99</f>
        <v>1355669.4949495059</v>
      </c>
      <c r="V67" s="216">
        <f>'49Phases'!V99</f>
        <v>9.7574940654408167</v>
      </c>
      <c r="W67" s="216">
        <f>'49Phases'!W99</f>
        <v>2446913.566107186</v>
      </c>
      <c r="X67" s="216">
        <f>'49Phases'!X99</f>
        <v>2448745.2398917191</v>
      </c>
      <c r="Y67" s="216">
        <f>'49Phases'!Y99</f>
        <v>2443192.6511826837</v>
      </c>
      <c r="Z67" s="216">
        <f>'49Phases'!Z99</f>
        <v>2467614.9092886685</v>
      </c>
      <c r="AA67" s="216">
        <f>'49Phases'!AA99</f>
        <v>2451550.2602577913</v>
      </c>
      <c r="AB67" s="216">
        <f>'49Phases'!AB99</f>
        <v>2434924.0182496342</v>
      </c>
      <c r="AC67" s="216">
        <f>'49Phases'!AC99</f>
        <v>2443842.8474019784</v>
      </c>
      <c r="AD67" s="216">
        <f>'49Phases'!AD99</f>
        <v>2447268.0005642977</v>
      </c>
      <c r="AE67" s="216">
        <f>'49Phases'!AE99</f>
        <v>2443192.6511826837</v>
      </c>
      <c r="AF67" s="216">
        <f>'49Phases'!AF99</f>
        <v>2448980.5304304794</v>
      </c>
      <c r="AG67" s="216">
        <f>'49Phases'!AG99</f>
        <v>2448921.3574780114</v>
      </c>
      <c r="AH67" s="216">
        <f>'49Phases'!AH99</f>
        <v>2448331.8413745803</v>
      </c>
      <c r="AI67" s="216">
        <f>'49Phases'!AI99</f>
        <v>2448715.7100752452</v>
      </c>
      <c r="AJ67" s="216">
        <f>'49Phases'!AJ99</f>
        <v>2449129.0886117895</v>
      </c>
      <c r="AK67" s="216">
        <f>'49Phases'!AK99</f>
        <v>2385076.4880753052</v>
      </c>
      <c r="AL67" s="216">
        <f>'49Phases'!AL99</f>
        <v>2448153.5327884573</v>
      </c>
      <c r="AM67" s="216">
        <f>'49Phases'!AM99</f>
        <v>1948437.7797204461</v>
      </c>
      <c r="AN67" s="216">
        <f>'49Phases'!AN99</f>
        <v>2451639.2591001745</v>
      </c>
      <c r="AO67" s="216">
        <f>'49Phases'!AO99</f>
        <v>1721436.0813008165</v>
      </c>
      <c r="AP67" s="216">
        <f>'49Phases'!AP99</f>
        <v>2459848.4136201283</v>
      </c>
      <c r="AQ67" s="216">
        <f>'49Phases'!AQ99</f>
        <v>2459848.4136201283</v>
      </c>
      <c r="AR67" s="216">
        <f>'49Phases'!AR99</f>
        <v>2459877.9512321567</v>
      </c>
      <c r="AS67" s="216">
        <f>'49Phases'!AS99</f>
        <v>2459877.9512321567</v>
      </c>
      <c r="AT67" s="216">
        <f>'49Phases'!AT99</f>
        <v>2459877.9512321567</v>
      </c>
      <c r="AU67" s="216">
        <f>'49Phases'!AU99</f>
        <v>2441834.6909610098</v>
      </c>
      <c r="AV67" s="216">
        <f>'49Phases'!AV99</f>
        <v>2450693.4949553194</v>
      </c>
      <c r="AW67" s="216">
        <f>'49Phases'!AW99</f>
        <v>2427807.7225545268</v>
      </c>
      <c r="AX67" s="216">
        <f>'49Phases'!AX99</f>
        <v>2435958.496080752</v>
      </c>
      <c r="AY67" s="216">
        <f>'49Phases'!AY99</f>
        <v>2459907.4571649851</v>
      </c>
      <c r="AZ67" s="216">
        <f>'49Phases'!AZ99</f>
        <v>2459907.4571649851</v>
      </c>
      <c r="BA67" s="216">
        <f>'49Phases'!BA99</f>
        <v>2459936.9291703883</v>
      </c>
      <c r="BB67" s="216">
        <f>'49Phases'!BB99</f>
        <v>2459936.9291703883</v>
      </c>
      <c r="BC67" s="216">
        <f>'49Phases'!BC99</f>
        <v>2459936.9291703883</v>
      </c>
      <c r="BD67" s="216">
        <f>'49Phases'!BD99</f>
        <v>2459936.9291703883</v>
      </c>
      <c r="BE67" s="216">
        <f>'49Phases'!BE99</f>
        <v>2459936.9291703883</v>
      </c>
      <c r="BF67" s="216">
        <f>'49Phases'!BF99</f>
        <v>2459936.9291703883</v>
      </c>
      <c r="BG67" s="216">
        <f>'49Phases'!BG99</f>
        <v>2443192.6511826837</v>
      </c>
    </row>
    <row r="68" spans="2:59" x14ac:dyDescent="0.25">
      <c r="B68">
        <v>63</v>
      </c>
      <c r="C68" t="s">
        <v>570</v>
      </c>
      <c r="D68" s="7" t="s">
        <v>479</v>
      </c>
      <c r="E68" s="77">
        <f>_xlfn.FLOOR.MATH(E67+0.5)</f>
        <v>2436135</v>
      </c>
      <c r="F68" s="77">
        <f t="shared" ref="F68:BG68" si="179">_xlfn.FLOOR.MATH(F67+0.5)</f>
        <v>1842747</v>
      </c>
      <c r="G68" s="77">
        <f t="shared" si="179"/>
        <v>2451550</v>
      </c>
      <c r="H68" s="77">
        <f t="shared" si="179"/>
        <v>2451196</v>
      </c>
      <c r="I68" s="77">
        <f t="shared" si="179"/>
        <v>2446825</v>
      </c>
      <c r="J68" s="77">
        <f t="shared" si="179"/>
        <v>2446973</v>
      </c>
      <c r="K68" s="77">
        <f t="shared" si="179"/>
        <v>2447180</v>
      </c>
      <c r="L68" s="77">
        <f t="shared" si="179"/>
        <v>2447327</v>
      </c>
      <c r="M68" s="77">
        <f t="shared" si="179"/>
        <v>2415021</v>
      </c>
      <c r="N68" s="77">
        <f t="shared" si="179"/>
        <v>2305463</v>
      </c>
      <c r="O68" s="77">
        <f t="shared" si="179"/>
        <v>2305847</v>
      </c>
      <c r="P68" s="77">
        <f t="shared" si="179"/>
        <v>2026870</v>
      </c>
      <c r="Q68" s="77">
        <f t="shared" si="179"/>
        <v>1676520</v>
      </c>
      <c r="R68" s="77">
        <f t="shared" si="179"/>
        <v>1676490</v>
      </c>
      <c r="S68" s="77">
        <f t="shared" si="179"/>
        <v>1355995</v>
      </c>
      <c r="T68" s="77">
        <f t="shared" si="179"/>
        <v>1355907</v>
      </c>
      <c r="U68" s="77">
        <f t="shared" si="179"/>
        <v>1355669</v>
      </c>
      <c r="V68" s="77">
        <f t="shared" si="179"/>
        <v>10</v>
      </c>
      <c r="W68" s="77">
        <f t="shared" si="179"/>
        <v>2446914</v>
      </c>
      <c r="X68" s="77">
        <f t="shared" si="179"/>
        <v>2448745</v>
      </c>
      <c r="Y68" s="77">
        <f t="shared" si="179"/>
        <v>2443193</v>
      </c>
      <c r="Z68" s="77">
        <f t="shared" si="179"/>
        <v>2467615</v>
      </c>
      <c r="AA68" s="77">
        <f t="shared" si="179"/>
        <v>2451550</v>
      </c>
      <c r="AB68" s="77">
        <f t="shared" si="179"/>
        <v>2434924</v>
      </c>
      <c r="AC68" s="77">
        <f t="shared" si="179"/>
        <v>2443843</v>
      </c>
      <c r="AD68" s="77">
        <f t="shared" si="179"/>
        <v>2447268</v>
      </c>
      <c r="AE68" s="77">
        <f t="shared" si="179"/>
        <v>2443193</v>
      </c>
      <c r="AF68" s="77">
        <f t="shared" si="179"/>
        <v>2448981</v>
      </c>
      <c r="AG68" s="77">
        <f t="shared" si="179"/>
        <v>2448921</v>
      </c>
      <c r="AH68" s="77">
        <f t="shared" si="179"/>
        <v>2448332</v>
      </c>
      <c r="AI68" s="77">
        <f t="shared" si="179"/>
        <v>2448716</v>
      </c>
      <c r="AJ68" s="77">
        <f t="shared" si="179"/>
        <v>2449129</v>
      </c>
      <c r="AK68" s="77">
        <f t="shared" si="179"/>
        <v>2385076</v>
      </c>
      <c r="AL68" s="77">
        <f t="shared" si="179"/>
        <v>2448154</v>
      </c>
      <c r="AM68" s="77">
        <f t="shared" si="179"/>
        <v>1948438</v>
      </c>
      <c r="AN68" s="77">
        <f t="shared" si="179"/>
        <v>2451639</v>
      </c>
      <c r="AO68" s="77">
        <f t="shared" si="179"/>
        <v>1721436</v>
      </c>
      <c r="AP68" s="77">
        <f t="shared" si="179"/>
        <v>2459848</v>
      </c>
      <c r="AQ68" s="77">
        <f t="shared" si="179"/>
        <v>2459848</v>
      </c>
      <c r="AR68" s="77">
        <f t="shared" si="179"/>
        <v>2459878</v>
      </c>
      <c r="AS68" s="77">
        <f t="shared" si="179"/>
        <v>2459878</v>
      </c>
      <c r="AT68" s="77">
        <f t="shared" si="179"/>
        <v>2459878</v>
      </c>
      <c r="AU68" s="77">
        <f t="shared" si="179"/>
        <v>2441835</v>
      </c>
      <c r="AV68" s="77">
        <f t="shared" si="179"/>
        <v>2450693</v>
      </c>
      <c r="AW68" s="77">
        <f t="shared" si="179"/>
        <v>2427808</v>
      </c>
      <c r="AX68" s="77">
        <f t="shared" si="179"/>
        <v>2435958</v>
      </c>
      <c r="AY68" s="77">
        <f t="shared" si="179"/>
        <v>2459907</v>
      </c>
      <c r="AZ68" s="77">
        <f t="shared" si="179"/>
        <v>2459907</v>
      </c>
      <c r="BA68" s="77">
        <f t="shared" si="179"/>
        <v>2459937</v>
      </c>
      <c r="BB68" s="77">
        <f t="shared" si="179"/>
        <v>2459937</v>
      </c>
      <c r="BC68" s="77">
        <f t="shared" si="179"/>
        <v>2459937</v>
      </c>
      <c r="BD68" s="77">
        <f t="shared" si="179"/>
        <v>2459937</v>
      </c>
      <c r="BE68" s="77">
        <f t="shared" si="179"/>
        <v>2459937</v>
      </c>
      <c r="BF68" s="77">
        <f t="shared" si="179"/>
        <v>2459937</v>
      </c>
      <c r="BG68" s="77">
        <f t="shared" si="179"/>
        <v>2443193</v>
      </c>
    </row>
    <row r="69" spans="2:59" x14ac:dyDescent="0.25">
      <c r="B69">
        <v>63</v>
      </c>
      <c r="C69" t="s">
        <v>571</v>
      </c>
      <c r="D69" s="7" t="s">
        <v>483</v>
      </c>
      <c r="E69" s="16">
        <f>(E67+0.5)-E68</f>
        <v>0.19719602447003126</v>
      </c>
      <c r="F69" s="16">
        <f t="shared" ref="F69:BG69" si="180">(F67+0.5)-F68</f>
        <v>0.93686866178177297</v>
      </c>
      <c r="G69" s="16">
        <f t="shared" si="180"/>
        <v>0.76025779126212001</v>
      </c>
      <c r="H69" s="16">
        <f t="shared" si="180"/>
        <v>0.65783779323101044</v>
      </c>
      <c r="I69" s="16">
        <f t="shared" si="180"/>
        <v>0.57318835984915495</v>
      </c>
      <c r="J69" s="16">
        <f t="shared" si="180"/>
        <v>0.23453369783237576</v>
      </c>
      <c r="K69" s="16">
        <f t="shared" si="180"/>
        <v>0.22669627377763391</v>
      </c>
      <c r="L69" s="16">
        <f t="shared" si="180"/>
        <v>0.38518846407532692</v>
      </c>
      <c r="M69" s="16">
        <f t="shared" si="180"/>
        <v>0.57769152568653226</v>
      </c>
      <c r="N69" s="16">
        <f t="shared" si="180"/>
        <v>0.21369727468118072</v>
      </c>
      <c r="O69" s="16">
        <f t="shared" si="180"/>
        <v>0.19712816504761577</v>
      </c>
      <c r="P69" s="16">
        <f t="shared" si="180"/>
        <v>0.96786830527707934</v>
      </c>
      <c r="Q69" s="16">
        <f t="shared" si="180"/>
        <v>0.37364081270061433</v>
      </c>
      <c r="R69" s="16">
        <f t="shared" si="180"/>
        <v>0.59726459998637438</v>
      </c>
      <c r="S69" s="16">
        <f t="shared" si="180"/>
        <v>0.12733584246598184</v>
      </c>
      <c r="T69" s="16">
        <f t="shared" si="180"/>
        <v>0.24940744112245739</v>
      </c>
      <c r="U69" s="16">
        <f t="shared" si="180"/>
        <v>0.99494950589723885</v>
      </c>
      <c r="V69" s="16">
        <f t="shared" si="180"/>
        <v>0.25749406544081666</v>
      </c>
      <c r="W69" s="16">
        <f t="shared" si="180"/>
        <v>6.6107186023145914E-2</v>
      </c>
      <c r="X69" s="16">
        <f t="shared" si="180"/>
        <v>0.73989171907305717</v>
      </c>
      <c r="Y69" s="16">
        <f t="shared" si="180"/>
        <v>0.15118268365040421</v>
      </c>
      <c r="Z69" s="16">
        <f t="shared" si="180"/>
        <v>0.40928866853937507</v>
      </c>
      <c r="AA69" s="16">
        <f t="shared" si="180"/>
        <v>0.76025779126212001</v>
      </c>
      <c r="AB69" s="16">
        <f t="shared" si="180"/>
        <v>0.51824963418766856</v>
      </c>
      <c r="AC69" s="16">
        <f t="shared" si="180"/>
        <v>0.34740197844803333</v>
      </c>
      <c r="AD69" s="16">
        <f t="shared" si="180"/>
        <v>0.50056429766118526</v>
      </c>
      <c r="AE69" s="16">
        <f t="shared" si="180"/>
        <v>0.15118268365040421</v>
      </c>
      <c r="AF69" s="16">
        <f t="shared" si="180"/>
        <v>3.0430479440838099E-2</v>
      </c>
      <c r="AG69" s="16">
        <f t="shared" si="180"/>
        <v>0.85747801139950752</v>
      </c>
      <c r="AH69" s="16">
        <f t="shared" si="180"/>
        <v>0.34137458028271794</v>
      </c>
      <c r="AI69" s="16">
        <f t="shared" si="180"/>
        <v>0.21007524523884058</v>
      </c>
      <c r="AJ69" s="16">
        <f t="shared" si="180"/>
        <v>0.58861178951337934</v>
      </c>
      <c r="AK69" s="16">
        <f t="shared" si="180"/>
        <v>0.98807530524209142</v>
      </c>
      <c r="AL69" s="16">
        <f t="shared" si="180"/>
        <v>3.2788457348942757E-2</v>
      </c>
      <c r="AM69" s="16">
        <f t="shared" si="180"/>
        <v>0.27972044609487057</v>
      </c>
      <c r="AN69" s="16">
        <f t="shared" si="180"/>
        <v>0.7591001745313406</v>
      </c>
      <c r="AO69" s="16">
        <f t="shared" si="180"/>
        <v>0.5813008164986968</v>
      </c>
      <c r="AP69" s="16">
        <f t="shared" si="180"/>
        <v>0.91362012829631567</v>
      </c>
      <c r="AQ69" s="16">
        <f t="shared" si="180"/>
        <v>0.91362012829631567</v>
      </c>
      <c r="AR69" s="16">
        <f t="shared" si="180"/>
        <v>0.45123215671628714</v>
      </c>
      <c r="AS69" s="16">
        <f t="shared" si="180"/>
        <v>0.45123215671628714</v>
      </c>
      <c r="AT69" s="16">
        <f t="shared" si="180"/>
        <v>0.45123215671628714</v>
      </c>
      <c r="AU69" s="16">
        <f t="shared" si="180"/>
        <v>0.19096100982278585</v>
      </c>
      <c r="AV69" s="16">
        <f t="shared" si="180"/>
        <v>0.99495531944558024</v>
      </c>
      <c r="AW69" s="16">
        <f t="shared" si="180"/>
        <v>0.22255452675744891</v>
      </c>
      <c r="AX69" s="16">
        <f t="shared" si="180"/>
        <v>0.99608075199648738</v>
      </c>
      <c r="AY69" s="16">
        <f t="shared" si="180"/>
        <v>0.95716498512774706</v>
      </c>
      <c r="AZ69" s="16">
        <f t="shared" si="180"/>
        <v>0.95716498512774706</v>
      </c>
      <c r="BA69" s="16">
        <f t="shared" si="180"/>
        <v>0.42917038826271892</v>
      </c>
      <c r="BB69" s="16">
        <f t="shared" si="180"/>
        <v>0.42917038826271892</v>
      </c>
      <c r="BC69" s="16">
        <f t="shared" si="180"/>
        <v>0.42917038826271892</v>
      </c>
      <c r="BD69" s="16">
        <f t="shared" si="180"/>
        <v>0.42917038826271892</v>
      </c>
      <c r="BE69" s="16">
        <f t="shared" si="180"/>
        <v>0.42917038826271892</v>
      </c>
      <c r="BF69" s="16">
        <f t="shared" si="180"/>
        <v>0.42917038826271892</v>
      </c>
      <c r="BG69" s="16">
        <f t="shared" si="180"/>
        <v>0.15118268365040421</v>
      </c>
    </row>
    <row r="70" spans="2:59" x14ac:dyDescent="0.25">
      <c r="D70"/>
    </row>
    <row r="71" spans="2:59" x14ac:dyDescent="0.25">
      <c r="C71" t="s">
        <v>487</v>
      </c>
      <c r="D71"/>
    </row>
    <row r="72" spans="2:59" x14ac:dyDescent="0.25">
      <c r="C72" t="s">
        <v>488</v>
      </c>
      <c r="D72" s="7" t="s">
        <v>490</v>
      </c>
      <c r="E72" s="77">
        <f>INT((E68-1867216.25)/36524.25)</f>
        <v>15</v>
      </c>
      <c r="F72" s="77">
        <f t="shared" ref="F72:BG72" si="181">INT((F68-1867216.25)/36524.25)</f>
        <v>-1</v>
      </c>
      <c r="G72" s="77">
        <f t="shared" si="181"/>
        <v>15</v>
      </c>
      <c r="H72" s="77">
        <f t="shared" si="181"/>
        <v>15</v>
      </c>
      <c r="I72" s="77">
        <f t="shared" si="181"/>
        <v>15</v>
      </c>
      <c r="J72" s="77">
        <f t="shared" si="181"/>
        <v>15</v>
      </c>
      <c r="K72" s="77">
        <f t="shared" si="181"/>
        <v>15</v>
      </c>
      <c r="L72" s="77">
        <f t="shared" si="181"/>
        <v>15</v>
      </c>
      <c r="M72" s="77">
        <f t="shared" si="181"/>
        <v>14</v>
      </c>
      <c r="N72" s="77">
        <f t="shared" si="181"/>
        <v>11</v>
      </c>
      <c r="O72" s="77">
        <f t="shared" si="181"/>
        <v>12</v>
      </c>
      <c r="P72" s="77">
        <f t="shared" si="181"/>
        <v>4</v>
      </c>
      <c r="Q72" s="77">
        <f t="shared" si="181"/>
        <v>-6</v>
      </c>
      <c r="R72" s="77">
        <f t="shared" si="181"/>
        <v>-6</v>
      </c>
      <c r="S72" s="77">
        <f t="shared" si="181"/>
        <v>-14</v>
      </c>
      <c r="T72" s="77">
        <f t="shared" si="181"/>
        <v>-14</v>
      </c>
      <c r="U72" s="77">
        <f t="shared" si="181"/>
        <v>-15</v>
      </c>
      <c r="V72" s="77">
        <f t="shared" si="181"/>
        <v>-52</v>
      </c>
      <c r="W72" s="77">
        <f t="shared" si="181"/>
        <v>15</v>
      </c>
      <c r="X72" s="77">
        <f t="shared" si="181"/>
        <v>15</v>
      </c>
      <c r="Y72" s="77">
        <f t="shared" si="181"/>
        <v>15</v>
      </c>
      <c r="Z72" s="77">
        <f t="shared" si="181"/>
        <v>16</v>
      </c>
      <c r="AA72" s="77">
        <f t="shared" si="181"/>
        <v>15</v>
      </c>
      <c r="AB72" s="77">
        <f t="shared" si="181"/>
        <v>15</v>
      </c>
      <c r="AC72" s="77">
        <f t="shared" si="181"/>
        <v>15</v>
      </c>
      <c r="AD72" s="77">
        <f t="shared" si="181"/>
        <v>15</v>
      </c>
      <c r="AE72" s="77">
        <f t="shared" si="181"/>
        <v>15</v>
      </c>
      <c r="AF72" s="77">
        <f t="shared" si="181"/>
        <v>15</v>
      </c>
      <c r="AG72" s="77">
        <f t="shared" si="181"/>
        <v>15</v>
      </c>
      <c r="AH72" s="77">
        <f t="shared" si="181"/>
        <v>15</v>
      </c>
      <c r="AI72" s="77">
        <f t="shared" si="181"/>
        <v>15</v>
      </c>
      <c r="AJ72" s="77">
        <f t="shared" si="181"/>
        <v>15</v>
      </c>
      <c r="AK72" s="77">
        <f t="shared" si="181"/>
        <v>14</v>
      </c>
      <c r="AL72" s="77">
        <f t="shared" si="181"/>
        <v>15</v>
      </c>
      <c r="AM72" s="77">
        <f t="shared" si="181"/>
        <v>2</v>
      </c>
      <c r="AN72" s="77">
        <f t="shared" si="181"/>
        <v>16</v>
      </c>
      <c r="AO72" s="77">
        <f t="shared" si="181"/>
        <v>-4</v>
      </c>
      <c r="AP72" s="77">
        <f t="shared" si="181"/>
        <v>16</v>
      </c>
      <c r="AQ72" s="77">
        <f t="shared" si="181"/>
        <v>16</v>
      </c>
      <c r="AR72" s="77">
        <f t="shared" si="181"/>
        <v>16</v>
      </c>
      <c r="AS72" s="77">
        <f t="shared" si="181"/>
        <v>16</v>
      </c>
      <c r="AT72" s="77">
        <f t="shared" si="181"/>
        <v>16</v>
      </c>
      <c r="AU72" s="77">
        <f t="shared" si="181"/>
        <v>15</v>
      </c>
      <c r="AV72" s="77">
        <f t="shared" si="181"/>
        <v>15</v>
      </c>
      <c r="AW72" s="77">
        <f t="shared" si="181"/>
        <v>15</v>
      </c>
      <c r="AX72" s="77">
        <f t="shared" si="181"/>
        <v>15</v>
      </c>
      <c r="AY72" s="77">
        <f t="shared" si="181"/>
        <v>16</v>
      </c>
      <c r="AZ72" s="77">
        <f t="shared" si="181"/>
        <v>16</v>
      </c>
      <c r="BA72" s="77">
        <f t="shared" si="181"/>
        <v>16</v>
      </c>
      <c r="BB72" s="77">
        <f t="shared" si="181"/>
        <v>16</v>
      </c>
      <c r="BC72" s="77">
        <f t="shared" si="181"/>
        <v>16</v>
      </c>
      <c r="BD72" s="77">
        <f t="shared" si="181"/>
        <v>16</v>
      </c>
      <c r="BE72" s="77">
        <f t="shared" si="181"/>
        <v>16</v>
      </c>
      <c r="BF72" s="77">
        <f t="shared" si="181"/>
        <v>16</v>
      </c>
      <c r="BG72" s="77">
        <f t="shared" si="181"/>
        <v>15</v>
      </c>
    </row>
    <row r="73" spans="2:59" x14ac:dyDescent="0.25">
      <c r="C73" t="s">
        <v>489</v>
      </c>
      <c r="D73" s="7" t="s">
        <v>494</v>
      </c>
      <c r="E73" s="77">
        <f>IF(E68&lt;2299161,E68,E68+1+E72-_xlfn.FLOOR.MATH(E72/4))</f>
        <v>2436148</v>
      </c>
      <c r="F73" s="77">
        <f t="shared" ref="F73:BG73" si="182">IF(F68&lt;2299161,F68,F68+1+F72-_xlfn.FLOOR.MATH(F72/4))</f>
        <v>1842747</v>
      </c>
      <c r="G73" s="77">
        <f t="shared" si="182"/>
        <v>2451563</v>
      </c>
      <c r="H73" s="77">
        <f t="shared" si="182"/>
        <v>2451209</v>
      </c>
      <c r="I73" s="77">
        <f t="shared" si="182"/>
        <v>2446838</v>
      </c>
      <c r="J73" s="77">
        <f t="shared" si="182"/>
        <v>2446986</v>
      </c>
      <c r="K73" s="77">
        <f t="shared" si="182"/>
        <v>2447193</v>
      </c>
      <c r="L73" s="77">
        <f t="shared" si="182"/>
        <v>2447340</v>
      </c>
      <c r="M73" s="77">
        <f t="shared" si="182"/>
        <v>2415033</v>
      </c>
      <c r="N73" s="77">
        <f t="shared" si="182"/>
        <v>2305473</v>
      </c>
      <c r="O73" s="77">
        <f t="shared" si="182"/>
        <v>2305857</v>
      </c>
      <c r="P73" s="77">
        <f t="shared" si="182"/>
        <v>2026870</v>
      </c>
      <c r="Q73" s="77">
        <f t="shared" si="182"/>
        <v>1676520</v>
      </c>
      <c r="R73" s="77">
        <f t="shared" si="182"/>
        <v>1676490</v>
      </c>
      <c r="S73" s="77">
        <f t="shared" si="182"/>
        <v>1355995</v>
      </c>
      <c r="T73" s="77">
        <f t="shared" si="182"/>
        <v>1355907</v>
      </c>
      <c r="U73" s="77">
        <f t="shared" si="182"/>
        <v>1355669</v>
      </c>
      <c r="V73" s="77">
        <f t="shared" si="182"/>
        <v>10</v>
      </c>
      <c r="W73" s="77">
        <f t="shared" si="182"/>
        <v>2446927</v>
      </c>
      <c r="X73" s="77">
        <f t="shared" si="182"/>
        <v>2448758</v>
      </c>
      <c r="Y73" s="77">
        <f t="shared" si="182"/>
        <v>2443206</v>
      </c>
      <c r="Z73" s="77">
        <f t="shared" si="182"/>
        <v>2467628</v>
      </c>
      <c r="AA73" s="77">
        <f t="shared" si="182"/>
        <v>2451563</v>
      </c>
      <c r="AB73" s="77">
        <f t="shared" si="182"/>
        <v>2434937</v>
      </c>
      <c r="AC73" s="77">
        <f t="shared" si="182"/>
        <v>2443856</v>
      </c>
      <c r="AD73" s="77">
        <f t="shared" si="182"/>
        <v>2447281</v>
      </c>
      <c r="AE73" s="77">
        <f t="shared" si="182"/>
        <v>2443206</v>
      </c>
      <c r="AF73" s="77">
        <f t="shared" si="182"/>
        <v>2448994</v>
      </c>
      <c r="AG73" s="77">
        <f t="shared" si="182"/>
        <v>2448934</v>
      </c>
      <c r="AH73" s="77">
        <f t="shared" si="182"/>
        <v>2448345</v>
      </c>
      <c r="AI73" s="77">
        <f t="shared" si="182"/>
        <v>2448729</v>
      </c>
      <c r="AJ73" s="77">
        <f t="shared" si="182"/>
        <v>2449142</v>
      </c>
      <c r="AK73" s="77">
        <f t="shared" si="182"/>
        <v>2385088</v>
      </c>
      <c r="AL73" s="77">
        <f t="shared" si="182"/>
        <v>2448167</v>
      </c>
      <c r="AM73" s="77">
        <f t="shared" si="182"/>
        <v>1948438</v>
      </c>
      <c r="AN73" s="77">
        <f t="shared" si="182"/>
        <v>2451652</v>
      </c>
      <c r="AO73" s="77">
        <f t="shared" si="182"/>
        <v>1721436</v>
      </c>
      <c r="AP73" s="77">
        <f t="shared" si="182"/>
        <v>2459861</v>
      </c>
      <c r="AQ73" s="77">
        <f t="shared" si="182"/>
        <v>2459861</v>
      </c>
      <c r="AR73" s="77">
        <f t="shared" si="182"/>
        <v>2459891</v>
      </c>
      <c r="AS73" s="77">
        <f t="shared" si="182"/>
        <v>2459891</v>
      </c>
      <c r="AT73" s="77">
        <f t="shared" si="182"/>
        <v>2459891</v>
      </c>
      <c r="AU73" s="77">
        <f t="shared" si="182"/>
        <v>2441848</v>
      </c>
      <c r="AV73" s="77">
        <f t="shared" si="182"/>
        <v>2450706</v>
      </c>
      <c r="AW73" s="77">
        <f t="shared" si="182"/>
        <v>2427821</v>
      </c>
      <c r="AX73" s="77">
        <f t="shared" si="182"/>
        <v>2435971</v>
      </c>
      <c r="AY73" s="77">
        <f t="shared" si="182"/>
        <v>2459920</v>
      </c>
      <c r="AZ73" s="77">
        <f t="shared" si="182"/>
        <v>2459920</v>
      </c>
      <c r="BA73" s="77">
        <f t="shared" si="182"/>
        <v>2459950</v>
      </c>
      <c r="BB73" s="77">
        <f t="shared" si="182"/>
        <v>2459950</v>
      </c>
      <c r="BC73" s="77">
        <f t="shared" si="182"/>
        <v>2459950</v>
      </c>
      <c r="BD73" s="77">
        <f t="shared" si="182"/>
        <v>2459950</v>
      </c>
      <c r="BE73" s="77">
        <f t="shared" si="182"/>
        <v>2459950</v>
      </c>
      <c r="BF73" s="77">
        <f t="shared" si="182"/>
        <v>2459950</v>
      </c>
      <c r="BG73" s="77">
        <f t="shared" si="182"/>
        <v>2443206</v>
      </c>
    </row>
    <row r="74" spans="2:59" x14ac:dyDescent="0.25">
      <c r="B74">
        <v>63</v>
      </c>
      <c r="C74" t="s">
        <v>158</v>
      </c>
      <c r="D74" s="7" t="s">
        <v>498</v>
      </c>
      <c r="E74" s="77">
        <f>E73+1524</f>
        <v>2437672</v>
      </c>
      <c r="F74" s="77">
        <f t="shared" ref="F74:BG74" si="183">F73+1524</f>
        <v>1844271</v>
      </c>
      <c r="G74" s="77">
        <f t="shared" si="183"/>
        <v>2453087</v>
      </c>
      <c r="H74" s="77">
        <f t="shared" si="183"/>
        <v>2452733</v>
      </c>
      <c r="I74" s="77">
        <f t="shared" si="183"/>
        <v>2448362</v>
      </c>
      <c r="J74" s="77">
        <f t="shared" si="183"/>
        <v>2448510</v>
      </c>
      <c r="K74" s="77">
        <f t="shared" si="183"/>
        <v>2448717</v>
      </c>
      <c r="L74" s="77">
        <f t="shared" si="183"/>
        <v>2448864</v>
      </c>
      <c r="M74" s="77">
        <f t="shared" si="183"/>
        <v>2416557</v>
      </c>
      <c r="N74" s="77">
        <f t="shared" si="183"/>
        <v>2306997</v>
      </c>
      <c r="O74" s="77">
        <f t="shared" si="183"/>
        <v>2307381</v>
      </c>
      <c r="P74" s="77">
        <f t="shared" si="183"/>
        <v>2028394</v>
      </c>
      <c r="Q74" s="77">
        <f t="shared" si="183"/>
        <v>1678044</v>
      </c>
      <c r="R74" s="77">
        <f t="shared" si="183"/>
        <v>1678014</v>
      </c>
      <c r="S74" s="77">
        <f t="shared" si="183"/>
        <v>1357519</v>
      </c>
      <c r="T74" s="77">
        <f t="shared" si="183"/>
        <v>1357431</v>
      </c>
      <c r="U74" s="77">
        <f t="shared" si="183"/>
        <v>1357193</v>
      </c>
      <c r="V74" s="77">
        <f t="shared" si="183"/>
        <v>1534</v>
      </c>
      <c r="W74" s="77">
        <f t="shared" si="183"/>
        <v>2448451</v>
      </c>
      <c r="X74" s="77">
        <f t="shared" si="183"/>
        <v>2450282</v>
      </c>
      <c r="Y74" s="77">
        <f t="shared" si="183"/>
        <v>2444730</v>
      </c>
      <c r="Z74" s="77">
        <f t="shared" si="183"/>
        <v>2469152</v>
      </c>
      <c r="AA74" s="77">
        <f t="shared" si="183"/>
        <v>2453087</v>
      </c>
      <c r="AB74" s="77">
        <f t="shared" si="183"/>
        <v>2436461</v>
      </c>
      <c r="AC74" s="77">
        <f t="shared" si="183"/>
        <v>2445380</v>
      </c>
      <c r="AD74" s="77">
        <f t="shared" si="183"/>
        <v>2448805</v>
      </c>
      <c r="AE74" s="77">
        <f t="shared" si="183"/>
        <v>2444730</v>
      </c>
      <c r="AF74" s="77">
        <f t="shared" si="183"/>
        <v>2450518</v>
      </c>
      <c r="AG74" s="77">
        <f t="shared" si="183"/>
        <v>2450458</v>
      </c>
      <c r="AH74" s="77">
        <f t="shared" si="183"/>
        <v>2449869</v>
      </c>
      <c r="AI74" s="77">
        <f t="shared" si="183"/>
        <v>2450253</v>
      </c>
      <c r="AJ74" s="77">
        <f t="shared" si="183"/>
        <v>2450666</v>
      </c>
      <c r="AK74" s="77">
        <f t="shared" si="183"/>
        <v>2386612</v>
      </c>
      <c r="AL74" s="77">
        <f t="shared" si="183"/>
        <v>2449691</v>
      </c>
      <c r="AM74" s="77">
        <f t="shared" si="183"/>
        <v>1949962</v>
      </c>
      <c r="AN74" s="77">
        <f t="shared" si="183"/>
        <v>2453176</v>
      </c>
      <c r="AO74" s="77">
        <f t="shared" si="183"/>
        <v>1722960</v>
      </c>
      <c r="AP74" s="77">
        <f t="shared" si="183"/>
        <v>2461385</v>
      </c>
      <c r="AQ74" s="77">
        <f t="shared" si="183"/>
        <v>2461385</v>
      </c>
      <c r="AR74" s="77">
        <f t="shared" si="183"/>
        <v>2461415</v>
      </c>
      <c r="AS74" s="77">
        <f t="shared" si="183"/>
        <v>2461415</v>
      </c>
      <c r="AT74" s="77">
        <f t="shared" si="183"/>
        <v>2461415</v>
      </c>
      <c r="AU74" s="77">
        <f t="shared" si="183"/>
        <v>2443372</v>
      </c>
      <c r="AV74" s="77">
        <f t="shared" si="183"/>
        <v>2452230</v>
      </c>
      <c r="AW74" s="77">
        <f t="shared" si="183"/>
        <v>2429345</v>
      </c>
      <c r="AX74" s="77">
        <f t="shared" si="183"/>
        <v>2437495</v>
      </c>
      <c r="AY74" s="77">
        <f t="shared" si="183"/>
        <v>2461444</v>
      </c>
      <c r="AZ74" s="77">
        <f t="shared" si="183"/>
        <v>2461444</v>
      </c>
      <c r="BA74" s="77">
        <f t="shared" si="183"/>
        <v>2461474</v>
      </c>
      <c r="BB74" s="77">
        <f t="shared" si="183"/>
        <v>2461474</v>
      </c>
      <c r="BC74" s="77">
        <f t="shared" si="183"/>
        <v>2461474</v>
      </c>
      <c r="BD74" s="77">
        <f t="shared" si="183"/>
        <v>2461474</v>
      </c>
      <c r="BE74" s="77">
        <f t="shared" si="183"/>
        <v>2461474</v>
      </c>
      <c r="BF74" s="77">
        <f t="shared" si="183"/>
        <v>2461474</v>
      </c>
      <c r="BG74" s="77">
        <f t="shared" si="183"/>
        <v>2444730</v>
      </c>
    </row>
    <row r="75" spans="2:59" x14ac:dyDescent="0.25">
      <c r="B75">
        <v>63</v>
      </c>
      <c r="C75" t="s">
        <v>502</v>
      </c>
      <c r="D75" s="7" t="s">
        <v>503</v>
      </c>
      <c r="E75" s="77">
        <f>_xlfn.FLOOR.MATH((E74-122.1)/365.25)</f>
        <v>6673</v>
      </c>
      <c r="F75" s="77">
        <f t="shared" ref="F75:BG75" si="184">_xlfn.FLOOR.MATH((F74-122.1)/365.25)</f>
        <v>5049</v>
      </c>
      <c r="G75" s="77">
        <f t="shared" si="184"/>
        <v>6715</v>
      </c>
      <c r="H75" s="77">
        <f t="shared" si="184"/>
        <v>6714</v>
      </c>
      <c r="I75" s="77">
        <f t="shared" si="184"/>
        <v>6702</v>
      </c>
      <c r="J75" s="77">
        <f t="shared" si="184"/>
        <v>6703</v>
      </c>
      <c r="K75" s="77">
        <f t="shared" si="184"/>
        <v>6703</v>
      </c>
      <c r="L75" s="77">
        <f t="shared" si="184"/>
        <v>6704</v>
      </c>
      <c r="M75" s="77">
        <f t="shared" si="184"/>
        <v>6615</v>
      </c>
      <c r="N75" s="77">
        <f t="shared" si="184"/>
        <v>6315</v>
      </c>
      <c r="O75" s="77">
        <f t="shared" si="184"/>
        <v>6316</v>
      </c>
      <c r="P75" s="77">
        <f t="shared" si="184"/>
        <v>5553</v>
      </c>
      <c r="Q75" s="77">
        <f t="shared" si="184"/>
        <v>4593</v>
      </c>
      <c r="R75" s="77">
        <f t="shared" si="184"/>
        <v>4593</v>
      </c>
      <c r="S75" s="77">
        <f t="shared" si="184"/>
        <v>3716</v>
      </c>
      <c r="T75" s="77">
        <f t="shared" si="184"/>
        <v>3716</v>
      </c>
      <c r="U75" s="77">
        <f t="shared" si="184"/>
        <v>3715</v>
      </c>
      <c r="V75" s="77">
        <f t="shared" si="184"/>
        <v>3</v>
      </c>
      <c r="W75" s="77">
        <f t="shared" si="184"/>
        <v>6703</v>
      </c>
      <c r="X75" s="77">
        <f t="shared" si="184"/>
        <v>6708</v>
      </c>
      <c r="Y75" s="77">
        <f t="shared" si="184"/>
        <v>6692</v>
      </c>
      <c r="Z75" s="77">
        <f t="shared" si="184"/>
        <v>6759</v>
      </c>
      <c r="AA75" s="77">
        <f t="shared" si="184"/>
        <v>6715</v>
      </c>
      <c r="AB75" s="77">
        <f t="shared" si="184"/>
        <v>6670</v>
      </c>
      <c r="AC75" s="77">
        <f t="shared" si="184"/>
        <v>6694</v>
      </c>
      <c r="AD75" s="77">
        <f t="shared" si="184"/>
        <v>6704</v>
      </c>
      <c r="AE75" s="77">
        <f t="shared" si="184"/>
        <v>6692</v>
      </c>
      <c r="AF75" s="77">
        <f t="shared" si="184"/>
        <v>6708</v>
      </c>
      <c r="AG75" s="77">
        <f t="shared" si="184"/>
        <v>6708</v>
      </c>
      <c r="AH75" s="77">
        <f t="shared" si="184"/>
        <v>6707</v>
      </c>
      <c r="AI75" s="77">
        <f t="shared" si="184"/>
        <v>6708</v>
      </c>
      <c r="AJ75" s="77">
        <f t="shared" si="184"/>
        <v>6709</v>
      </c>
      <c r="AK75" s="77">
        <f t="shared" si="184"/>
        <v>6533</v>
      </c>
      <c r="AL75" s="77">
        <f t="shared" si="184"/>
        <v>6706</v>
      </c>
      <c r="AM75" s="77">
        <f t="shared" si="184"/>
        <v>5338</v>
      </c>
      <c r="AN75" s="77">
        <f t="shared" si="184"/>
        <v>6716</v>
      </c>
      <c r="AO75" s="77">
        <f t="shared" si="184"/>
        <v>4716</v>
      </c>
      <c r="AP75" s="77">
        <f t="shared" si="184"/>
        <v>6738</v>
      </c>
      <c r="AQ75" s="77">
        <f t="shared" si="184"/>
        <v>6738</v>
      </c>
      <c r="AR75" s="77">
        <f t="shared" si="184"/>
        <v>6738</v>
      </c>
      <c r="AS75" s="77">
        <f t="shared" si="184"/>
        <v>6738</v>
      </c>
      <c r="AT75" s="77">
        <f t="shared" si="184"/>
        <v>6738</v>
      </c>
      <c r="AU75" s="77">
        <f t="shared" si="184"/>
        <v>6689</v>
      </c>
      <c r="AV75" s="77">
        <f t="shared" si="184"/>
        <v>6713</v>
      </c>
      <c r="AW75" s="77">
        <f t="shared" si="184"/>
        <v>6650</v>
      </c>
      <c r="AX75" s="77">
        <f t="shared" si="184"/>
        <v>6673</v>
      </c>
      <c r="AY75" s="77">
        <f t="shared" si="184"/>
        <v>6738</v>
      </c>
      <c r="AZ75" s="77">
        <f t="shared" si="184"/>
        <v>6738</v>
      </c>
      <c r="BA75" s="77">
        <f t="shared" si="184"/>
        <v>6738</v>
      </c>
      <c r="BB75" s="77">
        <f t="shared" si="184"/>
        <v>6738</v>
      </c>
      <c r="BC75" s="77">
        <f t="shared" si="184"/>
        <v>6738</v>
      </c>
      <c r="BD75" s="77">
        <f t="shared" si="184"/>
        <v>6738</v>
      </c>
      <c r="BE75" s="77">
        <f t="shared" si="184"/>
        <v>6738</v>
      </c>
      <c r="BF75" s="77">
        <f t="shared" si="184"/>
        <v>6738</v>
      </c>
      <c r="BG75" s="77">
        <f t="shared" si="184"/>
        <v>6692</v>
      </c>
    </row>
    <row r="76" spans="2:59" x14ac:dyDescent="0.25">
      <c r="B76">
        <v>63</v>
      </c>
      <c r="C76" t="s">
        <v>159</v>
      </c>
      <c r="D76" s="7" t="s">
        <v>507</v>
      </c>
      <c r="E76" s="77">
        <f>_xlfn.FLOOR.MATH(E75*365.25)</f>
        <v>2437313</v>
      </c>
      <c r="F76" s="77">
        <f t="shared" ref="F76:BG76" si="185">_xlfn.FLOOR.MATH(F75*365.25)</f>
        <v>1844147</v>
      </c>
      <c r="G76" s="77">
        <f t="shared" si="185"/>
        <v>2452653</v>
      </c>
      <c r="H76" s="77">
        <f t="shared" si="185"/>
        <v>2452288</v>
      </c>
      <c r="I76" s="77">
        <f t="shared" si="185"/>
        <v>2447905</v>
      </c>
      <c r="J76" s="77">
        <f t="shared" si="185"/>
        <v>2448270</v>
      </c>
      <c r="K76" s="77">
        <f t="shared" si="185"/>
        <v>2448270</v>
      </c>
      <c r="L76" s="77">
        <f t="shared" si="185"/>
        <v>2448636</v>
      </c>
      <c r="M76" s="77">
        <f t="shared" si="185"/>
        <v>2416128</v>
      </c>
      <c r="N76" s="77">
        <f t="shared" si="185"/>
        <v>2306553</v>
      </c>
      <c r="O76" s="77">
        <f t="shared" si="185"/>
        <v>2306919</v>
      </c>
      <c r="P76" s="77">
        <f t="shared" si="185"/>
        <v>2028233</v>
      </c>
      <c r="Q76" s="77">
        <f t="shared" si="185"/>
        <v>1677593</v>
      </c>
      <c r="R76" s="77">
        <f t="shared" si="185"/>
        <v>1677593</v>
      </c>
      <c r="S76" s="77">
        <f t="shared" si="185"/>
        <v>1357269</v>
      </c>
      <c r="T76" s="77">
        <f t="shared" si="185"/>
        <v>1357269</v>
      </c>
      <c r="U76" s="77">
        <f t="shared" si="185"/>
        <v>1356903</v>
      </c>
      <c r="V76" s="77">
        <f t="shared" si="185"/>
        <v>1095</v>
      </c>
      <c r="W76" s="77">
        <f t="shared" si="185"/>
        <v>2448270</v>
      </c>
      <c r="X76" s="77">
        <f t="shared" si="185"/>
        <v>2450097</v>
      </c>
      <c r="Y76" s="77">
        <f t="shared" si="185"/>
        <v>2444253</v>
      </c>
      <c r="Z76" s="77">
        <f t="shared" si="185"/>
        <v>2468724</v>
      </c>
      <c r="AA76" s="77">
        <f t="shared" si="185"/>
        <v>2452653</v>
      </c>
      <c r="AB76" s="77">
        <f t="shared" si="185"/>
        <v>2436217</v>
      </c>
      <c r="AC76" s="77">
        <f t="shared" si="185"/>
        <v>2444983</v>
      </c>
      <c r="AD76" s="77">
        <f t="shared" si="185"/>
        <v>2448636</v>
      </c>
      <c r="AE76" s="77">
        <f t="shared" si="185"/>
        <v>2444253</v>
      </c>
      <c r="AF76" s="77">
        <f t="shared" si="185"/>
        <v>2450097</v>
      </c>
      <c r="AG76" s="77">
        <f t="shared" si="185"/>
        <v>2450097</v>
      </c>
      <c r="AH76" s="77">
        <f t="shared" si="185"/>
        <v>2449731</v>
      </c>
      <c r="AI76" s="77">
        <f t="shared" si="185"/>
        <v>2450097</v>
      </c>
      <c r="AJ76" s="77">
        <f t="shared" si="185"/>
        <v>2450462</v>
      </c>
      <c r="AK76" s="77">
        <f t="shared" si="185"/>
        <v>2386178</v>
      </c>
      <c r="AL76" s="77">
        <f t="shared" si="185"/>
        <v>2449366</v>
      </c>
      <c r="AM76" s="77">
        <f t="shared" si="185"/>
        <v>1949704</v>
      </c>
      <c r="AN76" s="77">
        <f t="shared" si="185"/>
        <v>2453019</v>
      </c>
      <c r="AO76" s="77">
        <f t="shared" si="185"/>
        <v>1722519</v>
      </c>
      <c r="AP76" s="77">
        <f t="shared" si="185"/>
        <v>2461054</v>
      </c>
      <c r="AQ76" s="77">
        <f t="shared" si="185"/>
        <v>2461054</v>
      </c>
      <c r="AR76" s="77">
        <f t="shared" si="185"/>
        <v>2461054</v>
      </c>
      <c r="AS76" s="77">
        <f t="shared" si="185"/>
        <v>2461054</v>
      </c>
      <c r="AT76" s="77">
        <f t="shared" si="185"/>
        <v>2461054</v>
      </c>
      <c r="AU76" s="77">
        <f t="shared" si="185"/>
        <v>2443157</v>
      </c>
      <c r="AV76" s="77">
        <f t="shared" si="185"/>
        <v>2451923</v>
      </c>
      <c r="AW76" s="77">
        <f t="shared" si="185"/>
        <v>2428912</v>
      </c>
      <c r="AX76" s="77">
        <f t="shared" si="185"/>
        <v>2437313</v>
      </c>
      <c r="AY76" s="77">
        <f t="shared" si="185"/>
        <v>2461054</v>
      </c>
      <c r="AZ76" s="77">
        <f t="shared" si="185"/>
        <v>2461054</v>
      </c>
      <c r="BA76" s="77">
        <f t="shared" si="185"/>
        <v>2461054</v>
      </c>
      <c r="BB76" s="77">
        <f t="shared" si="185"/>
        <v>2461054</v>
      </c>
      <c r="BC76" s="77">
        <f t="shared" si="185"/>
        <v>2461054</v>
      </c>
      <c r="BD76" s="77">
        <f t="shared" si="185"/>
        <v>2461054</v>
      </c>
      <c r="BE76" s="77">
        <f t="shared" si="185"/>
        <v>2461054</v>
      </c>
      <c r="BF76" s="77">
        <f t="shared" si="185"/>
        <v>2461054</v>
      </c>
      <c r="BG76" s="77">
        <f t="shared" si="185"/>
        <v>2444253</v>
      </c>
    </row>
    <row r="77" spans="2:59" x14ac:dyDescent="0.25">
      <c r="B77">
        <v>63</v>
      </c>
      <c r="C77" t="s">
        <v>160</v>
      </c>
      <c r="D77" s="7" t="s">
        <v>383</v>
      </c>
      <c r="E77" s="77">
        <f>_xlfn.FLOOR.MATH((E74-E76)/30.6001)</f>
        <v>11</v>
      </c>
      <c r="F77" s="77">
        <f t="shared" ref="F77:BG77" si="186">_xlfn.FLOOR.MATH((F74-F76)/30.6001)</f>
        <v>4</v>
      </c>
      <c r="G77" s="77">
        <f t="shared" si="186"/>
        <v>14</v>
      </c>
      <c r="H77" s="77">
        <f t="shared" si="186"/>
        <v>14</v>
      </c>
      <c r="I77" s="77">
        <f t="shared" si="186"/>
        <v>14</v>
      </c>
      <c r="J77" s="77">
        <f t="shared" si="186"/>
        <v>7</v>
      </c>
      <c r="K77" s="77">
        <f t="shared" si="186"/>
        <v>14</v>
      </c>
      <c r="L77" s="77">
        <f t="shared" si="186"/>
        <v>7</v>
      </c>
      <c r="M77" s="77">
        <f t="shared" si="186"/>
        <v>14</v>
      </c>
      <c r="N77" s="77">
        <f t="shared" si="186"/>
        <v>14</v>
      </c>
      <c r="O77" s="77">
        <f t="shared" si="186"/>
        <v>15</v>
      </c>
      <c r="P77" s="77">
        <f t="shared" si="186"/>
        <v>5</v>
      </c>
      <c r="Q77" s="77">
        <f t="shared" si="186"/>
        <v>14</v>
      </c>
      <c r="R77" s="77">
        <f t="shared" si="186"/>
        <v>13</v>
      </c>
      <c r="S77" s="77">
        <f t="shared" si="186"/>
        <v>8</v>
      </c>
      <c r="T77" s="77">
        <f t="shared" si="186"/>
        <v>5</v>
      </c>
      <c r="U77" s="77">
        <f t="shared" si="186"/>
        <v>9</v>
      </c>
      <c r="V77" s="77">
        <f t="shared" si="186"/>
        <v>14</v>
      </c>
      <c r="W77" s="77">
        <f t="shared" si="186"/>
        <v>5</v>
      </c>
      <c r="X77" s="77">
        <f t="shared" si="186"/>
        <v>6</v>
      </c>
      <c r="Y77" s="77">
        <f t="shared" si="186"/>
        <v>15</v>
      </c>
      <c r="Z77" s="77">
        <f t="shared" si="186"/>
        <v>13</v>
      </c>
      <c r="AA77" s="77">
        <f t="shared" si="186"/>
        <v>14</v>
      </c>
      <c r="AB77" s="77">
        <f t="shared" si="186"/>
        <v>7</v>
      </c>
      <c r="AC77" s="77">
        <f t="shared" si="186"/>
        <v>12</v>
      </c>
      <c r="AD77" s="77">
        <f t="shared" si="186"/>
        <v>5</v>
      </c>
      <c r="AE77" s="77">
        <f t="shared" si="186"/>
        <v>15</v>
      </c>
      <c r="AF77" s="77">
        <f t="shared" si="186"/>
        <v>13</v>
      </c>
      <c r="AG77" s="77">
        <f t="shared" si="186"/>
        <v>11</v>
      </c>
      <c r="AH77" s="77">
        <f t="shared" si="186"/>
        <v>4</v>
      </c>
      <c r="AI77" s="77">
        <f t="shared" si="186"/>
        <v>5</v>
      </c>
      <c r="AJ77" s="77">
        <f t="shared" si="186"/>
        <v>6</v>
      </c>
      <c r="AK77" s="77">
        <f t="shared" si="186"/>
        <v>14</v>
      </c>
      <c r="AL77" s="77">
        <f t="shared" si="186"/>
        <v>10</v>
      </c>
      <c r="AM77" s="77">
        <f t="shared" si="186"/>
        <v>8</v>
      </c>
      <c r="AN77" s="77">
        <f t="shared" si="186"/>
        <v>5</v>
      </c>
      <c r="AO77" s="77">
        <f t="shared" si="186"/>
        <v>14</v>
      </c>
      <c r="AP77" s="77">
        <f t="shared" si="186"/>
        <v>10</v>
      </c>
      <c r="AQ77" s="77">
        <f t="shared" si="186"/>
        <v>10</v>
      </c>
      <c r="AR77" s="77">
        <f t="shared" si="186"/>
        <v>11</v>
      </c>
      <c r="AS77" s="77">
        <f t="shared" si="186"/>
        <v>11</v>
      </c>
      <c r="AT77" s="77">
        <f t="shared" si="186"/>
        <v>11</v>
      </c>
      <c r="AU77" s="77">
        <f t="shared" si="186"/>
        <v>7</v>
      </c>
      <c r="AV77" s="77">
        <f t="shared" si="186"/>
        <v>10</v>
      </c>
      <c r="AW77" s="77">
        <f t="shared" si="186"/>
        <v>14</v>
      </c>
      <c r="AX77" s="77">
        <f t="shared" si="186"/>
        <v>5</v>
      </c>
      <c r="AY77" s="77">
        <f t="shared" si="186"/>
        <v>12</v>
      </c>
      <c r="AZ77" s="77">
        <f t="shared" si="186"/>
        <v>12</v>
      </c>
      <c r="BA77" s="77">
        <f t="shared" si="186"/>
        <v>13</v>
      </c>
      <c r="BB77" s="77">
        <f t="shared" si="186"/>
        <v>13</v>
      </c>
      <c r="BC77" s="77">
        <f t="shared" si="186"/>
        <v>13</v>
      </c>
      <c r="BD77" s="77">
        <f t="shared" si="186"/>
        <v>13</v>
      </c>
      <c r="BE77" s="77">
        <f t="shared" si="186"/>
        <v>13</v>
      </c>
      <c r="BF77" s="77">
        <f t="shared" si="186"/>
        <v>13</v>
      </c>
      <c r="BG77" s="77">
        <f t="shared" si="186"/>
        <v>15</v>
      </c>
    </row>
    <row r="78" spans="2:59" x14ac:dyDescent="0.25">
      <c r="B78">
        <v>63</v>
      </c>
      <c r="C78" t="s">
        <v>511</v>
      </c>
      <c r="D78"/>
    </row>
    <row r="79" spans="2:59" x14ac:dyDescent="0.25">
      <c r="C79" t="s">
        <v>513</v>
      </c>
      <c r="D79" s="7" t="s">
        <v>512</v>
      </c>
      <c r="E79" s="16">
        <f>E74-E76-INT(30.6001*E77)+E69</f>
        <v>23.197196024470031</v>
      </c>
      <c r="F79" s="16">
        <f t="shared" ref="F79:BG79" si="187">F74-F76-INT(30.6001*F77)+F69</f>
        <v>2.936868661781773</v>
      </c>
      <c r="G79" s="16">
        <f t="shared" si="187"/>
        <v>6.76025779126212</v>
      </c>
      <c r="H79" s="16">
        <f t="shared" si="187"/>
        <v>17.65783779323101</v>
      </c>
      <c r="I79" s="16">
        <f t="shared" si="187"/>
        <v>29.573188359849155</v>
      </c>
      <c r="J79" s="16">
        <f t="shared" si="187"/>
        <v>26.234533697832376</v>
      </c>
      <c r="K79" s="16">
        <f t="shared" si="187"/>
        <v>19.226696273777634</v>
      </c>
      <c r="L79" s="16">
        <f t="shared" si="187"/>
        <v>14.385188464075327</v>
      </c>
      <c r="M79" s="16">
        <f t="shared" si="187"/>
        <v>1.5776915256865323</v>
      </c>
      <c r="N79" s="16">
        <f t="shared" si="187"/>
        <v>16.213697274681181</v>
      </c>
      <c r="O79" s="16">
        <f t="shared" si="187"/>
        <v>3.1971281650476158</v>
      </c>
      <c r="P79" s="16">
        <f t="shared" si="187"/>
        <v>8.9678683052770793</v>
      </c>
      <c r="Q79" s="16">
        <f t="shared" si="187"/>
        <v>23.373640812700614</v>
      </c>
      <c r="R79" s="16">
        <f t="shared" si="187"/>
        <v>24.597264599986374</v>
      </c>
      <c r="S79" s="16">
        <f t="shared" si="187"/>
        <v>6.1273358424659818</v>
      </c>
      <c r="T79" s="16">
        <f t="shared" si="187"/>
        <v>9.2494074411224574</v>
      </c>
      <c r="U79" s="16">
        <f t="shared" si="187"/>
        <v>15.994949505897239</v>
      </c>
      <c r="V79" s="16">
        <f t="shared" si="187"/>
        <v>11.257494065440817</v>
      </c>
      <c r="W79" s="16">
        <f t="shared" si="187"/>
        <v>28.066107186023146</v>
      </c>
      <c r="X79" s="16">
        <f t="shared" si="187"/>
        <v>2.7398917190730572</v>
      </c>
      <c r="Y79" s="16">
        <f t="shared" si="187"/>
        <v>18.151182683650404</v>
      </c>
      <c r="Z79" s="16">
        <f t="shared" si="187"/>
        <v>31.409288668539375</v>
      </c>
      <c r="AA79" s="16">
        <f t="shared" si="187"/>
        <v>6.76025779126212</v>
      </c>
      <c r="AB79" s="16">
        <f t="shared" si="187"/>
        <v>30.518249634187669</v>
      </c>
      <c r="AC79" s="16">
        <f t="shared" si="187"/>
        <v>30.347401978448033</v>
      </c>
      <c r="AD79" s="16">
        <f t="shared" si="187"/>
        <v>16.500564297661185</v>
      </c>
      <c r="AE79" s="16">
        <f t="shared" si="187"/>
        <v>18.151182683650404</v>
      </c>
      <c r="AF79" s="16">
        <f t="shared" si="187"/>
        <v>24.030430479440838</v>
      </c>
      <c r="AG79" s="16">
        <f t="shared" si="187"/>
        <v>25.857478011399508</v>
      </c>
      <c r="AH79" s="16">
        <f t="shared" si="187"/>
        <v>16.341374580282718</v>
      </c>
      <c r="AI79" s="16">
        <f t="shared" si="187"/>
        <v>3.2100752452388406</v>
      </c>
      <c r="AJ79" s="16">
        <f t="shared" si="187"/>
        <v>21.588611789513379</v>
      </c>
      <c r="AK79" s="16">
        <f t="shared" si="187"/>
        <v>6.9880753052420914</v>
      </c>
      <c r="AL79" s="16">
        <f t="shared" si="187"/>
        <v>19.032788457348943</v>
      </c>
      <c r="AM79" s="16">
        <f t="shared" si="187"/>
        <v>14.279720446094871</v>
      </c>
      <c r="AN79" s="16">
        <f t="shared" si="187"/>
        <v>4.7591001745313406</v>
      </c>
      <c r="AO79" s="16">
        <f t="shared" si="187"/>
        <v>13.581300816498697</v>
      </c>
      <c r="AP79" s="16">
        <f t="shared" si="187"/>
        <v>25.913620128296316</v>
      </c>
      <c r="AQ79" s="16">
        <f t="shared" si="187"/>
        <v>25.913620128296316</v>
      </c>
      <c r="AR79" s="16">
        <f t="shared" si="187"/>
        <v>25.451232156716287</v>
      </c>
      <c r="AS79" s="16">
        <f t="shared" si="187"/>
        <v>25.451232156716287</v>
      </c>
      <c r="AT79" s="16">
        <f t="shared" si="187"/>
        <v>25.451232156716287</v>
      </c>
      <c r="AU79" s="16">
        <f t="shared" si="187"/>
        <v>1.1909610098227859</v>
      </c>
      <c r="AV79" s="16">
        <f t="shared" si="187"/>
        <v>1.9949553194455802</v>
      </c>
      <c r="AW79" s="16">
        <f t="shared" si="187"/>
        <v>5.2225545267574489</v>
      </c>
      <c r="AX79" s="16">
        <f t="shared" si="187"/>
        <v>29.996080751996487</v>
      </c>
      <c r="AY79" s="16">
        <f t="shared" si="187"/>
        <v>23.957164985127747</v>
      </c>
      <c r="AZ79" s="16">
        <f t="shared" si="187"/>
        <v>23.957164985127747</v>
      </c>
      <c r="BA79" s="16">
        <f t="shared" si="187"/>
        <v>23.429170388262719</v>
      </c>
      <c r="BB79" s="16">
        <f t="shared" si="187"/>
        <v>23.429170388262719</v>
      </c>
      <c r="BC79" s="16">
        <f t="shared" si="187"/>
        <v>23.429170388262719</v>
      </c>
      <c r="BD79" s="16">
        <f t="shared" si="187"/>
        <v>23.429170388262719</v>
      </c>
      <c r="BE79" s="16">
        <f t="shared" si="187"/>
        <v>23.429170388262719</v>
      </c>
      <c r="BF79" s="16">
        <f t="shared" si="187"/>
        <v>23.429170388262719</v>
      </c>
      <c r="BG79" s="16">
        <f t="shared" si="187"/>
        <v>18.151182683650404</v>
      </c>
    </row>
    <row r="80" spans="2:59" x14ac:dyDescent="0.25">
      <c r="B80">
        <v>63</v>
      </c>
      <c r="C80" t="s">
        <v>164</v>
      </c>
      <c r="D80"/>
    </row>
    <row r="81" spans="1:59" x14ac:dyDescent="0.25">
      <c r="C81" t="s">
        <v>517</v>
      </c>
      <c r="D81"/>
    </row>
    <row r="82" spans="1:59" x14ac:dyDescent="0.25">
      <c r="C82" t="s">
        <v>518</v>
      </c>
      <c r="D82" s="7" t="s">
        <v>520</v>
      </c>
      <c r="E82" s="78">
        <f>IF(E77&lt;14,E77-1,E77-13)</f>
        <v>10</v>
      </c>
      <c r="F82" s="78">
        <f t="shared" ref="F82:BG82" si="188">IF(F77&lt;14,F77-1,F77-13)</f>
        <v>3</v>
      </c>
      <c r="G82" s="78">
        <f t="shared" si="188"/>
        <v>1</v>
      </c>
      <c r="H82" s="78">
        <f t="shared" si="188"/>
        <v>1</v>
      </c>
      <c r="I82" s="78">
        <f t="shared" si="188"/>
        <v>1</v>
      </c>
      <c r="J82" s="78">
        <f t="shared" si="188"/>
        <v>6</v>
      </c>
      <c r="K82" s="78">
        <f t="shared" si="188"/>
        <v>1</v>
      </c>
      <c r="L82" s="78">
        <f t="shared" si="188"/>
        <v>6</v>
      </c>
      <c r="M82" s="78">
        <f t="shared" si="188"/>
        <v>1</v>
      </c>
      <c r="N82" s="78">
        <f t="shared" si="188"/>
        <v>1</v>
      </c>
      <c r="O82" s="78">
        <f t="shared" si="188"/>
        <v>2</v>
      </c>
      <c r="P82" s="78">
        <f t="shared" si="188"/>
        <v>4</v>
      </c>
      <c r="Q82" s="78">
        <f t="shared" si="188"/>
        <v>1</v>
      </c>
      <c r="R82" s="78">
        <f t="shared" si="188"/>
        <v>12</v>
      </c>
      <c r="S82" s="78">
        <f t="shared" si="188"/>
        <v>7</v>
      </c>
      <c r="T82" s="78">
        <f t="shared" si="188"/>
        <v>4</v>
      </c>
      <c r="U82" s="78">
        <f t="shared" si="188"/>
        <v>8</v>
      </c>
      <c r="V82" s="78">
        <f t="shared" si="188"/>
        <v>1</v>
      </c>
      <c r="W82" s="78">
        <f t="shared" si="188"/>
        <v>4</v>
      </c>
      <c r="X82" s="78">
        <f t="shared" si="188"/>
        <v>5</v>
      </c>
      <c r="Y82" s="78">
        <f t="shared" si="188"/>
        <v>2</v>
      </c>
      <c r="Z82" s="78">
        <f t="shared" si="188"/>
        <v>12</v>
      </c>
      <c r="AA82" s="78">
        <f t="shared" si="188"/>
        <v>1</v>
      </c>
      <c r="AB82" s="78">
        <f t="shared" si="188"/>
        <v>6</v>
      </c>
      <c r="AC82" s="78">
        <f t="shared" si="188"/>
        <v>11</v>
      </c>
      <c r="AD82" s="78">
        <f t="shared" si="188"/>
        <v>4</v>
      </c>
      <c r="AE82" s="78">
        <f t="shared" si="188"/>
        <v>2</v>
      </c>
      <c r="AF82" s="78">
        <f t="shared" si="188"/>
        <v>12</v>
      </c>
      <c r="AG82" s="78">
        <f t="shared" si="188"/>
        <v>10</v>
      </c>
      <c r="AH82" s="78">
        <f t="shared" si="188"/>
        <v>3</v>
      </c>
      <c r="AI82" s="78">
        <f t="shared" si="188"/>
        <v>4</v>
      </c>
      <c r="AJ82" s="78">
        <f t="shared" si="188"/>
        <v>5</v>
      </c>
      <c r="AK82" s="78">
        <f t="shared" si="188"/>
        <v>1</v>
      </c>
      <c r="AL82" s="78">
        <f t="shared" si="188"/>
        <v>9</v>
      </c>
      <c r="AM82" s="78">
        <f t="shared" si="188"/>
        <v>7</v>
      </c>
      <c r="AN82" s="78">
        <f t="shared" si="188"/>
        <v>4</v>
      </c>
      <c r="AO82" s="78">
        <f t="shared" si="188"/>
        <v>1</v>
      </c>
      <c r="AP82" s="78">
        <f t="shared" si="188"/>
        <v>9</v>
      </c>
      <c r="AQ82" s="78">
        <f t="shared" si="188"/>
        <v>9</v>
      </c>
      <c r="AR82" s="78">
        <f t="shared" si="188"/>
        <v>10</v>
      </c>
      <c r="AS82" s="78">
        <f t="shared" si="188"/>
        <v>10</v>
      </c>
      <c r="AT82" s="78">
        <f t="shared" si="188"/>
        <v>10</v>
      </c>
      <c r="AU82" s="78">
        <f t="shared" si="188"/>
        <v>6</v>
      </c>
      <c r="AV82" s="78">
        <f t="shared" si="188"/>
        <v>9</v>
      </c>
      <c r="AW82" s="78">
        <f t="shared" si="188"/>
        <v>1</v>
      </c>
      <c r="AX82" s="78">
        <f t="shared" si="188"/>
        <v>4</v>
      </c>
      <c r="AY82" s="78">
        <f t="shared" si="188"/>
        <v>11</v>
      </c>
      <c r="AZ82" s="78">
        <f t="shared" si="188"/>
        <v>11</v>
      </c>
      <c r="BA82" s="78">
        <f t="shared" si="188"/>
        <v>12</v>
      </c>
      <c r="BB82" s="78">
        <f t="shared" si="188"/>
        <v>12</v>
      </c>
      <c r="BC82" s="78">
        <f t="shared" si="188"/>
        <v>12</v>
      </c>
      <c r="BD82" s="78">
        <f t="shared" si="188"/>
        <v>12</v>
      </c>
      <c r="BE82" s="78">
        <f t="shared" si="188"/>
        <v>12</v>
      </c>
      <c r="BF82" s="78">
        <f t="shared" si="188"/>
        <v>12</v>
      </c>
      <c r="BG82" s="78">
        <f t="shared" si="188"/>
        <v>2</v>
      </c>
    </row>
    <row r="83" spans="1:59" x14ac:dyDescent="0.25">
      <c r="B83">
        <v>63</v>
      </c>
      <c r="C83" t="s">
        <v>524</v>
      </c>
      <c r="D83"/>
    </row>
    <row r="84" spans="1:59" x14ac:dyDescent="0.25">
      <c r="C84" t="s">
        <v>525</v>
      </c>
      <c r="D84"/>
    </row>
    <row r="85" spans="1:59" x14ac:dyDescent="0.25">
      <c r="C85" t="s">
        <v>526</v>
      </c>
      <c r="D85" s="7" t="s">
        <v>527</v>
      </c>
      <c r="E85" s="78">
        <f>IF(E82&gt;2, E75-4716,E75-4715)</f>
        <v>1957</v>
      </c>
      <c r="F85" s="78">
        <f t="shared" ref="F85:BG85" si="189">IF(F82&gt;2, F75-4716,F75-4715)</f>
        <v>333</v>
      </c>
      <c r="G85" s="78">
        <f t="shared" si="189"/>
        <v>2000</v>
      </c>
      <c r="H85" s="78">
        <f t="shared" si="189"/>
        <v>1999</v>
      </c>
      <c r="I85" s="78">
        <f t="shared" si="189"/>
        <v>1987</v>
      </c>
      <c r="J85" s="78">
        <f t="shared" si="189"/>
        <v>1987</v>
      </c>
      <c r="K85" s="78">
        <f t="shared" si="189"/>
        <v>1988</v>
      </c>
      <c r="L85" s="78">
        <f t="shared" si="189"/>
        <v>1988</v>
      </c>
      <c r="M85" s="78">
        <f t="shared" si="189"/>
        <v>1900</v>
      </c>
      <c r="N85" s="78">
        <f t="shared" si="189"/>
        <v>1600</v>
      </c>
      <c r="O85" s="78">
        <f t="shared" si="189"/>
        <v>1601</v>
      </c>
      <c r="P85" s="78">
        <f t="shared" si="189"/>
        <v>837</v>
      </c>
      <c r="Q85" s="78">
        <f t="shared" si="189"/>
        <v>-122</v>
      </c>
      <c r="R85" s="78">
        <f t="shared" si="189"/>
        <v>-123</v>
      </c>
      <c r="S85" s="78">
        <f t="shared" si="189"/>
        <v>-1000</v>
      </c>
      <c r="T85" s="78">
        <f t="shared" si="189"/>
        <v>-1000</v>
      </c>
      <c r="U85" s="78">
        <f t="shared" si="189"/>
        <v>-1001</v>
      </c>
      <c r="V85" s="78">
        <f t="shared" si="189"/>
        <v>-4712</v>
      </c>
      <c r="W85" s="78">
        <f t="shared" si="189"/>
        <v>1987</v>
      </c>
      <c r="X85" s="78">
        <f t="shared" si="189"/>
        <v>1992</v>
      </c>
      <c r="Y85" s="78">
        <f t="shared" si="189"/>
        <v>1977</v>
      </c>
      <c r="Z85" s="78">
        <f t="shared" si="189"/>
        <v>2043</v>
      </c>
      <c r="AA85" s="78">
        <f t="shared" si="189"/>
        <v>2000</v>
      </c>
      <c r="AB85" s="78">
        <f t="shared" si="189"/>
        <v>1954</v>
      </c>
      <c r="AC85" s="78">
        <f t="shared" si="189"/>
        <v>1978</v>
      </c>
      <c r="AD85" s="78">
        <f t="shared" si="189"/>
        <v>1988</v>
      </c>
      <c r="AE85" s="78">
        <f t="shared" si="189"/>
        <v>1977</v>
      </c>
      <c r="AF85" s="78">
        <f t="shared" si="189"/>
        <v>1992</v>
      </c>
      <c r="AG85" s="78">
        <f t="shared" si="189"/>
        <v>1992</v>
      </c>
      <c r="AH85" s="78">
        <f t="shared" si="189"/>
        <v>1991</v>
      </c>
      <c r="AI85" s="78">
        <f t="shared" si="189"/>
        <v>1992</v>
      </c>
      <c r="AJ85" s="78">
        <f t="shared" si="189"/>
        <v>1993</v>
      </c>
      <c r="AK85" s="78">
        <f t="shared" si="189"/>
        <v>1818</v>
      </c>
      <c r="AL85" s="78">
        <f t="shared" si="189"/>
        <v>1990</v>
      </c>
      <c r="AM85" s="78">
        <f t="shared" si="189"/>
        <v>622</v>
      </c>
      <c r="AN85" s="78">
        <f t="shared" si="189"/>
        <v>2000</v>
      </c>
      <c r="AO85" s="78">
        <f t="shared" si="189"/>
        <v>1</v>
      </c>
      <c r="AP85" s="78">
        <f t="shared" si="189"/>
        <v>2022</v>
      </c>
      <c r="AQ85" s="78">
        <f t="shared" si="189"/>
        <v>2022</v>
      </c>
      <c r="AR85" s="78">
        <f t="shared" si="189"/>
        <v>2022</v>
      </c>
      <c r="AS85" s="78">
        <f t="shared" si="189"/>
        <v>2022</v>
      </c>
      <c r="AT85" s="78">
        <f t="shared" si="189"/>
        <v>2022</v>
      </c>
      <c r="AU85" s="78">
        <f t="shared" si="189"/>
        <v>1973</v>
      </c>
      <c r="AV85" s="78">
        <f t="shared" si="189"/>
        <v>1997</v>
      </c>
      <c r="AW85" s="78">
        <f t="shared" si="189"/>
        <v>1935</v>
      </c>
      <c r="AX85" s="78">
        <f t="shared" si="189"/>
        <v>1957</v>
      </c>
      <c r="AY85" s="78">
        <f t="shared" si="189"/>
        <v>2022</v>
      </c>
      <c r="AZ85" s="78">
        <f t="shared" si="189"/>
        <v>2022</v>
      </c>
      <c r="BA85" s="78">
        <f t="shared" si="189"/>
        <v>2022</v>
      </c>
      <c r="BB85" s="78">
        <f t="shared" si="189"/>
        <v>2022</v>
      </c>
      <c r="BC85" s="78">
        <f t="shared" si="189"/>
        <v>2022</v>
      </c>
      <c r="BD85" s="78">
        <f t="shared" si="189"/>
        <v>2022</v>
      </c>
      <c r="BE85" s="78">
        <f t="shared" si="189"/>
        <v>2022</v>
      </c>
      <c r="BF85" s="78">
        <f t="shared" si="189"/>
        <v>2022</v>
      </c>
      <c r="BG85" s="78">
        <f t="shared" si="189"/>
        <v>1977</v>
      </c>
    </row>
    <row r="86" spans="1:59" x14ac:dyDescent="0.25">
      <c r="C86" t="s">
        <v>531</v>
      </c>
      <c r="D86" s="7" t="s">
        <v>532</v>
      </c>
      <c r="E86" s="78">
        <f>INT(E69*24)</f>
        <v>4</v>
      </c>
      <c r="F86" s="78">
        <f t="shared" ref="F86:BG86" si="190">INT(F69*24)</f>
        <v>22</v>
      </c>
      <c r="G86" s="78">
        <f t="shared" si="190"/>
        <v>18</v>
      </c>
      <c r="H86" s="78">
        <f t="shared" si="190"/>
        <v>15</v>
      </c>
      <c r="I86" s="78">
        <f t="shared" si="190"/>
        <v>13</v>
      </c>
      <c r="J86" s="78">
        <f t="shared" si="190"/>
        <v>5</v>
      </c>
      <c r="K86" s="78">
        <f t="shared" si="190"/>
        <v>5</v>
      </c>
      <c r="L86" s="78">
        <f t="shared" si="190"/>
        <v>9</v>
      </c>
      <c r="M86" s="78">
        <f t="shared" si="190"/>
        <v>13</v>
      </c>
      <c r="N86" s="78">
        <f t="shared" si="190"/>
        <v>5</v>
      </c>
      <c r="O86" s="78">
        <f t="shared" si="190"/>
        <v>4</v>
      </c>
      <c r="P86" s="78">
        <f t="shared" si="190"/>
        <v>23</v>
      </c>
      <c r="Q86" s="78">
        <f t="shared" si="190"/>
        <v>8</v>
      </c>
      <c r="R86" s="78">
        <f t="shared" si="190"/>
        <v>14</v>
      </c>
      <c r="S86" s="78">
        <f t="shared" si="190"/>
        <v>3</v>
      </c>
      <c r="T86" s="78">
        <f t="shared" si="190"/>
        <v>5</v>
      </c>
      <c r="U86" s="78">
        <f t="shared" si="190"/>
        <v>23</v>
      </c>
      <c r="V86" s="78">
        <f t="shared" si="190"/>
        <v>6</v>
      </c>
      <c r="W86" s="78">
        <f t="shared" si="190"/>
        <v>1</v>
      </c>
      <c r="X86" s="78">
        <f t="shared" si="190"/>
        <v>17</v>
      </c>
      <c r="Y86" s="78">
        <f t="shared" si="190"/>
        <v>3</v>
      </c>
      <c r="Z86" s="78">
        <f t="shared" si="190"/>
        <v>9</v>
      </c>
      <c r="AA86" s="78">
        <f t="shared" si="190"/>
        <v>18</v>
      </c>
      <c r="AB86" s="78">
        <f t="shared" si="190"/>
        <v>12</v>
      </c>
      <c r="AC86" s="78">
        <f t="shared" si="190"/>
        <v>8</v>
      </c>
      <c r="AD86" s="78">
        <f t="shared" si="190"/>
        <v>12</v>
      </c>
      <c r="AE86" s="78">
        <f t="shared" si="190"/>
        <v>3</v>
      </c>
      <c r="AF86" s="78">
        <f t="shared" si="190"/>
        <v>0</v>
      </c>
      <c r="AG86" s="78">
        <f t="shared" si="190"/>
        <v>20</v>
      </c>
      <c r="AH86" s="78">
        <f t="shared" si="190"/>
        <v>8</v>
      </c>
      <c r="AI86" s="78">
        <f t="shared" si="190"/>
        <v>5</v>
      </c>
      <c r="AJ86" s="78">
        <f t="shared" si="190"/>
        <v>14</v>
      </c>
      <c r="AK86" s="78">
        <f t="shared" si="190"/>
        <v>23</v>
      </c>
      <c r="AL86" s="78">
        <f t="shared" si="190"/>
        <v>0</v>
      </c>
      <c r="AM86" s="78">
        <f t="shared" si="190"/>
        <v>6</v>
      </c>
      <c r="AN86" s="78">
        <f t="shared" si="190"/>
        <v>18</v>
      </c>
      <c r="AO86" s="78">
        <f t="shared" si="190"/>
        <v>13</v>
      </c>
      <c r="AP86" s="78">
        <f t="shared" si="190"/>
        <v>21</v>
      </c>
      <c r="AQ86" s="78">
        <f t="shared" si="190"/>
        <v>21</v>
      </c>
      <c r="AR86" s="78">
        <f t="shared" si="190"/>
        <v>10</v>
      </c>
      <c r="AS86" s="78">
        <f t="shared" si="190"/>
        <v>10</v>
      </c>
      <c r="AT86" s="78">
        <f t="shared" si="190"/>
        <v>10</v>
      </c>
      <c r="AU86" s="78">
        <f t="shared" si="190"/>
        <v>4</v>
      </c>
      <c r="AV86" s="78">
        <f t="shared" si="190"/>
        <v>23</v>
      </c>
      <c r="AW86" s="78">
        <f t="shared" si="190"/>
        <v>5</v>
      </c>
      <c r="AX86" s="78">
        <f t="shared" si="190"/>
        <v>23</v>
      </c>
      <c r="AY86" s="78">
        <f t="shared" si="190"/>
        <v>22</v>
      </c>
      <c r="AZ86" s="78">
        <f t="shared" si="190"/>
        <v>22</v>
      </c>
      <c r="BA86" s="78">
        <f t="shared" si="190"/>
        <v>10</v>
      </c>
      <c r="BB86" s="78">
        <f t="shared" si="190"/>
        <v>10</v>
      </c>
      <c r="BC86" s="78">
        <f t="shared" si="190"/>
        <v>10</v>
      </c>
      <c r="BD86" s="78">
        <f t="shared" si="190"/>
        <v>10</v>
      </c>
      <c r="BE86" s="78">
        <f t="shared" si="190"/>
        <v>10</v>
      </c>
      <c r="BF86" s="78">
        <f t="shared" si="190"/>
        <v>10</v>
      </c>
      <c r="BG86" s="78">
        <f t="shared" si="190"/>
        <v>3</v>
      </c>
    </row>
    <row r="87" spans="1:59" x14ac:dyDescent="0.25">
      <c r="C87" t="s">
        <v>536</v>
      </c>
      <c r="D87" s="7" t="s">
        <v>537</v>
      </c>
      <c r="E87" s="78">
        <f>INT(((E69*24)-E86)*60)</f>
        <v>43</v>
      </c>
      <c r="F87" s="78">
        <f t="shared" ref="F87:BG87" si="191">INT(((F69*24)-F86)*60)</f>
        <v>29</v>
      </c>
      <c r="G87" s="78">
        <f t="shared" si="191"/>
        <v>14</v>
      </c>
      <c r="H87" s="78">
        <f t="shared" si="191"/>
        <v>47</v>
      </c>
      <c r="I87" s="78">
        <f t="shared" si="191"/>
        <v>45</v>
      </c>
      <c r="J87" s="78">
        <f t="shared" si="191"/>
        <v>37</v>
      </c>
      <c r="K87" s="78">
        <f t="shared" si="191"/>
        <v>26</v>
      </c>
      <c r="L87" s="78">
        <f t="shared" si="191"/>
        <v>14</v>
      </c>
      <c r="M87" s="78">
        <f t="shared" si="191"/>
        <v>51</v>
      </c>
      <c r="N87" s="78">
        <f t="shared" si="191"/>
        <v>7</v>
      </c>
      <c r="O87" s="78">
        <f t="shared" si="191"/>
        <v>43</v>
      </c>
      <c r="P87" s="78">
        <f t="shared" si="191"/>
        <v>13</v>
      </c>
      <c r="Q87" s="78">
        <f t="shared" si="191"/>
        <v>58</v>
      </c>
      <c r="R87" s="78">
        <f t="shared" si="191"/>
        <v>20</v>
      </c>
      <c r="S87" s="78">
        <f t="shared" si="191"/>
        <v>3</v>
      </c>
      <c r="T87" s="78">
        <f t="shared" si="191"/>
        <v>59</v>
      </c>
      <c r="U87" s="78">
        <f t="shared" si="191"/>
        <v>52</v>
      </c>
      <c r="V87" s="78">
        <f t="shared" si="191"/>
        <v>10</v>
      </c>
      <c r="W87" s="78">
        <f t="shared" si="191"/>
        <v>35</v>
      </c>
      <c r="X87" s="78">
        <f t="shared" si="191"/>
        <v>45</v>
      </c>
      <c r="Y87" s="78">
        <f t="shared" si="191"/>
        <v>37</v>
      </c>
      <c r="Z87" s="78">
        <f t="shared" si="191"/>
        <v>49</v>
      </c>
      <c r="AA87" s="78">
        <f t="shared" si="191"/>
        <v>14</v>
      </c>
      <c r="AB87" s="78">
        <f t="shared" si="191"/>
        <v>26</v>
      </c>
      <c r="AC87" s="78">
        <f t="shared" si="191"/>
        <v>20</v>
      </c>
      <c r="AD87" s="78">
        <f t="shared" si="191"/>
        <v>0</v>
      </c>
      <c r="AE87" s="78">
        <f t="shared" si="191"/>
        <v>37</v>
      </c>
      <c r="AF87" s="78">
        <f t="shared" si="191"/>
        <v>43</v>
      </c>
      <c r="AG87" s="78">
        <f t="shared" si="191"/>
        <v>34</v>
      </c>
      <c r="AH87" s="78">
        <f t="shared" si="191"/>
        <v>11</v>
      </c>
      <c r="AI87" s="78">
        <f t="shared" si="191"/>
        <v>2</v>
      </c>
      <c r="AJ87" s="78">
        <f t="shared" si="191"/>
        <v>7</v>
      </c>
      <c r="AK87" s="78">
        <f t="shared" si="191"/>
        <v>42</v>
      </c>
      <c r="AL87" s="78">
        <f t="shared" si="191"/>
        <v>47</v>
      </c>
      <c r="AM87" s="78">
        <f t="shared" si="191"/>
        <v>42</v>
      </c>
      <c r="AN87" s="78">
        <f t="shared" si="191"/>
        <v>13</v>
      </c>
      <c r="AO87" s="78">
        <f t="shared" si="191"/>
        <v>57</v>
      </c>
      <c r="AP87" s="78">
        <f t="shared" si="191"/>
        <v>55</v>
      </c>
      <c r="AQ87" s="78">
        <f t="shared" si="191"/>
        <v>55</v>
      </c>
      <c r="AR87" s="78">
        <f t="shared" si="191"/>
        <v>49</v>
      </c>
      <c r="AS87" s="78">
        <f t="shared" si="191"/>
        <v>49</v>
      </c>
      <c r="AT87" s="78">
        <f t="shared" si="191"/>
        <v>49</v>
      </c>
      <c r="AU87" s="78">
        <f t="shared" si="191"/>
        <v>34</v>
      </c>
      <c r="AV87" s="78">
        <f t="shared" si="191"/>
        <v>52</v>
      </c>
      <c r="AW87" s="78">
        <f t="shared" si="191"/>
        <v>20</v>
      </c>
      <c r="AX87" s="78">
        <f t="shared" si="191"/>
        <v>54</v>
      </c>
      <c r="AY87" s="78">
        <f t="shared" si="191"/>
        <v>58</v>
      </c>
      <c r="AZ87" s="78">
        <f t="shared" si="191"/>
        <v>58</v>
      </c>
      <c r="BA87" s="78">
        <f t="shared" si="191"/>
        <v>18</v>
      </c>
      <c r="BB87" s="78">
        <f t="shared" si="191"/>
        <v>18</v>
      </c>
      <c r="BC87" s="78">
        <f t="shared" si="191"/>
        <v>18</v>
      </c>
      <c r="BD87" s="78">
        <f t="shared" si="191"/>
        <v>18</v>
      </c>
      <c r="BE87" s="78">
        <f t="shared" si="191"/>
        <v>18</v>
      </c>
      <c r="BF87" s="78">
        <f t="shared" si="191"/>
        <v>18</v>
      </c>
      <c r="BG87" s="78">
        <f t="shared" si="191"/>
        <v>37</v>
      </c>
    </row>
    <row r="88" spans="1:59" x14ac:dyDescent="0.25">
      <c r="C88" t="s">
        <v>541</v>
      </c>
      <c r="D88" s="7" t="s">
        <v>542</v>
      </c>
      <c r="E88" s="78">
        <f>INT(((((E69*24)-E86)*60)-E87)*60)</f>
        <v>57</v>
      </c>
      <c r="F88" s="78">
        <f t="shared" ref="F88:BG88" si="192">INT(((((F69*24)-F86)*60)-F87)*60)</f>
        <v>5</v>
      </c>
      <c r="G88" s="78">
        <f t="shared" si="192"/>
        <v>46</v>
      </c>
      <c r="H88" s="78">
        <f t="shared" si="192"/>
        <v>17</v>
      </c>
      <c r="I88" s="78">
        <f t="shared" si="192"/>
        <v>23</v>
      </c>
      <c r="J88" s="78">
        <f t="shared" si="192"/>
        <v>43</v>
      </c>
      <c r="K88" s="78">
        <f t="shared" si="192"/>
        <v>26</v>
      </c>
      <c r="L88" s="78">
        <f t="shared" si="192"/>
        <v>40</v>
      </c>
      <c r="M88" s="78">
        <f t="shared" si="192"/>
        <v>52</v>
      </c>
      <c r="N88" s="78">
        <f t="shared" si="192"/>
        <v>43</v>
      </c>
      <c r="O88" s="78">
        <f t="shared" si="192"/>
        <v>51</v>
      </c>
      <c r="P88" s="78">
        <f t="shared" si="192"/>
        <v>43</v>
      </c>
      <c r="Q88" s="78">
        <f t="shared" si="192"/>
        <v>2</v>
      </c>
      <c r="R88" s="78">
        <f t="shared" si="192"/>
        <v>3</v>
      </c>
      <c r="S88" s="78">
        <f t="shared" si="192"/>
        <v>21</v>
      </c>
      <c r="T88" s="78">
        <f t="shared" si="192"/>
        <v>8</v>
      </c>
      <c r="U88" s="78">
        <f t="shared" si="192"/>
        <v>43</v>
      </c>
      <c r="V88" s="78">
        <f t="shared" si="192"/>
        <v>47</v>
      </c>
      <c r="W88" s="78">
        <f t="shared" si="192"/>
        <v>11</v>
      </c>
      <c r="X88" s="78">
        <f t="shared" si="192"/>
        <v>26</v>
      </c>
      <c r="Y88" s="78">
        <f t="shared" si="192"/>
        <v>42</v>
      </c>
      <c r="Z88" s="78">
        <f t="shared" si="192"/>
        <v>22</v>
      </c>
      <c r="AA88" s="78">
        <f t="shared" si="192"/>
        <v>46</v>
      </c>
      <c r="AB88" s="78">
        <f t="shared" si="192"/>
        <v>16</v>
      </c>
      <c r="AC88" s="78">
        <f t="shared" si="192"/>
        <v>15</v>
      </c>
      <c r="AD88" s="78">
        <f t="shared" si="192"/>
        <v>48</v>
      </c>
      <c r="AE88" s="78">
        <f t="shared" si="192"/>
        <v>42</v>
      </c>
      <c r="AF88" s="78">
        <f t="shared" si="192"/>
        <v>49</v>
      </c>
      <c r="AG88" s="78">
        <f t="shared" si="192"/>
        <v>46</v>
      </c>
      <c r="AH88" s="78">
        <f t="shared" si="192"/>
        <v>34</v>
      </c>
      <c r="AI88" s="78">
        <f t="shared" si="192"/>
        <v>30</v>
      </c>
      <c r="AJ88" s="78">
        <f t="shared" si="192"/>
        <v>36</v>
      </c>
      <c r="AK88" s="78">
        <f t="shared" si="192"/>
        <v>49</v>
      </c>
      <c r="AL88" s="78">
        <f t="shared" si="192"/>
        <v>12</v>
      </c>
      <c r="AM88" s="78">
        <f t="shared" si="192"/>
        <v>47</v>
      </c>
      <c r="AN88" s="78">
        <f t="shared" si="192"/>
        <v>6</v>
      </c>
      <c r="AO88" s="78">
        <f t="shared" si="192"/>
        <v>4</v>
      </c>
      <c r="AP88" s="78">
        <f t="shared" si="192"/>
        <v>36</v>
      </c>
      <c r="AQ88" s="78">
        <f t="shared" si="192"/>
        <v>36</v>
      </c>
      <c r="AR88" s="78">
        <f t="shared" si="192"/>
        <v>46</v>
      </c>
      <c r="AS88" s="78">
        <f t="shared" si="192"/>
        <v>46</v>
      </c>
      <c r="AT88" s="78">
        <f t="shared" si="192"/>
        <v>46</v>
      </c>
      <c r="AU88" s="78">
        <f t="shared" si="192"/>
        <v>59</v>
      </c>
      <c r="AV88" s="78">
        <f t="shared" si="192"/>
        <v>44</v>
      </c>
      <c r="AW88" s="78">
        <f t="shared" si="192"/>
        <v>28</v>
      </c>
      <c r="AX88" s="78">
        <f t="shared" si="192"/>
        <v>21</v>
      </c>
      <c r="AY88" s="78">
        <f t="shared" si="192"/>
        <v>19</v>
      </c>
      <c r="AZ88" s="78">
        <f t="shared" si="192"/>
        <v>19</v>
      </c>
      <c r="BA88" s="78">
        <f t="shared" si="192"/>
        <v>0</v>
      </c>
      <c r="BB88" s="78">
        <f t="shared" si="192"/>
        <v>0</v>
      </c>
      <c r="BC88" s="78">
        <f t="shared" si="192"/>
        <v>0</v>
      </c>
      <c r="BD88" s="78">
        <f t="shared" si="192"/>
        <v>0</v>
      </c>
      <c r="BE88" s="78">
        <f t="shared" si="192"/>
        <v>0</v>
      </c>
      <c r="BF88" s="78">
        <f t="shared" si="192"/>
        <v>0</v>
      </c>
      <c r="BG88" s="78">
        <f t="shared" si="192"/>
        <v>42</v>
      </c>
    </row>
    <row r="89" spans="1:59" x14ac:dyDescent="0.25">
      <c r="B89" s="35"/>
      <c r="C89" s="35" t="s">
        <v>546</v>
      </c>
      <c r="D89" s="86" t="s">
        <v>547</v>
      </c>
      <c r="E89" s="108">
        <f>(((((E69*24)-E86)*60)-E87)*60)*1000</f>
        <v>57736.514210700989</v>
      </c>
      <c r="F89" s="108">
        <f t="shared" ref="F89:BG89" si="193">(((((F69*24)-F86)*60)-F87)*60)*1000</f>
        <v>5452.3779451847076</v>
      </c>
      <c r="G89" s="108">
        <f t="shared" si="193"/>
        <v>46273.165047168732</v>
      </c>
      <c r="H89" s="108">
        <f t="shared" si="193"/>
        <v>17185.335159301758</v>
      </c>
      <c r="I89" s="108">
        <f t="shared" si="193"/>
        <v>23474.29096698761</v>
      </c>
      <c r="J89" s="108">
        <f t="shared" si="193"/>
        <v>43711.492717266083</v>
      </c>
      <c r="K89" s="108">
        <f t="shared" si="193"/>
        <v>26558.054387569427</v>
      </c>
      <c r="L89" s="108">
        <f t="shared" si="193"/>
        <v>40283.29610824585</v>
      </c>
      <c r="M89" s="108">
        <f t="shared" si="193"/>
        <v>52547.819316387177</v>
      </c>
      <c r="N89" s="108">
        <f t="shared" si="193"/>
        <v>43444.532454013824</v>
      </c>
      <c r="O89" s="108">
        <f t="shared" si="193"/>
        <v>51873.460114002228</v>
      </c>
      <c r="P89" s="108">
        <f t="shared" si="193"/>
        <v>43821.575939655304</v>
      </c>
      <c r="Q89" s="108">
        <f t="shared" si="193"/>
        <v>2566.2173330783844</v>
      </c>
      <c r="R89" s="108">
        <f t="shared" si="193"/>
        <v>3661.4388227462769</v>
      </c>
      <c r="S89" s="108">
        <f t="shared" si="193"/>
        <v>21816.78906083107</v>
      </c>
      <c r="T89" s="108">
        <f t="shared" si="193"/>
        <v>8802.9129803180695</v>
      </c>
      <c r="U89" s="108">
        <f t="shared" si="193"/>
        <v>43637.309521436691</v>
      </c>
      <c r="V89" s="108">
        <f t="shared" si="193"/>
        <v>47487.254086559005</v>
      </c>
      <c r="W89" s="108">
        <f t="shared" si="193"/>
        <v>11660.872399806976</v>
      </c>
      <c r="X89" s="108">
        <f t="shared" si="193"/>
        <v>26644.527912139893</v>
      </c>
      <c r="Y89" s="108">
        <f t="shared" si="193"/>
        <v>42183.867394924164</v>
      </c>
      <c r="Z89" s="108">
        <f t="shared" si="193"/>
        <v>22540.961802005768</v>
      </c>
      <c r="AA89" s="108">
        <f t="shared" si="193"/>
        <v>46273.165047168732</v>
      </c>
      <c r="AB89" s="108">
        <f t="shared" si="193"/>
        <v>16768.393814563751</v>
      </c>
      <c r="AC89" s="108">
        <f t="shared" si="193"/>
        <v>15530.937910079956</v>
      </c>
      <c r="AD89" s="108">
        <f t="shared" si="193"/>
        <v>48755.31792640686</v>
      </c>
      <c r="AE89" s="108">
        <f t="shared" si="193"/>
        <v>42183.867394924164</v>
      </c>
      <c r="AF89" s="108">
        <f t="shared" si="193"/>
        <v>49193.423688411713</v>
      </c>
      <c r="AG89" s="108">
        <f t="shared" si="193"/>
        <v>46100.184917449951</v>
      </c>
      <c r="AH89" s="108">
        <f t="shared" si="193"/>
        <v>34763.736426830292</v>
      </c>
      <c r="AI89" s="108">
        <f t="shared" si="193"/>
        <v>30501.188635826111</v>
      </c>
      <c r="AJ89" s="108">
        <f t="shared" si="193"/>
        <v>36058.613955974579</v>
      </c>
      <c r="AK89" s="108">
        <f t="shared" si="193"/>
        <v>49706.372916698456</v>
      </c>
      <c r="AL89" s="108">
        <f t="shared" si="193"/>
        <v>12922.714948654175</v>
      </c>
      <c r="AM89" s="108">
        <f t="shared" si="193"/>
        <v>47846.542596817017</v>
      </c>
      <c r="AN89" s="108">
        <f t="shared" si="193"/>
        <v>6255.0795078277588</v>
      </c>
      <c r="AO89" s="108">
        <f t="shared" si="193"/>
        <v>4390.5454874038696</v>
      </c>
      <c r="AP89" s="108">
        <f t="shared" si="193"/>
        <v>36779.084801673889</v>
      </c>
      <c r="AQ89" s="108">
        <f t="shared" si="193"/>
        <v>36779.084801673889</v>
      </c>
      <c r="AR89" s="108">
        <f t="shared" si="193"/>
        <v>46458.340287208557</v>
      </c>
      <c r="AS89" s="108">
        <f t="shared" si="193"/>
        <v>46458.340287208557</v>
      </c>
      <c r="AT89" s="108">
        <f t="shared" si="193"/>
        <v>46458.340287208557</v>
      </c>
      <c r="AU89" s="108">
        <f t="shared" si="193"/>
        <v>59031.248688697815</v>
      </c>
      <c r="AV89" s="108">
        <f t="shared" si="193"/>
        <v>44139.600098133087</v>
      </c>
      <c r="AW89" s="108">
        <f t="shared" si="193"/>
        <v>28711.111843585968</v>
      </c>
      <c r="AX89" s="108">
        <f t="shared" si="193"/>
        <v>21376.972496509552</v>
      </c>
      <c r="AY89" s="108">
        <f t="shared" si="193"/>
        <v>19054.715037345886</v>
      </c>
      <c r="AZ89" s="108">
        <f t="shared" si="193"/>
        <v>19054.715037345886</v>
      </c>
      <c r="BA89" s="108">
        <f t="shared" si="193"/>
        <v>321.54589891433716</v>
      </c>
      <c r="BB89" s="108">
        <f t="shared" si="193"/>
        <v>321.54589891433716</v>
      </c>
      <c r="BC89" s="108">
        <f t="shared" si="193"/>
        <v>321.54589891433716</v>
      </c>
      <c r="BD89" s="108">
        <f t="shared" si="193"/>
        <v>321.54589891433716</v>
      </c>
      <c r="BE89" s="108">
        <f t="shared" si="193"/>
        <v>321.54589891433716</v>
      </c>
      <c r="BF89" s="108">
        <f t="shared" si="193"/>
        <v>321.54589891433716</v>
      </c>
      <c r="BG89" s="108">
        <f t="shared" si="193"/>
        <v>42183.867394924164</v>
      </c>
    </row>
    <row r="90" spans="1:59" ht="15.75" thickBot="1" x14ac:dyDescent="0.3">
      <c r="A90" s="46"/>
      <c r="B90" s="115"/>
      <c r="C90" s="109" t="s">
        <v>560</v>
      </c>
      <c r="D90" s="114" t="s">
        <v>551</v>
      </c>
      <c r="E90" s="110">
        <f>IF('07JD'!E85&gt;1899,DATE('07JD'!E85,'07JD'!E82,'07JD'!E79)+'07JD'!E69,'07JD'!E85&amp;"-"&amp;'07JD'!E82&amp;"-"&amp;INT('07JD'!E79)&amp;" "&amp;'07JD'!E86&amp;":"&amp;'07JD'!E87&amp;":"&amp;'07JD'!E88&amp;"."&amp;LEFT('07JD'!E89,2))</f>
        <v>21116.19719602447</v>
      </c>
      <c r="F90" s="110" t="str">
        <f>IF('07JD'!F85&gt;1899,DATE('07JD'!F85,'07JD'!F82,'07JD'!F79)+'07JD'!F69,'07JD'!F85&amp;"-"&amp;'07JD'!F82&amp;"-"&amp;INT('07JD'!F79)&amp;" "&amp;'07JD'!F86&amp;":"&amp;'07JD'!F87&amp;":"&amp;'07JD'!F88&amp;"."&amp;LEFT('07JD'!F89,2))</f>
        <v>333-3-2 22:29:5.54</v>
      </c>
      <c r="G90" s="110">
        <f>IF('07JD'!G85&gt;1899,DATE('07JD'!G85,'07JD'!G82,'07JD'!G79)+'07JD'!G69,'07JD'!G85&amp;"-"&amp;'07JD'!G82&amp;"-"&amp;INT('07JD'!G79)&amp;" "&amp;'07JD'!G86&amp;":"&amp;'07JD'!G87&amp;":"&amp;'07JD'!G88&amp;"."&amp;LEFT('07JD'!G89,2))</f>
        <v>36531.760257791262</v>
      </c>
      <c r="H90" s="110">
        <f>IF('07JD'!H85&gt;1899,DATE('07JD'!H85,'07JD'!H82,'07JD'!H79)+'07JD'!H69,'07JD'!H85&amp;"-"&amp;'07JD'!H82&amp;"-"&amp;INT('07JD'!H79)&amp;" "&amp;'07JD'!H86&amp;":"&amp;'07JD'!H87&amp;":"&amp;'07JD'!H88&amp;"."&amp;LEFT('07JD'!H89,2))</f>
        <v>36177.657837793231</v>
      </c>
      <c r="I90" s="110">
        <f>IF('07JD'!I85&gt;1899,DATE('07JD'!I85,'07JD'!I82,'07JD'!I79)+'07JD'!I69,'07JD'!I85&amp;"-"&amp;'07JD'!I82&amp;"-"&amp;INT('07JD'!I79)&amp;" "&amp;'07JD'!I86&amp;":"&amp;'07JD'!I87&amp;":"&amp;'07JD'!I88&amp;"."&amp;LEFT('07JD'!I89,2))</f>
        <v>31806.573188359849</v>
      </c>
      <c r="J90" s="110">
        <f>IF('07JD'!J85&gt;1899,DATE('07JD'!J85,'07JD'!J82,'07JD'!J79)+'07JD'!J69,'07JD'!J85&amp;"-"&amp;'07JD'!J82&amp;"-"&amp;INT('07JD'!J79)&amp;" "&amp;'07JD'!J86&amp;":"&amp;'07JD'!J87&amp;":"&amp;'07JD'!J88&amp;"."&amp;LEFT('07JD'!J89,2))</f>
        <v>31954.234533697832</v>
      </c>
      <c r="K90" s="110">
        <f>IF('07JD'!K85&gt;1899,DATE('07JD'!K85,'07JD'!K82,'07JD'!K79)+'07JD'!K69,'07JD'!K85&amp;"-"&amp;'07JD'!K82&amp;"-"&amp;INT('07JD'!K79)&amp;" "&amp;'07JD'!K86&amp;":"&amp;'07JD'!K87&amp;":"&amp;'07JD'!K88&amp;"."&amp;LEFT('07JD'!K89,2))</f>
        <v>32161.226696273778</v>
      </c>
      <c r="L90" s="110">
        <f>IF('07JD'!L85&gt;1899,DATE('07JD'!L85,'07JD'!L82,'07JD'!L79)+'07JD'!L69,'07JD'!L85&amp;"-"&amp;'07JD'!L82&amp;"-"&amp;INT('07JD'!L79)&amp;" "&amp;'07JD'!L86&amp;":"&amp;'07JD'!L87&amp;":"&amp;'07JD'!L88&amp;"."&amp;LEFT('07JD'!L89,2))</f>
        <v>32308.385188464075</v>
      </c>
      <c r="M90" s="110">
        <f>IF('07JD'!M85&gt;1899,DATE('07JD'!M85,'07JD'!M82,'07JD'!M79)+'07JD'!M69,'07JD'!M85&amp;"-"&amp;'07JD'!M82&amp;"-"&amp;INT('07JD'!M79)&amp;" "&amp;'07JD'!M86&amp;":"&amp;'07JD'!M87&amp;":"&amp;'07JD'!M88&amp;"."&amp;LEFT('07JD'!M89,2))</f>
        <v>1.5776915256865323</v>
      </c>
      <c r="N90" s="110" t="str">
        <f>IF('07JD'!N85&gt;1899,DATE('07JD'!N85,'07JD'!N82,'07JD'!N79)+'07JD'!N69,'07JD'!N85&amp;"-"&amp;'07JD'!N82&amp;"-"&amp;INT('07JD'!N79)&amp;" "&amp;'07JD'!N86&amp;":"&amp;'07JD'!N87&amp;":"&amp;'07JD'!N88&amp;"."&amp;LEFT('07JD'!N89,2))</f>
        <v>1600-1-16 5:7:43.43</v>
      </c>
      <c r="O90" s="110" t="str">
        <f>IF('07JD'!O85&gt;1899,DATE('07JD'!O85,'07JD'!O82,'07JD'!O79)+'07JD'!O69,'07JD'!O85&amp;"-"&amp;'07JD'!O82&amp;"-"&amp;INT('07JD'!O79)&amp;" "&amp;'07JD'!O86&amp;":"&amp;'07JD'!O87&amp;":"&amp;'07JD'!O88&amp;"."&amp;LEFT('07JD'!O89,2))</f>
        <v>1601-2-3 4:43:51.51</v>
      </c>
      <c r="P90" s="110" t="str">
        <f>IF('07JD'!P85&gt;1899,DATE('07JD'!P85,'07JD'!P82,'07JD'!P79)+'07JD'!P69,'07JD'!P85&amp;"-"&amp;'07JD'!P82&amp;"-"&amp;INT('07JD'!P79)&amp;" "&amp;'07JD'!P86&amp;":"&amp;'07JD'!P87&amp;":"&amp;'07JD'!P88&amp;"."&amp;LEFT('07JD'!P89,2))</f>
        <v>837-4-8 23:13:43.43</v>
      </c>
      <c r="Q90" s="110" t="str">
        <f>IF('07JD'!Q85&gt;1899,DATE('07JD'!Q85,'07JD'!Q82,'07JD'!Q79)+'07JD'!Q69,'07JD'!Q85&amp;"-"&amp;'07JD'!Q82&amp;"-"&amp;INT('07JD'!Q79)&amp;" "&amp;'07JD'!Q86&amp;":"&amp;'07JD'!Q87&amp;":"&amp;'07JD'!Q88&amp;"."&amp;LEFT('07JD'!Q89,2))</f>
        <v>-122-1-23 8:58:2.25</v>
      </c>
      <c r="R90" s="110" t="str">
        <f>IF('07JD'!R85&gt;1899,DATE('07JD'!R85,'07JD'!R82,'07JD'!R79)+'07JD'!R69,'07JD'!R85&amp;"-"&amp;'07JD'!R82&amp;"-"&amp;INT('07JD'!R79)&amp;" "&amp;'07JD'!R86&amp;":"&amp;'07JD'!R87&amp;":"&amp;'07JD'!R88&amp;"."&amp;LEFT('07JD'!R89,2))</f>
        <v>-123-12-24 14:20:3.36</v>
      </c>
      <c r="S90" s="110" t="str">
        <f>IF('07JD'!S85&gt;1899,DATE('07JD'!S85,'07JD'!S82,'07JD'!S79)+'07JD'!S69,'07JD'!S85&amp;"-"&amp;'07JD'!S82&amp;"-"&amp;INT('07JD'!S79)&amp;" "&amp;'07JD'!S86&amp;":"&amp;'07JD'!S87&amp;":"&amp;'07JD'!S88&amp;"."&amp;LEFT('07JD'!S89,2))</f>
        <v>-1000-7-6 3:3:21.21</v>
      </c>
      <c r="T90" s="110" t="str">
        <f>IF('07JD'!T85&gt;1899,DATE('07JD'!T85,'07JD'!T82,'07JD'!T79)+'07JD'!T69,'07JD'!T85&amp;"-"&amp;'07JD'!T82&amp;"-"&amp;INT('07JD'!T79)&amp;" "&amp;'07JD'!T86&amp;":"&amp;'07JD'!T87&amp;":"&amp;'07JD'!T88&amp;"."&amp;LEFT('07JD'!T89,2))</f>
        <v>-1000-4-9 5:59:8.88</v>
      </c>
      <c r="U90" s="110" t="str">
        <f>IF('07JD'!U85&gt;1899,DATE('07JD'!U85,'07JD'!U82,'07JD'!U79)+'07JD'!U69,'07JD'!U85&amp;"-"&amp;'07JD'!U82&amp;"-"&amp;INT('07JD'!U79)&amp;" "&amp;'07JD'!U86&amp;":"&amp;'07JD'!U87&amp;":"&amp;'07JD'!U88&amp;"."&amp;LEFT('07JD'!U89,2))</f>
        <v>-1001-8-15 23:52:43.43</v>
      </c>
      <c r="V90" s="110" t="str">
        <f>IF('07JD'!V85&gt;1899,DATE('07JD'!V85,'07JD'!V82,'07JD'!V79)+'07JD'!V69,'07JD'!V85&amp;"-"&amp;'07JD'!V82&amp;"-"&amp;INT('07JD'!V79)&amp;" "&amp;'07JD'!V86&amp;":"&amp;'07JD'!V87&amp;":"&amp;'07JD'!V88&amp;"."&amp;LEFT('07JD'!V89,2))</f>
        <v>-4712-1-11 6:10:47.47</v>
      </c>
      <c r="W90" s="110">
        <f>IF('07JD'!W85&gt;1899,DATE('07JD'!W85,'07JD'!W82,'07JD'!W79)+'07JD'!W69,'07JD'!W85&amp;"-"&amp;'07JD'!W82&amp;"-"&amp;INT('07JD'!W79)&amp;" "&amp;'07JD'!W86&amp;":"&amp;'07JD'!W87&amp;":"&amp;'07JD'!W88&amp;"."&amp;LEFT('07JD'!W89,2))</f>
        <v>31895.066107186023</v>
      </c>
      <c r="X90" s="110">
        <f>IF('07JD'!X85&gt;1899,DATE('07JD'!X85,'07JD'!X82,'07JD'!X79)+'07JD'!X69,'07JD'!X85&amp;"-"&amp;'07JD'!X82&amp;"-"&amp;INT('07JD'!X79)&amp;" "&amp;'07JD'!X86&amp;":"&amp;'07JD'!X87&amp;":"&amp;'07JD'!X88&amp;"."&amp;LEFT('07JD'!X89,2))</f>
        <v>33726.739891719073</v>
      </c>
      <c r="Y90" s="110">
        <f>IF('07JD'!Y85&gt;1899,DATE('07JD'!Y85,'07JD'!Y82,'07JD'!Y79)+'07JD'!Y69,'07JD'!Y85&amp;"-"&amp;'07JD'!Y82&amp;"-"&amp;INT('07JD'!Y79)&amp;" "&amp;'07JD'!Y86&amp;":"&amp;'07JD'!Y87&amp;":"&amp;'07JD'!Y88&amp;"."&amp;LEFT('07JD'!Y89,2))</f>
        <v>28174.15118268365</v>
      </c>
      <c r="Z90" s="110">
        <f>IF('07JD'!Z85&gt;1899,DATE('07JD'!Z85,'07JD'!Z82,'07JD'!Z79)+'07JD'!Z69,'07JD'!Z85&amp;"-"&amp;'07JD'!Z82&amp;"-"&amp;INT('07JD'!Z79)&amp;" "&amp;'07JD'!Z86&amp;":"&amp;'07JD'!Z87&amp;":"&amp;'07JD'!Z88&amp;"."&amp;LEFT('07JD'!Z89,2))</f>
        <v>52596.409288668539</v>
      </c>
      <c r="AA90" s="110">
        <f>IF('07JD'!AA85&gt;1899,DATE('07JD'!AA85,'07JD'!AA82,'07JD'!AA79)+'07JD'!AA69,'07JD'!AA85&amp;"-"&amp;'07JD'!AA82&amp;"-"&amp;INT('07JD'!AA79)&amp;" "&amp;'07JD'!AA86&amp;":"&amp;'07JD'!AA87&amp;":"&amp;'07JD'!AA88&amp;"."&amp;LEFT('07JD'!AA89,2))</f>
        <v>36531.760257791262</v>
      </c>
      <c r="AB90" s="110">
        <f>IF('07JD'!AB85&gt;1899,DATE('07JD'!AB85,'07JD'!AB82,'07JD'!AB79)+'07JD'!AB69,'07JD'!AB85&amp;"-"&amp;'07JD'!AB82&amp;"-"&amp;INT('07JD'!AB79)&amp;" "&amp;'07JD'!AB86&amp;":"&amp;'07JD'!AB87&amp;":"&amp;'07JD'!AB88&amp;"."&amp;LEFT('07JD'!AB89,2))</f>
        <v>19905.518249634188</v>
      </c>
      <c r="AC90" s="110">
        <f>IF('07JD'!AC85&gt;1899,DATE('07JD'!AC85,'07JD'!AC82,'07JD'!AC79)+'07JD'!AC69,'07JD'!AC85&amp;"-"&amp;'07JD'!AC82&amp;"-"&amp;INT('07JD'!AC79)&amp;" "&amp;'07JD'!AC86&amp;":"&amp;'07JD'!AC87&amp;":"&amp;'07JD'!AC88&amp;"."&amp;LEFT('07JD'!AC89,2))</f>
        <v>28824.347401978448</v>
      </c>
      <c r="AD90" s="110">
        <f>IF('07JD'!AD85&gt;1899,DATE('07JD'!AD85,'07JD'!AD82,'07JD'!AD79)+'07JD'!AD69,'07JD'!AD85&amp;"-"&amp;'07JD'!AD82&amp;"-"&amp;INT('07JD'!AD79)&amp;" "&amp;'07JD'!AD86&amp;":"&amp;'07JD'!AD87&amp;":"&amp;'07JD'!AD88&amp;"."&amp;LEFT('07JD'!AD89,2))</f>
        <v>32249.500564297661</v>
      </c>
      <c r="AE90" s="110">
        <f>IF('07JD'!AE85&gt;1899,DATE('07JD'!AE85,'07JD'!AE82,'07JD'!AE79)+'07JD'!AE69,'07JD'!AE85&amp;"-"&amp;'07JD'!AE82&amp;"-"&amp;INT('07JD'!AE79)&amp;" "&amp;'07JD'!AE86&amp;":"&amp;'07JD'!AE87&amp;":"&amp;'07JD'!AE88&amp;"."&amp;LEFT('07JD'!AE89,2))</f>
        <v>28174.15118268365</v>
      </c>
      <c r="AF90" s="110">
        <f>IF('07JD'!AF85&gt;1899,DATE('07JD'!AF85,'07JD'!AF82,'07JD'!AF79)+'07JD'!AF69,'07JD'!AF85&amp;"-"&amp;'07JD'!AF82&amp;"-"&amp;INT('07JD'!AF79)&amp;" "&amp;'07JD'!AF86&amp;":"&amp;'07JD'!AF87&amp;":"&amp;'07JD'!AF88&amp;"."&amp;LEFT('07JD'!AF89,2))</f>
        <v>33962.030430479441</v>
      </c>
      <c r="AG90" s="110">
        <f>IF('07JD'!AG85&gt;1899,DATE('07JD'!AG85,'07JD'!AG82,'07JD'!AG79)+'07JD'!AG69,'07JD'!AG85&amp;"-"&amp;'07JD'!AG82&amp;"-"&amp;INT('07JD'!AG79)&amp;" "&amp;'07JD'!AG86&amp;":"&amp;'07JD'!AG87&amp;":"&amp;'07JD'!AG88&amp;"."&amp;LEFT('07JD'!AG89,2))</f>
        <v>33902.8574780114</v>
      </c>
      <c r="AH90" s="110">
        <f>IF('07JD'!AH85&gt;1899,DATE('07JD'!AH85,'07JD'!AH82,'07JD'!AH79)+'07JD'!AH69,'07JD'!AH85&amp;"-"&amp;'07JD'!AH82&amp;"-"&amp;INT('07JD'!AH79)&amp;" "&amp;'07JD'!AH86&amp;":"&amp;'07JD'!AH87&amp;":"&amp;'07JD'!AH88&amp;"."&amp;LEFT('07JD'!AH89,2))</f>
        <v>33313.341374580283</v>
      </c>
      <c r="AI90" s="110">
        <f>IF('07JD'!AI85&gt;1899,DATE('07JD'!AI85,'07JD'!AI82,'07JD'!AI79)+'07JD'!AI69,'07JD'!AI85&amp;"-"&amp;'07JD'!AI82&amp;"-"&amp;INT('07JD'!AI79)&amp;" "&amp;'07JD'!AI86&amp;":"&amp;'07JD'!AI87&amp;":"&amp;'07JD'!AI88&amp;"."&amp;LEFT('07JD'!AI89,2))</f>
        <v>33697.210075245239</v>
      </c>
      <c r="AJ90" s="110">
        <f>IF('07JD'!AJ85&gt;1899,DATE('07JD'!AJ85,'07JD'!AJ82,'07JD'!AJ79)+'07JD'!AJ69,'07JD'!AJ85&amp;"-"&amp;'07JD'!AJ82&amp;"-"&amp;INT('07JD'!AJ79)&amp;" "&amp;'07JD'!AJ86&amp;":"&amp;'07JD'!AJ87&amp;":"&amp;'07JD'!AJ88&amp;"."&amp;LEFT('07JD'!AJ89,2))</f>
        <v>34110.588611789513</v>
      </c>
      <c r="AK90" s="110" t="str">
        <f>IF('07JD'!AK85&gt;1899,DATE('07JD'!AK85,'07JD'!AK82,'07JD'!AK79)+'07JD'!AK69,'07JD'!AK85&amp;"-"&amp;'07JD'!AK82&amp;"-"&amp;INT('07JD'!AK79)&amp;" "&amp;'07JD'!AK86&amp;":"&amp;'07JD'!AK87&amp;":"&amp;'07JD'!AK88&amp;"."&amp;LEFT('07JD'!AK89,2))</f>
        <v>1818-1-6 23:42:49.49</v>
      </c>
      <c r="AL90" s="110">
        <f>IF('07JD'!AL85&gt;1899,DATE('07JD'!AL85,'07JD'!AL82,'07JD'!AL79)+'07JD'!AL69,'07JD'!AL85&amp;"-"&amp;'07JD'!AL82&amp;"-"&amp;INT('07JD'!AL79)&amp;" "&amp;'07JD'!AL86&amp;":"&amp;'07JD'!AL87&amp;":"&amp;'07JD'!AL88&amp;"."&amp;LEFT('07JD'!AL89,2))</f>
        <v>33135.032788457349</v>
      </c>
      <c r="AM90" s="110" t="str">
        <f>IF('07JD'!AM85&gt;1899,DATE('07JD'!AM85,'07JD'!AM82,'07JD'!AM79)+'07JD'!AM69,'07JD'!AM85&amp;"-"&amp;'07JD'!AM82&amp;"-"&amp;INT('07JD'!AM79)&amp;" "&amp;'07JD'!AM86&amp;":"&amp;'07JD'!AM87&amp;":"&amp;'07JD'!AM88&amp;"."&amp;LEFT('07JD'!AM89,2))</f>
        <v>622-7-14 6:42:47.47</v>
      </c>
      <c r="AN90" s="110">
        <f>IF('07JD'!AN85&gt;1899,DATE('07JD'!AN85,'07JD'!AN82,'07JD'!AN79)+'07JD'!AN69,'07JD'!AN85&amp;"-"&amp;'07JD'!AN82&amp;"-"&amp;INT('07JD'!AN79)&amp;" "&amp;'07JD'!AN86&amp;":"&amp;'07JD'!AN87&amp;":"&amp;'07JD'!AN88&amp;"."&amp;LEFT('07JD'!AN89,2))</f>
        <v>36620.759100174531</v>
      </c>
      <c r="AO90" s="110" t="str">
        <f>IF('07JD'!AO85&gt;1899,DATE('07JD'!AO85,'07JD'!AO82,'07JD'!AO79)+'07JD'!AO69,'07JD'!AO85&amp;"-"&amp;'07JD'!AO82&amp;"-"&amp;INT('07JD'!AO79)&amp;" "&amp;'07JD'!AO86&amp;":"&amp;'07JD'!AO87&amp;":"&amp;'07JD'!AO88&amp;"."&amp;LEFT('07JD'!AO89,2))</f>
        <v>1-1-13 13:57:4.43</v>
      </c>
      <c r="AP90" s="110">
        <f>IF('07JD'!AP85&gt;1899,DATE('07JD'!AP85,'07JD'!AP82,'07JD'!AP79)+'07JD'!AP69,'07JD'!AP85&amp;"-"&amp;'07JD'!AP82&amp;"-"&amp;INT('07JD'!AP79)&amp;" "&amp;'07JD'!AP86&amp;":"&amp;'07JD'!AP87&amp;":"&amp;'07JD'!AP88&amp;"."&amp;LEFT('07JD'!AP89,2))</f>
        <v>44829.913620128296</v>
      </c>
      <c r="AQ90" s="110">
        <f>IF('07JD'!AQ85&gt;1899,DATE('07JD'!AQ85,'07JD'!AQ82,'07JD'!AQ79)+'07JD'!AQ69,'07JD'!AQ85&amp;"-"&amp;'07JD'!AQ82&amp;"-"&amp;INT('07JD'!AQ79)&amp;" "&amp;'07JD'!AQ86&amp;":"&amp;'07JD'!AQ87&amp;":"&amp;'07JD'!AQ88&amp;"."&amp;LEFT('07JD'!AQ89,2))</f>
        <v>44829.913620128296</v>
      </c>
      <c r="AR90" s="110">
        <f>IF('07JD'!AR85&gt;1899,DATE('07JD'!AR85,'07JD'!AR82,'07JD'!AR79)+'07JD'!AR69,'07JD'!AR85&amp;"-"&amp;'07JD'!AR82&amp;"-"&amp;INT('07JD'!AR79)&amp;" "&amp;'07JD'!AR86&amp;":"&amp;'07JD'!AR87&amp;":"&amp;'07JD'!AR88&amp;"."&amp;LEFT('07JD'!AR89,2))</f>
        <v>44859.451232156716</v>
      </c>
      <c r="AS90" s="110">
        <f>IF('07JD'!AS85&gt;1899,DATE('07JD'!AS85,'07JD'!AS82,'07JD'!AS79)+'07JD'!AS69,'07JD'!AS85&amp;"-"&amp;'07JD'!AS82&amp;"-"&amp;INT('07JD'!AS79)&amp;" "&amp;'07JD'!AS86&amp;":"&amp;'07JD'!AS87&amp;":"&amp;'07JD'!AS88&amp;"."&amp;LEFT('07JD'!AS89,2))</f>
        <v>44859.451232156716</v>
      </c>
      <c r="AT90" s="110">
        <f>IF('07JD'!AT85&gt;1899,DATE('07JD'!AT85,'07JD'!AT82,'07JD'!AT79)+'07JD'!AT69,'07JD'!AT85&amp;"-"&amp;'07JD'!AT82&amp;"-"&amp;INT('07JD'!AT79)&amp;" "&amp;'07JD'!AT86&amp;":"&amp;'07JD'!AT87&amp;":"&amp;'07JD'!AT88&amp;"."&amp;LEFT('07JD'!AT89,2))</f>
        <v>44859.451232156716</v>
      </c>
      <c r="AU90" s="110">
        <f>IF('07JD'!AU85&gt;1899,DATE('07JD'!AU85,'07JD'!AU82,'07JD'!AU79)+'07JD'!AU69,'07JD'!AU85&amp;"-"&amp;'07JD'!AU82&amp;"-"&amp;INT('07JD'!AU79)&amp;" "&amp;'07JD'!AU86&amp;":"&amp;'07JD'!AU87&amp;":"&amp;'07JD'!AU88&amp;"."&amp;LEFT('07JD'!AU89,2))</f>
        <v>26816.190961009823</v>
      </c>
      <c r="AV90" s="110">
        <f>IF('07JD'!AV85&gt;1899,DATE('07JD'!AV85,'07JD'!AV82,'07JD'!AV79)+'07JD'!AV69,'07JD'!AV85&amp;"-"&amp;'07JD'!AV82&amp;"-"&amp;INT('07JD'!AV79)&amp;" "&amp;'07JD'!AV86&amp;":"&amp;'07JD'!AV87&amp;":"&amp;'07JD'!AV88&amp;"."&amp;LEFT('07JD'!AV89,2))</f>
        <v>35674.994955319446</v>
      </c>
      <c r="AW90" s="110">
        <f>IF('07JD'!AW85&gt;1899,DATE('07JD'!AW85,'07JD'!AW82,'07JD'!AW79)+'07JD'!AW69,'07JD'!AW85&amp;"-"&amp;'07JD'!AW82&amp;"-"&amp;INT('07JD'!AW79)&amp;" "&amp;'07JD'!AW86&amp;":"&amp;'07JD'!AW87&amp;":"&amp;'07JD'!AW88&amp;"."&amp;LEFT('07JD'!AW89,2))</f>
        <v>12789.222554526757</v>
      </c>
      <c r="AX90" s="110">
        <f>IF('07JD'!AX85&gt;1899,DATE('07JD'!AX85,'07JD'!AX82,'07JD'!AX79)+'07JD'!AX69,'07JD'!AX85&amp;"-"&amp;'07JD'!AX82&amp;"-"&amp;INT('07JD'!AX79)&amp;" "&amp;'07JD'!AX86&amp;":"&amp;'07JD'!AX87&amp;":"&amp;'07JD'!AX88&amp;"."&amp;LEFT('07JD'!AX89,2))</f>
        <v>20939.996080751996</v>
      </c>
      <c r="AY90" s="110">
        <f>IF('07JD'!AY85&gt;1899,DATE('07JD'!AY85,'07JD'!AY82,'07JD'!AY79)+'07JD'!AY69,'07JD'!AY85&amp;"-"&amp;'07JD'!AY82&amp;"-"&amp;INT('07JD'!AY79)&amp;" "&amp;'07JD'!AY86&amp;":"&amp;'07JD'!AY87&amp;":"&amp;'07JD'!AY88&amp;"."&amp;LEFT('07JD'!AY89,2))</f>
        <v>44888.957164985128</v>
      </c>
      <c r="AZ90" s="110">
        <f>IF('07JD'!AZ85&gt;1899,DATE('07JD'!AZ85,'07JD'!AZ82,'07JD'!AZ79)+'07JD'!AZ69,'07JD'!AZ85&amp;"-"&amp;'07JD'!AZ82&amp;"-"&amp;INT('07JD'!AZ79)&amp;" "&amp;'07JD'!AZ86&amp;":"&amp;'07JD'!AZ87&amp;":"&amp;'07JD'!AZ88&amp;"."&amp;LEFT('07JD'!AZ89,2))</f>
        <v>44888.957164985128</v>
      </c>
      <c r="BA90" s="110">
        <f>IF('07JD'!BA85&gt;1899,DATE('07JD'!BA85,'07JD'!BA82,'07JD'!BA79)+'07JD'!BA69,'07JD'!BA85&amp;"-"&amp;'07JD'!BA82&amp;"-"&amp;INT('07JD'!BA79)&amp;" "&amp;'07JD'!BA86&amp;":"&amp;'07JD'!BA87&amp;":"&amp;'07JD'!BA88&amp;"."&amp;LEFT('07JD'!BA89,2))</f>
        <v>44918.429170388263</v>
      </c>
      <c r="BB90" s="110">
        <f>IF('07JD'!BB85&gt;1899,DATE('07JD'!BB85,'07JD'!BB82,'07JD'!BB79)+'07JD'!BB69,'07JD'!BB85&amp;"-"&amp;'07JD'!BB82&amp;"-"&amp;INT('07JD'!BB79)&amp;" "&amp;'07JD'!BB86&amp;":"&amp;'07JD'!BB87&amp;":"&amp;'07JD'!BB88&amp;"."&amp;LEFT('07JD'!BB89,2))</f>
        <v>44918.429170388263</v>
      </c>
      <c r="BC90" s="110">
        <f>IF('07JD'!BC85&gt;1899,DATE('07JD'!BC85,'07JD'!BC82,'07JD'!BC79)+'07JD'!BC69,'07JD'!BC85&amp;"-"&amp;'07JD'!BC82&amp;"-"&amp;INT('07JD'!BC79)&amp;" "&amp;'07JD'!BC86&amp;":"&amp;'07JD'!BC87&amp;":"&amp;'07JD'!BC88&amp;"."&amp;LEFT('07JD'!BC89,2))</f>
        <v>44918.429170388263</v>
      </c>
      <c r="BD90" s="110">
        <f>IF('07JD'!BD85&gt;1899,DATE('07JD'!BD85,'07JD'!BD82,'07JD'!BD79)+'07JD'!BD69,'07JD'!BD85&amp;"-"&amp;'07JD'!BD82&amp;"-"&amp;INT('07JD'!BD79)&amp;" "&amp;'07JD'!BD86&amp;":"&amp;'07JD'!BD87&amp;":"&amp;'07JD'!BD88&amp;"."&amp;LEFT('07JD'!BD89,2))</f>
        <v>44918.429170388263</v>
      </c>
      <c r="BE90" s="110">
        <f>IF('07JD'!BE85&gt;1899,DATE('07JD'!BE85,'07JD'!BE82,'07JD'!BE79)+'07JD'!BE69,'07JD'!BE85&amp;"-"&amp;'07JD'!BE82&amp;"-"&amp;INT('07JD'!BE79)&amp;" "&amp;'07JD'!BE86&amp;":"&amp;'07JD'!BE87&amp;":"&amp;'07JD'!BE88&amp;"."&amp;LEFT('07JD'!BE89,2))</f>
        <v>44918.429170388263</v>
      </c>
      <c r="BF90" s="110">
        <f>IF('07JD'!BF85&gt;1899,DATE('07JD'!BF85,'07JD'!BF82,'07JD'!BF79)+'07JD'!BF69,'07JD'!BF85&amp;"-"&amp;'07JD'!BF82&amp;"-"&amp;INT('07JD'!BF79)&amp;" "&amp;'07JD'!BF86&amp;":"&amp;'07JD'!BF87&amp;":"&amp;'07JD'!BF88&amp;"."&amp;LEFT('07JD'!BF89,2))</f>
        <v>44918.429170388263</v>
      </c>
      <c r="BG90" s="110">
        <f>IF('07JD'!BG85&gt;1899,DATE('07JD'!BG85,'07JD'!BG82,'07JD'!BG79)+'07JD'!BG69,'07JD'!BG85&amp;"-"&amp;'07JD'!BG82&amp;"-"&amp;INT('07JD'!BG79)&amp;" "&amp;'07JD'!BG86&amp;":"&amp;'07JD'!BG87&amp;":"&amp;'07JD'!BG88&amp;"."&amp;LEFT('07JD'!BG89,2))</f>
        <v>28174.15118268365</v>
      </c>
    </row>
    <row r="91" spans="1:59" ht="15.75" thickTop="1" x14ac:dyDescent="0.25">
      <c r="C91" s="215" t="s">
        <v>695</v>
      </c>
    </row>
    <row r="92" spans="1:59" x14ac:dyDescent="0.25">
      <c r="C92" s="67" t="s">
        <v>696</v>
      </c>
      <c r="D92" s="203" t="s">
        <v>298</v>
      </c>
      <c r="E92" s="216">
        <f>'49Phases'!E194</f>
        <v>2436141.9502422446</v>
      </c>
      <c r="F92" s="216">
        <f>'49Phases'!F194</f>
        <v>1842754.6717725303</v>
      </c>
      <c r="G92" s="216">
        <f>'49Phases'!G194</f>
        <v>2451558.066086384</v>
      </c>
      <c r="H92" s="216">
        <f>'49Phases'!H194</f>
        <v>2451203.3029799154</v>
      </c>
      <c r="I92" s="216">
        <f>'49Phases'!I194</f>
        <v>2446832.181776708</v>
      </c>
      <c r="J92" s="216">
        <f>'49Phases'!J194</f>
        <v>2446980.8576631625</v>
      </c>
      <c r="K92" s="216">
        <f>'49Phases'!K194</f>
        <v>2447186.4128478747</v>
      </c>
      <c r="L92" s="216">
        <f>'49Phases'!L194</f>
        <v>2447334.9332529511</v>
      </c>
      <c r="M92" s="216">
        <f>'49Phases'!M194</f>
        <v>2415027.736075304</v>
      </c>
      <c r="N92" s="216">
        <f>'49Phases'!N194</f>
        <v>2305469.5027732421</v>
      </c>
      <c r="O92" s="216">
        <f>'49Phases'!O194</f>
        <v>2305853.6903875195</v>
      </c>
      <c r="P92" s="216">
        <f>'49Phases'!P194</f>
        <v>2026878.331849877</v>
      </c>
      <c r="Q92" s="216">
        <f>'49Phases'!Q194</f>
        <v>1676528.0260707869</v>
      </c>
      <c r="R92" s="216">
        <f>'49Phases'!R194</f>
        <v>1676498.327966701</v>
      </c>
      <c r="S92" s="216">
        <f>'49Phases'!S194</f>
        <v>1356001.6455793949</v>
      </c>
      <c r="T92" s="216">
        <f>'49Phases'!T194</f>
        <v>1355913.3696384167</v>
      </c>
      <c r="U92" s="216">
        <f>'49Phases'!U194</f>
        <v>1355677.5097611358</v>
      </c>
      <c r="V92" s="216">
        <f>'49Phases'!V194</f>
        <v>17.524230721479249</v>
      </c>
      <c r="W92" s="216">
        <f>'49Phases'!W194</f>
        <v>2446921.6016075113</v>
      </c>
      <c r="X92" s="216">
        <f>'49Phases'!X194</f>
        <v>2448752.1559672132</v>
      </c>
      <c r="Y92" s="216">
        <f>'49Phases'!Y194</f>
        <v>2443200.6186999064</v>
      </c>
      <c r="Z92" s="216">
        <f>'49Phases'!Z194</f>
        <v>2467622.66887049</v>
      </c>
      <c r="AA92" s="216">
        <f>'49Phases'!AA194</f>
        <v>2451558.066086384</v>
      </c>
      <c r="AB92" s="216">
        <f>'49Phases'!AB194</f>
        <v>2434931.5651679947</v>
      </c>
      <c r="AC92" s="216">
        <f>'49Phases'!AC194</f>
        <v>2443849.5241192202</v>
      </c>
      <c r="AD92" s="216">
        <f>'49Phases'!AD194</f>
        <v>2447275.4394387612</v>
      </c>
      <c r="AE92" s="216">
        <f>'49Phases'!AE194</f>
        <v>2443200.6186999064</v>
      </c>
      <c r="AF92" s="216">
        <f>'49Phases'!AF194</f>
        <v>2448988.6522914562</v>
      </c>
      <c r="AG92" s="216">
        <f>'49Phases'!AG194</f>
        <v>2448928.8835027586</v>
      </c>
      <c r="AH92" s="216">
        <f>'49Phases'!AH194</f>
        <v>2448338.7526344517</v>
      </c>
      <c r="AI92" s="216">
        <f>'49Phases'!AI194</f>
        <v>2448722.9215622605</v>
      </c>
      <c r="AJ92" s="216">
        <f>'49Phases'!AJ194</f>
        <v>2449136.2655870314</v>
      </c>
      <c r="AK92" s="216">
        <f>'49Phases'!AK194</f>
        <v>2385083.7866165084</v>
      </c>
      <c r="AL92" s="216">
        <f>'49Phases'!AL194</f>
        <v>2448161.5877823518</v>
      </c>
      <c r="AM92" s="216">
        <f>'49Phases'!AM194</f>
        <v>1948444.5906828544</v>
      </c>
      <c r="AN92" s="216">
        <f>'49Phases'!AN194</f>
        <v>2451646.0635595978</v>
      </c>
      <c r="AO92" s="216">
        <f>'49Phases'!AO194</f>
        <v>1721444.0022024051</v>
      </c>
      <c r="AP92" s="216">
        <f>'49Phases'!AP194</f>
        <v>2459855.5105717247</v>
      </c>
      <c r="AQ92" s="216">
        <f>'49Phases'!AQ194</f>
        <v>2459855.5105717247</v>
      </c>
      <c r="AR92" s="216">
        <f>'49Phases'!AR194</f>
        <v>2459884.7765238062</v>
      </c>
      <c r="AS92" s="216">
        <f>'49Phases'!AS194</f>
        <v>2459884.7765238062</v>
      </c>
      <c r="AT92" s="216">
        <f>'49Phases'!AT194</f>
        <v>2459884.7765238062</v>
      </c>
      <c r="AU92" s="216">
        <f>'49Phases'!AU194</f>
        <v>2441841.3829253619</v>
      </c>
      <c r="AV92" s="216">
        <f>'49Phases'!AV194</f>
        <v>2450701.564044978</v>
      </c>
      <c r="AW92" s="216">
        <f>'49Phases'!AW194</f>
        <v>2427814.3716513216</v>
      </c>
      <c r="AX92" s="216">
        <f>'49Phases'!AX194</f>
        <v>2435965.6041979934</v>
      </c>
      <c r="AY92" s="216">
        <f>'49Phases'!AY194</f>
        <v>2459914.1094806185</v>
      </c>
      <c r="AZ92" s="216">
        <f>'49Phases'!AZ194</f>
        <v>2459914.1094806185</v>
      </c>
      <c r="BA92" s="216">
        <f>'49Phases'!BA194</f>
        <v>2459943.5568008916</v>
      </c>
      <c r="BB92" s="216">
        <f>'49Phases'!BB194</f>
        <v>2459943.5568008916</v>
      </c>
      <c r="BC92" s="216">
        <f>'49Phases'!BC194</f>
        <v>2459943.5568008916</v>
      </c>
      <c r="BD92" s="216">
        <f>'49Phases'!BD194</f>
        <v>2459943.5568008916</v>
      </c>
      <c r="BE92" s="216">
        <f>'49Phases'!BE194</f>
        <v>2459943.5568008916</v>
      </c>
      <c r="BF92" s="216">
        <f>'49Phases'!BF194</f>
        <v>2459943.5568008916</v>
      </c>
      <c r="BG92" s="216">
        <f>'49Phases'!BG194</f>
        <v>2443200.6186999064</v>
      </c>
    </row>
    <row r="93" spans="1:59" x14ac:dyDescent="0.25">
      <c r="B93">
        <v>63</v>
      </c>
      <c r="C93" t="s">
        <v>572</v>
      </c>
      <c r="D93" s="7" t="s">
        <v>480</v>
      </c>
      <c r="E93" s="77">
        <f>_xlfn.FLOOR.MATH(E92+0.5)</f>
        <v>2436142</v>
      </c>
      <c r="F93" s="77">
        <f t="shared" ref="F93:BG93" si="194">_xlfn.FLOOR.MATH(F92+0.5)</f>
        <v>1842755</v>
      </c>
      <c r="G93" s="77">
        <f t="shared" si="194"/>
        <v>2451558</v>
      </c>
      <c r="H93" s="77">
        <f t="shared" si="194"/>
        <v>2451203</v>
      </c>
      <c r="I93" s="77">
        <f t="shared" si="194"/>
        <v>2446832</v>
      </c>
      <c r="J93" s="77">
        <f t="shared" si="194"/>
        <v>2446981</v>
      </c>
      <c r="K93" s="77">
        <f t="shared" si="194"/>
        <v>2447186</v>
      </c>
      <c r="L93" s="77">
        <f t="shared" si="194"/>
        <v>2447335</v>
      </c>
      <c r="M93" s="77">
        <f t="shared" si="194"/>
        <v>2415028</v>
      </c>
      <c r="N93" s="77">
        <f t="shared" si="194"/>
        <v>2305470</v>
      </c>
      <c r="O93" s="77">
        <f t="shared" si="194"/>
        <v>2305854</v>
      </c>
      <c r="P93" s="77">
        <f t="shared" si="194"/>
        <v>2026878</v>
      </c>
      <c r="Q93" s="77">
        <f t="shared" si="194"/>
        <v>1676528</v>
      </c>
      <c r="R93" s="77">
        <f t="shared" si="194"/>
        <v>1676498</v>
      </c>
      <c r="S93" s="77">
        <f t="shared" si="194"/>
        <v>1356002</v>
      </c>
      <c r="T93" s="77">
        <f t="shared" si="194"/>
        <v>1355913</v>
      </c>
      <c r="U93" s="77">
        <f t="shared" si="194"/>
        <v>1355678</v>
      </c>
      <c r="V93" s="77">
        <f t="shared" si="194"/>
        <v>18</v>
      </c>
      <c r="W93" s="77">
        <f t="shared" si="194"/>
        <v>2446922</v>
      </c>
      <c r="X93" s="77">
        <f t="shared" si="194"/>
        <v>2448752</v>
      </c>
      <c r="Y93" s="77">
        <f t="shared" si="194"/>
        <v>2443201</v>
      </c>
      <c r="Z93" s="77">
        <f t="shared" si="194"/>
        <v>2467623</v>
      </c>
      <c r="AA93" s="77">
        <f t="shared" si="194"/>
        <v>2451558</v>
      </c>
      <c r="AB93" s="77">
        <f t="shared" si="194"/>
        <v>2434932</v>
      </c>
      <c r="AC93" s="77">
        <f t="shared" si="194"/>
        <v>2443850</v>
      </c>
      <c r="AD93" s="77">
        <f t="shared" si="194"/>
        <v>2447275</v>
      </c>
      <c r="AE93" s="77">
        <f t="shared" si="194"/>
        <v>2443201</v>
      </c>
      <c r="AF93" s="77">
        <f t="shared" si="194"/>
        <v>2448989</v>
      </c>
      <c r="AG93" s="77">
        <f t="shared" si="194"/>
        <v>2448929</v>
      </c>
      <c r="AH93" s="77">
        <f t="shared" si="194"/>
        <v>2448339</v>
      </c>
      <c r="AI93" s="77">
        <f t="shared" si="194"/>
        <v>2448723</v>
      </c>
      <c r="AJ93" s="77">
        <f t="shared" si="194"/>
        <v>2449136</v>
      </c>
      <c r="AK93" s="77">
        <f t="shared" si="194"/>
        <v>2385084</v>
      </c>
      <c r="AL93" s="77">
        <f t="shared" si="194"/>
        <v>2448162</v>
      </c>
      <c r="AM93" s="77">
        <f t="shared" si="194"/>
        <v>1948445</v>
      </c>
      <c r="AN93" s="77">
        <f t="shared" si="194"/>
        <v>2451646</v>
      </c>
      <c r="AO93" s="77">
        <f t="shared" si="194"/>
        <v>1721444</v>
      </c>
      <c r="AP93" s="77">
        <f t="shared" si="194"/>
        <v>2459856</v>
      </c>
      <c r="AQ93" s="77">
        <f t="shared" si="194"/>
        <v>2459856</v>
      </c>
      <c r="AR93" s="77">
        <f t="shared" si="194"/>
        <v>2459885</v>
      </c>
      <c r="AS93" s="77">
        <f t="shared" si="194"/>
        <v>2459885</v>
      </c>
      <c r="AT93" s="77">
        <f t="shared" si="194"/>
        <v>2459885</v>
      </c>
      <c r="AU93" s="77">
        <f t="shared" si="194"/>
        <v>2441841</v>
      </c>
      <c r="AV93" s="77">
        <f t="shared" si="194"/>
        <v>2450702</v>
      </c>
      <c r="AW93" s="77">
        <f t="shared" si="194"/>
        <v>2427814</v>
      </c>
      <c r="AX93" s="77">
        <f t="shared" si="194"/>
        <v>2435966</v>
      </c>
      <c r="AY93" s="77">
        <f t="shared" si="194"/>
        <v>2459914</v>
      </c>
      <c r="AZ93" s="77">
        <f t="shared" si="194"/>
        <v>2459914</v>
      </c>
      <c r="BA93" s="77">
        <f t="shared" si="194"/>
        <v>2459944</v>
      </c>
      <c r="BB93" s="77">
        <f t="shared" si="194"/>
        <v>2459944</v>
      </c>
      <c r="BC93" s="77">
        <f t="shared" si="194"/>
        <v>2459944</v>
      </c>
      <c r="BD93" s="77">
        <f t="shared" si="194"/>
        <v>2459944</v>
      </c>
      <c r="BE93" s="77">
        <f t="shared" si="194"/>
        <v>2459944</v>
      </c>
      <c r="BF93" s="77">
        <f t="shared" si="194"/>
        <v>2459944</v>
      </c>
      <c r="BG93" s="77">
        <f t="shared" si="194"/>
        <v>2443201</v>
      </c>
    </row>
    <row r="94" spans="1:59" x14ac:dyDescent="0.25">
      <c r="B94">
        <v>63</v>
      </c>
      <c r="C94" t="s">
        <v>573</v>
      </c>
      <c r="D94" s="7" t="s">
        <v>484</v>
      </c>
      <c r="E94" s="16">
        <f>(E92+0.5)-E93</f>
        <v>0.4502422446385026</v>
      </c>
      <c r="F94" s="16">
        <f t="shared" ref="F94:BG94" si="195">(F92+0.5)-F93</f>
        <v>0.17177253030240536</v>
      </c>
      <c r="G94" s="16">
        <f t="shared" si="195"/>
        <v>0.5660863840021193</v>
      </c>
      <c r="H94" s="16">
        <f t="shared" si="195"/>
        <v>0.80297991540282965</v>
      </c>
      <c r="I94" s="16">
        <f t="shared" si="195"/>
        <v>0.68177670799195766</v>
      </c>
      <c r="J94" s="16">
        <f t="shared" si="195"/>
        <v>0.35766316251829267</v>
      </c>
      <c r="K94" s="16">
        <f t="shared" si="195"/>
        <v>0.91284787468612194</v>
      </c>
      <c r="L94" s="16">
        <f t="shared" si="195"/>
        <v>0.43325295113027096</v>
      </c>
      <c r="M94" s="16">
        <f t="shared" si="195"/>
        <v>0.2360753039829433</v>
      </c>
      <c r="N94" s="16">
        <f t="shared" si="195"/>
        <v>2.7732420712709427E-3</v>
      </c>
      <c r="O94" s="16">
        <f t="shared" si="195"/>
        <v>0.19038751954212785</v>
      </c>
      <c r="P94" s="16">
        <f t="shared" si="195"/>
        <v>0.83184987702406943</v>
      </c>
      <c r="Q94" s="16">
        <f t="shared" si="195"/>
        <v>0.52607078687287867</v>
      </c>
      <c r="R94" s="16">
        <f t="shared" si="195"/>
        <v>0.82796670100651681</v>
      </c>
      <c r="S94" s="16">
        <f t="shared" si="195"/>
        <v>0.14557939488440752</v>
      </c>
      <c r="T94" s="16">
        <f t="shared" si="195"/>
        <v>0.86963841668330133</v>
      </c>
      <c r="U94" s="16">
        <f t="shared" si="195"/>
        <v>9.7611357923597097E-3</v>
      </c>
      <c r="V94" s="16">
        <f t="shared" si="195"/>
        <v>2.4230721479248984E-2</v>
      </c>
      <c r="W94" s="16">
        <f t="shared" si="195"/>
        <v>0.10160751128569245</v>
      </c>
      <c r="X94" s="16">
        <f t="shared" si="195"/>
        <v>0.65596721321344376</v>
      </c>
      <c r="Y94" s="16">
        <f t="shared" si="195"/>
        <v>0.11869990639388561</v>
      </c>
      <c r="Z94" s="16">
        <f t="shared" si="195"/>
        <v>0.16887049004435539</v>
      </c>
      <c r="AA94" s="16">
        <f t="shared" si="195"/>
        <v>0.5660863840021193</v>
      </c>
      <c r="AB94" s="16">
        <f t="shared" si="195"/>
        <v>6.5167994704097509E-2</v>
      </c>
      <c r="AC94" s="16">
        <f t="shared" si="195"/>
        <v>2.4119220208376646E-2</v>
      </c>
      <c r="AD94" s="16">
        <f t="shared" si="195"/>
        <v>0.93943876121193171</v>
      </c>
      <c r="AE94" s="16">
        <f t="shared" si="195"/>
        <v>0.11869990639388561</v>
      </c>
      <c r="AF94" s="16">
        <f t="shared" si="195"/>
        <v>0.15229145623743534</v>
      </c>
      <c r="AG94" s="16">
        <f t="shared" si="195"/>
        <v>0.38350275857374072</v>
      </c>
      <c r="AH94" s="16">
        <f t="shared" si="195"/>
        <v>0.25263445172458887</v>
      </c>
      <c r="AI94" s="16">
        <f t="shared" si="195"/>
        <v>0.42156226048246026</v>
      </c>
      <c r="AJ94" s="16">
        <f t="shared" si="195"/>
        <v>0.76558703137561679</v>
      </c>
      <c r="AK94" s="16">
        <f t="shared" si="195"/>
        <v>0.28661650838330388</v>
      </c>
      <c r="AL94" s="16">
        <f t="shared" si="195"/>
        <v>8.7782351765781641E-2</v>
      </c>
      <c r="AM94" s="16">
        <f t="shared" si="195"/>
        <v>9.0682854410260916E-2</v>
      </c>
      <c r="AN94" s="16">
        <f t="shared" si="195"/>
        <v>0.56355959782376885</v>
      </c>
      <c r="AO94" s="16">
        <f t="shared" si="195"/>
        <v>0.50220240512862802</v>
      </c>
      <c r="AP94" s="16">
        <f t="shared" si="195"/>
        <v>1.0571724735200405E-2</v>
      </c>
      <c r="AQ94" s="16">
        <f t="shared" si="195"/>
        <v>1.0571724735200405E-2</v>
      </c>
      <c r="AR94" s="16">
        <f t="shared" si="195"/>
        <v>0.27652380615472794</v>
      </c>
      <c r="AS94" s="16">
        <f t="shared" si="195"/>
        <v>0.27652380615472794</v>
      </c>
      <c r="AT94" s="16">
        <f t="shared" si="195"/>
        <v>0.27652380615472794</v>
      </c>
      <c r="AU94" s="16">
        <f t="shared" si="195"/>
        <v>0.88292536186054349</v>
      </c>
      <c r="AV94" s="16">
        <f t="shared" si="195"/>
        <v>6.4044978003948927E-2</v>
      </c>
      <c r="AW94" s="16">
        <f t="shared" si="195"/>
        <v>0.87165132164955139</v>
      </c>
      <c r="AX94" s="16">
        <f t="shared" si="195"/>
        <v>0.10419799340888858</v>
      </c>
      <c r="AY94" s="16">
        <f t="shared" si="195"/>
        <v>0.60948061849921942</v>
      </c>
      <c r="AZ94" s="16">
        <f t="shared" si="195"/>
        <v>0.60948061849921942</v>
      </c>
      <c r="BA94" s="16">
        <f t="shared" si="195"/>
        <v>5.6800891645252705E-2</v>
      </c>
      <c r="BB94" s="16">
        <f t="shared" si="195"/>
        <v>5.6800891645252705E-2</v>
      </c>
      <c r="BC94" s="16">
        <f t="shared" si="195"/>
        <v>5.6800891645252705E-2</v>
      </c>
      <c r="BD94" s="16">
        <f t="shared" si="195"/>
        <v>5.6800891645252705E-2</v>
      </c>
      <c r="BE94" s="16">
        <f t="shared" si="195"/>
        <v>5.6800891645252705E-2</v>
      </c>
      <c r="BF94" s="16">
        <f t="shared" si="195"/>
        <v>5.6800891645252705E-2</v>
      </c>
      <c r="BG94" s="16">
        <f t="shared" si="195"/>
        <v>0.11869990639388561</v>
      </c>
    </row>
    <row r="96" spans="1:59" x14ac:dyDescent="0.25">
      <c r="B96">
        <v>63</v>
      </c>
      <c r="C96" t="s">
        <v>487</v>
      </c>
      <c r="D96"/>
    </row>
    <row r="97" spans="2:59" x14ac:dyDescent="0.25">
      <c r="C97" t="s">
        <v>488</v>
      </c>
      <c r="D97" s="7" t="s">
        <v>491</v>
      </c>
      <c r="E97" s="77">
        <f>INT((E93-1867216.25)/36524.25)</f>
        <v>15</v>
      </c>
      <c r="F97" s="77">
        <f t="shared" ref="F97:BG97" si="196">INT((F93-1867216.25)/36524.25)</f>
        <v>-1</v>
      </c>
      <c r="G97" s="77">
        <f t="shared" si="196"/>
        <v>15</v>
      </c>
      <c r="H97" s="77">
        <f t="shared" si="196"/>
        <v>15</v>
      </c>
      <c r="I97" s="77">
        <f t="shared" si="196"/>
        <v>15</v>
      </c>
      <c r="J97" s="77">
        <f t="shared" si="196"/>
        <v>15</v>
      </c>
      <c r="K97" s="77">
        <f t="shared" si="196"/>
        <v>15</v>
      </c>
      <c r="L97" s="77">
        <f t="shared" si="196"/>
        <v>15</v>
      </c>
      <c r="M97" s="77">
        <f t="shared" si="196"/>
        <v>14</v>
      </c>
      <c r="N97" s="77">
        <f t="shared" si="196"/>
        <v>11</v>
      </c>
      <c r="O97" s="77">
        <f t="shared" si="196"/>
        <v>12</v>
      </c>
      <c r="P97" s="77">
        <f t="shared" si="196"/>
        <v>4</v>
      </c>
      <c r="Q97" s="77">
        <f t="shared" si="196"/>
        <v>-6</v>
      </c>
      <c r="R97" s="77">
        <f t="shared" si="196"/>
        <v>-6</v>
      </c>
      <c r="S97" s="77">
        <f t="shared" si="196"/>
        <v>-14</v>
      </c>
      <c r="T97" s="77">
        <f t="shared" si="196"/>
        <v>-14</v>
      </c>
      <c r="U97" s="77">
        <f t="shared" si="196"/>
        <v>-15</v>
      </c>
      <c r="V97" s="77">
        <f t="shared" si="196"/>
        <v>-52</v>
      </c>
      <c r="W97" s="77">
        <f t="shared" si="196"/>
        <v>15</v>
      </c>
      <c r="X97" s="77">
        <f t="shared" si="196"/>
        <v>15</v>
      </c>
      <c r="Y97" s="77">
        <f t="shared" si="196"/>
        <v>15</v>
      </c>
      <c r="Z97" s="77">
        <f t="shared" si="196"/>
        <v>16</v>
      </c>
      <c r="AA97" s="77">
        <f t="shared" si="196"/>
        <v>15</v>
      </c>
      <c r="AB97" s="77">
        <f t="shared" si="196"/>
        <v>15</v>
      </c>
      <c r="AC97" s="77">
        <f t="shared" si="196"/>
        <v>15</v>
      </c>
      <c r="AD97" s="77">
        <f t="shared" si="196"/>
        <v>15</v>
      </c>
      <c r="AE97" s="77">
        <f t="shared" si="196"/>
        <v>15</v>
      </c>
      <c r="AF97" s="77">
        <f t="shared" si="196"/>
        <v>15</v>
      </c>
      <c r="AG97" s="77">
        <f t="shared" si="196"/>
        <v>15</v>
      </c>
      <c r="AH97" s="77">
        <f t="shared" si="196"/>
        <v>15</v>
      </c>
      <c r="AI97" s="77">
        <f t="shared" si="196"/>
        <v>15</v>
      </c>
      <c r="AJ97" s="77">
        <f t="shared" si="196"/>
        <v>15</v>
      </c>
      <c r="AK97" s="77">
        <f t="shared" si="196"/>
        <v>14</v>
      </c>
      <c r="AL97" s="77">
        <f t="shared" si="196"/>
        <v>15</v>
      </c>
      <c r="AM97" s="77">
        <f t="shared" si="196"/>
        <v>2</v>
      </c>
      <c r="AN97" s="77">
        <f t="shared" si="196"/>
        <v>16</v>
      </c>
      <c r="AO97" s="77">
        <f t="shared" si="196"/>
        <v>-4</v>
      </c>
      <c r="AP97" s="77">
        <f t="shared" si="196"/>
        <v>16</v>
      </c>
      <c r="AQ97" s="77">
        <f t="shared" si="196"/>
        <v>16</v>
      </c>
      <c r="AR97" s="77">
        <f t="shared" si="196"/>
        <v>16</v>
      </c>
      <c r="AS97" s="77">
        <f t="shared" si="196"/>
        <v>16</v>
      </c>
      <c r="AT97" s="77">
        <f t="shared" si="196"/>
        <v>16</v>
      </c>
      <c r="AU97" s="77">
        <f t="shared" si="196"/>
        <v>15</v>
      </c>
      <c r="AV97" s="77">
        <f t="shared" si="196"/>
        <v>15</v>
      </c>
      <c r="AW97" s="77">
        <f t="shared" si="196"/>
        <v>15</v>
      </c>
      <c r="AX97" s="77">
        <f t="shared" si="196"/>
        <v>15</v>
      </c>
      <c r="AY97" s="77">
        <f t="shared" si="196"/>
        <v>16</v>
      </c>
      <c r="AZ97" s="77">
        <f t="shared" si="196"/>
        <v>16</v>
      </c>
      <c r="BA97" s="77">
        <f t="shared" si="196"/>
        <v>16</v>
      </c>
      <c r="BB97" s="77">
        <f t="shared" si="196"/>
        <v>16</v>
      </c>
      <c r="BC97" s="77">
        <f t="shared" si="196"/>
        <v>16</v>
      </c>
      <c r="BD97" s="77">
        <f t="shared" si="196"/>
        <v>16</v>
      </c>
      <c r="BE97" s="77">
        <f t="shared" si="196"/>
        <v>16</v>
      </c>
      <c r="BF97" s="77">
        <f t="shared" si="196"/>
        <v>16</v>
      </c>
      <c r="BG97" s="77">
        <f t="shared" si="196"/>
        <v>15</v>
      </c>
    </row>
    <row r="98" spans="2:59" x14ac:dyDescent="0.25">
      <c r="C98" t="s">
        <v>489</v>
      </c>
      <c r="D98" s="7" t="s">
        <v>495</v>
      </c>
      <c r="E98" s="77">
        <f>IF(E93&lt;2299161,E93,E93+1+E97-_xlfn.FLOOR.MATH(E97/4))</f>
        <v>2436155</v>
      </c>
      <c r="F98" s="77">
        <f t="shared" ref="F98:BG98" si="197">IF(F93&lt;2299161,F93,F93+1+F97-_xlfn.FLOOR.MATH(F97/4))</f>
        <v>1842755</v>
      </c>
      <c r="G98" s="77">
        <f t="shared" si="197"/>
        <v>2451571</v>
      </c>
      <c r="H98" s="77">
        <f t="shared" si="197"/>
        <v>2451216</v>
      </c>
      <c r="I98" s="77">
        <f t="shared" si="197"/>
        <v>2446845</v>
      </c>
      <c r="J98" s="77">
        <f t="shared" si="197"/>
        <v>2446994</v>
      </c>
      <c r="K98" s="77">
        <f t="shared" si="197"/>
        <v>2447199</v>
      </c>
      <c r="L98" s="77">
        <f t="shared" si="197"/>
        <v>2447348</v>
      </c>
      <c r="M98" s="77">
        <f t="shared" si="197"/>
        <v>2415040</v>
      </c>
      <c r="N98" s="77">
        <f t="shared" si="197"/>
        <v>2305480</v>
      </c>
      <c r="O98" s="77">
        <f t="shared" si="197"/>
        <v>2305864</v>
      </c>
      <c r="P98" s="77">
        <f t="shared" si="197"/>
        <v>2026878</v>
      </c>
      <c r="Q98" s="77">
        <f t="shared" si="197"/>
        <v>1676528</v>
      </c>
      <c r="R98" s="77">
        <f t="shared" si="197"/>
        <v>1676498</v>
      </c>
      <c r="S98" s="77">
        <f t="shared" si="197"/>
        <v>1356002</v>
      </c>
      <c r="T98" s="77">
        <f t="shared" si="197"/>
        <v>1355913</v>
      </c>
      <c r="U98" s="77">
        <f t="shared" si="197"/>
        <v>1355678</v>
      </c>
      <c r="V98" s="77">
        <f t="shared" si="197"/>
        <v>18</v>
      </c>
      <c r="W98" s="77">
        <f t="shared" si="197"/>
        <v>2446935</v>
      </c>
      <c r="X98" s="77">
        <f t="shared" si="197"/>
        <v>2448765</v>
      </c>
      <c r="Y98" s="77">
        <f t="shared" si="197"/>
        <v>2443214</v>
      </c>
      <c r="Z98" s="77">
        <f t="shared" si="197"/>
        <v>2467636</v>
      </c>
      <c r="AA98" s="77">
        <f t="shared" si="197"/>
        <v>2451571</v>
      </c>
      <c r="AB98" s="77">
        <f t="shared" si="197"/>
        <v>2434945</v>
      </c>
      <c r="AC98" s="77">
        <f t="shared" si="197"/>
        <v>2443863</v>
      </c>
      <c r="AD98" s="77">
        <f t="shared" si="197"/>
        <v>2447288</v>
      </c>
      <c r="AE98" s="77">
        <f t="shared" si="197"/>
        <v>2443214</v>
      </c>
      <c r="AF98" s="77">
        <f t="shared" si="197"/>
        <v>2449002</v>
      </c>
      <c r="AG98" s="77">
        <f t="shared" si="197"/>
        <v>2448942</v>
      </c>
      <c r="AH98" s="77">
        <f t="shared" si="197"/>
        <v>2448352</v>
      </c>
      <c r="AI98" s="77">
        <f t="shared" si="197"/>
        <v>2448736</v>
      </c>
      <c r="AJ98" s="77">
        <f t="shared" si="197"/>
        <v>2449149</v>
      </c>
      <c r="AK98" s="77">
        <f t="shared" si="197"/>
        <v>2385096</v>
      </c>
      <c r="AL98" s="77">
        <f t="shared" si="197"/>
        <v>2448175</v>
      </c>
      <c r="AM98" s="77">
        <f t="shared" si="197"/>
        <v>1948445</v>
      </c>
      <c r="AN98" s="77">
        <f t="shared" si="197"/>
        <v>2451659</v>
      </c>
      <c r="AO98" s="77">
        <f t="shared" si="197"/>
        <v>1721444</v>
      </c>
      <c r="AP98" s="77">
        <f t="shared" si="197"/>
        <v>2459869</v>
      </c>
      <c r="AQ98" s="77">
        <f t="shared" si="197"/>
        <v>2459869</v>
      </c>
      <c r="AR98" s="77">
        <f t="shared" si="197"/>
        <v>2459898</v>
      </c>
      <c r="AS98" s="77">
        <f t="shared" si="197"/>
        <v>2459898</v>
      </c>
      <c r="AT98" s="77">
        <f t="shared" si="197"/>
        <v>2459898</v>
      </c>
      <c r="AU98" s="77">
        <f t="shared" si="197"/>
        <v>2441854</v>
      </c>
      <c r="AV98" s="77">
        <f t="shared" si="197"/>
        <v>2450715</v>
      </c>
      <c r="AW98" s="77">
        <f t="shared" si="197"/>
        <v>2427827</v>
      </c>
      <c r="AX98" s="77">
        <f t="shared" si="197"/>
        <v>2435979</v>
      </c>
      <c r="AY98" s="77">
        <f t="shared" si="197"/>
        <v>2459927</v>
      </c>
      <c r="AZ98" s="77">
        <f t="shared" si="197"/>
        <v>2459927</v>
      </c>
      <c r="BA98" s="77">
        <f t="shared" si="197"/>
        <v>2459957</v>
      </c>
      <c r="BB98" s="77">
        <f t="shared" si="197"/>
        <v>2459957</v>
      </c>
      <c r="BC98" s="77">
        <f t="shared" si="197"/>
        <v>2459957</v>
      </c>
      <c r="BD98" s="77">
        <f t="shared" si="197"/>
        <v>2459957</v>
      </c>
      <c r="BE98" s="77">
        <f t="shared" si="197"/>
        <v>2459957</v>
      </c>
      <c r="BF98" s="77">
        <f t="shared" si="197"/>
        <v>2459957</v>
      </c>
      <c r="BG98" s="77">
        <f t="shared" si="197"/>
        <v>2443214</v>
      </c>
    </row>
    <row r="99" spans="2:59" x14ac:dyDescent="0.25">
      <c r="B99">
        <v>63</v>
      </c>
      <c r="C99" t="s">
        <v>158</v>
      </c>
      <c r="D99" s="7" t="s">
        <v>499</v>
      </c>
      <c r="E99" s="77">
        <f>E98+1524</f>
        <v>2437679</v>
      </c>
      <c r="F99" s="77">
        <f t="shared" ref="F99:BG99" si="198">F98+1524</f>
        <v>1844279</v>
      </c>
      <c r="G99" s="77">
        <f t="shared" si="198"/>
        <v>2453095</v>
      </c>
      <c r="H99" s="77">
        <f t="shared" si="198"/>
        <v>2452740</v>
      </c>
      <c r="I99" s="77">
        <f t="shared" si="198"/>
        <v>2448369</v>
      </c>
      <c r="J99" s="77">
        <f t="shared" si="198"/>
        <v>2448518</v>
      </c>
      <c r="K99" s="77">
        <f t="shared" si="198"/>
        <v>2448723</v>
      </c>
      <c r="L99" s="77">
        <f t="shared" si="198"/>
        <v>2448872</v>
      </c>
      <c r="M99" s="77">
        <f t="shared" si="198"/>
        <v>2416564</v>
      </c>
      <c r="N99" s="77">
        <f t="shared" si="198"/>
        <v>2307004</v>
      </c>
      <c r="O99" s="77">
        <f t="shared" si="198"/>
        <v>2307388</v>
      </c>
      <c r="P99" s="77">
        <f t="shared" si="198"/>
        <v>2028402</v>
      </c>
      <c r="Q99" s="77">
        <f t="shared" si="198"/>
        <v>1678052</v>
      </c>
      <c r="R99" s="77">
        <f t="shared" si="198"/>
        <v>1678022</v>
      </c>
      <c r="S99" s="77">
        <f t="shared" si="198"/>
        <v>1357526</v>
      </c>
      <c r="T99" s="77">
        <f t="shared" si="198"/>
        <v>1357437</v>
      </c>
      <c r="U99" s="77">
        <f t="shared" si="198"/>
        <v>1357202</v>
      </c>
      <c r="V99" s="77">
        <f t="shared" si="198"/>
        <v>1542</v>
      </c>
      <c r="W99" s="77">
        <f t="shared" si="198"/>
        <v>2448459</v>
      </c>
      <c r="X99" s="77">
        <f t="shared" si="198"/>
        <v>2450289</v>
      </c>
      <c r="Y99" s="77">
        <f t="shared" si="198"/>
        <v>2444738</v>
      </c>
      <c r="Z99" s="77">
        <f t="shared" si="198"/>
        <v>2469160</v>
      </c>
      <c r="AA99" s="77">
        <f t="shared" si="198"/>
        <v>2453095</v>
      </c>
      <c r="AB99" s="77">
        <f t="shared" si="198"/>
        <v>2436469</v>
      </c>
      <c r="AC99" s="77">
        <f t="shared" si="198"/>
        <v>2445387</v>
      </c>
      <c r="AD99" s="77">
        <f t="shared" si="198"/>
        <v>2448812</v>
      </c>
      <c r="AE99" s="77">
        <f t="shared" si="198"/>
        <v>2444738</v>
      </c>
      <c r="AF99" s="77">
        <f t="shared" si="198"/>
        <v>2450526</v>
      </c>
      <c r="AG99" s="77">
        <f t="shared" si="198"/>
        <v>2450466</v>
      </c>
      <c r="AH99" s="77">
        <f t="shared" si="198"/>
        <v>2449876</v>
      </c>
      <c r="AI99" s="77">
        <f t="shared" si="198"/>
        <v>2450260</v>
      </c>
      <c r="AJ99" s="77">
        <f t="shared" si="198"/>
        <v>2450673</v>
      </c>
      <c r="AK99" s="77">
        <f t="shared" si="198"/>
        <v>2386620</v>
      </c>
      <c r="AL99" s="77">
        <f t="shared" si="198"/>
        <v>2449699</v>
      </c>
      <c r="AM99" s="77">
        <f t="shared" si="198"/>
        <v>1949969</v>
      </c>
      <c r="AN99" s="77">
        <f t="shared" si="198"/>
        <v>2453183</v>
      </c>
      <c r="AO99" s="77">
        <f t="shared" si="198"/>
        <v>1722968</v>
      </c>
      <c r="AP99" s="77">
        <f t="shared" si="198"/>
        <v>2461393</v>
      </c>
      <c r="AQ99" s="77">
        <f t="shared" si="198"/>
        <v>2461393</v>
      </c>
      <c r="AR99" s="77">
        <f t="shared" si="198"/>
        <v>2461422</v>
      </c>
      <c r="AS99" s="77">
        <f t="shared" si="198"/>
        <v>2461422</v>
      </c>
      <c r="AT99" s="77">
        <f t="shared" si="198"/>
        <v>2461422</v>
      </c>
      <c r="AU99" s="77">
        <f t="shared" si="198"/>
        <v>2443378</v>
      </c>
      <c r="AV99" s="77">
        <f t="shared" si="198"/>
        <v>2452239</v>
      </c>
      <c r="AW99" s="77">
        <f t="shared" si="198"/>
        <v>2429351</v>
      </c>
      <c r="AX99" s="77">
        <f t="shared" si="198"/>
        <v>2437503</v>
      </c>
      <c r="AY99" s="77">
        <f t="shared" si="198"/>
        <v>2461451</v>
      </c>
      <c r="AZ99" s="77">
        <f t="shared" si="198"/>
        <v>2461451</v>
      </c>
      <c r="BA99" s="77">
        <f t="shared" si="198"/>
        <v>2461481</v>
      </c>
      <c r="BB99" s="77">
        <f t="shared" si="198"/>
        <v>2461481</v>
      </c>
      <c r="BC99" s="77">
        <f t="shared" si="198"/>
        <v>2461481</v>
      </c>
      <c r="BD99" s="77">
        <f t="shared" si="198"/>
        <v>2461481</v>
      </c>
      <c r="BE99" s="77">
        <f t="shared" si="198"/>
        <v>2461481</v>
      </c>
      <c r="BF99" s="77">
        <f t="shared" si="198"/>
        <v>2461481</v>
      </c>
      <c r="BG99" s="77">
        <f t="shared" si="198"/>
        <v>2444738</v>
      </c>
    </row>
    <row r="100" spans="2:59" x14ac:dyDescent="0.25">
      <c r="B100">
        <v>63</v>
      </c>
      <c r="C100" t="s">
        <v>502</v>
      </c>
      <c r="D100" s="7" t="s">
        <v>504</v>
      </c>
      <c r="E100" s="77">
        <f>_xlfn.FLOOR.MATH((E99-122.1)/365.25)</f>
        <v>6673</v>
      </c>
      <c r="F100" s="77">
        <f t="shared" ref="F100:BG100" si="199">_xlfn.FLOOR.MATH((F99-122.1)/365.25)</f>
        <v>5049</v>
      </c>
      <c r="G100" s="77">
        <f t="shared" si="199"/>
        <v>6715</v>
      </c>
      <c r="H100" s="77">
        <f t="shared" si="199"/>
        <v>6714</v>
      </c>
      <c r="I100" s="77">
        <f t="shared" si="199"/>
        <v>6702</v>
      </c>
      <c r="J100" s="77">
        <f t="shared" si="199"/>
        <v>6703</v>
      </c>
      <c r="K100" s="77">
        <f t="shared" si="199"/>
        <v>6703</v>
      </c>
      <c r="L100" s="77">
        <f t="shared" si="199"/>
        <v>6704</v>
      </c>
      <c r="M100" s="77">
        <f t="shared" si="199"/>
        <v>6615</v>
      </c>
      <c r="N100" s="77">
        <f t="shared" si="199"/>
        <v>6315</v>
      </c>
      <c r="O100" s="77">
        <f t="shared" si="199"/>
        <v>6316</v>
      </c>
      <c r="P100" s="77">
        <f t="shared" si="199"/>
        <v>5553</v>
      </c>
      <c r="Q100" s="77">
        <f t="shared" si="199"/>
        <v>4593</v>
      </c>
      <c r="R100" s="77">
        <f t="shared" si="199"/>
        <v>4593</v>
      </c>
      <c r="S100" s="77">
        <f t="shared" si="199"/>
        <v>3716</v>
      </c>
      <c r="T100" s="77">
        <f t="shared" si="199"/>
        <v>3716</v>
      </c>
      <c r="U100" s="77">
        <f t="shared" si="199"/>
        <v>3715</v>
      </c>
      <c r="V100" s="77">
        <f t="shared" si="199"/>
        <v>3</v>
      </c>
      <c r="W100" s="77">
        <f t="shared" si="199"/>
        <v>6703</v>
      </c>
      <c r="X100" s="77">
        <f t="shared" si="199"/>
        <v>6708</v>
      </c>
      <c r="Y100" s="77">
        <f t="shared" si="199"/>
        <v>6692</v>
      </c>
      <c r="Z100" s="77">
        <f t="shared" si="199"/>
        <v>6759</v>
      </c>
      <c r="AA100" s="77">
        <f t="shared" si="199"/>
        <v>6715</v>
      </c>
      <c r="AB100" s="77">
        <f t="shared" si="199"/>
        <v>6670</v>
      </c>
      <c r="AC100" s="77">
        <f t="shared" si="199"/>
        <v>6694</v>
      </c>
      <c r="AD100" s="77">
        <f t="shared" si="199"/>
        <v>6704</v>
      </c>
      <c r="AE100" s="77">
        <f t="shared" si="199"/>
        <v>6692</v>
      </c>
      <c r="AF100" s="77">
        <f t="shared" si="199"/>
        <v>6708</v>
      </c>
      <c r="AG100" s="77">
        <f t="shared" si="199"/>
        <v>6708</v>
      </c>
      <c r="AH100" s="77">
        <f t="shared" si="199"/>
        <v>6707</v>
      </c>
      <c r="AI100" s="77">
        <f t="shared" si="199"/>
        <v>6708</v>
      </c>
      <c r="AJ100" s="77">
        <f t="shared" si="199"/>
        <v>6709</v>
      </c>
      <c r="AK100" s="77">
        <f t="shared" si="199"/>
        <v>6533</v>
      </c>
      <c r="AL100" s="77">
        <f t="shared" si="199"/>
        <v>6706</v>
      </c>
      <c r="AM100" s="77">
        <f t="shared" si="199"/>
        <v>5338</v>
      </c>
      <c r="AN100" s="77">
        <f t="shared" si="199"/>
        <v>6716</v>
      </c>
      <c r="AO100" s="77">
        <f t="shared" si="199"/>
        <v>4716</v>
      </c>
      <c r="AP100" s="77">
        <f t="shared" si="199"/>
        <v>6738</v>
      </c>
      <c r="AQ100" s="77">
        <f t="shared" si="199"/>
        <v>6738</v>
      </c>
      <c r="AR100" s="77">
        <f t="shared" si="199"/>
        <v>6738</v>
      </c>
      <c r="AS100" s="77">
        <f t="shared" si="199"/>
        <v>6738</v>
      </c>
      <c r="AT100" s="77">
        <f t="shared" si="199"/>
        <v>6738</v>
      </c>
      <c r="AU100" s="77">
        <f t="shared" si="199"/>
        <v>6689</v>
      </c>
      <c r="AV100" s="77">
        <f t="shared" si="199"/>
        <v>6713</v>
      </c>
      <c r="AW100" s="77">
        <f t="shared" si="199"/>
        <v>6650</v>
      </c>
      <c r="AX100" s="77">
        <f t="shared" si="199"/>
        <v>6673</v>
      </c>
      <c r="AY100" s="77">
        <f t="shared" si="199"/>
        <v>6738</v>
      </c>
      <c r="AZ100" s="77">
        <f t="shared" si="199"/>
        <v>6738</v>
      </c>
      <c r="BA100" s="77">
        <f t="shared" si="199"/>
        <v>6738</v>
      </c>
      <c r="BB100" s="77">
        <f t="shared" si="199"/>
        <v>6738</v>
      </c>
      <c r="BC100" s="77">
        <f t="shared" si="199"/>
        <v>6738</v>
      </c>
      <c r="BD100" s="77">
        <f t="shared" si="199"/>
        <v>6738</v>
      </c>
      <c r="BE100" s="77">
        <f t="shared" si="199"/>
        <v>6738</v>
      </c>
      <c r="BF100" s="77">
        <f t="shared" si="199"/>
        <v>6738</v>
      </c>
      <c r="BG100" s="77">
        <f t="shared" si="199"/>
        <v>6692</v>
      </c>
    </row>
    <row r="101" spans="2:59" x14ac:dyDescent="0.25">
      <c r="B101">
        <v>63</v>
      </c>
      <c r="C101" t="s">
        <v>159</v>
      </c>
      <c r="D101" s="7" t="s">
        <v>508</v>
      </c>
      <c r="E101" s="77">
        <f>_xlfn.FLOOR.MATH(E100*365.25)</f>
        <v>2437313</v>
      </c>
      <c r="F101" s="77">
        <f t="shared" ref="F101:BG101" si="200">_xlfn.FLOOR.MATH(F100*365.25)</f>
        <v>1844147</v>
      </c>
      <c r="G101" s="77">
        <f t="shared" si="200"/>
        <v>2452653</v>
      </c>
      <c r="H101" s="77">
        <f t="shared" si="200"/>
        <v>2452288</v>
      </c>
      <c r="I101" s="77">
        <f t="shared" si="200"/>
        <v>2447905</v>
      </c>
      <c r="J101" s="77">
        <f t="shared" si="200"/>
        <v>2448270</v>
      </c>
      <c r="K101" s="77">
        <f t="shared" si="200"/>
        <v>2448270</v>
      </c>
      <c r="L101" s="77">
        <f t="shared" si="200"/>
        <v>2448636</v>
      </c>
      <c r="M101" s="77">
        <f t="shared" si="200"/>
        <v>2416128</v>
      </c>
      <c r="N101" s="77">
        <f t="shared" si="200"/>
        <v>2306553</v>
      </c>
      <c r="O101" s="77">
        <f t="shared" si="200"/>
        <v>2306919</v>
      </c>
      <c r="P101" s="77">
        <f t="shared" si="200"/>
        <v>2028233</v>
      </c>
      <c r="Q101" s="77">
        <f t="shared" si="200"/>
        <v>1677593</v>
      </c>
      <c r="R101" s="77">
        <f t="shared" si="200"/>
        <v>1677593</v>
      </c>
      <c r="S101" s="77">
        <f t="shared" si="200"/>
        <v>1357269</v>
      </c>
      <c r="T101" s="77">
        <f t="shared" si="200"/>
        <v>1357269</v>
      </c>
      <c r="U101" s="77">
        <f t="shared" si="200"/>
        <v>1356903</v>
      </c>
      <c r="V101" s="77">
        <f t="shared" si="200"/>
        <v>1095</v>
      </c>
      <c r="W101" s="77">
        <f t="shared" si="200"/>
        <v>2448270</v>
      </c>
      <c r="X101" s="77">
        <f t="shared" si="200"/>
        <v>2450097</v>
      </c>
      <c r="Y101" s="77">
        <f t="shared" si="200"/>
        <v>2444253</v>
      </c>
      <c r="Z101" s="77">
        <f t="shared" si="200"/>
        <v>2468724</v>
      </c>
      <c r="AA101" s="77">
        <f t="shared" si="200"/>
        <v>2452653</v>
      </c>
      <c r="AB101" s="77">
        <f t="shared" si="200"/>
        <v>2436217</v>
      </c>
      <c r="AC101" s="77">
        <f t="shared" si="200"/>
        <v>2444983</v>
      </c>
      <c r="AD101" s="77">
        <f t="shared" si="200"/>
        <v>2448636</v>
      </c>
      <c r="AE101" s="77">
        <f t="shared" si="200"/>
        <v>2444253</v>
      </c>
      <c r="AF101" s="77">
        <f t="shared" si="200"/>
        <v>2450097</v>
      </c>
      <c r="AG101" s="77">
        <f t="shared" si="200"/>
        <v>2450097</v>
      </c>
      <c r="AH101" s="77">
        <f t="shared" si="200"/>
        <v>2449731</v>
      </c>
      <c r="AI101" s="77">
        <f t="shared" si="200"/>
        <v>2450097</v>
      </c>
      <c r="AJ101" s="77">
        <f t="shared" si="200"/>
        <v>2450462</v>
      </c>
      <c r="AK101" s="77">
        <f t="shared" si="200"/>
        <v>2386178</v>
      </c>
      <c r="AL101" s="77">
        <f t="shared" si="200"/>
        <v>2449366</v>
      </c>
      <c r="AM101" s="77">
        <f t="shared" si="200"/>
        <v>1949704</v>
      </c>
      <c r="AN101" s="77">
        <f t="shared" si="200"/>
        <v>2453019</v>
      </c>
      <c r="AO101" s="77">
        <f t="shared" si="200"/>
        <v>1722519</v>
      </c>
      <c r="AP101" s="77">
        <f t="shared" si="200"/>
        <v>2461054</v>
      </c>
      <c r="AQ101" s="77">
        <f t="shared" si="200"/>
        <v>2461054</v>
      </c>
      <c r="AR101" s="77">
        <f t="shared" si="200"/>
        <v>2461054</v>
      </c>
      <c r="AS101" s="77">
        <f t="shared" si="200"/>
        <v>2461054</v>
      </c>
      <c r="AT101" s="77">
        <f t="shared" si="200"/>
        <v>2461054</v>
      </c>
      <c r="AU101" s="77">
        <f t="shared" si="200"/>
        <v>2443157</v>
      </c>
      <c r="AV101" s="77">
        <f t="shared" si="200"/>
        <v>2451923</v>
      </c>
      <c r="AW101" s="77">
        <f t="shared" si="200"/>
        <v>2428912</v>
      </c>
      <c r="AX101" s="77">
        <f t="shared" si="200"/>
        <v>2437313</v>
      </c>
      <c r="AY101" s="77">
        <f t="shared" si="200"/>
        <v>2461054</v>
      </c>
      <c r="AZ101" s="77">
        <f t="shared" si="200"/>
        <v>2461054</v>
      </c>
      <c r="BA101" s="77">
        <f t="shared" si="200"/>
        <v>2461054</v>
      </c>
      <c r="BB101" s="77">
        <f t="shared" si="200"/>
        <v>2461054</v>
      </c>
      <c r="BC101" s="77">
        <f t="shared" si="200"/>
        <v>2461054</v>
      </c>
      <c r="BD101" s="77">
        <f t="shared" si="200"/>
        <v>2461054</v>
      </c>
      <c r="BE101" s="77">
        <f t="shared" si="200"/>
        <v>2461054</v>
      </c>
      <c r="BF101" s="77">
        <f t="shared" si="200"/>
        <v>2461054</v>
      </c>
      <c r="BG101" s="77">
        <f t="shared" si="200"/>
        <v>2444253</v>
      </c>
    </row>
    <row r="102" spans="2:59" x14ac:dyDescent="0.25">
      <c r="B102">
        <v>63</v>
      </c>
      <c r="C102" t="s">
        <v>160</v>
      </c>
      <c r="D102" s="7" t="s">
        <v>384</v>
      </c>
      <c r="E102" s="77">
        <f>_xlfn.FLOOR.MATH((E99-E101)/30.6001)</f>
        <v>11</v>
      </c>
      <c r="F102" s="77">
        <f t="shared" ref="F102:BG102" si="201">_xlfn.FLOOR.MATH((F99-F101)/30.6001)</f>
        <v>4</v>
      </c>
      <c r="G102" s="77">
        <f t="shared" si="201"/>
        <v>14</v>
      </c>
      <c r="H102" s="77">
        <f t="shared" si="201"/>
        <v>14</v>
      </c>
      <c r="I102" s="77">
        <f t="shared" si="201"/>
        <v>15</v>
      </c>
      <c r="J102" s="77">
        <f t="shared" si="201"/>
        <v>8</v>
      </c>
      <c r="K102" s="77">
        <f t="shared" si="201"/>
        <v>14</v>
      </c>
      <c r="L102" s="77">
        <f t="shared" si="201"/>
        <v>7</v>
      </c>
      <c r="M102" s="77">
        <f t="shared" si="201"/>
        <v>14</v>
      </c>
      <c r="N102" s="77">
        <f t="shared" si="201"/>
        <v>14</v>
      </c>
      <c r="O102" s="77">
        <f t="shared" si="201"/>
        <v>15</v>
      </c>
      <c r="P102" s="77">
        <f t="shared" si="201"/>
        <v>5</v>
      </c>
      <c r="Q102" s="77">
        <f t="shared" si="201"/>
        <v>14</v>
      </c>
      <c r="R102" s="77">
        <f t="shared" si="201"/>
        <v>14</v>
      </c>
      <c r="S102" s="77">
        <f t="shared" si="201"/>
        <v>8</v>
      </c>
      <c r="T102" s="77">
        <f t="shared" si="201"/>
        <v>5</v>
      </c>
      <c r="U102" s="77">
        <f t="shared" si="201"/>
        <v>9</v>
      </c>
      <c r="V102" s="77">
        <f t="shared" si="201"/>
        <v>14</v>
      </c>
      <c r="W102" s="77">
        <f t="shared" si="201"/>
        <v>6</v>
      </c>
      <c r="X102" s="77">
        <f t="shared" si="201"/>
        <v>6</v>
      </c>
      <c r="Y102" s="77">
        <f t="shared" si="201"/>
        <v>15</v>
      </c>
      <c r="Z102" s="77">
        <f t="shared" si="201"/>
        <v>14</v>
      </c>
      <c r="AA102" s="77">
        <f t="shared" si="201"/>
        <v>14</v>
      </c>
      <c r="AB102" s="77">
        <f t="shared" si="201"/>
        <v>8</v>
      </c>
      <c r="AC102" s="77">
        <f t="shared" si="201"/>
        <v>13</v>
      </c>
      <c r="AD102" s="77">
        <f t="shared" si="201"/>
        <v>5</v>
      </c>
      <c r="AE102" s="77">
        <f t="shared" si="201"/>
        <v>15</v>
      </c>
      <c r="AF102" s="77">
        <f t="shared" si="201"/>
        <v>14</v>
      </c>
      <c r="AG102" s="77">
        <f t="shared" si="201"/>
        <v>12</v>
      </c>
      <c r="AH102" s="77">
        <f t="shared" si="201"/>
        <v>4</v>
      </c>
      <c r="AI102" s="77">
        <f t="shared" si="201"/>
        <v>5</v>
      </c>
      <c r="AJ102" s="77">
        <f t="shared" si="201"/>
        <v>6</v>
      </c>
      <c r="AK102" s="77">
        <f t="shared" si="201"/>
        <v>14</v>
      </c>
      <c r="AL102" s="77">
        <f t="shared" si="201"/>
        <v>10</v>
      </c>
      <c r="AM102" s="77">
        <f t="shared" si="201"/>
        <v>8</v>
      </c>
      <c r="AN102" s="77">
        <f t="shared" si="201"/>
        <v>5</v>
      </c>
      <c r="AO102" s="77">
        <f t="shared" si="201"/>
        <v>14</v>
      </c>
      <c r="AP102" s="77">
        <f t="shared" si="201"/>
        <v>11</v>
      </c>
      <c r="AQ102" s="77">
        <f t="shared" si="201"/>
        <v>11</v>
      </c>
      <c r="AR102" s="77">
        <f t="shared" si="201"/>
        <v>12</v>
      </c>
      <c r="AS102" s="77">
        <f t="shared" si="201"/>
        <v>12</v>
      </c>
      <c r="AT102" s="77">
        <f t="shared" si="201"/>
        <v>12</v>
      </c>
      <c r="AU102" s="77">
        <f t="shared" si="201"/>
        <v>7</v>
      </c>
      <c r="AV102" s="77">
        <f t="shared" si="201"/>
        <v>10</v>
      </c>
      <c r="AW102" s="77">
        <f t="shared" si="201"/>
        <v>14</v>
      </c>
      <c r="AX102" s="77">
        <f t="shared" si="201"/>
        <v>6</v>
      </c>
      <c r="AY102" s="77">
        <f t="shared" si="201"/>
        <v>12</v>
      </c>
      <c r="AZ102" s="77">
        <f t="shared" si="201"/>
        <v>12</v>
      </c>
      <c r="BA102" s="77">
        <f t="shared" si="201"/>
        <v>13</v>
      </c>
      <c r="BB102" s="77">
        <f t="shared" si="201"/>
        <v>13</v>
      </c>
      <c r="BC102" s="77">
        <f t="shared" si="201"/>
        <v>13</v>
      </c>
      <c r="BD102" s="77">
        <f t="shared" si="201"/>
        <v>13</v>
      </c>
      <c r="BE102" s="77">
        <f t="shared" si="201"/>
        <v>13</v>
      </c>
      <c r="BF102" s="77">
        <f t="shared" si="201"/>
        <v>13</v>
      </c>
      <c r="BG102" s="77">
        <f t="shared" si="201"/>
        <v>15</v>
      </c>
    </row>
    <row r="103" spans="2:59" x14ac:dyDescent="0.25">
      <c r="B103">
        <v>63</v>
      </c>
      <c r="C103" t="s">
        <v>511</v>
      </c>
      <c r="D103"/>
    </row>
    <row r="104" spans="2:59" x14ac:dyDescent="0.25">
      <c r="C104" t="s">
        <v>513</v>
      </c>
      <c r="D104" s="7" t="s">
        <v>514</v>
      </c>
      <c r="E104" s="16">
        <f>E99-E101-INT(30.6001*E102)+E94</f>
        <v>30.450242244638503</v>
      </c>
      <c r="F104" s="16">
        <f t="shared" ref="F104:BG104" si="202">F99-F101-INT(30.6001*F102)+F94</f>
        <v>10.171772530302405</v>
      </c>
      <c r="G104" s="16">
        <f t="shared" si="202"/>
        <v>14.566086384002119</v>
      </c>
      <c r="H104" s="16">
        <f t="shared" si="202"/>
        <v>24.80297991540283</v>
      </c>
      <c r="I104" s="16">
        <f t="shared" si="202"/>
        <v>5.6817767079919577</v>
      </c>
      <c r="J104" s="16">
        <f t="shared" si="202"/>
        <v>4.3576631625182927</v>
      </c>
      <c r="K104" s="16">
        <f t="shared" si="202"/>
        <v>25.912847874686122</v>
      </c>
      <c r="L104" s="16">
        <f t="shared" si="202"/>
        <v>22.433252951130271</v>
      </c>
      <c r="M104" s="16">
        <f t="shared" si="202"/>
        <v>8.2360753039829433</v>
      </c>
      <c r="N104" s="16">
        <f t="shared" si="202"/>
        <v>23.002773242071271</v>
      </c>
      <c r="O104" s="16">
        <f t="shared" si="202"/>
        <v>10.190387519542128</v>
      </c>
      <c r="P104" s="16">
        <f t="shared" si="202"/>
        <v>16.831849877024069</v>
      </c>
      <c r="Q104" s="16">
        <f t="shared" si="202"/>
        <v>31.526070786872879</v>
      </c>
      <c r="R104" s="16">
        <f t="shared" si="202"/>
        <v>1.8279667010065168</v>
      </c>
      <c r="S104" s="16">
        <f t="shared" si="202"/>
        <v>13.145579394884408</v>
      </c>
      <c r="T104" s="16">
        <f t="shared" si="202"/>
        <v>15.869638416683301</v>
      </c>
      <c r="U104" s="16">
        <f t="shared" si="202"/>
        <v>24.00976113579236</v>
      </c>
      <c r="V104" s="16">
        <f t="shared" si="202"/>
        <v>19.024230721479249</v>
      </c>
      <c r="W104" s="16">
        <f t="shared" si="202"/>
        <v>6.1016075112856925</v>
      </c>
      <c r="X104" s="16">
        <f t="shared" si="202"/>
        <v>9.6559672132134438</v>
      </c>
      <c r="Y104" s="16">
        <f t="shared" si="202"/>
        <v>26.118699906393886</v>
      </c>
      <c r="Z104" s="16">
        <f t="shared" si="202"/>
        <v>8.1688704900443554</v>
      </c>
      <c r="AA104" s="16">
        <f t="shared" si="202"/>
        <v>14.566086384002119</v>
      </c>
      <c r="AB104" s="16">
        <f t="shared" si="202"/>
        <v>8.0651679947040975</v>
      </c>
      <c r="AC104" s="16">
        <f t="shared" si="202"/>
        <v>7.0241192202083766</v>
      </c>
      <c r="AD104" s="16">
        <f t="shared" si="202"/>
        <v>23.939438761211932</v>
      </c>
      <c r="AE104" s="16">
        <f t="shared" si="202"/>
        <v>26.118699906393886</v>
      </c>
      <c r="AF104" s="16">
        <f t="shared" si="202"/>
        <v>1.1522914562374353</v>
      </c>
      <c r="AG104" s="16">
        <f t="shared" si="202"/>
        <v>2.3835027585737407</v>
      </c>
      <c r="AH104" s="16">
        <f t="shared" si="202"/>
        <v>23.252634451724589</v>
      </c>
      <c r="AI104" s="16">
        <f t="shared" si="202"/>
        <v>10.42156226048246</v>
      </c>
      <c r="AJ104" s="16">
        <f t="shared" si="202"/>
        <v>28.765587031375617</v>
      </c>
      <c r="AK104" s="16">
        <f t="shared" si="202"/>
        <v>14.286616508383304</v>
      </c>
      <c r="AL104" s="16">
        <f t="shared" si="202"/>
        <v>27.087782351765782</v>
      </c>
      <c r="AM104" s="16">
        <f t="shared" si="202"/>
        <v>21.090682854410261</v>
      </c>
      <c r="AN104" s="16">
        <f t="shared" si="202"/>
        <v>11.563559597823769</v>
      </c>
      <c r="AO104" s="16">
        <f t="shared" si="202"/>
        <v>21.502202405128628</v>
      </c>
      <c r="AP104" s="16">
        <f t="shared" si="202"/>
        <v>3.0105717247352004</v>
      </c>
      <c r="AQ104" s="16">
        <f t="shared" si="202"/>
        <v>3.0105717247352004</v>
      </c>
      <c r="AR104" s="16">
        <f t="shared" si="202"/>
        <v>1.2765238061547279</v>
      </c>
      <c r="AS104" s="16">
        <f t="shared" si="202"/>
        <v>1.2765238061547279</v>
      </c>
      <c r="AT104" s="16">
        <f t="shared" si="202"/>
        <v>1.2765238061547279</v>
      </c>
      <c r="AU104" s="16">
        <f t="shared" si="202"/>
        <v>7.8829253618605435</v>
      </c>
      <c r="AV104" s="16">
        <f t="shared" si="202"/>
        <v>10.064044978003949</v>
      </c>
      <c r="AW104" s="16">
        <f t="shared" si="202"/>
        <v>11.871651321649551</v>
      </c>
      <c r="AX104" s="16">
        <f t="shared" si="202"/>
        <v>7.1041979934088886</v>
      </c>
      <c r="AY104" s="16">
        <f t="shared" si="202"/>
        <v>30.609480618499219</v>
      </c>
      <c r="AZ104" s="16">
        <f t="shared" si="202"/>
        <v>30.609480618499219</v>
      </c>
      <c r="BA104" s="16">
        <f t="shared" si="202"/>
        <v>30.056800891645253</v>
      </c>
      <c r="BB104" s="16">
        <f t="shared" si="202"/>
        <v>30.056800891645253</v>
      </c>
      <c r="BC104" s="16">
        <f t="shared" si="202"/>
        <v>30.056800891645253</v>
      </c>
      <c r="BD104" s="16">
        <f t="shared" si="202"/>
        <v>30.056800891645253</v>
      </c>
      <c r="BE104" s="16">
        <f t="shared" si="202"/>
        <v>30.056800891645253</v>
      </c>
      <c r="BF104" s="16">
        <f t="shared" si="202"/>
        <v>30.056800891645253</v>
      </c>
      <c r="BG104" s="16">
        <f t="shared" si="202"/>
        <v>26.118699906393886</v>
      </c>
    </row>
    <row r="105" spans="2:59" x14ac:dyDescent="0.25">
      <c r="B105">
        <v>63</v>
      </c>
      <c r="C105" t="s">
        <v>164</v>
      </c>
    </row>
    <row r="106" spans="2:59" x14ac:dyDescent="0.25">
      <c r="C106" t="s">
        <v>517</v>
      </c>
    </row>
    <row r="107" spans="2:59" x14ac:dyDescent="0.25">
      <c r="C107" t="s">
        <v>518</v>
      </c>
      <c r="D107" s="7" t="s">
        <v>521</v>
      </c>
      <c r="E107" s="78">
        <f>IF(E102&lt;14,E102-1,E102-13)</f>
        <v>10</v>
      </c>
      <c r="F107" s="78">
        <f t="shared" ref="F107:BG107" si="203">IF(F102&lt;14,F102-1,F102-13)</f>
        <v>3</v>
      </c>
      <c r="G107" s="78">
        <f t="shared" si="203"/>
        <v>1</v>
      </c>
      <c r="H107" s="78">
        <f t="shared" si="203"/>
        <v>1</v>
      </c>
      <c r="I107" s="78">
        <f t="shared" si="203"/>
        <v>2</v>
      </c>
      <c r="J107" s="78">
        <f t="shared" si="203"/>
        <v>7</v>
      </c>
      <c r="K107" s="78">
        <f t="shared" si="203"/>
        <v>1</v>
      </c>
      <c r="L107" s="78">
        <f t="shared" si="203"/>
        <v>6</v>
      </c>
      <c r="M107" s="78">
        <f t="shared" si="203"/>
        <v>1</v>
      </c>
      <c r="N107" s="78">
        <f t="shared" si="203"/>
        <v>1</v>
      </c>
      <c r="O107" s="78">
        <f t="shared" si="203"/>
        <v>2</v>
      </c>
      <c r="P107" s="78">
        <f t="shared" si="203"/>
        <v>4</v>
      </c>
      <c r="Q107" s="78">
        <f t="shared" si="203"/>
        <v>1</v>
      </c>
      <c r="R107" s="78">
        <f t="shared" si="203"/>
        <v>1</v>
      </c>
      <c r="S107" s="78">
        <f t="shared" si="203"/>
        <v>7</v>
      </c>
      <c r="T107" s="78">
        <f t="shared" si="203"/>
        <v>4</v>
      </c>
      <c r="U107" s="78">
        <f t="shared" si="203"/>
        <v>8</v>
      </c>
      <c r="V107" s="78">
        <f t="shared" si="203"/>
        <v>1</v>
      </c>
      <c r="W107" s="78">
        <f t="shared" si="203"/>
        <v>5</v>
      </c>
      <c r="X107" s="78">
        <f t="shared" si="203"/>
        <v>5</v>
      </c>
      <c r="Y107" s="78">
        <f t="shared" si="203"/>
        <v>2</v>
      </c>
      <c r="Z107" s="78">
        <f t="shared" si="203"/>
        <v>1</v>
      </c>
      <c r="AA107" s="78">
        <f t="shared" si="203"/>
        <v>1</v>
      </c>
      <c r="AB107" s="78">
        <f t="shared" si="203"/>
        <v>7</v>
      </c>
      <c r="AC107" s="78">
        <f t="shared" si="203"/>
        <v>12</v>
      </c>
      <c r="AD107" s="78">
        <f t="shared" si="203"/>
        <v>4</v>
      </c>
      <c r="AE107" s="78">
        <f t="shared" si="203"/>
        <v>2</v>
      </c>
      <c r="AF107" s="78">
        <f t="shared" si="203"/>
        <v>1</v>
      </c>
      <c r="AG107" s="78">
        <f t="shared" si="203"/>
        <v>11</v>
      </c>
      <c r="AH107" s="78">
        <f t="shared" si="203"/>
        <v>3</v>
      </c>
      <c r="AI107" s="78">
        <f t="shared" si="203"/>
        <v>4</v>
      </c>
      <c r="AJ107" s="78">
        <f t="shared" si="203"/>
        <v>5</v>
      </c>
      <c r="AK107" s="78">
        <f t="shared" si="203"/>
        <v>1</v>
      </c>
      <c r="AL107" s="78">
        <f t="shared" si="203"/>
        <v>9</v>
      </c>
      <c r="AM107" s="78">
        <f t="shared" si="203"/>
        <v>7</v>
      </c>
      <c r="AN107" s="78">
        <f t="shared" si="203"/>
        <v>4</v>
      </c>
      <c r="AO107" s="78">
        <f t="shared" si="203"/>
        <v>1</v>
      </c>
      <c r="AP107" s="78">
        <f t="shared" si="203"/>
        <v>10</v>
      </c>
      <c r="AQ107" s="78">
        <f t="shared" si="203"/>
        <v>10</v>
      </c>
      <c r="AR107" s="78">
        <f t="shared" si="203"/>
        <v>11</v>
      </c>
      <c r="AS107" s="78">
        <f t="shared" si="203"/>
        <v>11</v>
      </c>
      <c r="AT107" s="78">
        <f t="shared" si="203"/>
        <v>11</v>
      </c>
      <c r="AU107" s="78">
        <f t="shared" si="203"/>
        <v>6</v>
      </c>
      <c r="AV107" s="78">
        <f t="shared" si="203"/>
        <v>9</v>
      </c>
      <c r="AW107" s="78">
        <f t="shared" si="203"/>
        <v>1</v>
      </c>
      <c r="AX107" s="78">
        <f t="shared" si="203"/>
        <v>5</v>
      </c>
      <c r="AY107" s="78">
        <f t="shared" si="203"/>
        <v>11</v>
      </c>
      <c r="AZ107" s="78">
        <f t="shared" si="203"/>
        <v>11</v>
      </c>
      <c r="BA107" s="78">
        <f t="shared" si="203"/>
        <v>12</v>
      </c>
      <c r="BB107" s="78">
        <f t="shared" si="203"/>
        <v>12</v>
      </c>
      <c r="BC107" s="78">
        <f t="shared" si="203"/>
        <v>12</v>
      </c>
      <c r="BD107" s="78">
        <f t="shared" si="203"/>
        <v>12</v>
      </c>
      <c r="BE107" s="78">
        <f t="shared" si="203"/>
        <v>12</v>
      </c>
      <c r="BF107" s="78">
        <f t="shared" si="203"/>
        <v>12</v>
      </c>
      <c r="BG107" s="78">
        <f t="shared" si="203"/>
        <v>2</v>
      </c>
    </row>
    <row r="108" spans="2:59" x14ac:dyDescent="0.25">
      <c r="B108">
        <v>63</v>
      </c>
      <c r="C108" t="s">
        <v>524</v>
      </c>
    </row>
    <row r="109" spans="2:59" x14ac:dyDescent="0.25">
      <c r="C109" t="s">
        <v>525</v>
      </c>
    </row>
    <row r="110" spans="2:59" x14ac:dyDescent="0.25">
      <c r="C110" t="s">
        <v>526</v>
      </c>
      <c r="D110" s="7" t="s">
        <v>528</v>
      </c>
      <c r="E110" s="78">
        <f>IF(E107&gt;2, E100-4716,E100-4715)</f>
        <v>1957</v>
      </c>
      <c r="F110" s="78">
        <f t="shared" ref="F110:BG110" si="204">IF(F107&gt;2, F100-4716,F100-4715)</f>
        <v>333</v>
      </c>
      <c r="G110" s="78">
        <f t="shared" si="204"/>
        <v>2000</v>
      </c>
      <c r="H110" s="78">
        <f t="shared" si="204"/>
        <v>1999</v>
      </c>
      <c r="I110" s="78">
        <f t="shared" si="204"/>
        <v>1987</v>
      </c>
      <c r="J110" s="78">
        <f t="shared" si="204"/>
        <v>1987</v>
      </c>
      <c r="K110" s="78">
        <f t="shared" si="204"/>
        <v>1988</v>
      </c>
      <c r="L110" s="78">
        <f t="shared" si="204"/>
        <v>1988</v>
      </c>
      <c r="M110" s="78">
        <f t="shared" si="204"/>
        <v>1900</v>
      </c>
      <c r="N110" s="78">
        <f t="shared" si="204"/>
        <v>1600</v>
      </c>
      <c r="O110" s="78">
        <f t="shared" si="204"/>
        <v>1601</v>
      </c>
      <c r="P110" s="78">
        <f t="shared" si="204"/>
        <v>837</v>
      </c>
      <c r="Q110" s="78">
        <f t="shared" si="204"/>
        <v>-122</v>
      </c>
      <c r="R110" s="78">
        <f t="shared" si="204"/>
        <v>-122</v>
      </c>
      <c r="S110" s="78">
        <f t="shared" si="204"/>
        <v>-1000</v>
      </c>
      <c r="T110" s="78">
        <f t="shared" si="204"/>
        <v>-1000</v>
      </c>
      <c r="U110" s="78">
        <f t="shared" si="204"/>
        <v>-1001</v>
      </c>
      <c r="V110" s="78">
        <f t="shared" si="204"/>
        <v>-4712</v>
      </c>
      <c r="W110" s="78">
        <f t="shared" si="204"/>
        <v>1987</v>
      </c>
      <c r="X110" s="78">
        <f t="shared" si="204"/>
        <v>1992</v>
      </c>
      <c r="Y110" s="78">
        <f t="shared" si="204"/>
        <v>1977</v>
      </c>
      <c r="Z110" s="78">
        <f t="shared" si="204"/>
        <v>2044</v>
      </c>
      <c r="AA110" s="78">
        <f t="shared" si="204"/>
        <v>2000</v>
      </c>
      <c r="AB110" s="78">
        <f t="shared" si="204"/>
        <v>1954</v>
      </c>
      <c r="AC110" s="78">
        <f t="shared" si="204"/>
        <v>1978</v>
      </c>
      <c r="AD110" s="78">
        <f t="shared" si="204"/>
        <v>1988</v>
      </c>
      <c r="AE110" s="78">
        <f t="shared" si="204"/>
        <v>1977</v>
      </c>
      <c r="AF110" s="78">
        <f t="shared" si="204"/>
        <v>1993</v>
      </c>
      <c r="AG110" s="78">
        <f t="shared" si="204"/>
        <v>1992</v>
      </c>
      <c r="AH110" s="78">
        <f t="shared" si="204"/>
        <v>1991</v>
      </c>
      <c r="AI110" s="78">
        <f t="shared" si="204"/>
        <v>1992</v>
      </c>
      <c r="AJ110" s="78">
        <f t="shared" si="204"/>
        <v>1993</v>
      </c>
      <c r="AK110" s="78">
        <f t="shared" si="204"/>
        <v>1818</v>
      </c>
      <c r="AL110" s="78">
        <f t="shared" si="204"/>
        <v>1990</v>
      </c>
      <c r="AM110" s="78">
        <f t="shared" si="204"/>
        <v>622</v>
      </c>
      <c r="AN110" s="78">
        <f t="shared" si="204"/>
        <v>2000</v>
      </c>
      <c r="AO110" s="78">
        <f t="shared" si="204"/>
        <v>1</v>
      </c>
      <c r="AP110" s="78">
        <f t="shared" si="204"/>
        <v>2022</v>
      </c>
      <c r="AQ110" s="78">
        <f t="shared" si="204"/>
        <v>2022</v>
      </c>
      <c r="AR110" s="78">
        <f t="shared" si="204"/>
        <v>2022</v>
      </c>
      <c r="AS110" s="78">
        <f t="shared" si="204"/>
        <v>2022</v>
      </c>
      <c r="AT110" s="78">
        <f t="shared" si="204"/>
        <v>2022</v>
      </c>
      <c r="AU110" s="78">
        <f t="shared" si="204"/>
        <v>1973</v>
      </c>
      <c r="AV110" s="78">
        <f t="shared" si="204"/>
        <v>1997</v>
      </c>
      <c r="AW110" s="78">
        <f t="shared" si="204"/>
        <v>1935</v>
      </c>
      <c r="AX110" s="78">
        <f t="shared" si="204"/>
        <v>1957</v>
      </c>
      <c r="AY110" s="78">
        <f t="shared" si="204"/>
        <v>2022</v>
      </c>
      <c r="AZ110" s="78">
        <f t="shared" si="204"/>
        <v>2022</v>
      </c>
      <c r="BA110" s="78">
        <f t="shared" si="204"/>
        <v>2022</v>
      </c>
      <c r="BB110" s="78">
        <f t="shared" si="204"/>
        <v>2022</v>
      </c>
      <c r="BC110" s="78">
        <f t="shared" si="204"/>
        <v>2022</v>
      </c>
      <c r="BD110" s="78">
        <f t="shared" si="204"/>
        <v>2022</v>
      </c>
      <c r="BE110" s="78">
        <f t="shared" si="204"/>
        <v>2022</v>
      </c>
      <c r="BF110" s="78">
        <f t="shared" si="204"/>
        <v>2022</v>
      </c>
      <c r="BG110" s="78">
        <f t="shared" si="204"/>
        <v>1977</v>
      </c>
    </row>
    <row r="111" spans="2:59" x14ac:dyDescent="0.25">
      <c r="C111" t="s">
        <v>531</v>
      </c>
      <c r="D111" s="7" t="s">
        <v>533</v>
      </c>
      <c r="E111" s="78">
        <f>INT(E94*24)</f>
        <v>10</v>
      </c>
      <c r="F111" s="78">
        <f t="shared" ref="F111:BG111" si="205">INT(F94*24)</f>
        <v>4</v>
      </c>
      <c r="G111" s="78">
        <f t="shared" si="205"/>
        <v>13</v>
      </c>
      <c r="H111" s="78">
        <f t="shared" si="205"/>
        <v>19</v>
      </c>
      <c r="I111" s="78">
        <f t="shared" si="205"/>
        <v>16</v>
      </c>
      <c r="J111" s="78">
        <f t="shared" si="205"/>
        <v>8</v>
      </c>
      <c r="K111" s="78">
        <f t="shared" si="205"/>
        <v>21</v>
      </c>
      <c r="L111" s="78">
        <f t="shared" si="205"/>
        <v>10</v>
      </c>
      <c r="M111" s="78">
        <f t="shared" si="205"/>
        <v>5</v>
      </c>
      <c r="N111" s="78">
        <f t="shared" si="205"/>
        <v>0</v>
      </c>
      <c r="O111" s="78">
        <f t="shared" si="205"/>
        <v>4</v>
      </c>
      <c r="P111" s="78">
        <f t="shared" si="205"/>
        <v>19</v>
      </c>
      <c r="Q111" s="78">
        <f t="shared" si="205"/>
        <v>12</v>
      </c>
      <c r="R111" s="78">
        <f t="shared" si="205"/>
        <v>19</v>
      </c>
      <c r="S111" s="78">
        <f t="shared" si="205"/>
        <v>3</v>
      </c>
      <c r="T111" s="78">
        <f t="shared" si="205"/>
        <v>20</v>
      </c>
      <c r="U111" s="78">
        <f t="shared" si="205"/>
        <v>0</v>
      </c>
      <c r="V111" s="78">
        <f t="shared" si="205"/>
        <v>0</v>
      </c>
      <c r="W111" s="78">
        <f t="shared" si="205"/>
        <v>2</v>
      </c>
      <c r="X111" s="78">
        <f t="shared" si="205"/>
        <v>15</v>
      </c>
      <c r="Y111" s="78">
        <f t="shared" si="205"/>
        <v>2</v>
      </c>
      <c r="Z111" s="78">
        <f t="shared" si="205"/>
        <v>4</v>
      </c>
      <c r="AA111" s="78">
        <f t="shared" si="205"/>
        <v>13</v>
      </c>
      <c r="AB111" s="78">
        <f t="shared" si="205"/>
        <v>1</v>
      </c>
      <c r="AC111" s="78">
        <f t="shared" si="205"/>
        <v>0</v>
      </c>
      <c r="AD111" s="78">
        <f t="shared" si="205"/>
        <v>22</v>
      </c>
      <c r="AE111" s="78">
        <f t="shared" si="205"/>
        <v>2</v>
      </c>
      <c r="AF111" s="78">
        <f t="shared" si="205"/>
        <v>3</v>
      </c>
      <c r="AG111" s="78">
        <f t="shared" si="205"/>
        <v>9</v>
      </c>
      <c r="AH111" s="78">
        <f t="shared" si="205"/>
        <v>6</v>
      </c>
      <c r="AI111" s="78">
        <f t="shared" si="205"/>
        <v>10</v>
      </c>
      <c r="AJ111" s="78">
        <f t="shared" si="205"/>
        <v>18</v>
      </c>
      <c r="AK111" s="78">
        <f t="shared" si="205"/>
        <v>6</v>
      </c>
      <c r="AL111" s="78">
        <f t="shared" si="205"/>
        <v>2</v>
      </c>
      <c r="AM111" s="78">
        <f t="shared" si="205"/>
        <v>2</v>
      </c>
      <c r="AN111" s="78">
        <f t="shared" si="205"/>
        <v>13</v>
      </c>
      <c r="AO111" s="78">
        <f t="shared" si="205"/>
        <v>12</v>
      </c>
      <c r="AP111" s="78">
        <f t="shared" si="205"/>
        <v>0</v>
      </c>
      <c r="AQ111" s="78">
        <f t="shared" si="205"/>
        <v>0</v>
      </c>
      <c r="AR111" s="78">
        <f t="shared" si="205"/>
        <v>6</v>
      </c>
      <c r="AS111" s="78">
        <f t="shared" si="205"/>
        <v>6</v>
      </c>
      <c r="AT111" s="78">
        <f t="shared" si="205"/>
        <v>6</v>
      </c>
      <c r="AU111" s="78">
        <f t="shared" si="205"/>
        <v>21</v>
      </c>
      <c r="AV111" s="78">
        <f t="shared" si="205"/>
        <v>1</v>
      </c>
      <c r="AW111" s="78">
        <f t="shared" si="205"/>
        <v>20</v>
      </c>
      <c r="AX111" s="78">
        <f t="shared" si="205"/>
        <v>2</v>
      </c>
      <c r="AY111" s="78">
        <f t="shared" si="205"/>
        <v>14</v>
      </c>
      <c r="AZ111" s="78">
        <f t="shared" si="205"/>
        <v>14</v>
      </c>
      <c r="BA111" s="78">
        <f t="shared" si="205"/>
        <v>1</v>
      </c>
      <c r="BB111" s="78">
        <f t="shared" si="205"/>
        <v>1</v>
      </c>
      <c r="BC111" s="78">
        <f t="shared" si="205"/>
        <v>1</v>
      </c>
      <c r="BD111" s="78">
        <f t="shared" si="205"/>
        <v>1</v>
      </c>
      <c r="BE111" s="78">
        <f t="shared" si="205"/>
        <v>1</v>
      </c>
      <c r="BF111" s="78">
        <f t="shared" si="205"/>
        <v>1</v>
      </c>
      <c r="BG111" s="78">
        <f t="shared" si="205"/>
        <v>2</v>
      </c>
    </row>
    <row r="112" spans="2:59" x14ac:dyDescent="0.25">
      <c r="C112" t="s">
        <v>536</v>
      </c>
      <c r="D112" s="7" t="s">
        <v>538</v>
      </c>
      <c r="E112" s="78">
        <f>INT(((E94*24)-E111)*60)</f>
        <v>48</v>
      </c>
      <c r="F112" s="78">
        <f t="shared" ref="F112:BG112" si="206">INT(((F94*24)-F111)*60)</f>
        <v>7</v>
      </c>
      <c r="G112" s="78">
        <f t="shared" si="206"/>
        <v>35</v>
      </c>
      <c r="H112" s="78">
        <f t="shared" si="206"/>
        <v>16</v>
      </c>
      <c r="I112" s="78">
        <f t="shared" si="206"/>
        <v>21</v>
      </c>
      <c r="J112" s="78">
        <f t="shared" si="206"/>
        <v>35</v>
      </c>
      <c r="K112" s="78">
        <f t="shared" si="206"/>
        <v>54</v>
      </c>
      <c r="L112" s="78">
        <f t="shared" si="206"/>
        <v>23</v>
      </c>
      <c r="M112" s="78">
        <f t="shared" si="206"/>
        <v>39</v>
      </c>
      <c r="N112" s="78">
        <f t="shared" si="206"/>
        <v>3</v>
      </c>
      <c r="O112" s="78">
        <f t="shared" si="206"/>
        <v>34</v>
      </c>
      <c r="P112" s="78">
        <f t="shared" si="206"/>
        <v>57</v>
      </c>
      <c r="Q112" s="78">
        <f t="shared" si="206"/>
        <v>37</v>
      </c>
      <c r="R112" s="78">
        <f t="shared" si="206"/>
        <v>52</v>
      </c>
      <c r="S112" s="78">
        <f t="shared" si="206"/>
        <v>29</v>
      </c>
      <c r="T112" s="78">
        <f t="shared" si="206"/>
        <v>52</v>
      </c>
      <c r="U112" s="78">
        <f t="shared" si="206"/>
        <v>14</v>
      </c>
      <c r="V112" s="78">
        <f t="shared" si="206"/>
        <v>34</v>
      </c>
      <c r="W112" s="78">
        <f t="shared" si="206"/>
        <v>26</v>
      </c>
      <c r="X112" s="78">
        <f t="shared" si="206"/>
        <v>44</v>
      </c>
      <c r="Y112" s="78">
        <f t="shared" si="206"/>
        <v>50</v>
      </c>
      <c r="Z112" s="78">
        <f t="shared" si="206"/>
        <v>3</v>
      </c>
      <c r="AA112" s="78">
        <f t="shared" si="206"/>
        <v>35</v>
      </c>
      <c r="AB112" s="78">
        <f t="shared" si="206"/>
        <v>33</v>
      </c>
      <c r="AC112" s="78">
        <f t="shared" si="206"/>
        <v>34</v>
      </c>
      <c r="AD112" s="78">
        <f t="shared" si="206"/>
        <v>32</v>
      </c>
      <c r="AE112" s="78">
        <f t="shared" si="206"/>
        <v>50</v>
      </c>
      <c r="AF112" s="78">
        <f t="shared" si="206"/>
        <v>39</v>
      </c>
      <c r="AG112" s="78">
        <f t="shared" si="206"/>
        <v>12</v>
      </c>
      <c r="AH112" s="78">
        <f t="shared" si="206"/>
        <v>3</v>
      </c>
      <c r="AI112" s="78">
        <f t="shared" si="206"/>
        <v>7</v>
      </c>
      <c r="AJ112" s="78">
        <f t="shared" si="206"/>
        <v>22</v>
      </c>
      <c r="AK112" s="78">
        <f t="shared" si="206"/>
        <v>52</v>
      </c>
      <c r="AL112" s="78">
        <f t="shared" si="206"/>
        <v>6</v>
      </c>
      <c r="AM112" s="78">
        <f t="shared" si="206"/>
        <v>10</v>
      </c>
      <c r="AN112" s="78">
        <f t="shared" si="206"/>
        <v>31</v>
      </c>
      <c r="AO112" s="78">
        <f t="shared" si="206"/>
        <v>3</v>
      </c>
      <c r="AP112" s="78">
        <f t="shared" si="206"/>
        <v>15</v>
      </c>
      <c r="AQ112" s="78">
        <f t="shared" si="206"/>
        <v>15</v>
      </c>
      <c r="AR112" s="78">
        <f t="shared" si="206"/>
        <v>38</v>
      </c>
      <c r="AS112" s="78">
        <f t="shared" si="206"/>
        <v>38</v>
      </c>
      <c r="AT112" s="78">
        <f t="shared" si="206"/>
        <v>38</v>
      </c>
      <c r="AU112" s="78">
        <f t="shared" si="206"/>
        <v>11</v>
      </c>
      <c r="AV112" s="78">
        <f t="shared" si="206"/>
        <v>32</v>
      </c>
      <c r="AW112" s="78">
        <f t="shared" si="206"/>
        <v>55</v>
      </c>
      <c r="AX112" s="78">
        <f t="shared" si="206"/>
        <v>30</v>
      </c>
      <c r="AY112" s="78">
        <f t="shared" si="206"/>
        <v>37</v>
      </c>
      <c r="AZ112" s="78">
        <f t="shared" si="206"/>
        <v>37</v>
      </c>
      <c r="BA112" s="78">
        <f t="shared" si="206"/>
        <v>21</v>
      </c>
      <c r="BB112" s="78">
        <f t="shared" si="206"/>
        <v>21</v>
      </c>
      <c r="BC112" s="78">
        <f t="shared" si="206"/>
        <v>21</v>
      </c>
      <c r="BD112" s="78">
        <f t="shared" si="206"/>
        <v>21</v>
      </c>
      <c r="BE112" s="78">
        <f t="shared" si="206"/>
        <v>21</v>
      </c>
      <c r="BF112" s="78">
        <f t="shared" si="206"/>
        <v>21</v>
      </c>
      <c r="BG112" s="78">
        <f t="shared" si="206"/>
        <v>50</v>
      </c>
    </row>
    <row r="113" spans="1:59" x14ac:dyDescent="0.25">
      <c r="C113" t="s">
        <v>541</v>
      </c>
      <c r="D113" s="7" t="s">
        <v>543</v>
      </c>
      <c r="E113" s="78">
        <f>INT(((((E94*24)-E111)*60)-E112)*60)</f>
        <v>20</v>
      </c>
      <c r="F113" s="78">
        <f t="shared" ref="F113:BG113" si="207">INT(((((F94*24)-F111)*60)-F112)*60)</f>
        <v>21</v>
      </c>
      <c r="G113" s="78">
        <f t="shared" si="207"/>
        <v>9</v>
      </c>
      <c r="H113" s="78">
        <f t="shared" si="207"/>
        <v>17</v>
      </c>
      <c r="I113" s="78">
        <f t="shared" si="207"/>
        <v>45</v>
      </c>
      <c r="J113" s="78">
        <f t="shared" si="207"/>
        <v>2</v>
      </c>
      <c r="K113" s="78">
        <f t="shared" si="207"/>
        <v>30</v>
      </c>
      <c r="L113" s="78">
        <f t="shared" si="207"/>
        <v>53</v>
      </c>
      <c r="M113" s="78">
        <f t="shared" si="207"/>
        <v>56</v>
      </c>
      <c r="N113" s="78">
        <f t="shared" si="207"/>
        <v>59</v>
      </c>
      <c r="O113" s="78">
        <f t="shared" si="207"/>
        <v>9</v>
      </c>
      <c r="P113" s="78">
        <f t="shared" si="207"/>
        <v>51</v>
      </c>
      <c r="Q113" s="78">
        <f t="shared" si="207"/>
        <v>32</v>
      </c>
      <c r="R113" s="78">
        <f t="shared" si="207"/>
        <v>16</v>
      </c>
      <c r="S113" s="78">
        <f t="shared" si="207"/>
        <v>38</v>
      </c>
      <c r="T113" s="78">
        <f t="shared" si="207"/>
        <v>16</v>
      </c>
      <c r="U113" s="78">
        <f t="shared" si="207"/>
        <v>3</v>
      </c>
      <c r="V113" s="78">
        <f t="shared" si="207"/>
        <v>53</v>
      </c>
      <c r="W113" s="78">
        <f t="shared" si="207"/>
        <v>18</v>
      </c>
      <c r="X113" s="78">
        <f t="shared" si="207"/>
        <v>35</v>
      </c>
      <c r="Y113" s="78">
        <f t="shared" si="207"/>
        <v>55</v>
      </c>
      <c r="Z113" s="78">
        <f t="shared" si="207"/>
        <v>10</v>
      </c>
      <c r="AA113" s="78">
        <f t="shared" si="207"/>
        <v>9</v>
      </c>
      <c r="AB113" s="78">
        <f t="shared" si="207"/>
        <v>50</v>
      </c>
      <c r="AC113" s="78">
        <f t="shared" si="207"/>
        <v>43</v>
      </c>
      <c r="AD113" s="78">
        <f t="shared" si="207"/>
        <v>47</v>
      </c>
      <c r="AE113" s="78">
        <f t="shared" si="207"/>
        <v>55</v>
      </c>
      <c r="AF113" s="78">
        <f t="shared" si="207"/>
        <v>17</v>
      </c>
      <c r="AG113" s="78">
        <f t="shared" si="207"/>
        <v>14</v>
      </c>
      <c r="AH113" s="78">
        <f t="shared" si="207"/>
        <v>47</v>
      </c>
      <c r="AI113" s="78">
        <f t="shared" si="207"/>
        <v>2</v>
      </c>
      <c r="AJ113" s="78">
        <f t="shared" si="207"/>
        <v>26</v>
      </c>
      <c r="AK113" s="78">
        <f t="shared" si="207"/>
        <v>43</v>
      </c>
      <c r="AL113" s="78">
        <f t="shared" si="207"/>
        <v>24</v>
      </c>
      <c r="AM113" s="78">
        <f t="shared" si="207"/>
        <v>34</v>
      </c>
      <c r="AN113" s="78">
        <f t="shared" si="207"/>
        <v>31</v>
      </c>
      <c r="AO113" s="78">
        <f t="shared" si="207"/>
        <v>10</v>
      </c>
      <c r="AP113" s="78">
        <f t="shared" si="207"/>
        <v>13</v>
      </c>
      <c r="AQ113" s="78">
        <f t="shared" si="207"/>
        <v>13</v>
      </c>
      <c r="AR113" s="78">
        <f t="shared" si="207"/>
        <v>11</v>
      </c>
      <c r="AS113" s="78">
        <f t="shared" si="207"/>
        <v>11</v>
      </c>
      <c r="AT113" s="78">
        <f t="shared" si="207"/>
        <v>11</v>
      </c>
      <c r="AU113" s="78">
        <f t="shared" si="207"/>
        <v>24</v>
      </c>
      <c r="AV113" s="78">
        <f t="shared" si="207"/>
        <v>13</v>
      </c>
      <c r="AW113" s="78">
        <f t="shared" si="207"/>
        <v>10</v>
      </c>
      <c r="AX113" s="78">
        <f t="shared" si="207"/>
        <v>2</v>
      </c>
      <c r="AY113" s="78">
        <f t="shared" si="207"/>
        <v>39</v>
      </c>
      <c r="AZ113" s="78">
        <f t="shared" si="207"/>
        <v>39</v>
      </c>
      <c r="BA113" s="78">
        <f t="shared" si="207"/>
        <v>47</v>
      </c>
      <c r="BB113" s="78">
        <f t="shared" si="207"/>
        <v>47</v>
      </c>
      <c r="BC113" s="78">
        <f t="shared" si="207"/>
        <v>47</v>
      </c>
      <c r="BD113" s="78">
        <f t="shared" si="207"/>
        <v>47</v>
      </c>
      <c r="BE113" s="78">
        <f t="shared" si="207"/>
        <v>47</v>
      </c>
      <c r="BF113" s="78">
        <f t="shared" si="207"/>
        <v>47</v>
      </c>
      <c r="BG113" s="78">
        <f t="shared" si="207"/>
        <v>55</v>
      </c>
    </row>
    <row r="114" spans="1:59" x14ac:dyDescent="0.25">
      <c r="C114" t="s">
        <v>546</v>
      </c>
      <c r="D114" s="7" t="s">
        <v>548</v>
      </c>
      <c r="E114" s="108">
        <f>(((((E94*24)-E111)*60)-E112)*60)*1000</f>
        <v>20929.936766624451</v>
      </c>
      <c r="F114" s="108">
        <f t="shared" ref="F114:BG114" si="208">(((((F94*24)-F111)*60)-F112)*60)*1000</f>
        <v>21146.618127822876</v>
      </c>
      <c r="G114" s="108">
        <f t="shared" si="208"/>
        <v>9863.5777831077576</v>
      </c>
      <c r="H114" s="108">
        <f t="shared" si="208"/>
        <v>17464.690804481506</v>
      </c>
      <c r="I114" s="108">
        <f t="shared" si="208"/>
        <v>45507.570505142212</v>
      </c>
      <c r="J114" s="108">
        <f t="shared" si="208"/>
        <v>2097.2415804862976</v>
      </c>
      <c r="K114" s="108">
        <f t="shared" si="208"/>
        <v>30056.372880935669</v>
      </c>
      <c r="L114" s="108">
        <f t="shared" si="208"/>
        <v>53054.977655410767</v>
      </c>
      <c r="M114" s="108">
        <f t="shared" si="208"/>
        <v>56906.264126300812</v>
      </c>
      <c r="N114" s="108">
        <f t="shared" si="208"/>
        <v>59608.114957809448</v>
      </c>
      <c r="O114" s="108">
        <f t="shared" si="208"/>
        <v>9481.6884398460388</v>
      </c>
      <c r="P114" s="108">
        <f t="shared" si="208"/>
        <v>51829.374879598618</v>
      </c>
      <c r="Q114" s="108">
        <f t="shared" si="208"/>
        <v>32515.985816717148</v>
      </c>
      <c r="R114" s="108">
        <f t="shared" si="208"/>
        <v>16322.96696305275</v>
      </c>
      <c r="S114" s="108">
        <f t="shared" si="208"/>
        <v>38059.718012809753</v>
      </c>
      <c r="T114" s="108">
        <f t="shared" si="208"/>
        <v>16759.201437234879</v>
      </c>
      <c r="U114" s="108">
        <f t="shared" si="208"/>
        <v>3362.1324598789215</v>
      </c>
      <c r="V114" s="108">
        <f t="shared" si="208"/>
        <v>53534.335807112257</v>
      </c>
      <c r="W114" s="108">
        <f t="shared" si="208"/>
        <v>18888.975083827972</v>
      </c>
      <c r="X114" s="108">
        <f t="shared" si="208"/>
        <v>35567.221641540527</v>
      </c>
      <c r="Y114" s="108">
        <f t="shared" si="208"/>
        <v>55671.912431716919</v>
      </c>
      <c r="Z114" s="108">
        <f t="shared" si="208"/>
        <v>10410.339832305908</v>
      </c>
      <c r="AA114" s="108">
        <f t="shared" si="208"/>
        <v>9863.5777831077576</v>
      </c>
      <c r="AB114" s="108">
        <f t="shared" si="208"/>
        <v>50514.742434024811</v>
      </c>
      <c r="AC114" s="108">
        <f t="shared" si="208"/>
        <v>43900.626003742218</v>
      </c>
      <c r="AD114" s="108">
        <f t="shared" si="208"/>
        <v>47508.968710899353</v>
      </c>
      <c r="AE114" s="108">
        <f t="shared" si="208"/>
        <v>55671.912431716919</v>
      </c>
      <c r="AF114" s="108">
        <f t="shared" si="208"/>
        <v>17981.818914413452</v>
      </c>
      <c r="AG114" s="108">
        <f t="shared" si="208"/>
        <v>14638.340771198273</v>
      </c>
      <c r="AH114" s="108">
        <f t="shared" si="208"/>
        <v>47616.629004478455</v>
      </c>
      <c r="AI114" s="108">
        <f t="shared" si="208"/>
        <v>2979.3056845664978</v>
      </c>
      <c r="AJ114" s="108">
        <f t="shared" si="208"/>
        <v>26719.510853290558</v>
      </c>
      <c r="AK114" s="108">
        <f t="shared" si="208"/>
        <v>43666.324317455292</v>
      </c>
      <c r="AL114" s="108">
        <f t="shared" si="208"/>
        <v>24395.192563533783</v>
      </c>
      <c r="AM114" s="108">
        <f t="shared" si="208"/>
        <v>34998.621046543121</v>
      </c>
      <c r="AN114" s="108">
        <f t="shared" si="208"/>
        <v>31549.251973628998</v>
      </c>
      <c r="AO114" s="108">
        <f t="shared" si="208"/>
        <v>10287.803113460541</v>
      </c>
      <c r="AP114" s="108">
        <f t="shared" si="208"/>
        <v>13397.017121315002</v>
      </c>
      <c r="AQ114" s="108">
        <f t="shared" si="208"/>
        <v>13397.017121315002</v>
      </c>
      <c r="AR114" s="108">
        <f t="shared" si="208"/>
        <v>11656.851768493652</v>
      </c>
      <c r="AS114" s="108">
        <f t="shared" si="208"/>
        <v>11656.851768493652</v>
      </c>
      <c r="AT114" s="108">
        <f t="shared" si="208"/>
        <v>11656.851768493652</v>
      </c>
      <c r="AU114" s="108">
        <f t="shared" si="208"/>
        <v>24751.264750957489</v>
      </c>
      <c r="AV114" s="108">
        <f t="shared" si="208"/>
        <v>13486.099541187286</v>
      </c>
      <c r="AW114" s="108">
        <f t="shared" si="208"/>
        <v>10674.190521240234</v>
      </c>
      <c r="AX114" s="108">
        <f t="shared" si="208"/>
        <v>2706.630527973175</v>
      </c>
      <c r="AY114" s="108">
        <f t="shared" si="208"/>
        <v>39125.438332557678</v>
      </c>
      <c r="AZ114" s="108">
        <f t="shared" si="208"/>
        <v>39125.438332557678</v>
      </c>
      <c r="BA114" s="108">
        <f t="shared" si="208"/>
        <v>47597.038149833679</v>
      </c>
      <c r="BB114" s="108">
        <f t="shared" si="208"/>
        <v>47597.038149833679</v>
      </c>
      <c r="BC114" s="108">
        <f t="shared" si="208"/>
        <v>47597.038149833679</v>
      </c>
      <c r="BD114" s="108">
        <f t="shared" si="208"/>
        <v>47597.038149833679</v>
      </c>
      <c r="BE114" s="108">
        <f t="shared" si="208"/>
        <v>47597.038149833679</v>
      </c>
      <c r="BF114" s="108">
        <f t="shared" si="208"/>
        <v>47597.038149833679</v>
      </c>
      <c r="BG114" s="108">
        <f t="shared" si="208"/>
        <v>55671.912431716919</v>
      </c>
    </row>
    <row r="115" spans="1:59" ht="15.75" thickBot="1" x14ac:dyDescent="0.3">
      <c r="A115" s="115"/>
      <c r="B115" s="115"/>
      <c r="C115" s="109" t="s">
        <v>566</v>
      </c>
      <c r="D115" s="114" t="s">
        <v>552</v>
      </c>
      <c r="E115" s="110">
        <f>IF(E110&gt;1899,DATE(E110,E107,E104)+E94,E110&amp;"-"&amp;E107&amp;"-"&amp;INT(E104)&amp;" " &amp;E111&amp;":"&amp;E112&amp;":"&amp;E113&amp;"."&amp;LEFT(E114,2))</f>
        <v>21123.450242244639</v>
      </c>
      <c r="F115" s="110" t="str">
        <f t="shared" ref="F115:BG115" si="209">IF(F110&gt;1899,DATE(F110,F107,F104)+F94,F110&amp;"-"&amp;F107&amp;"-"&amp;INT(F104)&amp;" " &amp;F111&amp;":"&amp;F112&amp;":"&amp;F113&amp;"."&amp;LEFT(F114,2))</f>
        <v>333-3-10 4:7:21.21</v>
      </c>
      <c r="G115" s="110">
        <f t="shared" si="209"/>
        <v>36539.566086384002</v>
      </c>
      <c r="H115" s="110">
        <f t="shared" si="209"/>
        <v>36184.802979915403</v>
      </c>
      <c r="I115" s="110">
        <f t="shared" si="209"/>
        <v>31813.681776707992</v>
      </c>
      <c r="J115" s="110">
        <f t="shared" si="209"/>
        <v>31962.357663162518</v>
      </c>
      <c r="K115" s="110">
        <f t="shared" si="209"/>
        <v>32167.912847874686</v>
      </c>
      <c r="L115" s="110">
        <f t="shared" si="209"/>
        <v>32316.43325295113</v>
      </c>
      <c r="M115" s="110">
        <f t="shared" si="209"/>
        <v>8.2360753039829433</v>
      </c>
      <c r="N115" s="110" t="str">
        <f t="shared" si="209"/>
        <v>1600-1-23 0:3:59.59</v>
      </c>
      <c r="O115" s="110" t="str">
        <f t="shared" si="209"/>
        <v>1601-2-10 4:34:9.94</v>
      </c>
      <c r="P115" s="110" t="str">
        <f t="shared" si="209"/>
        <v>837-4-16 19:57:51.51</v>
      </c>
      <c r="Q115" s="110" t="str">
        <f t="shared" si="209"/>
        <v>-122-1-31 12:37:32.32</v>
      </c>
      <c r="R115" s="110" t="str">
        <f t="shared" si="209"/>
        <v>-122-1-1 19:52:16.16</v>
      </c>
      <c r="S115" s="110" t="str">
        <f t="shared" si="209"/>
        <v>-1000-7-13 3:29:38.38</v>
      </c>
      <c r="T115" s="110" t="str">
        <f t="shared" si="209"/>
        <v>-1000-4-15 20:52:16.16</v>
      </c>
      <c r="U115" s="110" t="str">
        <f t="shared" si="209"/>
        <v>-1001-8-24 0:14:3.33</v>
      </c>
      <c r="V115" s="110" t="str">
        <f t="shared" si="209"/>
        <v>-4712-1-19 0:34:53.53</v>
      </c>
      <c r="W115" s="110">
        <f t="shared" si="209"/>
        <v>31903.101607511286</v>
      </c>
      <c r="X115" s="110">
        <f t="shared" si="209"/>
        <v>33733.655967213213</v>
      </c>
      <c r="Y115" s="110">
        <f t="shared" si="209"/>
        <v>28182.118699906394</v>
      </c>
      <c r="Z115" s="110">
        <f t="shared" si="209"/>
        <v>52604.168870490044</v>
      </c>
      <c r="AA115" s="110">
        <f t="shared" si="209"/>
        <v>36539.566086384002</v>
      </c>
      <c r="AB115" s="110">
        <f t="shared" si="209"/>
        <v>19913.065167994704</v>
      </c>
      <c r="AC115" s="110">
        <f t="shared" si="209"/>
        <v>28831.024119220208</v>
      </c>
      <c r="AD115" s="110">
        <f t="shared" si="209"/>
        <v>32256.939438761212</v>
      </c>
      <c r="AE115" s="110">
        <f t="shared" si="209"/>
        <v>28182.118699906394</v>
      </c>
      <c r="AF115" s="110">
        <f t="shared" si="209"/>
        <v>33970.152291456237</v>
      </c>
      <c r="AG115" s="110">
        <f t="shared" si="209"/>
        <v>33910.383502758574</v>
      </c>
      <c r="AH115" s="110">
        <f t="shared" si="209"/>
        <v>33320.252634451725</v>
      </c>
      <c r="AI115" s="110">
        <f t="shared" si="209"/>
        <v>33704.421562260482</v>
      </c>
      <c r="AJ115" s="110">
        <f t="shared" si="209"/>
        <v>34117.765587031376</v>
      </c>
      <c r="AK115" s="110" t="str">
        <f t="shared" si="209"/>
        <v>1818-1-14 6:52:43.43</v>
      </c>
      <c r="AL115" s="110">
        <f t="shared" si="209"/>
        <v>33143.087782351766</v>
      </c>
      <c r="AM115" s="110" t="str">
        <f t="shared" si="209"/>
        <v>622-7-21 2:10:34.34</v>
      </c>
      <c r="AN115" s="110">
        <f t="shared" si="209"/>
        <v>36627.563559597824</v>
      </c>
      <c r="AO115" s="110" t="str">
        <f t="shared" si="209"/>
        <v>1-1-21 12:3:10.10</v>
      </c>
      <c r="AP115" s="110">
        <f t="shared" si="209"/>
        <v>44837.010571724735</v>
      </c>
      <c r="AQ115" s="110">
        <f t="shared" si="209"/>
        <v>44837.010571724735</v>
      </c>
      <c r="AR115" s="110">
        <f t="shared" si="209"/>
        <v>44866.276523806155</v>
      </c>
      <c r="AS115" s="110">
        <f t="shared" si="209"/>
        <v>44866.276523806155</v>
      </c>
      <c r="AT115" s="110">
        <f t="shared" si="209"/>
        <v>44866.276523806155</v>
      </c>
      <c r="AU115" s="110">
        <f t="shared" si="209"/>
        <v>26822.882925361861</v>
      </c>
      <c r="AV115" s="110">
        <f t="shared" si="209"/>
        <v>35683.064044978004</v>
      </c>
      <c r="AW115" s="110">
        <f t="shared" si="209"/>
        <v>12795.87165132165</v>
      </c>
      <c r="AX115" s="110">
        <f t="shared" si="209"/>
        <v>20947.104197993409</v>
      </c>
      <c r="AY115" s="110">
        <f t="shared" si="209"/>
        <v>44895.609480618499</v>
      </c>
      <c r="AZ115" s="110">
        <f t="shared" si="209"/>
        <v>44895.609480618499</v>
      </c>
      <c r="BA115" s="110">
        <f t="shared" si="209"/>
        <v>44925.056800891645</v>
      </c>
      <c r="BB115" s="110">
        <f t="shared" si="209"/>
        <v>44925.056800891645</v>
      </c>
      <c r="BC115" s="110">
        <f t="shared" si="209"/>
        <v>44925.056800891645</v>
      </c>
      <c r="BD115" s="110">
        <f t="shared" si="209"/>
        <v>44925.056800891645</v>
      </c>
      <c r="BE115" s="110">
        <f t="shared" si="209"/>
        <v>44925.056800891645</v>
      </c>
      <c r="BF115" s="110">
        <f t="shared" si="209"/>
        <v>44925.056800891645</v>
      </c>
      <c r="BG115" s="110">
        <f t="shared" si="209"/>
        <v>28182.118699906394</v>
      </c>
    </row>
    <row r="116" spans="1:59" ht="15.75" thickTop="1" x14ac:dyDescent="0.25">
      <c r="C116" s="215" t="s">
        <v>567</v>
      </c>
    </row>
    <row r="117" spans="1:59" x14ac:dyDescent="0.25">
      <c r="C117" s="67" t="s">
        <v>697</v>
      </c>
      <c r="D117" s="7" t="s">
        <v>298</v>
      </c>
      <c r="E117" s="216">
        <f>'49Phases'!E288</f>
        <v>2436150.1059627426</v>
      </c>
      <c r="F117" s="216">
        <f>'49Phases'!F288</f>
        <v>1842762.8286666248</v>
      </c>
      <c r="G117" s="216">
        <f>'49Phases'!G288</f>
        <v>2451564.6954663121</v>
      </c>
      <c r="H117" s="216">
        <f>'49Phases'!H288</f>
        <v>2451210.1720523504</v>
      </c>
      <c r="I117" s="216">
        <f>'49Phases'!I288</f>
        <v>2446840.3742329287</v>
      </c>
      <c r="J117" s="216">
        <f>'49Phases'!J288</f>
        <v>2446987.6482064184</v>
      </c>
      <c r="K117" s="216">
        <f>'49Phases'!K288</f>
        <v>2447194.3697666386</v>
      </c>
      <c r="L117" s="216">
        <f>'49Phases'!L288</f>
        <v>2447342.3240074916</v>
      </c>
      <c r="M117" s="216">
        <f>'49Phases'!M288</f>
        <v>2415035.296870125</v>
      </c>
      <c r="N117" s="216">
        <f>'49Phases'!N288</f>
        <v>2305476.775015105</v>
      </c>
      <c r="O117" s="216">
        <f>'49Phases'!O288</f>
        <v>2305860.6836937973</v>
      </c>
      <c r="P117" s="216">
        <f>'49Phases'!P288</f>
        <v>2026885.9954934428</v>
      </c>
      <c r="Q117" s="216">
        <f>'49Phases'!Q288</f>
        <v>1676534.8313325094</v>
      </c>
      <c r="R117" s="216">
        <f>'49Phases'!R288</f>
        <v>1676505.3994050864</v>
      </c>
      <c r="S117" s="216">
        <f>'49Phases'!S288</f>
        <v>1356009.8059621658</v>
      </c>
      <c r="T117" s="216">
        <f>'49Phases'!T288</f>
        <v>1355920.9425203097</v>
      </c>
      <c r="U117" s="216">
        <f>'49Phases'!U288</f>
        <v>1355685.0127469809</v>
      </c>
      <c r="V117" s="216">
        <f>'49Phases'!V288</f>
        <v>25.313434739518026</v>
      </c>
      <c r="W117" s="216">
        <f>'49Phases'!W288</f>
        <v>2446929.0354424869</v>
      </c>
      <c r="X117" s="216">
        <f>'49Phases'!X288</f>
        <v>2448759.1691028569</v>
      </c>
      <c r="Y117" s="216">
        <f>'49Phases'!Y288</f>
        <v>2443208.2180670211</v>
      </c>
      <c r="Z117" s="216">
        <f>'49Phases'!Z288</f>
        <v>2467629.2863477641</v>
      </c>
      <c r="AA117" s="216">
        <f>'49Phases'!AA288</f>
        <v>2451564.6954663121</v>
      </c>
      <c r="AB117" s="216">
        <f>'49Phases'!AB288</f>
        <v>2434939.5205712328</v>
      </c>
      <c r="AC117" s="216">
        <f>'49Phases'!AC288</f>
        <v>2443857.0218862444</v>
      </c>
      <c r="AD117" s="216">
        <f>'49Phases'!AD288</f>
        <v>2447283.4872523341</v>
      </c>
      <c r="AE117" s="216">
        <f>'49Phases'!AE288</f>
        <v>2443208.2180670211</v>
      </c>
      <c r="AF117" s="216">
        <f>'49Phases'!AF288</f>
        <v>2448996.0265379548</v>
      </c>
      <c r="AG117" s="216">
        <f>'49Phases'!AG288</f>
        <v>2448936.8897060826</v>
      </c>
      <c r="AH117" s="216">
        <f>'49Phases'!AH288</f>
        <v>2448345.8044523541</v>
      </c>
      <c r="AI117" s="216">
        <f>'49Phases'!AI288</f>
        <v>2448729.6967893937</v>
      </c>
      <c r="AJ117" s="216">
        <f>'49Phases'!AJ288</f>
        <v>2449143.0438344372</v>
      </c>
      <c r="AK117" s="216">
        <f>'49Phases'!AK288</f>
        <v>2385091.9429987543</v>
      </c>
      <c r="AL117" s="216">
        <f>'49Phases'!AL288</f>
        <v>2448169.0018966477</v>
      </c>
      <c r="AM117" s="216">
        <f>'49Phases'!AM288</f>
        <v>1948451.7260367393</v>
      </c>
      <c r="AN117" s="216">
        <f>'49Phases'!AN288</f>
        <v>2451653.237949037</v>
      </c>
      <c r="AO117" s="216">
        <f>'49Phases'!AO288</f>
        <v>1721450.6680829788</v>
      </c>
      <c r="AP117" s="216">
        <f>'49Phases'!AP288</f>
        <v>2459862.3722320269</v>
      </c>
      <c r="AQ117" s="216">
        <f>'49Phases'!AQ288</f>
        <v>2459862.3722320269</v>
      </c>
      <c r="AR117" s="216">
        <f>'49Phases'!AR288</f>
        <v>2459891.9605884058</v>
      </c>
      <c r="AS117" s="216">
        <f>'49Phases'!AS288</f>
        <v>2459891.9605884058</v>
      </c>
      <c r="AT117" s="216">
        <f>'49Phases'!AT288</f>
        <v>2459891.9605884058</v>
      </c>
      <c r="AU117" s="216">
        <f>'49Phases'!AU288</f>
        <v>2441849.3578156908</v>
      </c>
      <c r="AV117" s="216">
        <f>'49Phases'!AV288</f>
        <v>2450708.2857349515</v>
      </c>
      <c r="AW117" s="216">
        <f>'49Phases'!AW288</f>
        <v>2427822.1559663252</v>
      </c>
      <c r="AX117" s="216">
        <f>'49Phases'!AX288</f>
        <v>2435972.4407812562</v>
      </c>
      <c r="AY117" s="216">
        <f>'49Phases'!AY288</f>
        <v>2459921.6731720353</v>
      </c>
      <c r="AZ117" s="216">
        <f>'49Phases'!AZ288</f>
        <v>2459921.6731720353</v>
      </c>
      <c r="BA117" s="216">
        <f>'49Phases'!BA288</f>
        <v>2459951.4647083571</v>
      </c>
      <c r="BB117" s="216">
        <f>'49Phases'!BB288</f>
        <v>2459951.4647083571</v>
      </c>
      <c r="BC117" s="216">
        <f>'49Phases'!BC288</f>
        <v>2459951.4647083571</v>
      </c>
      <c r="BD117" s="216">
        <f>'49Phases'!BD288</f>
        <v>2459951.4647083571</v>
      </c>
      <c r="BE117" s="216">
        <f>'49Phases'!BE288</f>
        <v>2459951.4647083571</v>
      </c>
      <c r="BF117" s="216">
        <f>'49Phases'!BF288</f>
        <v>2459951.4647083571</v>
      </c>
      <c r="BG117" s="216">
        <f>'49Phases'!BG288</f>
        <v>2443208.2180670211</v>
      </c>
    </row>
    <row r="118" spans="1:59" x14ac:dyDescent="0.25">
      <c r="B118">
        <v>63</v>
      </c>
      <c r="C118" t="s">
        <v>572</v>
      </c>
      <c r="D118" s="7" t="s">
        <v>481</v>
      </c>
      <c r="E118" s="77">
        <f>_xlfn.FLOOR.MATH(E117+0.5)</f>
        <v>2436150</v>
      </c>
      <c r="F118" s="77">
        <f t="shared" ref="F118:BG118" si="210">_xlfn.FLOOR.MATH(F117+0.5)</f>
        <v>1842763</v>
      </c>
      <c r="G118" s="77">
        <f t="shared" si="210"/>
        <v>2451565</v>
      </c>
      <c r="H118" s="77">
        <f t="shared" si="210"/>
        <v>2451210</v>
      </c>
      <c r="I118" s="77">
        <f t="shared" si="210"/>
        <v>2446840</v>
      </c>
      <c r="J118" s="77">
        <f t="shared" si="210"/>
        <v>2446988</v>
      </c>
      <c r="K118" s="77">
        <f t="shared" si="210"/>
        <v>2447194</v>
      </c>
      <c r="L118" s="77">
        <f t="shared" si="210"/>
        <v>2447342</v>
      </c>
      <c r="M118" s="77">
        <f t="shared" si="210"/>
        <v>2415035</v>
      </c>
      <c r="N118" s="77">
        <f t="shared" si="210"/>
        <v>2305477</v>
      </c>
      <c r="O118" s="77">
        <f t="shared" si="210"/>
        <v>2305861</v>
      </c>
      <c r="P118" s="77">
        <f t="shared" si="210"/>
        <v>2026886</v>
      </c>
      <c r="Q118" s="77">
        <f t="shared" si="210"/>
        <v>1676535</v>
      </c>
      <c r="R118" s="77">
        <f t="shared" si="210"/>
        <v>1676505</v>
      </c>
      <c r="S118" s="77">
        <f t="shared" si="210"/>
        <v>1356010</v>
      </c>
      <c r="T118" s="77">
        <f t="shared" si="210"/>
        <v>1355921</v>
      </c>
      <c r="U118" s="77">
        <f t="shared" si="210"/>
        <v>1355685</v>
      </c>
      <c r="V118" s="77">
        <f t="shared" si="210"/>
        <v>25</v>
      </c>
      <c r="W118" s="77">
        <f t="shared" si="210"/>
        <v>2446929</v>
      </c>
      <c r="X118" s="77">
        <f t="shared" si="210"/>
        <v>2448759</v>
      </c>
      <c r="Y118" s="77">
        <f t="shared" si="210"/>
        <v>2443208</v>
      </c>
      <c r="Z118" s="77">
        <f t="shared" si="210"/>
        <v>2467629</v>
      </c>
      <c r="AA118" s="77">
        <f t="shared" si="210"/>
        <v>2451565</v>
      </c>
      <c r="AB118" s="77">
        <f t="shared" si="210"/>
        <v>2434940</v>
      </c>
      <c r="AC118" s="77">
        <f t="shared" si="210"/>
        <v>2443857</v>
      </c>
      <c r="AD118" s="77">
        <f t="shared" si="210"/>
        <v>2447283</v>
      </c>
      <c r="AE118" s="77">
        <f t="shared" si="210"/>
        <v>2443208</v>
      </c>
      <c r="AF118" s="77">
        <f t="shared" si="210"/>
        <v>2448996</v>
      </c>
      <c r="AG118" s="77">
        <f t="shared" si="210"/>
        <v>2448937</v>
      </c>
      <c r="AH118" s="77">
        <f t="shared" si="210"/>
        <v>2448346</v>
      </c>
      <c r="AI118" s="77">
        <f t="shared" si="210"/>
        <v>2448730</v>
      </c>
      <c r="AJ118" s="77">
        <f t="shared" si="210"/>
        <v>2449143</v>
      </c>
      <c r="AK118" s="77">
        <f t="shared" si="210"/>
        <v>2385092</v>
      </c>
      <c r="AL118" s="77">
        <f t="shared" si="210"/>
        <v>2448169</v>
      </c>
      <c r="AM118" s="77">
        <f t="shared" si="210"/>
        <v>1948452</v>
      </c>
      <c r="AN118" s="77">
        <f t="shared" si="210"/>
        <v>2451653</v>
      </c>
      <c r="AO118" s="77">
        <f t="shared" si="210"/>
        <v>1721451</v>
      </c>
      <c r="AP118" s="77">
        <f t="shared" si="210"/>
        <v>2459862</v>
      </c>
      <c r="AQ118" s="77">
        <f t="shared" si="210"/>
        <v>2459862</v>
      </c>
      <c r="AR118" s="77">
        <f t="shared" si="210"/>
        <v>2459892</v>
      </c>
      <c r="AS118" s="77">
        <f t="shared" si="210"/>
        <v>2459892</v>
      </c>
      <c r="AT118" s="77">
        <f t="shared" si="210"/>
        <v>2459892</v>
      </c>
      <c r="AU118" s="77">
        <f t="shared" si="210"/>
        <v>2441849</v>
      </c>
      <c r="AV118" s="77">
        <f t="shared" si="210"/>
        <v>2450708</v>
      </c>
      <c r="AW118" s="77">
        <f t="shared" si="210"/>
        <v>2427822</v>
      </c>
      <c r="AX118" s="77">
        <f t="shared" si="210"/>
        <v>2435972</v>
      </c>
      <c r="AY118" s="77">
        <f t="shared" si="210"/>
        <v>2459922</v>
      </c>
      <c r="AZ118" s="77">
        <f t="shared" si="210"/>
        <v>2459922</v>
      </c>
      <c r="BA118" s="77">
        <f t="shared" si="210"/>
        <v>2459951</v>
      </c>
      <c r="BB118" s="77">
        <f t="shared" si="210"/>
        <v>2459951</v>
      </c>
      <c r="BC118" s="77">
        <f t="shared" si="210"/>
        <v>2459951</v>
      </c>
      <c r="BD118" s="77">
        <f t="shared" si="210"/>
        <v>2459951</v>
      </c>
      <c r="BE118" s="77">
        <f t="shared" si="210"/>
        <v>2459951</v>
      </c>
      <c r="BF118" s="77">
        <f t="shared" si="210"/>
        <v>2459951</v>
      </c>
      <c r="BG118" s="77">
        <f t="shared" si="210"/>
        <v>2443208</v>
      </c>
    </row>
    <row r="119" spans="1:59" x14ac:dyDescent="0.25">
      <c r="B119">
        <v>63</v>
      </c>
      <c r="C119" t="s">
        <v>573</v>
      </c>
      <c r="D119" s="7" t="s">
        <v>485</v>
      </c>
      <c r="E119" s="16">
        <f>(E117+0.5)-E118</f>
        <v>0.60596274258568883</v>
      </c>
      <c r="F119" s="16">
        <f t="shared" ref="F119:BG119" si="211">(F117+0.5)-F118</f>
        <v>0.32866662484593689</v>
      </c>
      <c r="G119" s="16">
        <f t="shared" si="211"/>
        <v>0.19546631211414933</v>
      </c>
      <c r="H119" s="16">
        <f t="shared" si="211"/>
        <v>0.67205235036090016</v>
      </c>
      <c r="I119" s="16">
        <f t="shared" si="211"/>
        <v>0.87423292873427272</v>
      </c>
      <c r="J119" s="16">
        <f t="shared" si="211"/>
        <v>0.14820641838014126</v>
      </c>
      <c r="K119" s="16">
        <f t="shared" si="211"/>
        <v>0.86976663861423731</v>
      </c>
      <c r="L119" s="16">
        <f t="shared" si="211"/>
        <v>0.82400749158114195</v>
      </c>
      <c r="M119" s="16">
        <f t="shared" si="211"/>
        <v>0.79687012499198318</v>
      </c>
      <c r="N119" s="16">
        <f t="shared" si="211"/>
        <v>0.27501510502770543</v>
      </c>
      <c r="O119" s="16">
        <f t="shared" si="211"/>
        <v>0.18369379732757807</v>
      </c>
      <c r="P119" s="16">
        <f t="shared" si="211"/>
        <v>0.49549344275146723</v>
      </c>
      <c r="Q119" s="16">
        <f t="shared" si="211"/>
        <v>0.33133250940591097</v>
      </c>
      <c r="R119" s="16">
        <f t="shared" si="211"/>
        <v>0.89940508641302586</v>
      </c>
      <c r="S119" s="16">
        <f t="shared" si="211"/>
        <v>0.30596216581761837</v>
      </c>
      <c r="T119" s="16">
        <f t="shared" si="211"/>
        <v>0.44252030970528722</v>
      </c>
      <c r="U119" s="16">
        <f t="shared" si="211"/>
        <v>0.5127469808794558</v>
      </c>
      <c r="V119" s="16">
        <f t="shared" si="211"/>
        <v>0.81343473951802636</v>
      </c>
      <c r="W119" s="16">
        <f t="shared" si="211"/>
        <v>0.53544248687103391</v>
      </c>
      <c r="X119" s="16">
        <f t="shared" si="211"/>
        <v>0.6691028568893671</v>
      </c>
      <c r="Y119" s="16">
        <f t="shared" si="211"/>
        <v>0.71806702110916376</v>
      </c>
      <c r="Z119" s="16">
        <f t="shared" si="211"/>
        <v>0.78634776407852769</v>
      </c>
      <c r="AA119" s="16">
        <f t="shared" si="211"/>
        <v>0.19546631211414933</v>
      </c>
      <c r="AB119" s="16">
        <f t="shared" si="211"/>
        <v>2.057123277336359E-2</v>
      </c>
      <c r="AC119" s="16">
        <f t="shared" si="211"/>
        <v>0.52188624441623688</v>
      </c>
      <c r="AD119" s="16">
        <f t="shared" si="211"/>
        <v>0.98725233413279057</v>
      </c>
      <c r="AE119" s="16">
        <f t="shared" si="211"/>
        <v>0.71806702110916376</v>
      </c>
      <c r="AF119" s="16">
        <f t="shared" si="211"/>
        <v>0.52653795480728149</v>
      </c>
      <c r="AG119" s="16">
        <f t="shared" si="211"/>
        <v>0.3897060826420784</v>
      </c>
      <c r="AH119" s="16">
        <f t="shared" si="211"/>
        <v>0.30445235408842564</v>
      </c>
      <c r="AI119" s="16">
        <f t="shared" si="211"/>
        <v>0.19678939366713166</v>
      </c>
      <c r="AJ119" s="16">
        <f t="shared" si="211"/>
        <v>0.54383443715050817</v>
      </c>
      <c r="AK119" s="16">
        <f t="shared" si="211"/>
        <v>0.44299875432625413</v>
      </c>
      <c r="AL119" s="16">
        <f t="shared" si="211"/>
        <v>0.50189664773643017</v>
      </c>
      <c r="AM119" s="16">
        <f t="shared" si="211"/>
        <v>0.22603673930279911</v>
      </c>
      <c r="AN119" s="16">
        <f t="shared" si="211"/>
        <v>0.73794903699308634</v>
      </c>
      <c r="AO119" s="16">
        <f t="shared" si="211"/>
        <v>0.16808297880925238</v>
      </c>
      <c r="AP119" s="16">
        <f t="shared" si="211"/>
        <v>0.87223202688619494</v>
      </c>
      <c r="AQ119" s="16">
        <f t="shared" si="211"/>
        <v>0.87223202688619494</v>
      </c>
      <c r="AR119" s="16">
        <f t="shared" si="211"/>
        <v>0.46058840584009886</v>
      </c>
      <c r="AS119" s="16">
        <f t="shared" si="211"/>
        <v>0.46058840584009886</v>
      </c>
      <c r="AT119" s="16">
        <f t="shared" si="211"/>
        <v>0.46058840584009886</v>
      </c>
      <c r="AU119" s="16">
        <f t="shared" si="211"/>
        <v>0.85781569080427289</v>
      </c>
      <c r="AV119" s="16">
        <f t="shared" si="211"/>
        <v>0.78573495149612427</v>
      </c>
      <c r="AW119" s="16">
        <f t="shared" si="211"/>
        <v>0.65596632519736886</v>
      </c>
      <c r="AX119" s="16">
        <f t="shared" si="211"/>
        <v>0.9407812561839819</v>
      </c>
      <c r="AY119" s="16">
        <f t="shared" si="211"/>
        <v>0.17317203525453806</v>
      </c>
      <c r="AZ119" s="16">
        <f t="shared" si="211"/>
        <v>0.17317203525453806</v>
      </c>
      <c r="BA119" s="16">
        <f t="shared" si="211"/>
        <v>0.96470835711807013</v>
      </c>
      <c r="BB119" s="16">
        <f t="shared" si="211"/>
        <v>0.96470835711807013</v>
      </c>
      <c r="BC119" s="16">
        <f t="shared" si="211"/>
        <v>0.96470835711807013</v>
      </c>
      <c r="BD119" s="16">
        <f t="shared" si="211"/>
        <v>0.96470835711807013</v>
      </c>
      <c r="BE119" s="16">
        <f t="shared" si="211"/>
        <v>0.96470835711807013</v>
      </c>
      <c r="BF119" s="16">
        <f t="shared" si="211"/>
        <v>0.96470835711807013</v>
      </c>
      <c r="BG119" s="16">
        <f t="shared" si="211"/>
        <v>0.71806702110916376</v>
      </c>
    </row>
    <row r="121" spans="1:59" x14ac:dyDescent="0.25">
      <c r="B121">
        <v>63</v>
      </c>
      <c r="C121" t="s">
        <v>487</v>
      </c>
      <c r="D121"/>
    </row>
    <row r="122" spans="1:59" x14ac:dyDescent="0.25">
      <c r="C122" t="s">
        <v>488</v>
      </c>
      <c r="D122" s="7" t="s">
        <v>492</v>
      </c>
      <c r="E122" s="77">
        <f>INT((E118-1867216.25)/36524.25)</f>
        <v>15</v>
      </c>
      <c r="F122" s="77">
        <f t="shared" ref="F122:BG122" si="212">INT((F118-1867216.25)/36524.25)</f>
        <v>-1</v>
      </c>
      <c r="G122" s="77">
        <f t="shared" si="212"/>
        <v>15</v>
      </c>
      <c r="H122" s="77">
        <f t="shared" si="212"/>
        <v>15</v>
      </c>
      <c r="I122" s="77">
        <f t="shared" si="212"/>
        <v>15</v>
      </c>
      <c r="J122" s="77">
        <f t="shared" si="212"/>
        <v>15</v>
      </c>
      <c r="K122" s="77">
        <f t="shared" si="212"/>
        <v>15</v>
      </c>
      <c r="L122" s="77">
        <f t="shared" si="212"/>
        <v>15</v>
      </c>
      <c r="M122" s="77">
        <f t="shared" si="212"/>
        <v>14</v>
      </c>
      <c r="N122" s="77">
        <f t="shared" si="212"/>
        <v>11</v>
      </c>
      <c r="O122" s="77">
        <f t="shared" si="212"/>
        <v>12</v>
      </c>
      <c r="P122" s="77">
        <f t="shared" si="212"/>
        <v>4</v>
      </c>
      <c r="Q122" s="77">
        <f t="shared" si="212"/>
        <v>-6</v>
      </c>
      <c r="R122" s="77">
        <f t="shared" si="212"/>
        <v>-6</v>
      </c>
      <c r="S122" s="77">
        <f t="shared" si="212"/>
        <v>-14</v>
      </c>
      <c r="T122" s="77">
        <f t="shared" si="212"/>
        <v>-14</v>
      </c>
      <c r="U122" s="77">
        <f t="shared" si="212"/>
        <v>-15</v>
      </c>
      <c r="V122" s="77">
        <f t="shared" si="212"/>
        <v>-52</v>
      </c>
      <c r="W122" s="77">
        <f t="shared" si="212"/>
        <v>15</v>
      </c>
      <c r="X122" s="77">
        <f t="shared" si="212"/>
        <v>15</v>
      </c>
      <c r="Y122" s="77">
        <f t="shared" si="212"/>
        <v>15</v>
      </c>
      <c r="Z122" s="77">
        <f t="shared" si="212"/>
        <v>16</v>
      </c>
      <c r="AA122" s="77">
        <f t="shared" si="212"/>
        <v>15</v>
      </c>
      <c r="AB122" s="77">
        <f t="shared" si="212"/>
        <v>15</v>
      </c>
      <c r="AC122" s="77">
        <f t="shared" si="212"/>
        <v>15</v>
      </c>
      <c r="AD122" s="77">
        <f t="shared" si="212"/>
        <v>15</v>
      </c>
      <c r="AE122" s="77">
        <f t="shared" si="212"/>
        <v>15</v>
      </c>
      <c r="AF122" s="77">
        <f t="shared" si="212"/>
        <v>15</v>
      </c>
      <c r="AG122" s="77">
        <f t="shared" si="212"/>
        <v>15</v>
      </c>
      <c r="AH122" s="77">
        <f t="shared" si="212"/>
        <v>15</v>
      </c>
      <c r="AI122" s="77">
        <f t="shared" si="212"/>
        <v>15</v>
      </c>
      <c r="AJ122" s="77">
        <f t="shared" si="212"/>
        <v>15</v>
      </c>
      <c r="AK122" s="77">
        <f t="shared" si="212"/>
        <v>14</v>
      </c>
      <c r="AL122" s="77">
        <f t="shared" si="212"/>
        <v>15</v>
      </c>
      <c r="AM122" s="77">
        <f t="shared" si="212"/>
        <v>2</v>
      </c>
      <c r="AN122" s="77">
        <f t="shared" si="212"/>
        <v>16</v>
      </c>
      <c r="AO122" s="77">
        <f t="shared" si="212"/>
        <v>-4</v>
      </c>
      <c r="AP122" s="77">
        <f t="shared" si="212"/>
        <v>16</v>
      </c>
      <c r="AQ122" s="77">
        <f t="shared" si="212"/>
        <v>16</v>
      </c>
      <c r="AR122" s="77">
        <f t="shared" si="212"/>
        <v>16</v>
      </c>
      <c r="AS122" s="77">
        <f t="shared" si="212"/>
        <v>16</v>
      </c>
      <c r="AT122" s="77">
        <f t="shared" si="212"/>
        <v>16</v>
      </c>
      <c r="AU122" s="77">
        <f t="shared" si="212"/>
        <v>15</v>
      </c>
      <c r="AV122" s="77">
        <f t="shared" si="212"/>
        <v>15</v>
      </c>
      <c r="AW122" s="77">
        <f t="shared" si="212"/>
        <v>15</v>
      </c>
      <c r="AX122" s="77">
        <f t="shared" si="212"/>
        <v>15</v>
      </c>
      <c r="AY122" s="77">
        <f t="shared" si="212"/>
        <v>16</v>
      </c>
      <c r="AZ122" s="77">
        <f t="shared" si="212"/>
        <v>16</v>
      </c>
      <c r="BA122" s="77">
        <f t="shared" si="212"/>
        <v>16</v>
      </c>
      <c r="BB122" s="77">
        <f t="shared" si="212"/>
        <v>16</v>
      </c>
      <c r="BC122" s="77">
        <f t="shared" si="212"/>
        <v>16</v>
      </c>
      <c r="BD122" s="77">
        <f t="shared" si="212"/>
        <v>16</v>
      </c>
      <c r="BE122" s="77">
        <f t="shared" si="212"/>
        <v>16</v>
      </c>
      <c r="BF122" s="77">
        <f t="shared" si="212"/>
        <v>16</v>
      </c>
      <c r="BG122" s="77">
        <f t="shared" si="212"/>
        <v>15</v>
      </c>
    </row>
    <row r="123" spans="1:59" x14ac:dyDescent="0.25">
      <c r="C123" t="s">
        <v>489</v>
      </c>
      <c r="D123" s="7" t="s">
        <v>496</v>
      </c>
      <c r="E123" s="77">
        <f>IF(E118&lt;2299161,E118,E118+1+E122-_xlfn.FLOOR.MATH(E122/4))</f>
        <v>2436163</v>
      </c>
      <c r="F123" s="77">
        <f t="shared" ref="F123:BG123" si="213">IF(F118&lt;2299161,F118,F118+1+F122-_xlfn.FLOOR.MATH(F122/4))</f>
        <v>1842763</v>
      </c>
      <c r="G123" s="77">
        <f t="shared" si="213"/>
        <v>2451578</v>
      </c>
      <c r="H123" s="77">
        <f t="shared" si="213"/>
        <v>2451223</v>
      </c>
      <c r="I123" s="77">
        <f t="shared" si="213"/>
        <v>2446853</v>
      </c>
      <c r="J123" s="77">
        <f t="shared" si="213"/>
        <v>2447001</v>
      </c>
      <c r="K123" s="77">
        <f t="shared" si="213"/>
        <v>2447207</v>
      </c>
      <c r="L123" s="77">
        <f t="shared" si="213"/>
        <v>2447355</v>
      </c>
      <c r="M123" s="77">
        <f t="shared" si="213"/>
        <v>2415047</v>
      </c>
      <c r="N123" s="77">
        <f t="shared" si="213"/>
        <v>2305487</v>
      </c>
      <c r="O123" s="77">
        <f t="shared" si="213"/>
        <v>2305871</v>
      </c>
      <c r="P123" s="77">
        <f t="shared" si="213"/>
        <v>2026886</v>
      </c>
      <c r="Q123" s="77">
        <f t="shared" si="213"/>
        <v>1676535</v>
      </c>
      <c r="R123" s="77">
        <f t="shared" si="213"/>
        <v>1676505</v>
      </c>
      <c r="S123" s="77">
        <f t="shared" si="213"/>
        <v>1356010</v>
      </c>
      <c r="T123" s="77">
        <f t="shared" si="213"/>
        <v>1355921</v>
      </c>
      <c r="U123" s="77">
        <f t="shared" si="213"/>
        <v>1355685</v>
      </c>
      <c r="V123" s="77">
        <f t="shared" si="213"/>
        <v>25</v>
      </c>
      <c r="W123" s="77">
        <f t="shared" si="213"/>
        <v>2446942</v>
      </c>
      <c r="X123" s="77">
        <f t="shared" si="213"/>
        <v>2448772</v>
      </c>
      <c r="Y123" s="77">
        <f t="shared" si="213"/>
        <v>2443221</v>
      </c>
      <c r="Z123" s="77">
        <f t="shared" si="213"/>
        <v>2467642</v>
      </c>
      <c r="AA123" s="77">
        <f t="shared" si="213"/>
        <v>2451578</v>
      </c>
      <c r="AB123" s="77">
        <f t="shared" si="213"/>
        <v>2434953</v>
      </c>
      <c r="AC123" s="77">
        <f t="shared" si="213"/>
        <v>2443870</v>
      </c>
      <c r="AD123" s="77">
        <f t="shared" si="213"/>
        <v>2447296</v>
      </c>
      <c r="AE123" s="77">
        <f t="shared" si="213"/>
        <v>2443221</v>
      </c>
      <c r="AF123" s="77">
        <f t="shared" si="213"/>
        <v>2449009</v>
      </c>
      <c r="AG123" s="77">
        <f t="shared" si="213"/>
        <v>2448950</v>
      </c>
      <c r="AH123" s="77">
        <f t="shared" si="213"/>
        <v>2448359</v>
      </c>
      <c r="AI123" s="77">
        <f t="shared" si="213"/>
        <v>2448743</v>
      </c>
      <c r="AJ123" s="77">
        <f t="shared" si="213"/>
        <v>2449156</v>
      </c>
      <c r="AK123" s="77">
        <f t="shared" si="213"/>
        <v>2385104</v>
      </c>
      <c r="AL123" s="77">
        <f t="shared" si="213"/>
        <v>2448182</v>
      </c>
      <c r="AM123" s="77">
        <f t="shared" si="213"/>
        <v>1948452</v>
      </c>
      <c r="AN123" s="77">
        <f t="shared" si="213"/>
        <v>2451666</v>
      </c>
      <c r="AO123" s="77">
        <f t="shared" si="213"/>
        <v>1721451</v>
      </c>
      <c r="AP123" s="77">
        <f t="shared" si="213"/>
        <v>2459875</v>
      </c>
      <c r="AQ123" s="77">
        <f t="shared" si="213"/>
        <v>2459875</v>
      </c>
      <c r="AR123" s="77">
        <f t="shared" si="213"/>
        <v>2459905</v>
      </c>
      <c r="AS123" s="77">
        <f t="shared" si="213"/>
        <v>2459905</v>
      </c>
      <c r="AT123" s="77">
        <f t="shared" si="213"/>
        <v>2459905</v>
      </c>
      <c r="AU123" s="77">
        <f t="shared" si="213"/>
        <v>2441862</v>
      </c>
      <c r="AV123" s="77">
        <f t="shared" si="213"/>
        <v>2450721</v>
      </c>
      <c r="AW123" s="77">
        <f t="shared" si="213"/>
        <v>2427835</v>
      </c>
      <c r="AX123" s="77">
        <f t="shared" si="213"/>
        <v>2435985</v>
      </c>
      <c r="AY123" s="77">
        <f t="shared" si="213"/>
        <v>2459935</v>
      </c>
      <c r="AZ123" s="77">
        <f t="shared" si="213"/>
        <v>2459935</v>
      </c>
      <c r="BA123" s="77">
        <f t="shared" si="213"/>
        <v>2459964</v>
      </c>
      <c r="BB123" s="77">
        <f t="shared" si="213"/>
        <v>2459964</v>
      </c>
      <c r="BC123" s="77">
        <f t="shared" si="213"/>
        <v>2459964</v>
      </c>
      <c r="BD123" s="77">
        <f t="shared" si="213"/>
        <v>2459964</v>
      </c>
      <c r="BE123" s="77">
        <f t="shared" si="213"/>
        <v>2459964</v>
      </c>
      <c r="BF123" s="77">
        <f t="shared" si="213"/>
        <v>2459964</v>
      </c>
      <c r="BG123" s="77">
        <f t="shared" si="213"/>
        <v>2443221</v>
      </c>
    </row>
    <row r="124" spans="1:59" x14ac:dyDescent="0.25">
      <c r="B124">
        <v>63</v>
      </c>
      <c r="C124" t="s">
        <v>158</v>
      </c>
      <c r="D124" s="7" t="s">
        <v>500</v>
      </c>
      <c r="E124" s="77">
        <f>E123+1524</f>
        <v>2437687</v>
      </c>
      <c r="F124" s="77">
        <f t="shared" ref="F124:BG124" si="214">F123+1524</f>
        <v>1844287</v>
      </c>
      <c r="G124" s="77">
        <f t="shared" si="214"/>
        <v>2453102</v>
      </c>
      <c r="H124" s="77">
        <f t="shared" si="214"/>
        <v>2452747</v>
      </c>
      <c r="I124" s="77">
        <f t="shared" si="214"/>
        <v>2448377</v>
      </c>
      <c r="J124" s="77">
        <f t="shared" si="214"/>
        <v>2448525</v>
      </c>
      <c r="K124" s="77">
        <f t="shared" si="214"/>
        <v>2448731</v>
      </c>
      <c r="L124" s="77">
        <f t="shared" si="214"/>
        <v>2448879</v>
      </c>
      <c r="M124" s="77">
        <f t="shared" si="214"/>
        <v>2416571</v>
      </c>
      <c r="N124" s="77">
        <f t="shared" si="214"/>
        <v>2307011</v>
      </c>
      <c r="O124" s="77">
        <f t="shared" si="214"/>
        <v>2307395</v>
      </c>
      <c r="P124" s="77">
        <f t="shared" si="214"/>
        <v>2028410</v>
      </c>
      <c r="Q124" s="77">
        <f t="shared" si="214"/>
        <v>1678059</v>
      </c>
      <c r="R124" s="77">
        <f t="shared" si="214"/>
        <v>1678029</v>
      </c>
      <c r="S124" s="77">
        <f t="shared" si="214"/>
        <v>1357534</v>
      </c>
      <c r="T124" s="77">
        <f t="shared" si="214"/>
        <v>1357445</v>
      </c>
      <c r="U124" s="77">
        <f t="shared" si="214"/>
        <v>1357209</v>
      </c>
      <c r="V124" s="77">
        <f t="shared" si="214"/>
        <v>1549</v>
      </c>
      <c r="W124" s="77">
        <f t="shared" si="214"/>
        <v>2448466</v>
      </c>
      <c r="X124" s="77">
        <f t="shared" si="214"/>
        <v>2450296</v>
      </c>
      <c r="Y124" s="77">
        <f t="shared" si="214"/>
        <v>2444745</v>
      </c>
      <c r="Z124" s="77">
        <f t="shared" si="214"/>
        <v>2469166</v>
      </c>
      <c r="AA124" s="77">
        <f t="shared" si="214"/>
        <v>2453102</v>
      </c>
      <c r="AB124" s="77">
        <f t="shared" si="214"/>
        <v>2436477</v>
      </c>
      <c r="AC124" s="77">
        <f t="shared" si="214"/>
        <v>2445394</v>
      </c>
      <c r="AD124" s="77">
        <f t="shared" si="214"/>
        <v>2448820</v>
      </c>
      <c r="AE124" s="77">
        <f t="shared" si="214"/>
        <v>2444745</v>
      </c>
      <c r="AF124" s="77">
        <f t="shared" si="214"/>
        <v>2450533</v>
      </c>
      <c r="AG124" s="77">
        <f t="shared" si="214"/>
        <v>2450474</v>
      </c>
      <c r="AH124" s="77">
        <f t="shared" si="214"/>
        <v>2449883</v>
      </c>
      <c r="AI124" s="77">
        <f t="shared" si="214"/>
        <v>2450267</v>
      </c>
      <c r="AJ124" s="77">
        <f t="shared" si="214"/>
        <v>2450680</v>
      </c>
      <c r="AK124" s="77">
        <f t="shared" si="214"/>
        <v>2386628</v>
      </c>
      <c r="AL124" s="77">
        <f t="shared" si="214"/>
        <v>2449706</v>
      </c>
      <c r="AM124" s="77">
        <f t="shared" si="214"/>
        <v>1949976</v>
      </c>
      <c r="AN124" s="77">
        <f t="shared" si="214"/>
        <v>2453190</v>
      </c>
      <c r="AO124" s="77">
        <f t="shared" si="214"/>
        <v>1722975</v>
      </c>
      <c r="AP124" s="77">
        <f t="shared" si="214"/>
        <v>2461399</v>
      </c>
      <c r="AQ124" s="77">
        <f t="shared" si="214"/>
        <v>2461399</v>
      </c>
      <c r="AR124" s="77">
        <f t="shared" si="214"/>
        <v>2461429</v>
      </c>
      <c r="AS124" s="77">
        <f t="shared" si="214"/>
        <v>2461429</v>
      </c>
      <c r="AT124" s="77">
        <f t="shared" si="214"/>
        <v>2461429</v>
      </c>
      <c r="AU124" s="77">
        <f t="shared" si="214"/>
        <v>2443386</v>
      </c>
      <c r="AV124" s="77">
        <f t="shared" si="214"/>
        <v>2452245</v>
      </c>
      <c r="AW124" s="77">
        <f t="shared" si="214"/>
        <v>2429359</v>
      </c>
      <c r="AX124" s="77">
        <f t="shared" si="214"/>
        <v>2437509</v>
      </c>
      <c r="AY124" s="77">
        <f t="shared" si="214"/>
        <v>2461459</v>
      </c>
      <c r="AZ124" s="77">
        <f t="shared" si="214"/>
        <v>2461459</v>
      </c>
      <c r="BA124" s="77">
        <f t="shared" si="214"/>
        <v>2461488</v>
      </c>
      <c r="BB124" s="77">
        <f t="shared" si="214"/>
        <v>2461488</v>
      </c>
      <c r="BC124" s="77">
        <f t="shared" si="214"/>
        <v>2461488</v>
      </c>
      <c r="BD124" s="77">
        <f t="shared" si="214"/>
        <v>2461488</v>
      </c>
      <c r="BE124" s="77">
        <f t="shared" si="214"/>
        <v>2461488</v>
      </c>
      <c r="BF124" s="77">
        <f t="shared" si="214"/>
        <v>2461488</v>
      </c>
      <c r="BG124" s="77">
        <f t="shared" si="214"/>
        <v>2444745</v>
      </c>
    </row>
    <row r="125" spans="1:59" x14ac:dyDescent="0.25">
      <c r="B125">
        <v>63</v>
      </c>
      <c r="C125" t="s">
        <v>502</v>
      </c>
      <c r="D125" s="7" t="s">
        <v>505</v>
      </c>
      <c r="E125" s="77">
        <f>_xlfn.FLOOR.MATH((E124-122.1)/365.25)</f>
        <v>6673</v>
      </c>
      <c r="F125" s="77">
        <f t="shared" ref="F125:BG125" si="215">_xlfn.FLOOR.MATH((F124-122.1)/365.25)</f>
        <v>5049</v>
      </c>
      <c r="G125" s="77">
        <f t="shared" si="215"/>
        <v>6715</v>
      </c>
      <c r="H125" s="77">
        <f t="shared" si="215"/>
        <v>6714</v>
      </c>
      <c r="I125" s="77">
        <f t="shared" si="215"/>
        <v>6702</v>
      </c>
      <c r="J125" s="77">
        <f t="shared" si="215"/>
        <v>6703</v>
      </c>
      <c r="K125" s="77">
        <f t="shared" si="215"/>
        <v>6703</v>
      </c>
      <c r="L125" s="77">
        <f t="shared" si="215"/>
        <v>6704</v>
      </c>
      <c r="M125" s="77">
        <f t="shared" si="215"/>
        <v>6615</v>
      </c>
      <c r="N125" s="77">
        <f t="shared" si="215"/>
        <v>6315</v>
      </c>
      <c r="O125" s="77">
        <f t="shared" si="215"/>
        <v>6316</v>
      </c>
      <c r="P125" s="77">
        <f t="shared" si="215"/>
        <v>5553</v>
      </c>
      <c r="Q125" s="77">
        <f t="shared" si="215"/>
        <v>4593</v>
      </c>
      <c r="R125" s="77">
        <f t="shared" si="215"/>
        <v>4593</v>
      </c>
      <c r="S125" s="77">
        <f t="shared" si="215"/>
        <v>3716</v>
      </c>
      <c r="T125" s="77">
        <f t="shared" si="215"/>
        <v>3716</v>
      </c>
      <c r="U125" s="77">
        <f t="shared" si="215"/>
        <v>3715</v>
      </c>
      <c r="V125" s="77">
        <f t="shared" si="215"/>
        <v>3</v>
      </c>
      <c r="W125" s="77">
        <f t="shared" si="215"/>
        <v>6703</v>
      </c>
      <c r="X125" s="77">
        <f t="shared" si="215"/>
        <v>6708</v>
      </c>
      <c r="Y125" s="77">
        <f t="shared" si="215"/>
        <v>6693</v>
      </c>
      <c r="Z125" s="77">
        <f t="shared" si="215"/>
        <v>6759</v>
      </c>
      <c r="AA125" s="77">
        <f t="shared" si="215"/>
        <v>6715</v>
      </c>
      <c r="AB125" s="77">
        <f t="shared" si="215"/>
        <v>6670</v>
      </c>
      <c r="AC125" s="77">
        <f t="shared" si="215"/>
        <v>6694</v>
      </c>
      <c r="AD125" s="77">
        <f t="shared" si="215"/>
        <v>6704</v>
      </c>
      <c r="AE125" s="77">
        <f t="shared" si="215"/>
        <v>6693</v>
      </c>
      <c r="AF125" s="77">
        <f t="shared" si="215"/>
        <v>6708</v>
      </c>
      <c r="AG125" s="77">
        <f t="shared" si="215"/>
        <v>6708</v>
      </c>
      <c r="AH125" s="77">
        <f t="shared" si="215"/>
        <v>6707</v>
      </c>
      <c r="AI125" s="77">
        <f t="shared" si="215"/>
        <v>6708</v>
      </c>
      <c r="AJ125" s="77">
        <f t="shared" si="215"/>
        <v>6709</v>
      </c>
      <c r="AK125" s="77">
        <f t="shared" si="215"/>
        <v>6533</v>
      </c>
      <c r="AL125" s="77">
        <f t="shared" si="215"/>
        <v>6706</v>
      </c>
      <c r="AM125" s="77">
        <f t="shared" si="215"/>
        <v>5338</v>
      </c>
      <c r="AN125" s="77">
        <f t="shared" si="215"/>
        <v>6716</v>
      </c>
      <c r="AO125" s="77">
        <f t="shared" si="215"/>
        <v>4716</v>
      </c>
      <c r="AP125" s="77">
        <f t="shared" si="215"/>
        <v>6738</v>
      </c>
      <c r="AQ125" s="77">
        <f t="shared" si="215"/>
        <v>6738</v>
      </c>
      <c r="AR125" s="77">
        <f t="shared" si="215"/>
        <v>6738</v>
      </c>
      <c r="AS125" s="77">
        <f t="shared" si="215"/>
        <v>6738</v>
      </c>
      <c r="AT125" s="77">
        <f t="shared" si="215"/>
        <v>6738</v>
      </c>
      <c r="AU125" s="77">
        <f t="shared" si="215"/>
        <v>6689</v>
      </c>
      <c r="AV125" s="77">
        <f t="shared" si="215"/>
        <v>6713</v>
      </c>
      <c r="AW125" s="77">
        <f t="shared" si="215"/>
        <v>6650</v>
      </c>
      <c r="AX125" s="77">
        <f t="shared" si="215"/>
        <v>6673</v>
      </c>
      <c r="AY125" s="77">
        <f t="shared" si="215"/>
        <v>6738</v>
      </c>
      <c r="AZ125" s="77">
        <f t="shared" si="215"/>
        <v>6738</v>
      </c>
      <c r="BA125" s="77">
        <f t="shared" si="215"/>
        <v>6738</v>
      </c>
      <c r="BB125" s="77">
        <f t="shared" si="215"/>
        <v>6738</v>
      </c>
      <c r="BC125" s="77">
        <f t="shared" si="215"/>
        <v>6738</v>
      </c>
      <c r="BD125" s="77">
        <f t="shared" si="215"/>
        <v>6738</v>
      </c>
      <c r="BE125" s="77">
        <f t="shared" si="215"/>
        <v>6738</v>
      </c>
      <c r="BF125" s="77">
        <f t="shared" si="215"/>
        <v>6738</v>
      </c>
      <c r="BG125" s="77">
        <f t="shared" si="215"/>
        <v>6693</v>
      </c>
    </row>
    <row r="126" spans="1:59" x14ac:dyDescent="0.25">
      <c r="B126">
        <v>63</v>
      </c>
      <c r="C126" t="s">
        <v>159</v>
      </c>
      <c r="D126" s="7" t="s">
        <v>509</v>
      </c>
      <c r="E126" s="77">
        <f>_xlfn.FLOOR.MATH(E125*365.25)</f>
        <v>2437313</v>
      </c>
      <c r="F126" s="77">
        <f t="shared" ref="F126:BG126" si="216">_xlfn.FLOOR.MATH(F125*365.25)</f>
        <v>1844147</v>
      </c>
      <c r="G126" s="77">
        <f t="shared" si="216"/>
        <v>2452653</v>
      </c>
      <c r="H126" s="77">
        <f t="shared" si="216"/>
        <v>2452288</v>
      </c>
      <c r="I126" s="77">
        <f t="shared" si="216"/>
        <v>2447905</v>
      </c>
      <c r="J126" s="77">
        <f t="shared" si="216"/>
        <v>2448270</v>
      </c>
      <c r="K126" s="77">
        <f t="shared" si="216"/>
        <v>2448270</v>
      </c>
      <c r="L126" s="77">
        <f t="shared" si="216"/>
        <v>2448636</v>
      </c>
      <c r="M126" s="77">
        <f t="shared" si="216"/>
        <v>2416128</v>
      </c>
      <c r="N126" s="77">
        <f t="shared" si="216"/>
        <v>2306553</v>
      </c>
      <c r="O126" s="77">
        <f t="shared" si="216"/>
        <v>2306919</v>
      </c>
      <c r="P126" s="77">
        <f t="shared" si="216"/>
        <v>2028233</v>
      </c>
      <c r="Q126" s="77">
        <f t="shared" si="216"/>
        <v>1677593</v>
      </c>
      <c r="R126" s="77">
        <f t="shared" si="216"/>
        <v>1677593</v>
      </c>
      <c r="S126" s="77">
        <f t="shared" si="216"/>
        <v>1357269</v>
      </c>
      <c r="T126" s="77">
        <f t="shared" si="216"/>
        <v>1357269</v>
      </c>
      <c r="U126" s="77">
        <f t="shared" si="216"/>
        <v>1356903</v>
      </c>
      <c r="V126" s="77">
        <f t="shared" si="216"/>
        <v>1095</v>
      </c>
      <c r="W126" s="77">
        <f t="shared" si="216"/>
        <v>2448270</v>
      </c>
      <c r="X126" s="77">
        <f t="shared" si="216"/>
        <v>2450097</v>
      </c>
      <c r="Y126" s="77">
        <f t="shared" si="216"/>
        <v>2444618</v>
      </c>
      <c r="Z126" s="77">
        <f t="shared" si="216"/>
        <v>2468724</v>
      </c>
      <c r="AA126" s="77">
        <f t="shared" si="216"/>
        <v>2452653</v>
      </c>
      <c r="AB126" s="77">
        <f t="shared" si="216"/>
        <v>2436217</v>
      </c>
      <c r="AC126" s="77">
        <f t="shared" si="216"/>
        <v>2444983</v>
      </c>
      <c r="AD126" s="77">
        <f t="shared" si="216"/>
        <v>2448636</v>
      </c>
      <c r="AE126" s="77">
        <f t="shared" si="216"/>
        <v>2444618</v>
      </c>
      <c r="AF126" s="77">
        <f t="shared" si="216"/>
        <v>2450097</v>
      </c>
      <c r="AG126" s="77">
        <f t="shared" si="216"/>
        <v>2450097</v>
      </c>
      <c r="AH126" s="77">
        <f t="shared" si="216"/>
        <v>2449731</v>
      </c>
      <c r="AI126" s="77">
        <f t="shared" si="216"/>
        <v>2450097</v>
      </c>
      <c r="AJ126" s="77">
        <f t="shared" si="216"/>
        <v>2450462</v>
      </c>
      <c r="AK126" s="77">
        <f t="shared" si="216"/>
        <v>2386178</v>
      </c>
      <c r="AL126" s="77">
        <f t="shared" si="216"/>
        <v>2449366</v>
      </c>
      <c r="AM126" s="77">
        <f t="shared" si="216"/>
        <v>1949704</v>
      </c>
      <c r="AN126" s="77">
        <f t="shared" si="216"/>
        <v>2453019</v>
      </c>
      <c r="AO126" s="77">
        <f t="shared" si="216"/>
        <v>1722519</v>
      </c>
      <c r="AP126" s="77">
        <f t="shared" si="216"/>
        <v>2461054</v>
      </c>
      <c r="AQ126" s="77">
        <f t="shared" si="216"/>
        <v>2461054</v>
      </c>
      <c r="AR126" s="77">
        <f t="shared" si="216"/>
        <v>2461054</v>
      </c>
      <c r="AS126" s="77">
        <f t="shared" si="216"/>
        <v>2461054</v>
      </c>
      <c r="AT126" s="77">
        <f t="shared" si="216"/>
        <v>2461054</v>
      </c>
      <c r="AU126" s="77">
        <f t="shared" si="216"/>
        <v>2443157</v>
      </c>
      <c r="AV126" s="77">
        <f t="shared" si="216"/>
        <v>2451923</v>
      </c>
      <c r="AW126" s="77">
        <f t="shared" si="216"/>
        <v>2428912</v>
      </c>
      <c r="AX126" s="77">
        <f t="shared" si="216"/>
        <v>2437313</v>
      </c>
      <c r="AY126" s="77">
        <f t="shared" si="216"/>
        <v>2461054</v>
      </c>
      <c r="AZ126" s="77">
        <f t="shared" si="216"/>
        <v>2461054</v>
      </c>
      <c r="BA126" s="77">
        <f t="shared" si="216"/>
        <v>2461054</v>
      </c>
      <c r="BB126" s="77">
        <f t="shared" si="216"/>
        <v>2461054</v>
      </c>
      <c r="BC126" s="77">
        <f t="shared" si="216"/>
        <v>2461054</v>
      </c>
      <c r="BD126" s="77">
        <f t="shared" si="216"/>
        <v>2461054</v>
      </c>
      <c r="BE126" s="77">
        <f t="shared" si="216"/>
        <v>2461054</v>
      </c>
      <c r="BF126" s="77">
        <f t="shared" si="216"/>
        <v>2461054</v>
      </c>
      <c r="BG126" s="77">
        <f t="shared" si="216"/>
        <v>2444618</v>
      </c>
    </row>
    <row r="127" spans="1:59" x14ac:dyDescent="0.25">
      <c r="B127">
        <v>63</v>
      </c>
      <c r="C127" t="s">
        <v>160</v>
      </c>
      <c r="D127" s="7" t="s">
        <v>386</v>
      </c>
      <c r="E127" s="77">
        <f>_xlfn.FLOOR.MATH((E124-E126)/30.6001)</f>
        <v>12</v>
      </c>
      <c r="F127" s="77">
        <f t="shared" ref="F127:BG127" si="217">_xlfn.FLOOR.MATH((F124-F126)/30.6001)</f>
        <v>4</v>
      </c>
      <c r="G127" s="77">
        <f t="shared" si="217"/>
        <v>14</v>
      </c>
      <c r="H127" s="77">
        <f t="shared" si="217"/>
        <v>14</v>
      </c>
      <c r="I127" s="77">
        <f t="shared" si="217"/>
        <v>15</v>
      </c>
      <c r="J127" s="77">
        <f t="shared" si="217"/>
        <v>8</v>
      </c>
      <c r="K127" s="77">
        <f t="shared" si="217"/>
        <v>15</v>
      </c>
      <c r="L127" s="77">
        <f t="shared" si="217"/>
        <v>7</v>
      </c>
      <c r="M127" s="77">
        <f t="shared" si="217"/>
        <v>14</v>
      </c>
      <c r="N127" s="77">
        <f t="shared" si="217"/>
        <v>14</v>
      </c>
      <c r="O127" s="77">
        <f t="shared" si="217"/>
        <v>15</v>
      </c>
      <c r="P127" s="77">
        <f t="shared" si="217"/>
        <v>5</v>
      </c>
      <c r="Q127" s="77">
        <f t="shared" si="217"/>
        <v>15</v>
      </c>
      <c r="R127" s="77">
        <f t="shared" si="217"/>
        <v>14</v>
      </c>
      <c r="S127" s="77">
        <f t="shared" si="217"/>
        <v>8</v>
      </c>
      <c r="T127" s="77">
        <f t="shared" si="217"/>
        <v>5</v>
      </c>
      <c r="U127" s="77">
        <f t="shared" si="217"/>
        <v>9</v>
      </c>
      <c r="V127" s="77">
        <f t="shared" si="217"/>
        <v>14</v>
      </c>
      <c r="W127" s="77">
        <f t="shared" si="217"/>
        <v>6</v>
      </c>
      <c r="X127" s="77">
        <f t="shared" si="217"/>
        <v>6</v>
      </c>
      <c r="Y127" s="77">
        <f t="shared" si="217"/>
        <v>4</v>
      </c>
      <c r="Z127" s="77">
        <f t="shared" si="217"/>
        <v>14</v>
      </c>
      <c r="AA127" s="77">
        <f t="shared" si="217"/>
        <v>14</v>
      </c>
      <c r="AB127" s="77">
        <f t="shared" si="217"/>
        <v>8</v>
      </c>
      <c r="AC127" s="77">
        <f t="shared" si="217"/>
        <v>13</v>
      </c>
      <c r="AD127" s="77">
        <f t="shared" si="217"/>
        <v>6</v>
      </c>
      <c r="AE127" s="77">
        <f t="shared" si="217"/>
        <v>4</v>
      </c>
      <c r="AF127" s="77">
        <f t="shared" si="217"/>
        <v>14</v>
      </c>
      <c r="AG127" s="77">
        <f t="shared" si="217"/>
        <v>12</v>
      </c>
      <c r="AH127" s="77">
        <f t="shared" si="217"/>
        <v>4</v>
      </c>
      <c r="AI127" s="77">
        <f t="shared" si="217"/>
        <v>5</v>
      </c>
      <c r="AJ127" s="77">
        <f t="shared" si="217"/>
        <v>7</v>
      </c>
      <c r="AK127" s="77">
        <f t="shared" si="217"/>
        <v>14</v>
      </c>
      <c r="AL127" s="77">
        <f t="shared" si="217"/>
        <v>11</v>
      </c>
      <c r="AM127" s="77">
        <f t="shared" si="217"/>
        <v>8</v>
      </c>
      <c r="AN127" s="77">
        <f t="shared" si="217"/>
        <v>5</v>
      </c>
      <c r="AO127" s="77">
        <f t="shared" si="217"/>
        <v>14</v>
      </c>
      <c r="AP127" s="77">
        <f t="shared" si="217"/>
        <v>11</v>
      </c>
      <c r="AQ127" s="77">
        <f t="shared" si="217"/>
        <v>11</v>
      </c>
      <c r="AR127" s="77">
        <f t="shared" si="217"/>
        <v>12</v>
      </c>
      <c r="AS127" s="77">
        <f t="shared" si="217"/>
        <v>12</v>
      </c>
      <c r="AT127" s="77">
        <f t="shared" si="217"/>
        <v>12</v>
      </c>
      <c r="AU127" s="77">
        <f t="shared" si="217"/>
        <v>7</v>
      </c>
      <c r="AV127" s="77">
        <f t="shared" si="217"/>
        <v>10</v>
      </c>
      <c r="AW127" s="77">
        <f t="shared" si="217"/>
        <v>14</v>
      </c>
      <c r="AX127" s="77">
        <f t="shared" si="217"/>
        <v>6</v>
      </c>
      <c r="AY127" s="77">
        <f t="shared" si="217"/>
        <v>13</v>
      </c>
      <c r="AZ127" s="77">
        <f t="shared" si="217"/>
        <v>13</v>
      </c>
      <c r="BA127" s="77">
        <f t="shared" si="217"/>
        <v>14</v>
      </c>
      <c r="BB127" s="77">
        <f t="shared" si="217"/>
        <v>14</v>
      </c>
      <c r="BC127" s="77">
        <f t="shared" si="217"/>
        <v>14</v>
      </c>
      <c r="BD127" s="77">
        <f t="shared" si="217"/>
        <v>14</v>
      </c>
      <c r="BE127" s="77">
        <f t="shared" si="217"/>
        <v>14</v>
      </c>
      <c r="BF127" s="77">
        <f t="shared" si="217"/>
        <v>14</v>
      </c>
      <c r="BG127" s="77">
        <f t="shared" si="217"/>
        <v>4</v>
      </c>
    </row>
    <row r="128" spans="1:59" x14ac:dyDescent="0.25">
      <c r="B128">
        <v>63</v>
      </c>
      <c r="C128" t="s">
        <v>511</v>
      </c>
      <c r="D128"/>
    </row>
    <row r="129" spans="1:59" x14ac:dyDescent="0.25">
      <c r="C129" t="s">
        <v>513</v>
      </c>
      <c r="D129" s="7" t="s">
        <v>515</v>
      </c>
      <c r="E129" s="16">
        <f>E124-E126-INT(30.6001*E127)+E119</f>
        <v>7.6059627425856888</v>
      </c>
      <c r="F129" s="16">
        <f t="shared" ref="F129:BG129" si="218">F124-F126-INT(30.6001*F127)+F119</f>
        <v>18.328666624845937</v>
      </c>
      <c r="G129" s="16">
        <f t="shared" si="218"/>
        <v>21.195466312114149</v>
      </c>
      <c r="H129" s="16">
        <f t="shared" si="218"/>
        <v>31.6720523503609</v>
      </c>
      <c r="I129" s="16">
        <f t="shared" si="218"/>
        <v>13.874232928734273</v>
      </c>
      <c r="J129" s="16">
        <f t="shared" si="218"/>
        <v>11.148206418380141</v>
      </c>
      <c r="K129" s="16">
        <f t="shared" si="218"/>
        <v>2.8697666386142373</v>
      </c>
      <c r="L129" s="16">
        <f t="shared" si="218"/>
        <v>29.824007491581142</v>
      </c>
      <c r="M129" s="16">
        <f t="shared" si="218"/>
        <v>15.796870124991983</v>
      </c>
      <c r="N129" s="16">
        <f t="shared" si="218"/>
        <v>30.275015105027705</v>
      </c>
      <c r="O129" s="16">
        <f t="shared" si="218"/>
        <v>17.183693797327578</v>
      </c>
      <c r="P129" s="16">
        <f t="shared" si="218"/>
        <v>24.495493442751467</v>
      </c>
      <c r="Q129" s="16">
        <f t="shared" si="218"/>
        <v>7.331332509405911</v>
      </c>
      <c r="R129" s="16">
        <f t="shared" si="218"/>
        <v>8.8994050864130259</v>
      </c>
      <c r="S129" s="16">
        <f t="shared" si="218"/>
        <v>21.305962165817618</v>
      </c>
      <c r="T129" s="16">
        <f t="shared" si="218"/>
        <v>23.442520309705287</v>
      </c>
      <c r="U129" s="16">
        <f t="shared" si="218"/>
        <v>31.512746980879456</v>
      </c>
      <c r="V129" s="16">
        <f t="shared" si="218"/>
        <v>26.813434739518026</v>
      </c>
      <c r="W129" s="16">
        <f t="shared" si="218"/>
        <v>13.535442486871034</v>
      </c>
      <c r="X129" s="16">
        <f t="shared" si="218"/>
        <v>16.669102856889367</v>
      </c>
      <c r="Y129" s="16">
        <f t="shared" si="218"/>
        <v>5.7180670211091638</v>
      </c>
      <c r="Z129" s="16">
        <f t="shared" si="218"/>
        <v>14.786347764078528</v>
      </c>
      <c r="AA129" s="16">
        <f t="shared" si="218"/>
        <v>21.195466312114149</v>
      </c>
      <c r="AB129" s="16">
        <f t="shared" si="218"/>
        <v>16.020571232773364</v>
      </c>
      <c r="AC129" s="16">
        <f t="shared" si="218"/>
        <v>14.521886244416237</v>
      </c>
      <c r="AD129" s="16">
        <f t="shared" si="218"/>
        <v>1.9872523341327906</v>
      </c>
      <c r="AE129" s="16">
        <f t="shared" si="218"/>
        <v>5.7180670211091638</v>
      </c>
      <c r="AF129" s="16">
        <f t="shared" si="218"/>
        <v>8.5265379548072815</v>
      </c>
      <c r="AG129" s="16">
        <f t="shared" si="218"/>
        <v>10.389706082642078</v>
      </c>
      <c r="AH129" s="16">
        <f t="shared" si="218"/>
        <v>30.304452354088426</v>
      </c>
      <c r="AI129" s="16">
        <f t="shared" si="218"/>
        <v>17.196789393667132</v>
      </c>
      <c r="AJ129" s="16">
        <f t="shared" si="218"/>
        <v>4.5438344371505082</v>
      </c>
      <c r="AK129" s="16">
        <f t="shared" si="218"/>
        <v>22.442998754326254</v>
      </c>
      <c r="AL129" s="16">
        <f t="shared" si="218"/>
        <v>4.5018966477364302</v>
      </c>
      <c r="AM129" s="16">
        <f t="shared" si="218"/>
        <v>28.226036739302799</v>
      </c>
      <c r="AN129" s="16">
        <f t="shared" si="218"/>
        <v>18.737949036993086</v>
      </c>
      <c r="AO129" s="16">
        <f t="shared" si="218"/>
        <v>28.168082978809252</v>
      </c>
      <c r="AP129" s="16">
        <f t="shared" si="218"/>
        <v>9.8722320268861949</v>
      </c>
      <c r="AQ129" s="16">
        <f t="shared" si="218"/>
        <v>9.8722320268861949</v>
      </c>
      <c r="AR129" s="16">
        <f t="shared" si="218"/>
        <v>8.4605884058400989</v>
      </c>
      <c r="AS129" s="16">
        <f t="shared" si="218"/>
        <v>8.4605884058400989</v>
      </c>
      <c r="AT129" s="16">
        <f t="shared" si="218"/>
        <v>8.4605884058400989</v>
      </c>
      <c r="AU129" s="16">
        <f t="shared" si="218"/>
        <v>15.857815690804273</v>
      </c>
      <c r="AV129" s="16">
        <f t="shared" si="218"/>
        <v>16.785734951496124</v>
      </c>
      <c r="AW129" s="16">
        <f t="shared" si="218"/>
        <v>19.655966325197369</v>
      </c>
      <c r="AX129" s="16">
        <f t="shared" si="218"/>
        <v>13.940781256183982</v>
      </c>
      <c r="AY129" s="16">
        <f t="shared" si="218"/>
        <v>8.1731720352545381</v>
      </c>
      <c r="AZ129" s="16">
        <f t="shared" si="218"/>
        <v>8.1731720352545381</v>
      </c>
      <c r="BA129" s="16">
        <f t="shared" si="218"/>
        <v>6.9647083571180701</v>
      </c>
      <c r="BB129" s="16">
        <f t="shared" si="218"/>
        <v>6.9647083571180701</v>
      </c>
      <c r="BC129" s="16">
        <f t="shared" si="218"/>
        <v>6.9647083571180701</v>
      </c>
      <c r="BD129" s="16">
        <f t="shared" si="218"/>
        <v>6.9647083571180701</v>
      </c>
      <c r="BE129" s="16">
        <f t="shared" si="218"/>
        <v>6.9647083571180701</v>
      </c>
      <c r="BF129" s="16">
        <f t="shared" si="218"/>
        <v>6.9647083571180701</v>
      </c>
      <c r="BG129" s="16">
        <f t="shared" si="218"/>
        <v>5.7180670211091638</v>
      </c>
    </row>
    <row r="130" spans="1:59" x14ac:dyDescent="0.25">
      <c r="B130">
        <v>63</v>
      </c>
      <c r="C130" t="s">
        <v>164</v>
      </c>
      <c r="D130"/>
    </row>
    <row r="131" spans="1:59" x14ac:dyDescent="0.25">
      <c r="C131" t="s">
        <v>517</v>
      </c>
      <c r="D131"/>
    </row>
    <row r="132" spans="1:59" x14ac:dyDescent="0.25">
      <c r="C132" t="s">
        <v>518</v>
      </c>
      <c r="D132" s="7" t="s">
        <v>522</v>
      </c>
      <c r="E132" s="78">
        <f>IF(E127&lt;14,E127-1,E127-13)</f>
        <v>11</v>
      </c>
      <c r="F132" s="78">
        <f t="shared" ref="F132:BG132" si="219">IF(F127&lt;14,F127-1,F127-13)</f>
        <v>3</v>
      </c>
      <c r="G132" s="78">
        <f t="shared" si="219"/>
        <v>1</v>
      </c>
      <c r="H132" s="78">
        <f t="shared" si="219"/>
        <v>1</v>
      </c>
      <c r="I132" s="78">
        <f t="shared" si="219"/>
        <v>2</v>
      </c>
      <c r="J132" s="78">
        <f t="shared" si="219"/>
        <v>7</v>
      </c>
      <c r="K132" s="78">
        <f t="shared" si="219"/>
        <v>2</v>
      </c>
      <c r="L132" s="78">
        <f t="shared" si="219"/>
        <v>6</v>
      </c>
      <c r="M132" s="78">
        <f t="shared" si="219"/>
        <v>1</v>
      </c>
      <c r="N132" s="78">
        <f t="shared" si="219"/>
        <v>1</v>
      </c>
      <c r="O132" s="78">
        <f t="shared" si="219"/>
        <v>2</v>
      </c>
      <c r="P132" s="78">
        <f t="shared" si="219"/>
        <v>4</v>
      </c>
      <c r="Q132" s="78">
        <f t="shared" si="219"/>
        <v>2</v>
      </c>
      <c r="R132" s="78">
        <f t="shared" si="219"/>
        <v>1</v>
      </c>
      <c r="S132" s="78">
        <f t="shared" si="219"/>
        <v>7</v>
      </c>
      <c r="T132" s="78">
        <f t="shared" si="219"/>
        <v>4</v>
      </c>
      <c r="U132" s="78">
        <f t="shared" si="219"/>
        <v>8</v>
      </c>
      <c r="V132" s="78">
        <f t="shared" si="219"/>
        <v>1</v>
      </c>
      <c r="W132" s="78">
        <f t="shared" si="219"/>
        <v>5</v>
      </c>
      <c r="X132" s="78">
        <f t="shared" si="219"/>
        <v>5</v>
      </c>
      <c r="Y132" s="78">
        <f t="shared" si="219"/>
        <v>3</v>
      </c>
      <c r="Z132" s="78">
        <f t="shared" si="219"/>
        <v>1</v>
      </c>
      <c r="AA132" s="78">
        <f t="shared" si="219"/>
        <v>1</v>
      </c>
      <c r="AB132" s="78">
        <f t="shared" si="219"/>
        <v>7</v>
      </c>
      <c r="AC132" s="78">
        <f t="shared" si="219"/>
        <v>12</v>
      </c>
      <c r="AD132" s="78">
        <f t="shared" si="219"/>
        <v>5</v>
      </c>
      <c r="AE132" s="78">
        <f t="shared" si="219"/>
        <v>3</v>
      </c>
      <c r="AF132" s="78">
        <f t="shared" si="219"/>
        <v>1</v>
      </c>
      <c r="AG132" s="78">
        <f t="shared" si="219"/>
        <v>11</v>
      </c>
      <c r="AH132" s="78">
        <f t="shared" si="219"/>
        <v>3</v>
      </c>
      <c r="AI132" s="78">
        <f t="shared" si="219"/>
        <v>4</v>
      </c>
      <c r="AJ132" s="78">
        <f t="shared" si="219"/>
        <v>6</v>
      </c>
      <c r="AK132" s="78">
        <f t="shared" si="219"/>
        <v>1</v>
      </c>
      <c r="AL132" s="78">
        <f t="shared" si="219"/>
        <v>10</v>
      </c>
      <c r="AM132" s="78">
        <f t="shared" si="219"/>
        <v>7</v>
      </c>
      <c r="AN132" s="78">
        <f t="shared" si="219"/>
        <v>4</v>
      </c>
      <c r="AO132" s="78">
        <f t="shared" si="219"/>
        <v>1</v>
      </c>
      <c r="AP132" s="78">
        <f t="shared" si="219"/>
        <v>10</v>
      </c>
      <c r="AQ132" s="78">
        <f t="shared" si="219"/>
        <v>10</v>
      </c>
      <c r="AR132" s="78">
        <f t="shared" si="219"/>
        <v>11</v>
      </c>
      <c r="AS132" s="78">
        <f t="shared" si="219"/>
        <v>11</v>
      </c>
      <c r="AT132" s="78">
        <f t="shared" si="219"/>
        <v>11</v>
      </c>
      <c r="AU132" s="78">
        <f t="shared" si="219"/>
        <v>6</v>
      </c>
      <c r="AV132" s="78">
        <f t="shared" si="219"/>
        <v>9</v>
      </c>
      <c r="AW132" s="78">
        <f t="shared" si="219"/>
        <v>1</v>
      </c>
      <c r="AX132" s="78">
        <f t="shared" si="219"/>
        <v>5</v>
      </c>
      <c r="AY132" s="78">
        <f t="shared" si="219"/>
        <v>12</v>
      </c>
      <c r="AZ132" s="78">
        <f t="shared" si="219"/>
        <v>12</v>
      </c>
      <c r="BA132" s="78">
        <f t="shared" si="219"/>
        <v>1</v>
      </c>
      <c r="BB132" s="78">
        <f t="shared" si="219"/>
        <v>1</v>
      </c>
      <c r="BC132" s="78">
        <f t="shared" si="219"/>
        <v>1</v>
      </c>
      <c r="BD132" s="78">
        <f t="shared" si="219"/>
        <v>1</v>
      </c>
      <c r="BE132" s="78">
        <f t="shared" si="219"/>
        <v>1</v>
      </c>
      <c r="BF132" s="78">
        <f t="shared" si="219"/>
        <v>1</v>
      </c>
      <c r="BG132" s="78">
        <f t="shared" si="219"/>
        <v>3</v>
      </c>
    </row>
    <row r="133" spans="1:59" x14ac:dyDescent="0.25">
      <c r="B133">
        <v>63</v>
      </c>
      <c r="C133" t="s">
        <v>524</v>
      </c>
      <c r="D133"/>
    </row>
    <row r="134" spans="1:59" x14ac:dyDescent="0.25">
      <c r="C134" t="s">
        <v>525</v>
      </c>
      <c r="D134"/>
    </row>
    <row r="135" spans="1:59" x14ac:dyDescent="0.25">
      <c r="C135" t="s">
        <v>526</v>
      </c>
      <c r="D135" s="7" t="s">
        <v>529</v>
      </c>
      <c r="E135" s="78">
        <f>IF(E132&gt;2, E125-4716,E125-4715)</f>
        <v>1957</v>
      </c>
      <c r="F135" s="78">
        <f t="shared" ref="F135:BG135" si="220">IF(F132&gt;2, F125-4716,F125-4715)</f>
        <v>333</v>
      </c>
      <c r="G135" s="78">
        <f t="shared" si="220"/>
        <v>2000</v>
      </c>
      <c r="H135" s="78">
        <f t="shared" si="220"/>
        <v>1999</v>
      </c>
      <c r="I135" s="78">
        <f t="shared" si="220"/>
        <v>1987</v>
      </c>
      <c r="J135" s="78">
        <f t="shared" si="220"/>
        <v>1987</v>
      </c>
      <c r="K135" s="78">
        <f t="shared" si="220"/>
        <v>1988</v>
      </c>
      <c r="L135" s="78">
        <f t="shared" si="220"/>
        <v>1988</v>
      </c>
      <c r="M135" s="78">
        <f t="shared" si="220"/>
        <v>1900</v>
      </c>
      <c r="N135" s="78">
        <f t="shared" si="220"/>
        <v>1600</v>
      </c>
      <c r="O135" s="78">
        <f t="shared" si="220"/>
        <v>1601</v>
      </c>
      <c r="P135" s="78">
        <f t="shared" si="220"/>
        <v>837</v>
      </c>
      <c r="Q135" s="78">
        <f t="shared" si="220"/>
        <v>-122</v>
      </c>
      <c r="R135" s="78">
        <f t="shared" si="220"/>
        <v>-122</v>
      </c>
      <c r="S135" s="78">
        <f t="shared" si="220"/>
        <v>-1000</v>
      </c>
      <c r="T135" s="78">
        <f t="shared" si="220"/>
        <v>-1000</v>
      </c>
      <c r="U135" s="78">
        <f t="shared" si="220"/>
        <v>-1001</v>
      </c>
      <c r="V135" s="78">
        <f t="shared" si="220"/>
        <v>-4712</v>
      </c>
      <c r="W135" s="78">
        <f t="shared" si="220"/>
        <v>1987</v>
      </c>
      <c r="X135" s="78">
        <f t="shared" si="220"/>
        <v>1992</v>
      </c>
      <c r="Y135" s="78">
        <f t="shared" si="220"/>
        <v>1977</v>
      </c>
      <c r="Z135" s="78">
        <f t="shared" si="220"/>
        <v>2044</v>
      </c>
      <c r="AA135" s="78">
        <f t="shared" si="220"/>
        <v>2000</v>
      </c>
      <c r="AB135" s="78">
        <f t="shared" si="220"/>
        <v>1954</v>
      </c>
      <c r="AC135" s="78">
        <f t="shared" si="220"/>
        <v>1978</v>
      </c>
      <c r="AD135" s="78">
        <f t="shared" si="220"/>
        <v>1988</v>
      </c>
      <c r="AE135" s="78">
        <f t="shared" si="220"/>
        <v>1977</v>
      </c>
      <c r="AF135" s="78">
        <f t="shared" si="220"/>
        <v>1993</v>
      </c>
      <c r="AG135" s="78">
        <f t="shared" si="220"/>
        <v>1992</v>
      </c>
      <c r="AH135" s="78">
        <f t="shared" si="220"/>
        <v>1991</v>
      </c>
      <c r="AI135" s="78">
        <f t="shared" si="220"/>
        <v>1992</v>
      </c>
      <c r="AJ135" s="78">
        <f t="shared" si="220"/>
        <v>1993</v>
      </c>
      <c r="AK135" s="78">
        <f t="shared" si="220"/>
        <v>1818</v>
      </c>
      <c r="AL135" s="78">
        <f t="shared" si="220"/>
        <v>1990</v>
      </c>
      <c r="AM135" s="78">
        <f t="shared" si="220"/>
        <v>622</v>
      </c>
      <c r="AN135" s="78">
        <f t="shared" si="220"/>
        <v>2000</v>
      </c>
      <c r="AO135" s="78">
        <f t="shared" si="220"/>
        <v>1</v>
      </c>
      <c r="AP135" s="78">
        <f t="shared" si="220"/>
        <v>2022</v>
      </c>
      <c r="AQ135" s="78">
        <f t="shared" si="220"/>
        <v>2022</v>
      </c>
      <c r="AR135" s="78">
        <f t="shared" si="220"/>
        <v>2022</v>
      </c>
      <c r="AS135" s="78">
        <f t="shared" si="220"/>
        <v>2022</v>
      </c>
      <c r="AT135" s="78">
        <f t="shared" si="220"/>
        <v>2022</v>
      </c>
      <c r="AU135" s="78">
        <f t="shared" si="220"/>
        <v>1973</v>
      </c>
      <c r="AV135" s="78">
        <f t="shared" si="220"/>
        <v>1997</v>
      </c>
      <c r="AW135" s="78">
        <f t="shared" si="220"/>
        <v>1935</v>
      </c>
      <c r="AX135" s="78">
        <f t="shared" si="220"/>
        <v>1957</v>
      </c>
      <c r="AY135" s="78">
        <f t="shared" si="220"/>
        <v>2022</v>
      </c>
      <c r="AZ135" s="78">
        <f t="shared" si="220"/>
        <v>2022</v>
      </c>
      <c r="BA135" s="78">
        <f t="shared" si="220"/>
        <v>2023</v>
      </c>
      <c r="BB135" s="78">
        <f t="shared" si="220"/>
        <v>2023</v>
      </c>
      <c r="BC135" s="78">
        <f t="shared" si="220"/>
        <v>2023</v>
      </c>
      <c r="BD135" s="78">
        <f t="shared" si="220"/>
        <v>2023</v>
      </c>
      <c r="BE135" s="78">
        <f t="shared" si="220"/>
        <v>2023</v>
      </c>
      <c r="BF135" s="78">
        <f t="shared" si="220"/>
        <v>2023</v>
      </c>
      <c r="BG135" s="78">
        <f t="shared" si="220"/>
        <v>1977</v>
      </c>
    </row>
    <row r="136" spans="1:59" x14ac:dyDescent="0.25">
      <c r="C136" t="s">
        <v>531</v>
      </c>
      <c r="D136" s="7" t="s">
        <v>534</v>
      </c>
      <c r="E136" s="78">
        <f>INT(E119*24)</f>
        <v>14</v>
      </c>
      <c r="F136" s="78">
        <f t="shared" ref="F136:BG136" si="221">INT(F119*24)</f>
        <v>7</v>
      </c>
      <c r="G136" s="78">
        <f t="shared" si="221"/>
        <v>4</v>
      </c>
      <c r="H136" s="78">
        <f t="shared" si="221"/>
        <v>16</v>
      </c>
      <c r="I136" s="78">
        <f t="shared" si="221"/>
        <v>20</v>
      </c>
      <c r="J136" s="78">
        <f t="shared" si="221"/>
        <v>3</v>
      </c>
      <c r="K136" s="78">
        <f t="shared" si="221"/>
        <v>20</v>
      </c>
      <c r="L136" s="78">
        <f t="shared" si="221"/>
        <v>19</v>
      </c>
      <c r="M136" s="78">
        <f t="shared" si="221"/>
        <v>19</v>
      </c>
      <c r="N136" s="78">
        <f t="shared" si="221"/>
        <v>6</v>
      </c>
      <c r="O136" s="78">
        <f t="shared" si="221"/>
        <v>4</v>
      </c>
      <c r="P136" s="78">
        <f t="shared" si="221"/>
        <v>11</v>
      </c>
      <c r="Q136" s="78">
        <f t="shared" si="221"/>
        <v>7</v>
      </c>
      <c r="R136" s="78">
        <f t="shared" si="221"/>
        <v>21</v>
      </c>
      <c r="S136" s="78">
        <f t="shared" si="221"/>
        <v>7</v>
      </c>
      <c r="T136" s="78">
        <f t="shared" si="221"/>
        <v>10</v>
      </c>
      <c r="U136" s="78">
        <f t="shared" si="221"/>
        <v>12</v>
      </c>
      <c r="V136" s="78">
        <f t="shared" si="221"/>
        <v>19</v>
      </c>
      <c r="W136" s="78">
        <f t="shared" si="221"/>
        <v>12</v>
      </c>
      <c r="X136" s="78">
        <f t="shared" si="221"/>
        <v>16</v>
      </c>
      <c r="Y136" s="78">
        <f t="shared" si="221"/>
        <v>17</v>
      </c>
      <c r="Z136" s="78">
        <f t="shared" si="221"/>
        <v>18</v>
      </c>
      <c r="AA136" s="78">
        <f t="shared" si="221"/>
        <v>4</v>
      </c>
      <c r="AB136" s="78">
        <f t="shared" si="221"/>
        <v>0</v>
      </c>
      <c r="AC136" s="78">
        <f t="shared" si="221"/>
        <v>12</v>
      </c>
      <c r="AD136" s="78">
        <f t="shared" si="221"/>
        <v>23</v>
      </c>
      <c r="AE136" s="78">
        <f t="shared" si="221"/>
        <v>17</v>
      </c>
      <c r="AF136" s="78">
        <f t="shared" si="221"/>
        <v>12</v>
      </c>
      <c r="AG136" s="78">
        <f t="shared" si="221"/>
        <v>9</v>
      </c>
      <c r="AH136" s="78">
        <f t="shared" si="221"/>
        <v>7</v>
      </c>
      <c r="AI136" s="78">
        <f t="shared" si="221"/>
        <v>4</v>
      </c>
      <c r="AJ136" s="78">
        <f t="shared" si="221"/>
        <v>13</v>
      </c>
      <c r="AK136" s="78">
        <f t="shared" si="221"/>
        <v>10</v>
      </c>
      <c r="AL136" s="78">
        <f t="shared" si="221"/>
        <v>12</v>
      </c>
      <c r="AM136" s="78">
        <f t="shared" si="221"/>
        <v>5</v>
      </c>
      <c r="AN136" s="78">
        <f t="shared" si="221"/>
        <v>17</v>
      </c>
      <c r="AO136" s="78">
        <f t="shared" si="221"/>
        <v>4</v>
      </c>
      <c r="AP136" s="78">
        <f t="shared" si="221"/>
        <v>20</v>
      </c>
      <c r="AQ136" s="78">
        <f t="shared" si="221"/>
        <v>20</v>
      </c>
      <c r="AR136" s="78">
        <f t="shared" si="221"/>
        <v>11</v>
      </c>
      <c r="AS136" s="78">
        <f t="shared" si="221"/>
        <v>11</v>
      </c>
      <c r="AT136" s="78">
        <f t="shared" si="221"/>
        <v>11</v>
      </c>
      <c r="AU136" s="78">
        <f t="shared" si="221"/>
        <v>20</v>
      </c>
      <c r="AV136" s="78">
        <f t="shared" si="221"/>
        <v>18</v>
      </c>
      <c r="AW136" s="78">
        <f t="shared" si="221"/>
        <v>15</v>
      </c>
      <c r="AX136" s="78">
        <f t="shared" si="221"/>
        <v>22</v>
      </c>
      <c r="AY136" s="78">
        <f t="shared" si="221"/>
        <v>4</v>
      </c>
      <c r="AZ136" s="78">
        <f t="shared" si="221"/>
        <v>4</v>
      </c>
      <c r="BA136" s="78">
        <f t="shared" si="221"/>
        <v>23</v>
      </c>
      <c r="BB136" s="78">
        <f t="shared" si="221"/>
        <v>23</v>
      </c>
      <c r="BC136" s="78">
        <f t="shared" si="221"/>
        <v>23</v>
      </c>
      <c r="BD136" s="78">
        <f t="shared" si="221"/>
        <v>23</v>
      </c>
      <c r="BE136" s="78">
        <f t="shared" si="221"/>
        <v>23</v>
      </c>
      <c r="BF136" s="78">
        <f t="shared" si="221"/>
        <v>23</v>
      </c>
      <c r="BG136" s="78">
        <f t="shared" si="221"/>
        <v>17</v>
      </c>
    </row>
    <row r="137" spans="1:59" x14ac:dyDescent="0.25">
      <c r="C137" t="s">
        <v>536</v>
      </c>
      <c r="D137" s="7" t="s">
        <v>539</v>
      </c>
      <c r="E137" s="78">
        <f>INT(((E119*24)-E136)*60)</f>
        <v>32</v>
      </c>
      <c r="F137" s="78">
        <f t="shared" ref="F137:BG137" si="222">INT(((F119*24)-F136)*60)</f>
        <v>53</v>
      </c>
      <c r="G137" s="78">
        <f t="shared" si="222"/>
        <v>41</v>
      </c>
      <c r="H137" s="78">
        <f t="shared" si="222"/>
        <v>7</v>
      </c>
      <c r="I137" s="78">
        <f t="shared" si="222"/>
        <v>58</v>
      </c>
      <c r="J137" s="78">
        <f t="shared" si="222"/>
        <v>33</v>
      </c>
      <c r="K137" s="78">
        <f t="shared" si="222"/>
        <v>52</v>
      </c>
      <c r="L137" s="78">
        <f t="shared" si="222"/>
        <v>46</v>
      </c>
      <c r="M137" s="78">
        <f t="shared" si="222"/>
        <v>7</v>
      </c>
      <c r="N137" s="78">
        <f t="shared" si="222"/>
        <v>36</v>
      </c>
      <c r="O137" s="78">
        <f t="shared" si="222"/>
        <v>24</v>
      </c>
      <c r="P137" s="78">
        <f t="shared" si="222"/>
        <v>53</v>
      </c>
      <c r="Q137" s="78">
        <f t="shared" si="222"/>
        <v>57</v>
      </c>
      <c r="R137" s="78">
        <f t="shared" si="222"/>
        <v>35</v>
      </c>
      <c r="S137" s="78">
        <f t="shared" si="222"/>
        <v>20</v>
      </c>
      <c r="T137" s="78">
        <f t="shared" si="222"/>
        <v>37</v>
      </c>
      <c r="U137" s="78">
        <f t="shared" si="222"/>
        <v>18</v>
      </c>
      <c r="V137" s="78">
        <f t="shared" si="222"/>
        <v>31</v>
      </c>
      <c r="W137" s="78">
        <f t="shared" si="222"/>
        <v>51</v>
      </c>
      <c r="X137" s="78">
        <f t="shared" si="222"/>
        <v>3</v>
      </c>
      <c r="Y137" s="78">
        <f t="shared" si="222"/>
        <v>14</v>
      </c>
      <c r="Z137" s="78">
        <f t="shared" si="222"/>
        <v>52</v>
      </c>
      <c r="AA137" s="78">
        <f t="shared" si="222"/>
        <v>41</v>
      </c>
      <c r="AB137" s="78">
        <f t="shared" si="222"/>
        <v>29</v>
      </c>
      <c r="AC137" s="78">
        <f t="shared" si="222"/>
        <v>31</v>
      </c>
      <c r="AD137" s="78">
        <f t="shared" si="222"/>
        <v>41</v>
      </c>
      <c r="AE137" s="78">
        <f t="shared" si="222"/>
        <v>14</v>
      </c>
      <c r="AF137" s="78">
        <f t="shared" si="222"/>
        <v>38</v>
      </c>
      <c r="AG137" s="78">
        <f t="shared" si="222"/>
        <v>21</v>
      </c>
      <c r="AH137" s="78">
        <f t="shared" si="222"/>
        <v>18</v>
      </c>
      <c r="AI137" s="78">
        <f t="shared" si="222"/>
        <v>43</v>
      </c>
      <c r="AJ137" s="78">
        <f t="shared" si="222"/>
        <v>3</v>
      </c>
      <c r="AK137" s="78">
        <f t="shared" si="222"/>
        <v>37</v>
      </c>
      <c r="AL137" s="78">
        <f t="shared" si="222"/>
        <v>2</v>
      </c>
      <c r="AM137" s="78">
        <f t="shared" si="222"/>
        <v>25</v>
      </c>
      <c r="AN137" s="78">
        <f t="shared" si="222"/>
        <v>42</v>
      </c>
      <c r="AO137" s="78">
        <f t="shared" si="222"/>
        <v>2</v>
      </c>
      <c r="AP137" s="78">
        <f t="shared" si="222"/>
        <v>56</v>
      </c>
      <c r="AQ137" s="78">
        <f t="shared" si="222"/>
        <v>56</v>
      </c>
      <c r="AR137" s="78">
        <f t="shared" si="222"/>
        <v>3</v>
      </c>
      <c r="AS137" s="78">
        <f t="shared" si="222"/>
        <v>3</v>
      </c>
      <c r="AT137" s="78">
        <f t="shared" si="222"/>
        <v>3</v>
      </c>
      <c r="AU137" s="78">
        <f t="shared" si="222"/>
        <v>35</v>
      </c>
      <c r="AV137" s="78">
        <f t="shared" si="222"/>
        <v>51</v>
      </c>
      <c r="AW137" s="78">
        <f t="shared" si="222"/>
        <v>44</v>
      </c>
      <c r="AX137" s="78">
        <f t="shared" si="222"/>
        <v>34</v>
      </c>
      <c r="AY137" s="78">
        <f t="shared" si="222"/>
        <v>9</v>
      </c>
      <c r="AZ137" s="78">
        <f t="shared" si="222"/>
        <v>9</v>
      </c>
      <c r="BA137" s="78">
        <f t="shared" si="222"/>
        <v>9</v>
      </c>
      <c r="BB137" s="78">
        <f t="shared" si="222"/>
        <v>9</v>
      </c>
      <c r="BC137" s="78">
        <f t="shared" si="222"/>
        <v>9</v>
      </c>
      <c r="BD137" s="78">
        <f t="shared" si="222"/>
        <v>9</v>
      </c>
      <c r="BE137" s="78">
        <f t="shared" si="222"/>
        <v>9</v>
      </c>
      <c r="BF137" s="78">
        <f t="shared" si="222"/>
        <v>9</v>
      </c>
      <c r="BG137" s="78">
        <f t="shared" si="222"/>
        <v>14</v>
      </c>
    </row>
    <row r="138" spans="1:59" x14ac:dyDescent="0.25">
      <c r="C138" t="s">
        <v>541</v>
      </c>
      <c r="D138" s="7" t="s">
        <v>544</v>
      </c>
      <c r="E138" s="78">
        <f>INT(((((E119*24)-E136)*60)-E137)*60)</f>
        <v>35</v>
      </c>
      <c r="F138" s="78">
        <f t="shared" ref="F138:BG138" si="223">INT(((((F119*24)-F136)*60)-F137)*60)</f>
        <v>16</v>
      </c>
      <c r="G138" s="78">
        <f t="shared" si="223"/>
        <v>28</v>
      </c>
      <c r="H138" s="78">
        <f t="shared" si="223"/>
        <v>45</v>
      </c>
      <c r="I138" s="78">
        <f t="shared" si="223"/>
        <v>53</v>
      </c>
      <c r="J138" s="78">
        <f t="shared" si="223"/>
        <v>25</v>
      </c>
      <c r="K138" s="78">
        <f t="shared" si="223"/>
        <v>27</v>
      </c>
      <c r="L138" s="78">
        <f t="shared" si="223"/>
        <v>34</v>
      </c>
      <c r="M138" s="78">
        <f t="shared" si="223"/>
        <v>29</v>
      </c>
      <c r="N138" s="78">
        <f t="shared" si="223"/>
        <v>1</v>
      </c>
      <c r="O138" s="78">
        <f t="shared" si="223"/>
        <v>31</v>
      </c>
      <c r="P138" s="78">
        <f t="shared" si="223"/>
        <v>30</v>
      </c>
      <c r="Q138" s="78">
        <f t="shared" si="223"/>
        <v>7</v>
      </c>
      <c r="R138" s="78">
        <f t="shared" si="223"/>
        <v>8</v>
      </c>
      <c r="S138" s="78">
        <f t="shared" si="223"/>
        <v>35</v>
      </c>
      <c r="T138" s="78">
        <f t="shared" si="223"/>
        <v>13</v>
      </c>
      <c r="U138" s="78">
        <f t="shared" si="223"/>
        <v>21</v>
      </c>
      <c r="V138" s="78">
        <f t="shared" si="223"/>
        <v>20</v>
      </c>
      <c r="W138" s="78">
        <f t="shared" si="223"/>
        <v>2</v>
      </c>
      <c r="X138" s="78">
        <f t="shared" si="223"/>
        <v>30</v>
      </c>
      <c r="Y138" s="78">
        <f t="shared" si="223"/>
        <v>0</v>
      </c>
      <c r="Z138" s="78">
        <f t="shared" si="223"/>
        <v>20</v>
      </c>
      <c r="AA138" s="78">
        <f t="shared" si="223"/>
        <v>28</v>
      </c>
      <c r="AB138" s="78">
        <f t="shared" si="223"/>
        <v>37</v>
      </c>
      <c r="AC138" s="78">
        <f t="shared" si="223"/>
        <v>30</v>
      </c>
      <c r="AD138" s="78">
        <f t="shared" si="223"/>
        <v>38</v>
      </c>
      <c r="AE138" s="78">
        <f t="shared" si="223"/>
        <v>0</v>
      </c>
      <c r="AF138" s="78">
        <f t="shared" si="223"/>
        <v>12</v>
      </c>
      <c r="AG138" s="78">
        <f t="shared" si="223"/>
        <v>10</v>
      </c>
      <c r="AH138" s="78">
        <f t="shared" si="223"/>
        <v>24</v>
      </c>
      <c r="AI138" s="78">
        <f t="shared" si="223"/>
        <v>22</v>
      </c>
      <c r="AJ138" s="78">
        <f t="shared" si="223"/>
        <v>7</v>
      </c>
      <c r="AK138" s="78">
        <f t="shared" si="223"/>
        <v>55</v>
      </c>
      <c r="AL138" s="78">
        <f t="shared" si="223"/>
        <v>43</v>
      </c>
      <c r="AM138" s="78">
        <f t="shared" si="223"/>
        <v>29</v>
      </c>
      <c r="AN138" s="78">
        <f t="shared" si="223"/>
        <v>38</v>
      </c>
      <c r="AO138" s="78">
        <f t="shared" si="223"/>
        <v>2</v>
      </c>
      <c r="AP138" s="78">
        <f t="shared" si="223"/>
        <v>0</v>
      </c>
      <c r="AQ138" s="78">
        <f t="shared" si="223"/>
        <v>0</v>
      </c>
      <c r="AR138" s="78">
        <f t="shared" si="223"/>
        <v>14</v>
      </c>
      <c r="AS138" s="78">
        <f t="shared" si="223"/>
        <v>14</v>
      </c>
      <c r="AT138" s="78">
        <f t="shared" si="223"/>
        <v>14</v>
      </c>
      <c r="AU138" s="78">
        <f t="shared" si="223"/>
        <v>15</v>
      </c>
      <c r="AV138" s="78">
        <f t="shared" si="223"/>
        <v>27</v>
      </c>
      <c r="AW138" s="78">
        <f t="shared" si="223"/>
        <v>35</v>
      </c>
      <c r="AX138" s="78">
        <f t="shared" si="223"/>
        <v>43</v>
      </c>
      <c r="AY138" s="78">
        <f t="shared" si="223"/>
        <v>22</v>
      </c>
      <c r="AZ138" s="78">
        <f t="shared" si="223"/>
        <v>22</v>
      </c>
      <c r="BA138" s="78">
        <f t="shared" si="223"/>
        <v>10</v>
      </c>
      <c r="BB138" s="78">
        <f t="shared" si="223"/>
        <v>10</v>
      </c>
      <c r="BC138" s="78">
        <f t="shared" si="223"/>
        <v>10</v>
      </c>
      <c r="BD138" s="78">
        <f t="shared" si="223"/>
        <v>10</v>
      </c>
      <c r="BE138" s="78">
        <f t="shared" si="223"/>
        <v>10</v>
      </c>
      <c r="BF138" s="78">
        <f t="shared" si="223"/>
        <v>10</v>
      </c>
      <c r="BG138" s="78">
        <f t="shared" si="223"/>
        <v>0</v>
      </c>
    </row>
    <row r="139" spans="1:59" x14ac:dyDescent="0.25">
      <c r="C139" t="s">
        <v>546</v>
      </c>
      <c r="D139" s="7" t="s">
        <v>549</v>
      </c>
      <c r="E139" s="108">
        <f>(((((E119*24)-E136)*60)-E137)*60)*1000</f>
        <v>35180.959403514862</v>
      </c>
      <c r="F139" s="108">
        <f t="shared" ref="F139:BG139" si="224">(((((F119*24)-F136)*60)-F137)*60)*1000</f>
        <v>16796.386688947678</v>
      </c>
      <c r="G139" s="108">
        <f t="shared" si="224"/>
        <v>28289.366662502289</v>
      </c>
      <c r="H139" s="108">
        <f t="shared" si="224"/>
        <v>45323.071181774139</v>
      </c>
      <c r="I139" s="108">
        <f t="shared" si="224"/>
        <v>53725.042641162872</v>
      </c>
      <c r="J139" s="108">
        <f t="shared" si="224"/>
        <v>25034.548044204712</v>
      </c>
      <c r="K139" s="108">
        <f t="shared" si="224"/>
        <v>27837.576270103455</v>
      </c>
      <c r="L139" s="108">
        <f t="shared" si="224"/>
        <v>34247.272610664368</v>
      </c>
      <c r="M139" s="108">
        <f t="shared" si="224"/>
        <v>29578.799307346344</v>
      </c>
      <c r="N139" s="108">
        <f t="shared" si="224"/>
        <v>1305.0743937492371</v>
      </c>
      <c r="O139" s="108">
        <f t="shared" si="224"/>
        <v>31144.089102745056</v>
      </c>
      <c r="P139" s="108">
        <f t="shared" si="224"/>
        <v>30633.453726768494</v>
      </c>
      <c r="Q139" s="108">
        <f t="shared" si="224"/>
        <v>7128.8126707077026</v>
      </c>
      <c r="R139" s="108">
        <f t="shared" si="224"/>
        <v>8599.46608543396</v>
      </c>
      <c r="S139" s="108">
        <f t="shared" si="224"/>
        <v>35131.126642227173</v>
      </c>
      <c r="T139" s="108">
        <f t="shared" si="224"/>
        <v>13754.758536815643</v>
      </c>
      <c r="U139" s="108">
        <f t="shared" si="224"/>
        <v>21339.147984981537</v>
      </c>
      <c r="V139" s="108">
        <f t="shared" si="224"/>
        <v>20761.494357477659</v>
      </c>
      <c r="W139" s="108">
        <f t="shared" si="224"/>
        <v>2230.8656573295593</v>
      </c>
      <c r="X139" s="108">
        <f t="shared" si="224"/>
        <v>30486.835241317749</v>
      </c>
      <c r="Y139" s="108">
        <f t="shared" si="224"/>
        <v>990.6238317489624</v>
      </c>
      <c r="Z139" s="108">
        <f t="shared" si="224"/>
        <v>20446.816384792328</v>
      </c>
      <c r="AA139" s="108">
        <f t="shared" si="224"/>
        <v>28289.366662502289</v>
      </c>
      <c r="AB139" s="108">
        <f t="shared" si="224"/>
        <v>37354.511618614197</v>
      </c>
      <c r="AC139" s="108">
        <f t="shared" si="224"/>
        <v>30971.517562866211</v>
      </c>
      <c r="AD139" s="108">
        <f t="shared" si="224"/>
        <v>38601.669073104858</v>
      </c>
      <c r="AE139" s="108">
        <f t="shared" si="224"/>
        <v>990.6238317489624</v>
      </c>
      <c r="AF139" s="108">
        <f t="shared" si="224"/>
        <v>12879.295349121094</v>
      </c>
      <c r="AG139" s="108">
        <f t="shared" si="224"/>
        <v>10605.54027557373</v>
      </c>
      <c r="AH139" s="108">
        <f t="shared" si="224"/>
        <v>24683.393239974976</v>
      </c>
      <c r="AI139" s="108">
        <f t="shared" si="224"/>
        <v>22603.612840175629</v>
      </c>
      <c r="AJ139" s="108">
        <f t="shared" si="224"/>
        <v>7295.3698039054871</v>
      </c>
      <c r="AK139" s="108">
        <f t="shared" si="224"/>
        <v>55092.373788356781</v>
      </c>
      <c r="AL139" s="108">
        <f t="shared" si="224"/>
        <v>43870.364427566528</v>
      </c>
      <c r="AM139" s="108">
        <f t="shared" si="224"/>
        <v>29574.275761842728</v>
      </c>
      <c r="AN139" s="108">
        <f t="shared" si="224"/>
        <v>38796.796202659607</v>
      </c>
      <c r="AO139" s="108">
        <f t="shared" si="224"/>
        <v>2369.3691194057465</v>
      </c>
      <c r="AP139" s="108">
        <f t="shared" si="224"/>
        <v>847.12296724319458</v>
      </c>
      <c r="AQ139" s="108">
        <f t="shared" si="224"/>
        <v>847.12296724319458</v>
      </c>
      <c r="AR139" s="108">
        <f t="shared" si="224"/>
        <v>14838.264584541321</v>
      </c>
      <c r="AS139" s="108">
        <f t="shared" si="224"/>
        <v>14838.264584541321</v>
      </c>
      <c r="AT139" s="108">
        <f t="shared" si="224"/>
        <v>14838.264584541321</v>
      </c>
      <c r="AU139" s="108">
        <f t="shared" si="224"/>
        <v>15275.685489177704</v>
      </c>
      <c r="AV139" s="108">
        <f t="shared" si="224"/>
        <v>27499.809265136719</v>
      </c>
      <c r="AW139" s="108">
        <f t="shared" si="224"/>
        <v>35490.497052669525</v>
      </c>
      <c r="AX139" s="108">
        <f t="shared" si="224"/>
        <v>43500.534296035767</v>
      </c>
      <c r="AY139" s="108">
        <f t="shared" si="224"/>
        <v>22063.845992088318</v>
      </c>
      <c r="AZ139" s="108">
        <f t="shared" si="224"/>
        <v>22063.845992088318</v>
      </c>
      <c r="BA139" s="108">
        <f t="shared" si="224"/>
        <v>10802.05500125885</v>
      </c>
      <c r="BB139" s="108">
        <f t="shared" si="224"/>
        <v>10802.05500125885</v>
      </c>
      <c r="BC139" s="108">
        <f t="shared" si="224"/>
        <v>10802.05500125885</v>
      </c>
      <c r="BD139" s="108">
        <f t="shared" si="224"/>
        <v>10802.05500125885</v>
      </c>
      <c r="BE139" s="108">
        <f t="shared" si="224"/>
        <v>10802.05500125885</v>
      </c>
      <c r="BF139" s="108">
        <f t="shared" si="224"/>
        <v>10802.05500125885</v>
      </c>
      <c r="BG139" s="108">
        <f t="shared" si="224"/>
        <v>990.6238317489624</v>
      </c>
    </row>
    <row r="140" spans="1:59" ht="15.75" thickBot="1" x14ac:dyDescent="0.3">
      <c r="A140" s="115"/>
      <c r="B140" s="115"/>
      <c r="C140" s="109" t="s">
        <v>564</v>
      </c>
      <c r="D140" s="114" t="s">
        <v>553</v>
      </c>
      <c r="E140" s="110">
        <f>IF(E135&gt;1899,DATE(E135,E132,E129)+E119,E135&amp;"-"&amp;E132&amp;"-"&amp;INT(E129)&amp;" " &amp;E136&amp;":"&amp;E137&amp;":"&amp;E138&amp;"."&amp;LEFT(E139,2))</f>
        <v>21131.605962742586</v>
      </c>
      <c r="F140" s="110" t="str">
        <f t="shared" ref="F140:BG140" si="225">IF(F135&gt;1899,DATE(F135,F132,F129)+F119,F135&amp;"-"&amp;F132&amp;"-"&amp;INT(F129)&amp;" " &amp;F136&amp;":"&amp;F137&amp;":"&amp;F138&amp;"."&amp;LEFT(F139,2))</f>
        <v>333-3-18 7:53:16.16</v>
      </c>
      <c r="G140" s="110">
        <f t="shared" si="225"/>
        <v>36546.195466312114</v>
      </c>
      <c r="H140" s="110">
        <f t="shared" si="225"/>
        <v>36191.672052350361</v>
      </c>
      <c r="I140" s="110">
        <f t="shared" si="225"/>
        <v>31821.874232928734</v>
      </c>
      <c r="J140" s="110">
        <f t="shared" si="225"/>
        <v>31969.14820641838</v>
      </c>
      <c r="K140" s="110">
        <f t="shared" si="225"/>
        <v>32175.869766638614</v>
      </c>
      <c r="L140" s="110">
        <f t="shared" si="225"/>
        <v>32323.824007491581</v>
      </c>
      <c r="M140" s="110">
        <f t="shared" si="225"/>
        <v>15.796870124991983</v>
      </c>
      <c r="N140" s="110" t="str">
        <f t="shared" si="225"/>
        <v>1600-1-30 6:36:1.13</v>
      </c>
      <c r="O140" s="110" t="str">
        <f t="shared" si="225"/>
        <v>1601-2-17 4:24:31.31</v>
      </c>
      <c r="P140" s="110" t="str">
        <f t="shared" si="225"/>
        <v>837-4-24 11:53:30.30</v>
      </c>
      <c r="Q140" s="110" t="str">
        <f t="shared" si="225"/>
        <v>-122-2-7 7:57:7.71</v>
      </c>
      <c r="R140" s="110" t="str">
        <f t="shared" si="225"/>
        <v>-122-1-8 21:35:8.85</v>
      </c>
      <c r="S140" s="110" t="str">
        <f t="shared" si="225"/>
        <v>-1000-7-21 7:20:35.35</v>
      </c>
      <c r="T140" s="110" t="str">
        <f t="shared" si="225"/>
        <v>-1000-4-23 10:37:13.13</v>
      </c>
      <c r="U140" s="110" t="str">
        <f t="shared" si="225"/>
        <v>-1001-8-31 12:18:21.21</v>
      </c>
      <c r="V140" s="110" t="str">
        <f t="shared" si="225"/>
        <v>-4712-1-26 19:31:20.20</v>
      </c>
      <c r="W140" s="110">
        <f t="shared" si="225"/>
        <v>31910.535442486871</v>
      </c>
      <c r="X140" s="110">
        <f t="shared" si="225"/>
        <v>33740.669102856889</v>
      </c>
      <c r="Y140" s="110">
        <f t="shared" si="225"/>
        <v>28189.718067021109</v>
      </c>
      <c r="Z140" s="110">
        <f t="shared" si="225"/>
        <v>52610.786347764079</v>
      </c>
      <c r="AA140" s="110">
        <f t="shared" si="225"/>
        <v>36546.195466312114</v>
      </c>
      <c r="AB140" s="110">
        <f t="shared" si="225"/>
        <v>19921.020571232773</v>
      </c>
      <c r="AC140" s="110">
        <f t="shared" si="225"/>
        <v>28838.521886244416</v>
      </c>
      <c r="AD140" s="110">
        <f t="shared" si="225"/>
        <v>32264.987252334133</v>
      </c>
      <c r="AE140" s="110">
        <f t="shared" si="225"/>
        <v>28189.718067021109</v>
      </c>
      <c r="AF140" s="110">
        <f t="shared" si="225"/>
        <v>33977.526537954807</v>
      </c>
      <c r="AG140" s="110">
        <f t="shared" si="225"/>
        <v>33918.389706082642</v>
      </c>
      <c r="AH140" s="110">
        <f t="shared" si="225"/>
        <v>33327.304452354088</v>
      </c>
      <c r="AI140" s="110">
        <f t="shared" si="225"/>
        <v>33711.196789393667</v>
      </c>
      <c r="AJ140" s="110">
        <f t="shared" si="225"/>
        <v>34124.543834437151</v>
      </c>
      <c r="AK140" s="110" t="str">
        <f t="shared" si="225"/>
        <v>1818-1-22 10:37:55.55</v>
      </c>
      <c r="AL140" s="110">
        <f t="shared" si="225"/>
        <v>33150.501896647736</v>
      </c>
      <c r="AM140" s="110" t="str">
        <f t="shared" si="225"/>
        <v>622-7-28 5:25:29.29</v>
      </c>
      <c r="AN140" s="110">
        <f t="shared" si="225"/>
        <v>36634.737949036993</v>
      </c>
      <c r="AO140" s="110" t="str">
        <f t="shared" si="225"/>
        <v>1-1-28 4:2:2.23</v>
      </c>
      <c r="AP140" s="110">
        <f t="shared" si="225"/>
        <v>44843.872232026886</v>
      </c>
      <c r="AQ140" s="110">
        <f t="shared" si="225"/>
        <v>44843.872232026886</v>
      </c>
      <c r="AR140" s="110">
        <f t="shared" si="225"/>
        <v>44873.46058840584</v>
      </c>
      <c r="AS140" s="110">
        <f t="shared" si="225"/>
        <v>44873.46058840584</v>
      </c>
      <c r="AT140" s="110">
        <f t="shared" si="225"/>
        <v>44873.46058840584</v>
      </c>
      <c r="AU140" s="110">
        <f t="shared" si="225"/>
        <v>26830.857815690804</v>
      </c>
      <c r="AV140" s="110">
        <f t="shared" si="225"/>
        <v>35689.785734951496</v>
      </c>
      <c r="AW140" s="110">
        <f t="shared" si="225"/>
        <v>12803.655966325197</v>
      </c>
      <c r="AX140" s="110">
        <f t="shared" si="225"/>
        <v>20953.940781256184</v>
      </c>
      <c r="AY140" s="110">
        <f t="shared" si="225"/>
        <v>44903.173172035255</v>
      </c>
      <c r="AZ140" s="110">
        <f t="shared" si="225"/>
        <v>44903.173172035255</v>
      </c>
      <c r="BA140" s="110">
        <f t="shared" si="225"/>
        <v>44932.964708357118</v>
      </c>
      <c r="BB140" s="110">
        <f t="shared" si="225"/>
        <v>44932.964708357118</v>
      </c>
      <c r="BC140" s="110">
        <f t="shared" si="225"/>
        <v>44932.964708357118</v>
      </c>
      <c r="BD140" s="110">
        <f t="shared" si="225"/>
        <v>44932.964708357118</v>
      </c>
      <c r="BE140" s="110">
        <f t="shared" si="225"/>
        <v>44932.964708357118</v>
      </c>
      <c r="BF140" s="110">
        <f t="shared" si="225"/>
        <v>44932.964708357118</v>
      </c>
      <c r="BG140" s="110">
        <f t="shared" si="225"/>
        <v>28189.718067021109</v>
      </c>
    </row>
    <row r="141" spans="1:59" ht="15.75" thickTop="1" x14ac:dyDescent="0.25">
      <c r="C141" s="215" t="s">
        <v>698</v>
      </c>
    </row>
    <row r="142" spans="1:59" x14ac:dyDescent="0.25">
      <c r="C142" s="67" t="s">
        <v>699</v>
      </c>
      <c r="E142" s="8">
        <f>'49Phases'!E388</f>
        <v>2436157.4167489372</v>
      </c>
      <c r="F142" s="8">
        <f>'49Phases'!F388</f>
        <v>1842770.0982026567</v>
      </c>
      <c r="G142" s="8">
        <f>'49Phases'!G388</f>
        <v>2451571.8318413235</v>
      </c>
      <c r="H142" s="8">
        <f>'49Phases'!H388</f>
        <v>2451217.9993465855</v>
      </c>
      <c r="I142" s="8">
        <f>'49Phases'!I388</f>
        <v>2446847.8727154895</v>
      </c>
      <c r="J142" s="8">
        <f>'49Phases'!J388</f>
        <v>2446994.345600097</v>
      </c>
      <c r="K142" s="8">
        <f>'49Phases'!K388</f>
        <v>2447202.4595420593</v>
      </c>
      <c r="L142" s="8">
        <f>'49Phases'!L388</f>
        <v>2447348.9841250726</v>
      </c>
      <c r="M142" s="8">
        <f>'49Phases'!M388</f>
        <v>2415043.495028914</v>
      </c>
      <c r="N142" s="8">
        <f>'49Phases'!N388</f>
        <v>2305484.9097411199</v>
      </c>
      <c r="O142" s="8">
        <f>'49Phases'!O388</f>
        <v>2305868.5952451453</v>
      </c>
      <c r="P142" s="8">
        <f>'49Phases'!P388</f>
        <v>2026892.7743244558</v>
      </c>
      <c r="Q142" s="8">
        <f>'49Phases'!Q388</f>
        <v>1676541.5506611497</v>
      </c>
      <c r="R142" s="8">
        <f>'49Phases'!R388</f>
        <v>1676512.0442907852</v>
      </c>
      <c r="S142" s="8">
        <f>'49Phases'!S388</f>
        <v>1356017.33596297</v>
      </c>
      <c r="T142" s="8">
        <f>'49Phases'!T388</f>
        <v>1355929.0889681198</v>
      </c>
      <c r="U142" s="8">
        <f>'49Phases'!U388</f>
        <v>1355691.7350073056</v>
      </c>
      <c r="V142" s="8">
        <f>'49Phases'!V388</f>
        <v>32.1713751756905</v>
      </c>
      <c r="W142" s="8">
        <f>'49Phases'!W388</f>
        <v>2446935.6689351038</v>
      </c>
      <c r="X142" s="8">
        <f>'49Phases'!X388</f>
        <v>2448767.1627680301</v>
      </c>
      <c r="Y142" s="8">
        <f>'49Phases'!Y388</f>
        <v>2443214.9828585647</v>
      </c>
      <c r="Z142" s="8">
        <f>'49Phases'!Z388</f>
        <v>2467636.4918638906</v>
      </c>
      <c r="AA142" s="8">
        <f>'49Phases'!AA388</f>
        <v>2451571.8318413235</v>
      </c>
      <c r="AB142" s="8">
        <f>'49Phases'!AB388</f>
        <v>2434946.5101345647</v>
      </c>
      <c r="AC142" s="8">
        <f>'49Phases'!AC388</f>
        <v>2443865.2378024664</v>
      </c>
      <c r="AD142" s="8">
        <f>'49Phases'!AD388</f>
        <v>2447290.5580723668</v>
      </c>
      <c r="AE142" s="8">
        <f>'49Phases'!AE388</f>
        <v>2443214.9828585647</v>
      </c>
      <c r="AF142" s="8">
        <f>'49Phases'!AF388</f>
        <v>2449002.6682581198</v>
      </c>
      <c r="AG142" s="8">
        <f>'49Phases'!AG388</f>
        <v>2448943.9862065348</v>
      </c>
      <c r="AH142" s="8">
        <f>'49Phases'!AH388</f>
        <v>2448353.7821285068</v>
      </c>
      <c r="AI142" s="8">
        <f>'49Phases'!AI388</f>
        <v>2448737.4033593317</v>
      </c>
      <c r="AJ142" s="8">
        <f>'49Phases'!AJ388</f>
        <v>2449150.7338797627</v>
      </c>
      <c r="AK142" s="8">
        <f>'49Phases'!AK388</f>
        <v>2385099.205368062</v>
      </c>
      <c r="AL142" s="8">
        <f>'49Phases'!AL388</f>
        <v>2448175.6474702065</v>
      </c>
      <c r="AM142" s="8">
        <f>'49Phases'!AM388</f>
        <v>1948459.7858282931</v>
      </c>
      <c r="AN142" s="8">
        <f>'49Phases'!AN388</f>
        <v>2451661.313311887</v>
      </c>
      <c r="AO142" s="8">
        <f>'49Phases'!AO388</f>
        <v>1721457.6207977289</v>
      </c>
      <c r="AP142" s="8">
        <f>'49Phases'!AP388</f>
        <v>2459870.219587889</v>
      </c>
      <c r="AQ142" s="8">
        <f>'49Phases'!AQ388</f>
        <v>2459870.219587889</v>
      </c>
      <c r="AR142" s="8">
        <f>'49Phases'!AR388</f>
        <v>2459900.0612315345</v>
      </c>
      <c r="AS142" s="8">
        <f>'49Phases'!AS388</f>
        <v>2459900.0612315345</v>
      </c>
      <c r="AT142" s="8">
        <f>'49Phases'!AT388</f>
        <v>2459900.0612315345</v>
      </c>
      <c r="AU142" s="8">
        <f>'49Phases'!AU388</f>
        <v>2441857.3235940165</v>
      </c>
      <c r="AV142" s="8">
        <f>'49Phases'!AV388</f>
        <v>2450715.0668140305</v>
      </c>
      <c r="AW142" s="8">
        <f>'49Phases'!AW388</f>
        <v>2427830.3326518815</v>
      </c>
      <c r="AX142" s="8">
        <f>'49Phases'!AX388</f>
        <v>2435980.2109436034</v>
      </c>
      <c r="AY142" s="8">
        <f>'49Phases'!AY388</f>
        <v>2459929.8731456986</v>
      </c>
      <c r="AZ142" s="8">
        <f>'49Phases'!AZ388</f>
        <v>2459929.8731456986</v>
      </c>
      <c r="BA142" s="8">
        <f>'49Phases'!BA388</f>
        <v>2459959.59138072</v>
      </c>
      <c r="BB142" s="8">
        <f>'49Phases'!BB388</f>
        <v>2459959.59138072</v>
      </c>
      <c r="BC142" s="8">
        <f>'49Phases'!BC388</f>
        <v>2459959.59138072</v>
      </c>
      <c r="BD142" s="8">
        <f>'49Phases'!BD388</f>
        <v>2459959.59138072</v>
      </c>
      <c r="BE142" s="8">
        <f>'49Phases'!BE388</f>
        <v>2459959.59138072</v>
      </c>
      <c r="BF142" s="8">
        <f>'49Phases'!BF388</f>
        <v>2459959.59138072</v>
      </c>
      <c r="BG142" s="8">
        <f>'49Phases'!BG388</f>
        <v>2443214.9828585647</v>
      </c>
    </row>
    <row r="143" spans="1:59" x14ac:dyDescent="0.25">
      <c r="B143">
        <v>63</v>
      </c>
      <c r="C143" t="s">
        <v>572</v>
      </c>
      <c r="D143" s="7" t="s">
        <v>482</v>
      </c>
      <c r="E143" s="77">
        <f>_xlfn.FLOOR.MATH(E142+0.5)</f>
        <v>2436157</v>
      </c>
      <c r="F143" s="77">
        <f t="shared" ref="F143:BG143" si="226">_xlfn.FLOOR.MATH(F142+0.5)</f>
        <v>1842770</v>
      </c>
      <c r="G143" s="77">
        <f t="shared" si="226"/>
        <v>2451572</v>
      </c>
      <c r="H143" s="77">
        <f t="shared" si="226"/>
        <v>2451218</v>
      </c>
      <c r="I143" s="77">
        <f t="shared" si="226"/>
        <v>2446848</v>
      </c>
      <c r="J143" s="77">
        <f t="shared" si="226"/>
        <v>2446994</v>
      </c>
      <c r="K143" s="77">
        <f t="shared" si="226"/>
        <v>2447202</v>
      </c>
      <c r="L143" s="77">
        <f t="shared" si="226"/>
        <v>2447349</v>
      </c>
      <c r="M143" s="77">
        <f t="shared" si="226"/>
        <v>2415043</v>
      </c>
      <c r="N143" s="77">
        <f t="shared" si="226"/>
        <v>2305485</v>
      </c>
      <c r="O143" s="77">
        <f t="shared" si="226"/>
        <v>2305869</v>
      </c>
      <c r="P143" s="77">
        <f t="shared" si="226"/>
        <v>2026893</v>
      </c>
      <c r="Q143" s="77">
        <f t="shared" si="226"/>
        <v>1676542</v>
      </c>
      <c r="R143" s="77">
        <f t="shared" si="226"/>
        <v>1676512</v>
      </c>
      <c r="S143" s="77">
        <f t="shared" si="226"/>
        <v>1356017</v>
      </c>
      <c r="T143" s="77">
        <f t="shared" si="226"/>
        <v>1355929</v>
      </c>
      <c r="U143" s="77">
        <f t="shared" si="226"/>
        <v>1355692</v>
      </c>
      <c r="V143" s="77">
        <f t="shared" si="226"/>
        <v>32</v>
      </c>
      <c r="W143" s="77">
        <f t="shared" si="226"/>
        <v>2446936</v>
      </c>
      <c r="X143" s="77">
        <f t="shared" si="226"/>
        <v>2448767</v>
      </c>
      <c r="Y143" s="77">
        <f t="shared" si="226"/>
        <v>2443215</v>
      </c>
      <c r="Z143" s="77">
        <f t="shared" si="226"/>
        <v>2467636</v>
      </c>
      <c r="AA143" s="77">
        <f t="shared" si="226"/>
        <v>2451572</v>
      </c>
      <c r="AB143" s="77">
        <f t="shared" si="226"/>
        <v>2434947</v>
      </c>
      <c r="AC143" s="77">
        <f t="shared" si="226"/>
        <v>2443865</v>
      </c>
      <c r="AD143" s="77">
        <f t="shared" si="226"/>
        <v>2447291</v>
      </c>
      <c r="AE143" s="77">
        <f t="shared" si="226"/>
        <v>2443215</v>
      </c>
      <c r="AF143" s="77">
        <f t="shared" si="226"/>
        <v>2449003</v>
      </c>
      <c r="AG143" s="77">
        <f t="shared" si="226"/>
        <v>2448944</v>
      </c>
      <c r="AH143" s="77">
        <f t="shared" si="226"/>
        <v>2448354</v>
      </c>
      <c r="AI143" s="77">
        <f t="shared" si="226"/>
        <v>2448737</v>
      </c>
      <c r="AJ143" s="77">
        <f t="shared" si="226"/>
        <v>2449151</v>
      </c>
      <c r="AK143" s="77">
        <f t="shared" si="226"/>
        <v>2385099</v>
      </c>
      <c r="AL143" s="77">
        <f t="shared" si="226"/>
        <v>2448176</v>
      </c>
      <c r="AM143" s="77">
        <f t="shared" si="226"/>
        <v>1948460</v>
      </c>
      <c r="AN143" s="77">
        <f t="shared" si="226"/>
        <v>2451661</v>
      </c>
      <c r="AO143" s="77">
        <f t="shared" si="226"/>
        <v>1721458</v>
      </c>
      <c r="AP143" s="77">
        <f t="shared" si="226"/>
        <v>2459870</v>
      </c>
      <c r="AQ143" s="77">
        <f t="shared" si="226"/>
        <v>2459870</v>
      </c>
      <c r="AR143" s="77">
        <f t="shared" si="226"/>
        <v>2459900</v>
      </c>
      <c r="AS143" s="77">
        <f t="shared" si="226"/>
        <v>2459900</v>
      </c>
      <c r="AT143" s="77">
        <f t="shared" si="226"/>
        <v>2459900</v>
      </c>
      <c r="AU143" s="77">
        <f t="shared" si="226"/>
        <v>2441857</v>
      </c>
      <c r="AV143" s="77">
        <f t="shared" si="226"/>
        <v>2450715</v>
      </c>
      <c r="AW143" s="77">
        <f t="shared" si="226"/>
        <v>2427830</v>
      </c>
      <c r="AX143" s="77">
        <f t="shared" si="226"/>
        <v>2435980</v>
      </c>
      <c r="AY143" s="77">
        <f t="shared" si="226"/>
        <v>2459930</v>
      </c>
      <c r="AZ143" s="77">
        <f t="shared" si="226"/>
        <v>2459930</v>
      </c>
      <c r="BA143" s="77">
        <f t="shared" si="226"/>
        <v>2459960</v>
      </c>
      <c r="BB143" s="77">
        <f t="shared" si="226"/>
        <v>2459960</v>
      </c>
      <c r="BC143" s="77">
        <f t="shared" si="226"/>
        <v>2459960</v>
      </c>
      <c r="BD143" s="77">
        <f t="shared" si="226"/>
        <v>2459960</v>
      </c>
      <c r="BE143" s="77">
        <f t="shared" si="226"/>
        <v>2459960</v>
      </c>
      <c r="BF143" s="77">
        <f t="shared" si="226"/>
        <v>2459960</v>
      </c>
      <c r="BG143" s="77">
        <f t="shared" si="226"/>
        <v>2443215</v>
      </c>
    </row>
    <row r="144" spans="1:59" x14ac:dyDescent="0.25">
      <c r="B144">
        <v>63</v>
      </c>
      <c r="C144" t="s">
        <v>573</v>
      </c>
      <c r="D144" s="7" t="s">
        <v>486</v>
      </c>
      <c r="E144" s="16">
        <f>(E142+0.5)-E143</f>
        <v>0.91674893721938133</v>
      </c>
      <c r="F144" s="16">
        <f t="shared" ref="F144:BG144" si="227">(F142+0.5)-F143</f>
        <v>0.59820265672169626</v>
      </c>
      <c r="G144" s="16">
        <f t="shared" si="227"/>
        <v>0.33184132352471352</v>
      </c>
      <c r="H144" s="16">
        <f t="shared" si="227"/>
        <v>0.49934658547863364</v>
      </c>
      <c r="I144" s="16">
        <f t="shared" si="227"/>
        <v>0.37271548947319388</v>
      </c>
      <c r="J144" s="16">
        <f t="shared" si="227"/>
        <v>0.84560009697452188</v>
      </c>
      <c r="K144" s="16">
        <f t="shared" si="227"/>
        <v>0.95954205933958292</v>
      </c>
      <c r="L144" s="16">
        <f t="shared" si="227"/>
        <v>0.48412507260218263</v>
      </c>
      <c r="M144" s="16">
        <f t="shared" si="227"/>
        <v>0.99502891395241022</v>
      </c>
      <c r="N144" s="16">
        <f t="shared" si="227"/>
        <v>0.40974111994728446</v>
      </c>
      <c r="O144" s="16">
        <f t="shared" si="227"/>
        <v>9.5245145261287689E-2</v>
      </c>
      <c r="P144" s="16">
        <f t="shared" si="227"/>
        <v>0.27432445576414466</v>
      </c>
      <c r="Q144" s="16">
        <f t="shared" si="227"/>
        <v>5.0661149667575955E-2</v>
      </c>
      <c r="R144" s="16">
        <f t="shared" si="227"/>
        <v>0.54429078521206975</v>
      </c>
      <c r="S144" s="16">
        <f t="shared" si="227"/>
        <v>0.83596297004260123</v>
      </c>
      <c r="T144" s="16">
        <f t="shared" si="227"/>
        <v>0.5889681198168546</v>
      </c>
      <c r="U144" s="16">
        <f t="shared" si="227"/>
        <v>0.23500730562955141</v>
      </c>
      <c r="V144" s="16">
        <f t="shared" si="227"/>
        <v>0.67137517569049976</v>
      </c>
      <c r="W144" s="16">
        <f t="shared" si="227"/>
        <v>0.16893510380759835</v>
      </c>
      <c r="X144" s="16">
        <f t="shared" si="227"/>
        <v>0.66276803007349372</v>
      </c>
      <c r="Y144" s="16">
        <f t="shared" si="227"/>
        <v>0.4828585647046566</v>
      </c>
      <c r="Z144" s="16">
        <f t="shared" si="227"/>
        <v>0.99186389055103064</v>
      </c>
      <c r="AA144" s="16">
        <f t="shared" si="227"/>
        <v>0.33184132352471352</v>
      </c>
      <c r="AB144" s="16">
        <f t="shared" si="227"/>
        <v>1.0134564712643623E-2</v>
      </c>
      <c r="AC144" s="16">
        <f t="shared" si="227"/>
        <v>0.73780246637761593</v>
      </c>
      <c r="AD144" s="16">
        <f t="shared" si="227"/>
        <v>5.8072366751730442E-2</v>
      </c>
      <c r="AE144" s="16">
        <f t="shared" si="227"/>
        <v>0.4828585647046566</v>
      </c>
      <c r="AF144" s="16">
        <f t="shared" si="227"/>
        <v>0.16825811984017491</v>
      </c>
      <c r="AG144" s="16">
        <f t="shared" si="227"/>
        <v>0.48620653478428721</v>
      </c>
      <c r="AH144" s="16">
        <f t="shared" si="227"/>
        <v>0.28212850680574775</v>
      </c>
      <c r="AI144" s="16">
        <f t="shared" si="227"/>
        <v>0.90335933165624738</v>
      </c>
      <c r="AJ144" s="16">
        <f t="shared" si="227"/>
        <v>0.2338797627016902</v>
      </c>
      <c r="AK144" s="16">
        <f t="shared" si="227"/>
        <v>0.70536806201562285</v>
      </c>
      <c r="AL144" s="16">
        <f t="shared" si="227"/>
        <v>0.14747020648792386</v>
      </c>
      <c r="AM144" s="16">
        <f t="shared" si="227"/>
        <v>0.28582829306833446</v>
      </c>
      <c r="AN144" s="16">
        <f t="shared" si="227"/>
        <v>0.81331188697367907</v>
      </c>
      <c r="AO144" s="16">
        <f t="shared" si="227"/>
        <v>0.12079772888682783</v>
      </c>
      <c r="AP144" s="16">
        <f t="shared" si="227"/>
        <v>0.71958788903430104</v>
      </c>
      <c r="AQ144" s="16">
        <f t="shared" si="227"/>
        <v>0.71958788903430104</v>
      </c>
      <c r="AR144" s="16">
        <f t="shared" si="227"/>
        <v>0.56123153446242213</v>
      </c>
      <c r="AS144" s="16">
        <f t="shared" si="227"/>
        <v>0.56123153446242213</v>
      </c>
      <c r="AT144" s="16">
        <f t="shared" si="227"/>
        <v>0.56123153446242213</v>
      </c>
      <c r="AU144" s="16">
        <f t="shared" si="227"/>
        <v>0.8235940164886415</v>
      </c>
      <c r="AV144" s="16">
        <f t="shared" si="227"/>
        <v>0.56681403052061796</v>
      </c>
      <c r="AW144" s="16">
        <f t="shared" si="227"/>
        <v>0.83265188150107861</v>
      </c>
      <c r="AX144" s="16">
        <f t="shared" si="227"/>
        <v>0.71094360342249274</v>
      </c>
      <c r="AY144" s="16">
        <f t="shared" si="227"/>
        <v>0.37314569856971502</v>
      </c>
      <c r="AZ144" s="16">
        <f t="shared" si="227"/>
        <v>0.37314569856971502</v>
      </c>
      <c r="BA144" s="16">
        <f t="shared" si="227"/>
        <v>9.1380720026791096E-2</v>
      </c>
      <c r="BB144" s="16">
        <f t="shared" si="227"/>
        <v>9.1380720026791096E-2</v>
      </c>
      <c r="BC144" s="16">
        <f t="shared" si="227"/>
        <v>9.1380720026791096E-2</v>
      </c>
      <c r="BD144" s="16">
        <f t="shared" si="227"/>
        <v>9.1380720026791096E-2</v>
      </c>
      <c r="BE144" s="16">
        <f t="shared" si="227"/>
        <v>9.1380720026791096E-2</v>
      </c>
      <c r="BF144" s="16">
        <f t="shared" si="227"/>
        <v>9.1380720026791096E-2</v>
      </c>
      <c r="BG144" s="16">
        <f t="shared" si="227"/>
        <v>0.4828585647046566</v>
      </c>
    </row>
    <row r="146" spans="2:59" x14ac:dyDescent="0.25">
      <c r="C146" t="s">
        <v>487</v>
      </c>
    </row>
    <row r="147" spans="2:59" x14ac:dyDescent="0.25">
      <c r="C147" t="s">
        <v>488</v>
      </c>
      <c r="D147" s="7" t="s">
        <v>493</v>
      </c>
      <c r="E147" s="77">
        <f>INT((E143-1867216.25)/36524.25)</f>
        <v>15</v>
      </c>
      <c r="F147" s="77">
        <f t="shared" ref="F147:BG147" si="228">INT((F143-1867216.25)/36524.25)</f>
        <v>-1</v>
      </c>
      <c r="G147" s="77">
        <f t="shared" si="228"/>
        <v>15</v>
      </c>
      <c r="H147" s="77">
        <f t="shared" si="228"/>
        <v>15</v>
      </c>
      <c r="I147" s="77">
        <f t="shared" si="228"/>
        <v>15</v>
      </c>
      <c r="J147" s="77">
        <f t="shared" si="228"/>
        <v>15</v>
      </c>
      <c r="K147" s="77">
        <f t="shared" si="228"/>
        <v>15</v>
      </c>
      <c r="L147" s="77">
        <f t="shared" si="228"/>
        <v>15</v>
      </c>
      <c r="M147" s="77">
        <f t="shared" si="228"/>
        <v>14</v>
      </c>
      <c r="N147" s="77">
        <f t="shared" si="228"/>
        <v>11</v>
      </c>
      <c r="O147" s="77">
        <f t="shared" si="228"/>
        <v>12</v>
      </c>
      <c r="P147" s="77">
        <f t="shared" si="228"/>
        <v>4</v>
      </c>
      <c r="Q147" s="77">
        <f t="shared" si="228"/>
        <v>-6</v>
      </c>
      <c r="R147" s="77">
        <f t="shared" si="228"/>
        <v>-6</v>
      </c>
      <c r="S147" s="77">
        <f t="shared" si="228"/>
        <v>-14</v>
      </c>
      <c r="T147" s="77">
        <f t="shared" si="228"/>
        <v>-14</v>
      </c>
      <c r="U147" s="77">
        <f t="shared" si="228"/>
        <v>-15</v>
      </c>
      <c r="V147" s="77">
        <f t="shared" si="228"/>
        <v>-52</v>
      </c>
      <c r="W147" s="77">
        <f t="shared" si="228"/>
        <v>15</v>
      </c>
      <c r="X147" s="77">
        <f t="shared" si="228"/>
        <v>15</v>
      </c>
      <c r="Y147" s="77">
        <f t="shared" si="228"/>
        <v>15</v>
      </c>
      <c r="Z147" s="77">
        <f t="shared" si="228"/>
        <v>16</v>
      </c>
      <c r="AA147" s="77">
        <f t="shared" si="228"/>
        <v>15</v>
      </c>
      <c r="AB147" s="77">
        <f t="shared" si="228"/>
        <v>15</v>
      </c>
      <c r="AC147" s="77">
        <f t="shared" si="228"/>
        <v>15</v>
      </c>
      <c r="AD147" s="77">
        <f t="shared" si="228"/>
        <v>15</v>
      </c>
      <c r="AE147" s="77">
        <f t="shared" si="228"/>
        <v>15</v>
      </c>
      <c r="AF147" s="77">
        <f t="shared" si="228"/>
        <v>15</v>
      </c>
      <c r="AG147" s="77">
        <f t="shared" si="228"/>
        <v>15</v>
      </c>
      <c r="AH147" s="77">
        <f t="shared" si="228"/>
        <v>15</v>
      </c>
      <c r="AI147" s="77">
        <f t="shared" si="228"/>
        <v>15</v>
      </c>
      <c r="AJ147" s="77">
        <f t="shared" si="228"/>
        <v>15</v>
      </c>
      <c r="AK147" s="77">
        <f t="shared" si="228"/>
        <v>14</v>
      </c>
      <c r="AL147" s="77">
        <f t="shared" si="228"/>
        <v>15</v>
      </c>
      <c r="AM147" s="77">
        <f t="shared" si="228"/>
        <v>2</v>
      </c>
      <c r="AN147" s="77">
        <f t="shared" si="228"/>
        <v>16</v>
      </c>
      <c r="AO147" s="77">
        <f t="shared" si="228"/>
        <v>-4</v>
      </c>
      <c r="AP147" s="77">
        <f t="shared" si="228"/>
        <v>16</v>
      </c>
      <c r="AQ147" s="77">
        <f t="shared" si="228"/>
        <v>16</v>
      </c>
      <c r="AR147" s="77">
        <f t="shared" si="228"/>
        <v>16</v>
      </c>
      <c r="AS147" s="77">
        <f t="shared" si="228"/>
        <v>16</v>
      </c>
      <c r="AT147" s="77">
        <f t="shared" si="228"/>
        <v>16</v>
      </c>
      <c r="AU147" s="77">
        <f t="shared" si="228"/>
        <v>15</v>
      </c>
      <c r="AV147" s="77">
        <f t="shared" si="228"/>
        <v>15</v>
      </c>
      <c r="AW147" s="77">
        <f t="shared" si="228"/>
        <v>15</v>
      </c>
      <c r="AX147" s="77">
        <f t="shared" si="228"/>
        <v>15</v>
      </c>
      <c r="AY147" s="77">
        <f t="shared" si="228"/>
        <v>16</v>
      </c>
      <c r="AZ147" s="77">
        <f t="shared" si="228"/>
        <v>16</v>
      </c>
      <c r="BA147" s="77">
        <f t="shared" si="228"/>
        <v>16</v>
      </c>
      <c r="BB147" s="77">
        <f t="shared" si="228"/>
        <v>16</v>
      </c>
      <c r="BC147" s="77">
        <f t="shared" si="228"/>
        <v>16</v>
      </c>
      <c r="BD147" s="77">
        <f t="shared" si="228"/>
        <v>16</v>
      </c>
      <c r="BE147" s="77">
        <f t="shared" si="228"/>
        <v>16</v>
      </c>
      <c r="BF147" s="77">
        <f t="shared" si="228"/>
        <v>16</v>
      </c>
      <c r="BG147" s="77">
        <f t="shared" si="228"/>
        <v>15</v>
      </c>
    </row>
    <row r="148" spans="2:59" x14ac:dyDescent="0.25">
      <c r="C148" t="s">
        <v>489</v>
      </c>
      <c r="D148" s="7" t="s">
        <v>497</v>
      </c>
      <c r="E148" s="77">
        <f>IF(E143&lt;2299161,E143,E143+1+E147-_xlfn.FLOOR.MATH(E147/4))</f>
        <v>2436170</v>
      </c>
      <c r="F148" s="77">
        <f t="shared" ref="F148:BG148" si="229">IF(F143&lt;2299161,F143,F143+1+F147-_xlfn.FLOOR.MATH(F147/4))</f>
        <v>1842770</v>
      </c>
      <c r="G148" s="77">
        <f t="shared" si="229"/>
        <v>2451585</v>
      </c>
      <c r="H148" s="77">
        <f t="shared" si="229"/>
        <v>2451231</v>
      </c>
      <c r="I148" s="77">
        <f t="shared" si="229"/>
        <v>2446861</v>
      </c>
      <c r="J148" s="77">
        <f t="shared" si="229"/>
        <v>2447007</v>
      </c>
      <c r="K148" s="77">
        <f t="shared" si="229"/>
        <v>2447215</v>
      </c>
      <c r="L148" s="77">
        <f t="shared" si="229"/>
        <v>2447362</v>
      </c>
      <c r="M148" s="77">
        <f t="shared" si="229"/>
        <v>2415055</v>
      </c>
      <c r="N148" s="77">
        <f t="shared" si="229"/>
        <v>2305495</v>
      </c>
      <c r="O148" s="77">
        <f t="shared" si="229"/>
        <v>2305879</v>
      </c>
      <c r="P148" s="77">
        <f t="shared" si="229"/>
        <v>2026893</v>
      </c>
      <c r="Q148" s="77">
        <f t="shared" si="229"/>
        <v>1676542</v>
      </c>
      <c r="R148" s="77">
        <f t="shared" si="229"/>
        <v>1676512</v>
      </c>
      <c r="S148" s="77">
        <f t="shared" si="229"/>
        <v>1356017</v>
      </c>
      <c r="T148" s="77">
        <f t="shared" si="229"/>
        <v>1355929</v>
      </c>
      <c r="U148" s="77">
        <f t="shared" si="229"/>
        <v>1355692</v>
      </c>
      <c r="V148" s="77">
        <f t="shared" si="229"/>
        <v>32</v>
      </c>
      <c r="W148" s="77">
        <f t="shared" si="229"/>
        <v>2446949</v>
      </c>
      <c r="X148" s="77">
        <f t="shared" si="229"/>
        <v>2448780</v>
      </c>
      <c r="Y148" s="77">
        <f t="shared" si="229"/>
        <v>2443228</v>
      </c>
      <c r="Z148" s="77">
        <f t="shared" si="229"/>
        <v>2467649</v>
      </c>
      <c r="AA148" s="77">
        <f t="shared" si="229"/>
        <v>2451585</v>
      </c>
      <c r="AB148" s="77">
        <f t="shared" si="229"/>
        <v>2434960</v>
      </c>
      <c r="AC148" s="77">
        <f t="shared" si="229"/>
        <v>2443878</v>
      </c>
      <c r="AD148" s="77">
        <f t="shared" si="229"/>
        <v>2447304</v>
      </c>
      <c r="AE148" s="77">
        <f t="shared" si="229"/>
        <v>2443228</v>
      </c>
      <c r="AF148" s="77">
        <f t="shared" si="229"/>
        <v>2449016</v>
      </c>
      <c r="AG148" s="77">
        <f t="shared" si="229"/>
        <v>2448957</v>
      </c>
      <c r="AH148" s="77">
        <f t="shared" si="229"/>
        <v>2448367</v>
      </c>
      <c r="AI148" s="77">
        <f t="shared" si="229"/>
        <v>2448750</v>
      </c>
      <c r="AJ148" s="77">
        <f t="shared" si="229"/>
        <v>2449164</v>
      </c>
      <c r="AK148" s="77">
        <f t="shared" si="229"/>
        <v>2385111</v>
      </c>
      <c r="AL148" s="77">
        <f t="shared" si="229"/>
        <v>2448189</v>
      </c>
      <c r="AM148" s="77">
        <f t="shared" si="229"/>
        <v>1948460</v>
      </c>
      <c r="AN148" s="77">
        <f t="shared" si="229"/>
        <v>2451674</v>
      </c>
      <c r="AO148" s="77">
        <f t="shared" si="229"/>
        <v>1721458</v>
      </c>
      <c r="AP148" s="77">
        <f t="shared" si="229"/>
        <v>2459883</v>
      </c>
      <c r="AQ148" s="77">
        <f t="shared" si="229"/>
        <v>2459883</v>
      </c>
      <c r="AR148" s="77">
        <f t="shared" si="229"/>
        <v>2459913</v>
      </c>
      <c r="AS148" s="77">
        <f t="shared" si="229"/>
        <v>2459913</v>
      </c>
      <c r="AT148" s="77">
        <f t="shared" si="229"/>
        <v>2459913</v>
      </c>
      <c r="AU148" s="77">
        <f t="shared" si="229"/>
        <v>2441870</v>
      </c>
      <c r="AV148" s="77">
        <f t="shared" si="229"/>
        <v>2450728</v>
      </c>
      <c r="AW148" s="77">
        <f t="shared" si="229"/>
        <v>2427843</v>
      </c>
      <c r="AX148" s="77">
        <f t="shared" si="229"/>
        <v>2435993</v>
      </c>
      <c r="AY148" s="77">
        <f t="shared" si="229"/>
        <v>2459943</v>
      </c>
      <c r="AZ148" s="77">
        <f t="shared" si="229"/>
        <v>2459943</v>
      </c>
      <c r="BA148" s="77">
        <f t="shared" si="229"/>
        <v>2459973</v>
      </c>
      <c r="BB148" s="77">
        <f t="shared" si="229"/>
        <v>2459973</v>
      </c>
      <c r="BC148" s="77">
        <f t="shared" si="229"/>
        <v>2459973</v>
      </c>
      <c r="BD148" s="77">
        <f t="shared" si="229"/>
        <v>2459973</v>
      </c>
      <c r="BE148" s="77">
        <f t="shared" si="229"/>
        <v>2459973</v>
      </c>
      <c r="BF148" s="77">
        <f t="shared" si="229"/>
        <v>2459973</v>
      </c>
      <c r="BG148" s="77">
        <f t="shared" si="229"/>
        <v>2443228</v>
      </c>
    </row>
    <row r="149" spans="2:59" x14ac:dyDescent="0.25">
      <c r="B149">
        <v>63</v>
      </c>
      <c r="C149" t="s">
        <v>158</v>
      </c>
      <c r="D149" s="7" t="s">
        <v>501</v>
      </c>
      <c r="E149" s="77">
        <f>E148+1524</f>
        <v>2437694</v>
      </c>
      <c r="F149" s="77">
        <f t="shared" ref="F149:BG149" si="230">F148+1524</f>
        <v>1844294</v>
      </c>
      <c r="G149" s="77">
        <f t="shared" si="230"/>
        <v>2453109</v>
      </c>
      <c r="H149" s="77">
        <f t="shared" si="230"/>
        <v>2452755</v>
      </c>
      <c r="I149" s="77">
        <f t="shared" si="230"/>
        <v>2448385</v>
      </c>
      <c r="J149" s="77">
        <f t="shared" si="230"/>
        <v>2448531</v>
      </c>
      <c r="K149" s="77">
        <f t="shared" si="230"/>
        <v>2448739</v>
      </c>
      <c r="L149" s="77">
        <f t="shared" si="230"/>
        <v>2448886</v>
      </c>
      <c r="M149" s="77">
        <f t="shared" si="230"/>
        <v>2416579</v>
      </c>
      <c r="N149" s="77">
        <f t="shared" si="230"/>
        <v>2307019</v>
      </c>
      <c r="O149" s="77">
        <f t="shared" si="230"/>
        <v>2307403</v>
      </c>
      <c r="P149" s="77">
        <f t="shared" si="230"/>
        <v>2028417</v>
      </c>
      <c r="Q149" s="77">
        <f t="shared" si="230"/>
        <v>1678066</v>
      </c>
      <c r="R149" s="77">
        <f t="shared" si="230"/>
        <v>1678036</v>
      </c>
      <c r="S149" s="77">
        <f t="shared" si="230"/>
        <v>1357541</v>
      </c>
      <c r="T149" s="77">
        <f t="shared" si="230"/>
        <v>1357453</v>
      </c>
      <c r="U149" s="77">
        <f t="shared" si="230"/>
        <v>1357216</v>
      </c>
      <c r="V149" s="77">
        <f t="shared" si="230"/>
        <v>1556</v>
      </c>
      <c r="W149" s="77">
        <f t="shared" si="230"/>
        <v>2448473</v>
      </c>
      <c r="X149" s="77">
        <f t="shared" si="230"/>
        <v>2450304</v>
      </c>
      <c r="Y149" s="77">
        <f t="shared" si="230"/>
        <v>2444752</v>
      </c>
      <c r="Z149" s="77">
        <f t="shared" si="230"/>
        <v>2469173</v>
      </c>
      <c r="AA149" s="77">
        <f t="shared" si="230"/>
        <v>2453109</v>
      </c>
      <c r="AB149" s="77">
        <f t="shared" si="230"/>
        <v>2436484</v>
      </c>
      <c r="AC149" s="77">
        <f t="shared" si="230"/>
        <v>2445402</v>
      </c>
      <c r="AD149" s="77">
        <f t="shared" si="230"/>
        <v>2448828</v>
      </c>
      <c r="AE149" s="77">
        <f t="shared" si="230"/>
        <v>2444752</v>
      </c>
      <c r="AF149" s="77">
        <f t="shared" si="230"/>
        <v>2450540</v>
      </c>
      <c r="AG149" s="77">
        <f t="shared" si="230"/>
        <v>2450481</v>
      </c>
      <c r="AH149" s="77">
        <f t="shared" si="230"/>
        <v>2449891</v>
      </c>
      <c r="AI149" s="77">
        <f t="shared" si="230"/>
        <v>2450274</v>
      </c>
      <c r="AJ149" s="77">
        <f t="shared" si="230"/>
        <v>2450688</v>
      </c>
      <c r="AK149" s="77">
        <f t="shared" si="230"/>
        <v>2386635</v>
      </c>
      <c r="AL149" s="77">
        <f t="shared" si="230"/>
        <v>2449713</v>
      </c>
      <c r="AM149" s="77">
        <f t="shared" si="230"/>
        <v>1949984</v>
      </c>
      <c r="AN149" s="77">
        <f t="shared" si="230"/>
        <v>2453198</v>
      </c>
      <c r="AO149" s="77">
        <f t="shared" si="230"/>
        <v>1722982</v>
      </c>
      <c r="AP149" s="77">
        <f t="shared" si="230"/>
        <v>2461407</v>
      </c>
      <c r="AQ149" s="77">
        <f t="shared" si="230"/>
        <v>2461407</v>
      </c>
      <c r="AR149" s="77">
        <f t="shared" si="230"/>
        <v>2461437</v>
      </c>
      <c r="AS149" s="77">
        <f t="shared" si="230"/>
        <v>2461437</v>
      </c>
      <c r="AT149" s="77">
        <f t="shared" si="230"/>
        <v>2461437</v>
      </c>
      <c r="AU149" s="77">
        <f t="shared" si="230"/>
        <v>2443394</v>
      </c>
      <c r="AV149" s="77">
        <f t="shared" si="230"/>
        <v>2452252</v>
      </c>
      <c r="AW149" s="77">
        <f t="shared" si="230"/>
        <v>2429367</v>
      </c>
      <c r="AX149" s="77">
        <f t="shared" si="230"/>
        <v>2437517</v>
      </c>
      <c r="AY149" s="77">
        <f t="shared" si="230"/>
        <v>2461467</v>
      </c>
      <c r="AZ149" s="77">
        <f t="shared" si="230"/>
        <v>2461467</v>
      </c>
      <c r="BA149" s="77">
        <f t="shared" si="230"/>
        <v>2461497</v>
      </c>
      <c r="BB149" s="77">
        <f t="shared" si="230"/>
        <v>2461497</v>
      </c>
      <c r="BC149" s="77">
        <f t="shared" si="230"/>
        <v>2461497</v>
      </c>
      <c r="BD149" s="77">
        <f t="shared" si="230"/>
        <v>2461497</v>
      </c>
      <c r="BE149" s="77">
        <f t="shared" si="230"/>
        <v>2461497</v>
      </c>
      <c r="BF149" s="77">
        <f t="shared" si="230"/>
        <v>2461497</v>
      </c>
      <c r="BG149" s="77">
        <f t="shared" si="230"/>
        <v>2444752</v>
      </c>
    </row>
    <row r="150" spans="2:59" x14ac:dyDescent="0.25">
      <c r="B150">
        <v>63</v>
      </c>
      <c r="C150" t="s">
        <v>502</v>
      </c>
      <c r="D150" s="7" t="s">
        <v>506</v>
      </c>
      <c r="E150" s="77">
        <f>_xlfn.FLOOR.MATH((E149-122.1)/365.25)</f>
        <v>6673</v>
      </c>
      <c r="F150" s="77">
        <f t="shared" ref="F150:BG150" si="231">_xlfn.FLOOR.MATH((F149-122.1)/365.25)</f>
        <v>5049</v>
      </c>
      <c r="G150" s="77">
        <f t="shared" si="231"/>
        <v>6715</v>
      </c>
      <c r="H150" s="77">
        <f t="shared" si="231"/>
        <v>6714</v>
      </c>
      <c r="I150" s="77">
        <f t="shared" si="231"/>
        <v>6702</v>
      </c>
      <c r="J150" s="77">
        <f t="shared" si="231"/>
        <v>6703</v>
      </c>
      <c r="K150" s="77">
        <f t="shared" si="231"/>
        <v>6703</v>
      </c>
      <c r="L150" s="77">
        <f t="shared" si="231"/>
        <v>6704</v>
      </c>
      <c r="M150" s="77">
        <f t="shared" si="231"/>
        <v>6615</v>
      </c>
      <c r="N150" s="77">
        <f t="shared" si="231"/>
        <v>6315</v>
      </c>
      <c r="O150" s="77">
        <f t="shared" si="231"/>
        <v>6316</v>
      </c>
      <c r="P150" s="77">
        <f t="shared" si="231"/>
        <v>5553</v>
      </c>
      <c r="Q150" s="77">
        <f t="shared" si="231"/>
        <v>4593</v>
      </c>
      <c r="R150" s="77">
        <f t="shared" si="231"/>
        <v>4593</v>
      </c>
      <c r="S150" s="77">
        <f t="shared" si="231"/>
        <v>3716</v>
      </c>
      <c r="T150" s="77">
        <f t="shared" si="231"/>
        <v>3716</v>
      </c>
      <c r="U150" s="77">
        <f t="shared" si="231"/>
        <v>3715</v>
      </c>
      <c r="V150" s="77">
        <f t="shared" si="231"/>
        <v>3</v>
      </c>
      <c r="W150" s="77">
        <f t="shared" si="231"/>
        <v>6703</v>
      </c>
      <c r="X150" s="77">
        <f t="shared" si="231"/>
        <v>6708</v>
      </c>
      <c r="Y150" s="77">
        <f t="shared" si="231"/>
        <v>6693</v>
      </c>
      <c r="Z150" s="77">
        <f t="shared" si="231"/>
        <v>6759</v>
      </c>
      <c r="AA150" s="77">
        <f t="shared" si="231"/>
        <v>6715</v>
      </c>
      <c r="AB150" s="77">
        <f t="shared" si="231"/>
        <v>6670</v>
      </c>
      <c r="AC150" s="77">
        <f t="shared" si="231"/>
        <v>6694</v>
      </c>
      <c r="AD150" s="77">
        <f t="shared" si="231"/>
        <v>6704</v>
      </c>
      <c r="AE150" s="77">
        <f t="shared" si="231"/>
        <v>6693</v>
      </c>
      <c r="AF150" s="77">
        <f t="shared" si="231"/>
        <v>6708</v>
      </c>
      <c r="AG150" s="77">
        <f t="shared" si="231"/>
        <v>6708</v>
      </c>
      <c r="AH150" s="77">
        <f t="shared" si="231"/>
        <v>6707</v>
      </c>
      <c r="AI150" s="77">
        <f t="shared" si="231"/>
        <v>6708</v>
      </c>
      <c r="AJ150" s="77">
        <f t="shared" si="231"/>
        <v>6709</v>
      </c>
      <c r="AK150" s="77">
        <f t="shared" si="231"/>
        <v>6533</v>
      </c>
      <c r="AL150" s="77">
        <f t="shared" si="231"/>
        <v>6706</v>
      </c>
      <c r="AM150" s="77">
        <f t="shared" si="231"/>
        <v>5338</v>
      </c>
      <c r="AN150" s="77">
        <f t="shared" si="231"/>
        <v>6716</v>
      </c>
      <c r="AO150" s="77">
        <f t="shared" si="231"/>
        <v>4716</v>
      </c>
      <c r="AP150" s="77">
        <f t="shared" si="231"/>
        <v>6738</v>
      </c>
      <c r="AQ150" s="77">
        <f t="shared" si="231"/>
        <v>6738</v>
      </c>
      <c r="AR150" s="77">
        <f t="shared" si="231"/>
        <v>6738</v>
      </c>
      <c r="AS150" s="77">
        <f t="shared" si="231"/>
        <v>6738</v>
      </c>
      <c r="AT150" s="77">
        <f t="shared" si="231"/>
        <v>6738</v>
      </c>
      <c r="AU150" s="77">
        <f t="shared" si="231"/>
        <v>6689</v>
      </c>
      <c r="AV150" s="77">
        <f t="shared" si="231"/>
        <v>6713</v>
      </c>
      <c r="AW150" s="77">
        <f t="shared" si="231"/>
        <v>6650</v>
      </c>
      <c r="AX150" s="77">
        <f t="shared" si="231"/>
        <v>6673</v>
      </c>
      <c r="AY150" s="77">
        <f t="shared" si="231"/>
        <v>6738</v>
      </c>
      <c r="AZ150" s="77">
        <f t="shared" si="231"/>
        <v>6738</v>
      </c>
      <c r="BA150" s="77">
        <f t="shared" si="231"/>
        <v>6738</v>
      </c>
      <c r="BB150" s="77">
        <f t="shared" si="231"/>
        <v>6738</v>
      </c>
      <c r="BC150" s="77">
        <f t="shared" si="231"/>
        <v>6738</v>
      </c>
      <c r="BD150" s="77">
        <f t="shared" si="231"/>
        <v>6738</v>
      </c>
      <c r="BE150" s="77">
        <f t="shared" si="231"/>
        <v>6738</v>
      </c>
      <c r="BF150" s="77">
        <f t="shared" si="231"/>
        <v>6738</v>
      </c>
      <c r="BG150" s="77">
        <f t="shared" si="231"/>
        <v>6693</v>
      </c>
    </row>
    <row r="151" spans="2:59" x14ac:dyDescent="0.25">
      <c r="B151">
        <v>63</v>
      </c>
      <c r="C151" t="s">
        <v>159</v>
      </c>
      <c r="D151" s="7" t="s">
        <v>510</v>
      </c>
      <c r="E151" s="77">
        <f>_xlfn.FLOOR.MATH(E150*365.25)</f>
        <v>2437313</v>
      </c>
      <c r="F151" s="77">
        <f t="shared" ref="F151:BG151" si="232">_xlfn.FLOOR.MATH(F150*365.25)</f>
        <v>1844147</v>
      </c>
      <c r="G151" s="77">
        <f t="shared" si="232"/>
        <v>2452653</v>
      </c>
      <c r="H151" s="77">
        <f t="shared" si="232"/>
        <v>2452288</v>
      </c>
      <c r="I151" s="77">
        <f t="shared" si="232"/>
        <v>2447905</v>
      </c>
      <c r="J151" s="77">
        <f t="shared" si="232"/>
        <v>2448270</v>
      </c>
      <c r="K151" s="77">
        <f t="shared" si="232"/>
        <v>2448270</v>
      </c>
      <c r="L151" s="77">
        <f t="shared" si="232"/>
        <v>2448636</v>
      </c>
      <c r="M151" s="77">
        <f t="shared" si="232"/>
        <v>2416128</v>
      </c>
      <c r="N151" s="77">
        <f t="shared" si="232"/>
        <v>2306553</v>
      </c>
      <c r="O151" s="77">
        <f t="shared" si="232"/>
        <v>2306919</v>
      </c>
      <c r="P151" s="77">
        <f t="shared" si="232"/>
        <v>2028233</v>
      </c>
      <c r="Q151" s="77">
        <f t="shared" si="232"/>
        <v>1677593</v>
      </c>
      <c r="R151" s="77">
        <f t="shared" si="232"/>
        <v>1677593</v>
      </c>
      <c r="S151" s="77">
        <f t="shared" si="232"/>
        <v>1357269</v>
      </c>
      <c r="T151" s="77">
        <f t="shared" si="232"/>
        <v>1357269</v>
      </c>
      <c r="U151" s="77">
        <f t="shared" si="232"/>
        <v>1356903</v>
      </c>
      <c r="V151" s="77">
        <f t="shared" si="232"/>
        <v>1095</v>
      </c>
      <c r="W151" s="77">
        <f t="shared" si="232"/>
        <v>2448270</v>
      </c>
      <c r="X151" s="77">
        <f t="shared" si="232"/>
        <v>2450097</v>
      </c>
      <c r="Y151" s="77">
        <f t="shared" si="232"/>
        <v>2444618</v>
      </c>
      <c r="Z151" s="77">
        <f t="shared" si="232"/>
        <v>2468724</v>
      </c>
      <c r="AA151" s="77">
        <f t="shared" si="232"/>
        <v>2452653</v>
      </c>
      <c r="AB151" s="77">
        <f t="shared" si="232"/>
        <v>2436217</v>
      </c>
      <c r="AC151" s="77">
        <f t="shared" si="232"/>
        <v>2444983</v>
      </c>
      <c r="AD151" s="77">
        <f t="shared" si="232"/>
        <v>2448636</v>
      </c>
      <c r="AE151" s="77">
        <f t="shared" si="232"/>
        <v>2444618</v>
      </c>
      <c r="AF151" s="77">
        <f t="shared" si="232"/>
        <v>2450097</v>
      </c>
      <c r="AG151" s="77">
        <f t="shared" si="232"/>
        <v>2450097</v>
      </c>
      <c r="AH151" s="77">
        <f t="shared" si="232"/>
        <v>2449731</v>
      </c>
      <c r="AI151" s="77">
        <f t="shared" si="232"/>
        <v>2450097</v>
      </c>
      <c r="AJ151" s="77">
        <f t="shared" si="232"/>
        <v>2450462</v>
      </c>
      <c r="AK151" s="77">
        <f t="shared" si="232"/>
        <v>2386178</v>
      </c>
      <c r="AL151" s="77">
        <f t="shared" si="232"/>
        <v>2449366</v>
      </c>
      <c r="AM151" s="77">
        <f t="shared" si="232"/>
        <v>1949704</v>
      </c>
      <c r="AN151" s="77">
        <f t="shared" si="232"/>
        <v>2453019</v>
      </c>
      <c r="AO151" s="77">
        <f t="shared" si="232"/>
        <v>1722519</v>
      </c>
      <c r="AP151" s="77">
        <f t="shared" si="232"/>
        <v>2461054</v>
      </c>
      <c r="AQ151" s="77">
        <f t="shared" si="232"/>
        <v>2461054</v>
      </c>
      <c r="AR151" s="77">
        <f t="shared" si="232"/>
        <v>2461054</v>
      </c>
      <c r="AS151" s="77">
        <f t="shared" si="232"/>
        <v>2461054</v>
      </c>
      <c r="AT151" s="77">
        <f t="shared" si="232"/>
        <v>2461054</v>
      </c>
      <c r="AU151" s="77">
        <f t="shared" si="232"/>
        <v>2443157</v>
      </c>
      <c r="AV151" s="77">
        <f t="shared" si="232"/>
        <v>2451923</v>
      </c>
      <c r="AW151" s="77">
        <f t="shared" si="232"/>
        <v>2428912</v>
      </c>
      <c r="AX151" s="77">
        <f t="shared" si="232"/>
        <v>2437313</v>
      </c>
      <c r="AY151" s="77">
        <f t="shared" si="232"/>
        <v>2461054</v>
      </c>
      <c r="AZ151" s="77">
        <f t="shared" si="232"/>
        <v>2461054</v>
      </c>
      <c r="BA151" s="77">
        <f t="shared" si="232"/>
        <v>2461054</v>
      </c>
      <c r="BB151" s="77">
        <f t="shared" si="232"/>
        <v>2461054</v>
      </c>
      <c r="BC151" s="77">
        <f t="shared" si="232"/>
        <v>2461054</v>
      </c>
      <c r="BD151" s="77">
        <f t="shared" si="232"/>
        <v>2461054</v>
      </c>
      <c r="BE151" s="77">
        <f t="shared" si="232"/>
        <v>2461054</v>
      </c>
      <c r="BF151" s="77">
        <f t="shared" si="232"/>
        <v>2461054</v>
      </c>
      <c r="BG151" s="77">
        <f t="shared" si="232"/>
        <v>2444618</v>
      </c>
    </row>
    <row r="152" spans="2:59" x14ac:dyDescent="0.25">
      <c r="B152">
        <v>63</v>
      </c>
      <c r="C152" t="s">
        <v>160</v>
      </c>
      <c r="D152" s="7" t="s">
        <v>387</v>
      </c>
      <c r="E152" s="77">
        <f>_xlfn.FLOOR.MATH((E149-E151)/30.6001)</f>
        <v>12</v>
      </c>
      <c r="F152" s="77">
        <f t="shared" ref="F152:BG152" si="233">_xlfn.FLOOR.MATH((F149-F151)/30.6001)</f>
        <v>4</v>
      </c>
      <c r="G152" s="77">
        <f t="shared" si="233"/>
        <v>14</v>
      </c>
      <c r="H152" s="77">
        <f t="shared" si="233"/>
        <v>15</v>
      </c>
      <c r="I152" s="77">
        <f t="shared" si="233"/>
        <v>15</v>
      </c>
      <c r="J152" s="77">
        <f t="shared" si="233"/>
        <v>8</v>
      </c>
      <c r="K152" s="77">
        <f t="shared" si="233"/>
        <v>15</v>
      </c>
      <c r="L152" s="77">
        <f t="shared" si="233"/>
        <v>8</v>
      </c>
      <c r="M152" s="77">
        <f t="shared" si="233"/>
        <v>14</v>
      </c>
      <c r="N152" s="77">
        <f t="shared" si="233"/>
        <v>15</v>
      </c>
      <c r="O152" s="77">
        <f t="shared" si="233"/>
        <v>15</v>
      </c>
      <c r="P152" s="77">
        <f t="shared" si="233"/>
        <v>6</v>
      </c>
      <c r="Q152" s="77">
        <f t="shared" si="233"/>
        <v>15</v>
      </c>
      <c r="R152" s="77">
        <f t="shared" si="233"/>
        <v>14</v>
      </c>
      <c r="S152" s="77">
        <f t="shared" si="233"/>
        <v>8</v>
      </c>
      <c r="T152" s="77">
        <f t="shared" si="233"/>
        <v>6</v>
      </c>
      <c r="U152" s="77">
        <f t="shared" si="233"/>
        <v>10</v>
      </c>
      <c r="V152" s="77">
        <f t="shared" si="233"/>
        <v>15</v>
      </c>
      <c r="W152" s="77">
        <f t="shared" si="233"/>
        <v>6</v>
      </c>
      <c r="X152" s="77">
        <f t="shared" si="233"/>
        <v>6</v>
      </c>
      <c r="Y152" s="77">
        <f t="shared" si="233"/>
        <v>4</v>
      </c>
      <c r="Z152" s="77">
        <f t="shared" si="233"/>
        <v>14</v>
      </c>
      <c r="AA152" s="77">
        <f t="shared" si="233"/>
        <v>14</v>
      </c>
      <c r="AB152" s="77">
        <f t="shared" si="233"/>
        <v>8</v>
      </c>
      <c r="AC152" s="77">
        <f t="shared" si="233"/>
        <v>13</v>
      </c>
      <c r="AD152" s="77">
        <f t="shared" si="233"/>
        <v>6</v>
      </c>
      <c r="AE152" s="77">
        <f t="shared" si="233"/>
        <v>4</v>
      </c>
      <c r="AF152" s="77">
        <f t="shared" si="233"/>
        <v>14</v>
      </c>
      <c r="AG152" s="77">
        <f t="shared" si="233"/>
        <v>12</v>
      </c>
      <c r="AH152" s="77">
        <f t="shared" si="233"/>
        <v>5</v>
      </c>
      <c r="AI152" s="77">
        <f t="shared" si="233"/>
        <v>5</v>
      </c>
      <c r="AJ152" s="77">
        <f t="shared" si="233"/>
        <v>7</v>
      </c>
      <c r="AK152" s="77">
        <f t="shared" si="233"/>
        <v>14</v>
      </c>
      <c r="AL152" s="77">
        <f t="shared" si="233"/>
        <v>11</v>
      </c>
      <c r="AM152" s="77">
        <f t="shared" si="233"/>
        <v>9</v>
      </c>
      <c r="AN152" s="77">
        <f t="shared" si="233"/>
        <v>5</v>
      </c>
      <c r="AO152" s="77">
        <f t="shared" si="233"/>
        <v>15</v>
      </c>
      <c r="AP152" s="77">
        <f t="shared" si="233"/>
        <v>11</v>
      </c>
      <c r="AQ152" s="77">
        <f t="shared" si="233"/>
        <v>11</v>
      </c>
      <c r="AR152" s="77">
        <f t="shared" si="233"/>
        <v>12</v>
      </c>
      <c r="AS152" s="77">
        <f t="shared" si="233"/>
        <v>12</v>
      </c>
      <c r="AT152" s="77">
        <f t="shared" si="233"/>
        <v>12</v>
      </c>
      <c r="AU152" s="77">
        <f t="shared" si="233"/>
        <v>7</v>
      </c>
      <c r="AV152" s="77">
        <f t="shared" si="233"/>
        <v>10</v>
      </c>
      <c r="AW152" s="77">
        <f t="shared" si="233"/>
        <v>14</v>
      </c>
      <c r="AX152" s="77">
        <f t="shared" si="233"/>
        <v>6</v>
      </c>
      <c r="AY152" s="77">
        <f t="shared" si="233"/>
        <v>13</v>
      </c>
      <c r="AZ152" s="77">
        <f t="shared" si="233"/>
        <v>13</v>
      </c>
      <c r="BA152" s="77">
        <f t="shared" si="233"/>
        <v>14</v>
      </c>
      <c r="BB152" s="77">
        <f t="shared" si="233"/>
        <v>14</v>
      </c>
      <c r="BC152" s="77">
        <f t="shared" si="233"/>
        <v>14</v>
      </c>
      <c r="BD152" s="77">
        <f t="shared" si="233"/>
        <v>14</v>
      </c>
      <c r="BE152" s="77">
        <f t="shared" si="233"/>
        <v>14</v>
      </c>
      <c r="BF152" s="77">
        <f t="shared" si="233"/>
        <v>14</v>
      </c>
      <c r="BG152" s="77">
        <f t="shared" si="233"/>
        <v>4</v>
      </c>
    </row>
    <row r="153" spans="2:59" x14ac:dyDescent="0.25">
      <c r="B153">
        <v>63</v>
      </c>
      <c r="C153" t="s">
        <v>511</v>
      </c>
    </row>
    <row r="154" spans="2:59" x14ac:dyDescent="0.25">
      <c r="C154" t="s">
        <v>513</v>
      </c>
      <c r="D154" s="7" t="s">
        <v>516</v>
      </c>
      <c r="E154" s="16">
        <f>E149-E151-INT(30.6001*E152)+E144</f>
        <v>14.916748937219381</v>
      </c>
      <c r="F154" s="16">
        <f t="shared" ref="F154:BG154" si="234">F149-F151-INT(30.6001*F152)+F144</f>
        <v>25.598202656721696</v>
      </c>
      <c r="G154" s="16">
        <f t="shared" si="234"/>
        <v>28.331841323524714</v>
      </c>
      <c r="H154" s="16">
        <f t="shared" si="234"/>
        <v>8.4993465854786336</v>
      </c>
      <c r="I154" s="16">
        <f t="shared" si="234"/>
        <v>21.372715489473194</v>
      </c>
      <c r="J154" s="16">
        <f t="shared" si="234"/>
        <v>17.845600096974522</v>
      </c>
      <c r="K154" s="16">
        <f t="shared" si="234"/>
        <v>10.959542059339583</v>
      </c>
      <c r="L154" s="16">
        <f t="shared" si="234"/>
        <v>6.4841250726021826</v>
      </c>
      <c r="M154" s="16">
        <f t="shared" si="234"/>
        <v>23.99502891395241</v>
      </c>
      <c r="N154" s="16">
        <f t="shared" si="234"/>
        <v>7.4097411199472845</v>
      </c>
      <c r="O154" s="16">
        <f t="shared" si="234"/>
        <v>25.095245145261288</v>
      </c>
      <c r="P154" s="16">
        <f t="shared" si="234"/>
        <v>1.2743244557641447</v>
      </c>
      <c r="Q154" s="16">
        <f t="shared" si="234"/>
        <v>14.050661149667576</v>
      </c>
      <c r="R154" s="16">
        <f t="shared" si="234"/>
        <v>15.54429078521207</v>
      </c>
      <c r="S154" s="16">
        <f t="shared" si="234"/>
        <v>28.835962970042601</v>
      </c>
      <c r="T154" s="16">
        <f t="shared" si="234"/>
        <v>1.5889681198168546</v>
      </c>
      <c r="U154" s="16">
        <f t="shared" si="234"/>
        <v>7.2350073056295514</v>
      </c>
      <c r="V154" s="16">
        <f t="shared" si="234"/>
        <v>2.6713751756904998</v>
      </c>
      <c r="W154" s="16">
        <f t="shared" si="234"/>
        <v>20.168935103807598</v>
      </c>
      <c r="X154" s="16">
        <f t="shared" si="234"/>
        <v>24.662768030073494</v>
      </c>
      <c r="Y154" s="16">
        <f t="shared" si="234"/>
        <v>12.482858564704657</v>
      </c>
      <c r="Z154" s="16">
        <f t="shared" si="234"/>
        <v>21.991863890551031</v>
      </c>
      <c r="AA154" s="16">
        <f t="shared" si="234"/>
        <v>28.331841323524714</v>
      </c>
      <c r="AB154" s="16">
        <f t="shared" si="234"/>
        <v>23.010134564712644</v>
      </c>
      <c r="AC154" s="16">
        <f t="shared" si="234"/>
        <v>22.737802466377616</v>
      </c>
      <c r="AD154" s="16">
        <f t="shared" si="234"/>
        <v>9.0580723667517304</v>
      </c>
      <c r="AE154" s="16">
        <f t="shared" si="234"/>
        <v>12.482858564704657</v>
      </c>
      <c r="AF154" s="16">
        <f t="shared" si="234"/>
        <v>15.168258119840175</v>
      </c>
      <c r="AG154" s="16">
        <f t="shared" si="234"/>
        <v>17.486206534784287</v>
      </c>
      <c r="AH154" s="16">
        <f t="shared" si="234"/>
        <v>7.2821285068057477</v>
      </c>
      <c r="AI154" s="16">
        <f t="shared" si="234"/>
        <v>24.903359331656247</v>
      </c>
      <c r="AJ154" s="16">
        <f t="shared" si="234"/>
        <v>12.23387976270169</v>
      </c>
      <c r="AK154" s="16">
        <f t="shared" si="234"/>
        <v>29.705368062015623</v>
      </c>
      <c r="AL154" s="16">
        <f t="shared" si="234"/>
        <v>11.147470206487924</v>
      </c>
      <c r="AM154" s="16">
        <f t="shared" si="234"/>
        <v>5.2858282930683345</v>
      </c>
      <c r="AN154" s="16">
        <f t="shared" si="234"/>
        <v>26.813311886973679</v>
      </c>
      <c r="AO154" s="16">
        <f t="shared" si="234"/>
        <v>4.1207977288868278</v>
      </c>
      <c r="AP154" s="16">
        <f t="shared" si="234"/>
        <v>17.719587889034301</v>
      </c>
      <c r="AQ154" s="16">
        <f t="shared" si="234"/>
        <v>17.719587889034301</v>
      </c>
      <c r="AR154" s="16">
        <f t="shared" si="234"/>
        <v>16.561231534462422</v>
      </c>
      <c r="AS154" s="16">
        <f t="shared" si="234"/>
        <v>16.561231534462422</v>
      </c>
      <c r="AT154" s="16">
        <f t="shared" si="234"/>
        <v>16.561231534462422</v>
      </c>
      <c r="AU154" s="16">
        <f t="shared" si="234"/>
        <v>23.823594016488642</v>
      </c>
      <c r="AV154" s="16">
        <f t="shared" si="234"/>
        <v>23.566814030520618</v>
      </c>
      <c r="AW154" s="16">
        <f t="shared" si="234"/>
        <v>27.832651881501079</v>
      </c>
      <c r="AX154" s="16">
        <f t="shared" si="234"/>
        <v>21.710943603422493</v>
      </c>
      <c r="AY154" s="16">
        <f t="shared" si="234"/>
        <v>16.373145698569715</v>
      </c>
      <c r="AZ154" s="16">
        <f t="shared" si="234"/>
        <v>16.373145698569715</v>
      </c>
      <c r="BA154" s="16">
        <f t="shared" si="234"/>
        <v>15.091380720026791</v>
      </c>
      <c r="BB154" s="16">
        <f t="shared" si="234"/>
        <v>15.091380720026791</v>
      </c>
      <c r="BC154" s="16">
        <f t="shared" si="234"/>
        <v>15.091380720026791</v>
      </c>
      <c r="BD154" s="16">
        <f t="shared" si="234"/>
        <v>15.091380720026791</v>
      </c>
      <c r="BE154" s="16">
        <f t="shared" si="234"/>
        <v>15.091380720026791</v>
      </c>
      <c r="BF154" s="16">
        <f t="shared" si="234"/>
        <v>15.091380720026791</v>
      </c>
      <c r="BG154" s="16">
        <f t="shared" si="234"/>
        <v>12.482858564704657</v>
      </c>
    </row>
    <row r="155" spans="2:59" x14ac:dyDescent="0.25">
      <c r="B155">
        <v>63</v>
      </c>
      <c r="C155" t="s">
        <v>164</v>
      </c>
    </row>
    <row r="156" spans="2:59" x14ac:dyDescent="0.25">
      <c r="C156" t="s">
        <v>517</v>
      </c>
    </row>
    <row r="157" spans="2:59" x14ac:dyDescent="0.25">
      <c r="C157" t="s">
        <v>518</v>
      </c>
      <c r="D157" s="7" t="s">
        <v>523</v>
      </c>
      <c r="E157" s="78">
        <f>IF(E152&lt;14,E152-1,E152-13)</f>
        <v>11</v>
      </c>
      <c r="F157" s="78">
        <f t="shared" ref="F157:BG157" si="235">IF(F152&lt;14,F152-1,F152-13)</f>
        <v>3</v>
      </c>
      <c r="G157" s="78">
        <f t="shared" si="235"/>
        <v>1</v>
      </c>
      <c r="H157" s="78">
        <f t="shared" si="235"/>
        <v>2</v>
      </c>
      <c r="I157" s="78">
        <f t="shared" si="235"/>
        <v>2</v>
      </c>
      <c r="J157" s="78">
        <f t="shared" si="235"/>
        <v>7</v>
      </c>
      <c r="K157" s="78">
        <f t="shared" si="235"/>
        <v>2</v>
      </c>
      <c r="L157" s="78">
        <f t="shared" si="235"/>
        <v>7</v>
      </c>
      <c r="M157" s="78">
        <f t="shared" si="235"/>
        <v>1</v>
      </c>
      <c r="N157" s="78">
        <f t="shared" si="235"/>
        <v>2</v>
      </c>
      <c r="O157" s="78">
        <f t="shared" si="235"/>
        <v>2</v>
      </c>
      <c r="P157" s="78">
        <f t="shared" si="235"/>
        <v>5</v>
      </c>
      <c r="Q157" s="78">
        <f t="shared" si="235"/>
        <v>2</v>
      </c>
      <c r="R157" s="78">
        <f t="shared" si="235"/>
        <v>1</v>
      </c>
      <c r="S157" s="78">
        <f t="shared" si="235"/>
        <v>7</v>
      </c>
      <c r="T157" s="78">
        <f t="shared" si="235"/>
        <v>5</v>
      </c>
      <c r="U157" s="78">
        <f t="shared" si="235"/>
        <v>9</v>
      </c>
      <c r="V157" s="78">
        <f t="shared" si="235"/>
        <v>2</v>
      </c>
      <c r="W157" s="78">
        <f t="shared" si="235"/>
        <v>5</v>
      </c>
      <c r="X157" s="78">
        <f t="shared" si="235"/>
        <v>5</v>
      </c>
      <c r="Y157" s="78">
        <f t="shared" si="235"/>
        <v>3</v>
      </c>
      <c r="Z157" s="78">
        <f t="shared" si="235"/>
        <v>1</v>
      </c>
      <c r="AA157" s="78">
        <f t="shared" si="235"/>
        <v>1</v>
      </c>
      <c r="AB157" s="78">
        <f t="shared" si="235"/>
        <v>7</v>
      </c>
      <c r="AC157" s="78">
        <f t="shared" si="235"/>
        <v>12</v>
      </c>
      <c r="AD157" s="78">
        <f t="shared" si="235"/>
        <v>5</v>
      </c>
      <c r="AE157" s="78">
        <f t="shared" si="235"/>
        <v>3</v>
      </c>
      <c r="AF157" s="78">
        <f t="shared" si="235"/>
        <v>1</v>
      </c>
      <c r="AG157" s="78">
        <f t="shared" si="235"/>
        <v>11</v>
      </c>
      <c r="AH157" s="78">
        <f t="shared" si="235"/>
        <v>4</v>
      </c>
      <c r="AI157" s="78">
        <f t="shared" si="235"/>
        <v>4</v>
      </c>
      <c r="AJ157" s="78">
        <f t="shared" si="235"/>
        <v>6</v>
      </c>
      <c r="AK157" s="78">
        <f t="shared" si="235"/>
        <v>1</v>
      </c>
      <c r="AL157" s="78">
        <f t="shared" si="235"/>
        <v>10</v>
      </c>
      <c r="AM157" s="78">
        <f t="shared" si="235"/>
        <v>8</v>
      </c>
      <c r="AN157" s="78">
        <f t="shared" si="235"/>
        <v>4</v>
      </c>
      <c r="AO157" s="78">
        <f t="shared" si="235"/>
        <v>2</v>
      </c>
      <c r="AP157" s="78">
        <f t="shared" si="235"/>
        <v>10</v>
      </c>
      <c r="AQ157" s="78">
        <f t="shared" si="235"/>
        <v>10</v>
      </c>
      <c r="AR157" s="78">
        <f t="shared" si="235"/>
        <v>11</v>
      </c>
      <c r="AS157" s="78">
        <f t="shared" si="235"/>
        <v>11</v>
      </c>
      <c r="AT157" s="78">
        <f t="shared" si="235"/>
        <v>11</v>
      </c>
      <c r="AU157" s="78">
        <f t="shared" si="235"/>
        <v>6</v>
      </c>
      <c r="AV157" s="78">
        <f t="shared" si="235"/>
        <v>9</v>
      </c>
      <c r="AW157" s="78">
        <f t="shared" si="235"/>
        <v>1</v>
      </c>
      <c r="AX157" s="78">
        <f t="shared" si="235"/>
        <v>5</v>
      </c>
      <c r="AY157" s="78">
        <f t="shared" si="235"/>
        <v>12</v>
      </c>
      <c r="AZ157" s="78">
        <f t="shared" si="235"/>
        <v>12</v>
      </c>
      <c r="BA157" s="78">
        <f t="shared" si="235"/>
        <v>1</v>
      </c>
      <c r="BB157" s="78">
        <f t="shared" si="235"/>
        <v>1</v>
      </c>
      <c r="BC157" s="78">
        <f t="shared" si="235"/>
        <v>1</v>
      </c>
      <c r="BD157" s="78">
        <f t="shared" si="235"/>
        <v>1</v>
      </c>
      <c r="BE157" s="78">
        <f t="shared" si="235"/>
        <v>1</v>
      </c>
      <c r="BF157" s="78">
        <f t="shared" si="235"/>
        <v>1</v>
      </c>
      <c r="BG157" s="78">
        <f t="shared" si="235"/>
        <v>3</v>
      </c>
    </row>
    <row r="158" spans="2:59" x14ac:dyDescent="0.25">
      <c r="B158">
        <v>63</v>
      </c>
      <c r="C158" t="s">
        <v>524</v>
      </c>
    </row>
    <row r="159" spans="2:59" x14ac:dyDescent="0.25">
      <c r="C159" t="s">
        <v>525</v>
      </c>
    </row>
    <row r="160" spans="2:59" x14ac:dyDescent="0.25">
      <c r="C160" t="s">
        <v>526</v>
      </c>
      <c r="D160" s="7" t="s">
        <v>530</v>
      </c>
      <c r="E160" s="78">
        <f>IF(E157&gt;2, E150-4716,E150-4715)</f>
        <v>1957</v>
      </c>
      <c r="F160" s="78">
        <f t="shared" ref="F160:BG160" si="236">IF(F157&gt;2, F150-4716,F150-4715)</f>
        <v>333</v>
      </c>
      <c r="G160" s="78">
        <f t="shared" si="236"/>
        <v>2000</v>
      </c>
      <c r="H160" s="78">
        <f t="shared" si="236"/>
        <v>1999</v>
      </c>
      <c r="I160" s="78">
        <f t="shared" si="236"/>
        <v>1987</v>
      </c>
      <c r="J160" s="78">
        <f t="shared" si="236"/>
        <v>1987</v>
      </c>
      <c r="K160" s="78">
        <f t="shared" si="236"/>
        <v>1988</v>
      </c>
      <c r="L160" s="78">
        <f t="shared" si="236"/>
        <v>1988</v>
      </c>
      <c r="M160" s="78">
        <f t="shared" si="236"/>
        <v>1900</v>
      </c>
      <c r="N160" s="78">
        <f t="shared" si="236"/>
        <v>1600</v>
      </c>
      <c r="O160" s="78">
        <f t="shared" si="236"/>
        <v>1601</v>
      </c>
      <c r="P160" s="78">
        <f t="shared" si="236"/>
        <v>837</v>
      </c>
      <c r="Q160" s="78">
        <f t="shared" si="236"/>
        <v>-122</v>
      </c>
      <c r="R160" s="78">
        <f t="shared" si="236"/>
        <v>-122</v>
      </c>
      <c r="S160" s="78">
        <f t="shared" si="236"/>
        <v>-1000</v>
      </c>
      <c r="T160" s="78">
        <f t="shared" si="236"/>
        <v>-1000</v>
      </c>
      <c r="U160" s="78">
        <f t="shared" si="236"/>
        <v>-1001</v>
      </c>
      <c r="V160" s="78">
        <f t="shared" si="236"/>
        <v>-4712</v>
      </c>
      <c r="W160" s="78">
        <f t="shared" si="236"/>
        <v>1987</v>
      </c>
      <c r="X160" s="78">
        <f t="shared" si="236"/>
        <v>1992</v>
      </c>
      <c r="Y160" s="78">
        <f t="shared" si="236"/>
        <v>1977</v>
      </c>
      <c r="Z160" s="78">
        <f t="shared" si="236"/>
        <v>2044</v>
      </c>
      <c r="AA160" s="78">
        <f t="shared" si="236"/>
        <v>2000</v>
      </c>
      <c r="AB160" s="78">
        <f t="shared" si="236"/>
        <v>1954</v>
      </c>
      <c r="AC160" s="78">
        <f t="shared" si="236"/>
        <v>1978</v>
      </c>
      <c r="AD160" s="78">
        <f t="shared" si="236"/>
        <v>1988</v>
      </c>
      <c r="AE160" s="78">
        <f t="shared" si="236"/>
        <v>1977</v>
      </c>
      <c r="AF160" s="78">
        <f t="shared" si="236"/>
        <v>1993</v>
      </c>
      <c r="AG160" s="78">
        <f t="shared" si="236"/>
        <v>1992</v>
      </c>
      <c r="AH160" s="78">
        <f t="shared" si="236"/>
        <v>1991</v>
      </c>
      <c r="AI160" s="78">
        <f t="shared" si="236"/>
        <v>1992</v>
      </c>
      <c r="AJ160" s="78">
        <f t="shared" si="236"/>
        <v>1993</v>
      </c>
      <c r="AK160" s="78">
        <f t="shared" si="236"/>
        <v>1818</v>
      </c>
      <c r="AL160" s="78">
        <f t="shared" si="236"/>
        <v>1990</v>
      </c>
      <c r="AM160" s="78">
        <f t="shared" si="236"/>
        <v>622</v>
      </c>
      <c r="AN160" s="78">
        <f t="shared" si="236"/>
        <v>2000</v>
      </c>
      <c r="AO160" s="78">
        <f t="shared" si="236"/>
        <v>1</v>
      </c>
      <c r="AP160" s="78">
        <f t="shared" si="236"/>
        <v>2022</v>
      </c>
      <c r="AQ160" s="78">
        <f t="shared" si="236"/>
        <v>2022</v>
      </c>
      <c r="AR160" s="78">
        <f t="shared" si="236"/>
        <v>2022</v>
      </c>
      <c r="AS160" s="78">
        <f t="shared" si="236"/>
        <v>2022</v>
      </c>
      <c r="AT160" s="78">
        <f t="shared" si="236"/>
        <v>2022</v>
      </c>
      <c r="AU160" s="78">
        <f t="shared" si="236"/>
        <v>1973</v>
      </c>
      <c r="AV160" s="78">
        <f t="shared" si="236"/>
        <v>1997</v>
      </c>
      <c r="AW160" s="78">
        <f t="shared" si="236"/>
        <v>1935</v>
      </c>
      <c r="AX160" s="78">
        <f t="shared" si="236"/>
        <v>1957</v>
      </c>
      <c r="AY160" s="78">
        <f t="shared" si="236"/>
        <v>2022</v>
      </c>
      <c r="AZ160" s="78">
        <f t="shared" si="236"/>
        <v>2022</v>
      </c>
      <c r="BA160" s="78">
        <f t="shared" si="236"/>
        <v>2023</v>
      </c>
      <c r="BB160" s="78">
        <f t="shared" si="236"/>
        <v>2023</v>
      </c>
      <c r="BC160" s="78">
        <f t="shared" si="236"/>
        <v>2023</v>
      </c>
      <c r="BD160" s="78">
        <f t="shared" si="236"/>
        <v>2023</v>
      </c>
      <c r="BE160" s="78">
        <f t="shared" si="236"/>
        <v>2023</v>
      </c>
      <c r="BF160" s="78">
        <f t="shared" si="236"/>
        <v>2023</v>
      </c>
      <c r="BG160" s="78">
        <f t="shared" si="236"/>
        <v>1977</v>
      </c>
    </row>
    <row r="161" spans="1:59" x14ac:dyDescent="0.25">
      <c r="C161" t="s">
        <v>531</v>
      </c>
      <c r="D161" s="7" t="s">
        <v>535</v>
      </c>
      <c r="E161" s="78">
        <f>INT(E144*24)</f>
        <v>22</v>
      </c>
      <c r="F161" s="78">
        <f t="shared" ref="F161:BG161" si="237">INT(F144*24)</f>
        <v>14</v>
      </c>
      <c r="G161" s="78">
        <f t="shared" si="237"/>
        <v>7</v>
      </c>
      <c r="H161" s="78">
        <f t="shared" si="237"/>
        <v>11</v>
      </c>
      <c r="I161" s="78">
        <f t="shared" si="237"/>
        <v>8</v>
      </c>
      <c r="J161" s="78">
        <f t="shared" si="237"/>
        <v>20</v>
      </c>
      <c r="K161" s="78">
        <f t="shared" si="237"/>
        <v>23</v>
      </c>
      <c r="L161" s="78">
        <f t="shared" si="237"/>
        <v>11</v>
      </c>
      <c r="M161" s="78">
        <f t="shared" si="237"/>
        <v>23</v>
      </c>
      <c r="N161" s="78">
        <f t="shared" si="237"/>
        <v>9</v>
      </c>
      <c r="O161" s="78">
        <f t="shared" si="237"/>
        <v>2</v>
      </c>
      <c r="P161" s="78">
        <f t="shared" si="237"/>
        <v>6</v>
      </c>
      <c r="Q161" s="78">
        <f t="shared" si="237"/>
        <v>1</v>
      </c>
      <c r="R161" s="78">
        <f t="shared" si="237"/>
        <v>13</v>
      </c>
      <c r="S161" s="78">
        <f t="shared" si="237"/>
        <v>20</v>
      </c>
      <c r="T161" s="78">
        <f t="shared" si="237"/>
        <v>14</v>
      </c>
      <c r="U161" s="78">
        <f t="shared" si="237"/>
        <v>5</v>
      </c>
      <c r="V161" s="78">
        <f t="shared" si="237"/>
        <v>16</v>
      </c>
      <c r="W161" s="78">
        <f t="shared" si="237"/>
        <v>4</v>
      </c>
      <c r="X161" s="78">
        <f t="shared" si="237"/>
        <v>15</v>
      </c>
      <c r="Y161" s="78">
        <f t="shared" si="237"/>
        <v>11</v>
      </c>
      <c r="Z161" s="78">
        <f t="shared" si="237"/>
        <v>23</v>
      </c>
      <c r="AA161" s="78">
        <f t="shared" si="237"/>
        <v>7</v>
      </c>
      <c r="AB161" s="78">
        <f t="shared" si="237"/>
        <v>0</v>
      </c>
      <c r="AC161" s="78">
        <f t="shared" si="237"/>
        <v>17</v>
      </c>
      <c r="AD161" s="78">
        <f t="shared" si="237"/>
        <v>1</v>
      </c>
      <c r="AE161" s="78">
        <f t="shared" si="237"/>
        <v>11</v>
      </c>
      <c r="AF161" s="78">
        <f t="shared" si="237"/>
        <v>4</v>
      </c>
      <c r="AG161" s="78">
        <f t="shared" si="237"/>
        <v>11</v>
      </c>
      <c r="AH161" s="78">
        <f t="shared" si="237"/>
        <v>6</v>
      </c>
      <c r="AI161" s="78">
        <f t="shared" si="237"/>
        <v>21</v>
      </c>
      <c r="AJ161" s="78">
        <f t="shared" si="237"/>
        <v>5</v>
      </c>
      <c r="AK161" s="78">
        <f t="shared" si="237"/>
        <v>16</v>
      </c>
      <c r="AL161" s="78">
        <f t="shared" si="237"/>
        <v>3</v>
      </c>
      <c r="AM161" s="78">
        <f t="shared" si="237"/>
        <v>6</v>
      </c>
      <c r="AN161" s="78">
        <f t="shared" si="237"/>
        <v>19</v>
      </c>
      <c r="AO161" s="78">
        <f t="shared" si="237"/>
        <v>2</v>
      </c>
      <c r="AP161" s="78">
        <f t="shared" si="237"/>
        <v>17</v>
      </c>
      <c r="AQ161" s="78">
        <f t="shared" si="237"/>
        <v>17</v>
      </c>
      <c r="AR161" s="78">
        <f t="shared" si="237"/>
        <v>13</v>
      </c>
      <c r="AS161" s="78">
        <f t="shared" si="237"/>
        <v>13</v>
      </c>
      <c r="AT161" s="78">
        <f t="shared" si="237"/>
        <v>13</v>
      </c>
      <c r="AU161" s="78">
        <f t="shared" si="237"/>
        <v>19</v>
      </c>
      <c r="AV161" s="78">
        <f t="shared" si="237"/>
        <v>13</v>
      </c>
      <c r="AW161" s="78">
        <f t="shared" si="237"/>
        <v>19</v>
      </c>
      <c r="AX161" s="78">
        <f t="shared" si="237"/>
        <v>17</v>
      </c>
      <c r="AY161" s="78">
        <f t="shared" si="237"/>
        <v>8</v>
      </c>
      <c r="AZ161" s="78">
        <f t="shared" si="237"/>
        <v>8</v>
      </c>
      <c r="BA161" s="78">
        <f t="shared" si="237"/>
        <v>2</v>
      </c>
      <c r="BB161" s="78">
        <f t="shared" si="237"/>
        <v>2</v>
      </c>
      <c r="BC161" s="78">
        <f t="shared" si="237"/>
        <v>2</v>
      </c>
      <c r="BD161" s="78">
        <f t="shared" si="237"/>
        <v>2</v>
      </c>
      <c r="BE161" s="78">
        <f t="shared" si="237"/>
        <v>2</v>
      </c>
      <c r="BF161" s="78">
        <f t="shared" si="237"/>
        <v>2</v>
      </c>
      <c r="BG161" s="78">
        <f t="shared" si="237"/>
        <v>11</v>
      </c>
    </row>
    <row r="162" spans="1:59" x14ac:dyDescent="0.25">
      <c r="C162" t="s">
        <v>536</v>
      </c>
      <c r="D162" s="7" t="s">
        <v>540</v>
      </c>
      <c r="E162" s="78">
        <f>INT(((E144*24)-E161)*60)</f>
        <v>0</v>
      </c>
      <c r="F162" s="78">
        <f t="shared" ref="F162:BG162" si="238">INT(((F144*24)-F161)*60)</f>
        <v>21</v>
      </c>
      <c r="G162" s="78">
        <f t="shared" si="238"/>
        <v>57</v>
      </c>
      <c r="H162" s="78">
        <f t="shared" si="238"/>
        <v>59</v>
      </c>
      <c r="I162" s="78">
        <f t="shared" si="238"/>
        <v>56</v>
      </c>
      <c r="J162" s="78">
        <f t="shared" si="238"/>
        <v>17</v>
      </c>
      <c r="K162" s="78">
        <f t="shared" si="238"/>
        <v>1</v>
      </c>
      <c r="L162" s="78">
        <f t="shared" si="238"/>
        <v>37</v>
      </c>
      <c r="M162" s="78">
        <f t="shared" si="238"/>
        <v>52</v>
      </c>
      <c r="N162" s="78">
        <f t="shared" si="238"/>
        <v>50</v>
      </c>
      <c r="O162" s="78">
        <f t="shared" si="238"/>
        <v>17</v>
      </c>
      <c r="P162" s="78">
        <f t="shared" si="238"/>
        <v>35</v>
      </c>
      <c r="Q162" s="78">
        <f t="shared" si="238"/>
        <v>12</v>
      </c>
      <c r="R162" s="78">
        <f t="shared" si="238"/>
        <v>3</v>
      </c>
      <c r="S162" s="78">
        <f t="shared" si="238"/>
        <v>3</v>
      </c>
      <c r="T162" s="78">
        <f t="shared" si="238"/>
        <v>8</v>
      </c>
      <c r="U162" s="78">
        <f t="shared" si="238"/>
        <v>38</v>
      </c>
      <c r="V162" s="78">
        <f t="shared" si="238"/>
        <v>6</v>
      </c>
      <c r="W162" s="78">
        <f t="shared" si="238"/>
        <v>3</v>
      </c>
      <c r="X162" s="78">
        <f t="shared" si="238"/>
        <v>54</v>
      </c>
      <c r="Y162" s="78">
        <f t="shared" si="238"/>
        <v>35</v>
      </c>
      <c r="Z162" s="78">
        <f t="shared" si="238"/>
        <v>48</v>
      </c>
      <c r="AA162" s="78">
        <f t="shared" si="238"/>
        <v>57</v>
      </c>
      <c r="AB162" s="78">
        <f t="shared" si="238"/>
        <v>14</v>
      </c>
      <c r="AC162" s="78">
        <f t="shared" si="238"/>
        <v>42</v>
      </c>
      <c r="AD162" s="78">
        <f t="shared" si="238"/>
        <v>23</v>
      </c>
      <c r="AE162" s="78">
        <f t="shared" si="238"/>
        <v>35</v>
      </c>
      <c r="AF162" s="78">
        <f t="shared" si="238"/>
        <v>2</v>
      </c>
      <c r="AG162" s="78">
        <f t="shared" si="238"/>
        <v>40</v>
      </c>
      <c r="AH162" s="78">
        <f t="shared" si="238"/>
        <v>46</v>
      </c>
      <c r="AI162" s="78">
        <f t="shared" si="238"/>
        <v>40</v>
      </c>
      <c r="AJ162" s="78">
        <f t="shared" si="238"/>
        <v>36</v>
      </c>
      <c r="AK162" s="78">
        <f t="shared" si="238"/>
        <v>55</v>
      </c>
      <c r="AL162" s="78">
        <f t="shared" si="238"/>
        <v>32</v>
      </c>
      <c r="AM162" s="78">
        <f t="shared" si="238"/>
        <v>51</v>
      </c>
      <c r="AN162" s="78">
        <f t="shared" si="238"/>
        <v>31</v>
      </c>
      <c r="AO162" s="78">
        <f t="shared" si="238"/>
        <v>53</v>
      </c>
      <c r="AP162" s="78">
        <f t="shared" si="238"/>
        <v>16</v>
      </c>
      <c r="AQ162" s="78">
        <f t="shared" si="238"/>
        <v>16</v>
      </c>
      <c r="AR162" s="78">
        <f t="shared" si="238"/>
        <v>28</v>
      </c>
      <c r="AS162" s="78">
        <f t="shared" si="238"/>
        <v>28</v>
      </c>
      <c r="AT162" s="78">
        <f t="shared" si="238"/>
        <v>28</v>
      </c>
      <c r="AU162" s="78">
        <f t="shared" si="238"/>
        <v>45</v>
      </c>
      <c r="AV162" s="78">
        <f t="shared" si="238"/>
        <v>36</v>
      </c>
      <c r="AW162" s="78">
        <f t="shared" si="238"/>
        <v>59</v>
      </c>
      <c r="AX162" s="78">
        <f t="shared" si="238"/>
        <v>3</v>
      </c>
      <c r="AY162" s="78">
        <f t="shared" si="238"/>
        <v>57</v>
      </c>
      <c r="AZ162" s="78">
        <f t="shared" si="238"/>
        <v>57</v>
      </c>
      <c r="BA162" s="78">
        <f t="shared" si="238"/>
        <v>11</v>
      </c>
      <c r="BB162" s="78">
        <f t="shared" si="238"/>
        <v>11</v>
      </c>
      <c r="BC162" s="78">
        <f t="shared" si="238"/>
        <v>11</v>
      </c>
      <c r="BD162" s="78">
        <f t="shared" si="238"/>
        <v>11</v>
      </c>
      <c r="BE162" s="78">
        <f t="shared" si="238"/>
        <v>11</v>
      </c>
      <c r="BF162" s="78">
        <f t="shared" si="238"/>
        <v>11</v>
      </c>
      <c r="BG162" s="78">
        <f t="shared" si="238"/>
        <v>35</v>
      </c>
    </row>
    <row r="163" spans="1:59" x14ac:dyDescent="0.25">
      <c r="C163" t="s">
        <v>541</v>
      </c>
      <c r="D163" s="7" t="s">
        <v>545</v>
      </c>
      <c r="E163" s="78">
        <f>INT(((((E144*24)-E161)*60)-E162)*60)</f>
        <v>7</v>
      </c>
      <c r="F163" s="78">
        <f t="shared" ref="F163:BG163" si="239">INT(((((F144*24)-F161)*60)-F162)*60)</f>
        <v>24</v>
      </c>
      <c r="G163" s="78">
        <f t="shared" si="239"/>
        <v>51</v>
      </c>
      <c r="H163" s="78">
        <f t="shared" si="239"/>
        <v>3</v>
      </c>
      <c r="I163" s="78">
        <f t="shared" si="239"/>
        <v>42</v>
      </c>
      <c r="J163" s="78">
        <f t="shared" si="239"/>
        <v>39</v>
      </c>
      <c r="K163" s="78">
        <f t="shared" si="239"/>
        <v>44</v>
      </c>
      <c r="L163" s="78">
        <f t="shared" si="239"/>
        <v>8</v>
      </c>
      <c r="M163" s="78">
        <f t="shared" si="239"/>
        <v>50</v>
      </c>
      <c r="N163" s="78">
        <f t="shared" si="239"/>
        <v>1</v>
      </c>
      <c r="O163" s="78">
        <f t="shared" si="239"/>
        <v>9</v>
      </c>
      <c r="P163" s="78">
        <f t="shared" si="239"/>
        <v>1</v>
      </c>
      <c r="Q163" s="78">
        <f t="shared" si="239"/>
        <v>57</v>
      </c>
      <c r="R163" s="78">
        <f t="shared" si="239"/>
        <v>46</v>
      </c>
      <c r="S163" s="78">
        <f t="shared" si="239"/>
        <v>47</v>
      </c>
      <c r="T163" s="78">
        <f t="shared" si="239"/>
        <v>6</v>
      </c>
      <c r="U163" s="78">
        <f t="shared" si="239"/>
        <v>24</v>
      </c>
      <c r="V163" s="78">
        <f t="shared" si="239"/>
        <v>46</v>
      </c>
      <c r="W163" s="78">
        <f t="shared" si="239"/>
        <v>15</v>
      </c>
      <c r="X163" s="78">
        <f t="shared" si="239"/>
        <v>23</v>
      </c>
      <c r="Y163" s="78">
        <f t="shared" si="239"/>
        <v>18</v>
      </c>
      <c r="Z163" s="78">
        <f t="shared" si="239"/>
        <v>17</v>
      </c>
      <c r="AA163" s="78">
        <f t="shared" si="239"/>
        <v>51</v>
      </c>
      <c r="AB163" s="78">
        <f t="shared" si="239"/>
        <v>35</v>
      </c>
      <c r="AC163" s="78">
        <f t="shared" si="239"/>
        <v>26</v>
      </c>
      <c r="AD163" s="78">
        <f t="shared" si="239"/>
        <v>37</v>
      </c>
      <c r="AE163" s="78">
        <f t="shared" si="239"/>
        <v>18</v>
      </c>
      <c r="AF163" s="78">
        <f t="shared" si="239"/>
        <v>17</v>
      </c>
      <c r="AG163" s="78">
        <f t="shared" si="239"/>
        <v>8</v>
      </c>
      <c r="AH163" s="78">
        <f t="shared" si="239"/>
        <v>15</v>
      </c>
      <c r="AI163" s="78">
        <f t="shared" si="239"/>
        <v>50</v>
      </c>
      <c r="AJ163" s="78">
        <f t="shared" si="239"/>
        <v>47</v>
      </c>
      <c r="AK163" s="78">
        <f t="shared" si="239"/>
        <v>43</v>
      </c>
      <c r="AL163" s="78">
        <f t="shared" si="239"/>
        <v>21</v>
      </c>
      <c r="AM163" s="78">
        <f t="shared" si="239"/>
        <v>35</v>
      </c>
      <c r="AN163" s="78">
        <f t="shared" si="239"/>
        <v>10</v>
      </c>
      <c r="AO163" s="78">
        <f t="shared" si="239"/>
        <v>56</v>
      </c>
      <c r="AP163" s="78">
        <f t="shared" si="239"/>
        <v>12</v>
      </c>
      <c r="AQ163" s="78">
        <f t="shared" si="239"/>
        <v>12</v>
      </c>
      <c r="AR163" s="78">
        <f t="shared" si="239"/>
        <v>10</v>
      </c>
      <c r="AS163" s="78">
        <f t="shared" si="239"/>
        <v>10</v>
      </c>
      <c r="AT163" s="78">
        <f t="shared" si="239"/>
        <v>10</v>
      </c>
      <c r="AU163" s="78">
        <f t="shared" si="239"/>
        <v>58</v>
      </c>
      <c r="AV163" s="78">
        <f t="shared" si="239"/>
        <v>12</v>
      </c>
      <c r="AW163" s="78">
        <f t="shared" si="239"/>
        <v>1</v>
      </c>
      <c r="AX163" s="78">
        <f t="shared" si="239"/>
        <v>45</v>
      </c>
      <c r="AY163" s="78">
        <f t="shared" si="239"/>
        <v>19</v>
      </c>
      <c r="AZ163" s="78">
        <f t="shared" si="239"/>
        <v>19</v>
      </c>
      <c r="BA163" s="78">
        <f t="shared" si="239"/>
        <v>35</v>
      </c>
      <c r="BB163" s="78">
        <f t="shared" si="239"/>
        <v>35</v>
      </c>
      <c r="BC163" s="78">
        <f t="shared" si="239"/>
        <v>35</v>
      </c>
      <c r="BD163" s="78">
        <f t="shared" si="239"/>
        <v>35</v>
      </c>
      <c r="BE163" s="78">
        <f t="shared" si="239"/>
        <v>35</v>
      </c>
      <c r="BF163" s="78">
        <f t="shared" si="239"/>
        <v>35</v>
      </c>
      <c r="BG163" s="78">
        <f t="shared" si="239"/>
        <v>18</v>
      </c>
    </row>
    <row r="164" spans="1:59" x14ac:dyDescent="0.25">
      <c r="C164" t="s">
        <v>546</v>
      </c>
      <c r="D164" s="7" t="s">
        <v>550</v>
      </c>
      <c r="E164" s="108">
        <f>(((((E144*24)-E161)*60)-E162)*60)*1000</f>
        <v>7108.1757545471191</v>
      </c>
      <c r="F164" s="108">
        <f t="shared" ref="F164:BG164" si="240">(((((F144*24)-F161)*60)-F162)*60)*1000</f>
        <v>24709.540754556656</v>
      </c>
      <c r="G164" s="108">
        <f t="shared" si="240"/>
        <v>51090.352535247803</v>
      </c>
      <c r="H164" s="108">
        <f t="shared" si="240"/>
        <v>3544.9853539466858</v>
      </c>
      <c r="I164" s="108">
        <f t="shared" si="240"/>
        <v>42618.290483951569</v>
      </c>
      <c r="J164" s="108">
        <f t="shared" si="240"/>
        <v>39848.378598690033</v>
      </c>
      <c r="K164" s="108">
        <f t="shared" si="240"/>
        <v>44433.926939964294</v>
      </c>
      <c r="L164" s="108">
        <f t="shared" si="240"/>
        <v>8406.272828578949</v>
      </c>
      <c r="M164" s="108">
        <f t="shared" si="240"/>
        <v>50498.165488243103</v>
      </c>
      <c r="N164" s="108">
        <f t="shared" si="240"/>
        <v>1632.7634453773499</v>
      </c>
      <c r="O164" s="108">
        <f t="shared" si="240"/>
        <v>9180.5505752563477</v>
      </c>
      <c r="P164" s="108">
        <f t="shared" si="240"/>
        <v>1632.9780220985413</v>
      </c>
      <c r="Q164" s="108">
        <f t="shared" si="240"/>
        <v>57123.331278562546</v>
      </c>
      <c r="R164" s="108">
        <f t="shared" si="240"/>
        <v>46723.842322826385</v>
      </c>
      <c r="S164" s="108">
        <f t="shared" si="240"/>
        <v>47200.611680746078</v>
      </c>
      <c r="T164" s="108">
        <f t="shared" si="240"/>
        <v>6845.5521762371063</v>
      </c>
      <c r="U164" s="108">
        <f t="shared" si="240"/>
        <v>24631.206393241882</v>
      </c>
      <c r="V164" s="108">
        <f t="shared" si="240"/>
        <v>46815.179659179194</v>
      </c>
      <c r="W164" s="108">
        <f t="shared" si="240"/>
        <v>15992.96897649765</v>
      </c>
      <c r="X164" s="108">
        <f t="shared" si="240"/>
        <v>23157.79834985733</v>
      </c>
      <c r="Y164" s="108">
        <f t="shared" si="240"/>
        <v>18979.990482330322</v>
      </c>
      <c r="Z164" s="108">
        <f t="shared" si="240"/>
        <v>17040.143609046936</v>
      </c>
      <c r="AA164" s="108">
        <f t="shared" si="240"/>
        <v>51090.352535247803</v>
      </c>
      <c r="AB164" s="108">
        <f t="shared" si="240"/>
        <v>35626.391172409058</v>
      </c>
      <c r="AC164" s="108">
        <f t="shared" si="240"/>
        <v>26133.095026016235</v>
      </c>
      <c r="AD164" s="108">
        <f t="shared" si="240"/>
        <v>37452.487349510193</v>
      </c>
      <c r="AE164" s="108">
        <f t="shared" si="240"/>
        <v>18979.990482330322</v>
      </c>
      <c r="AF164" s="108">
        <f t="shared" si="240"/>
        <v>17501.554191112518</v>
      </c>
      <c r="AG164" s="108">
        <f t="shared" si="240"/>
        <v>8244.6053624153137</v>
      </c>
      <c r="AH164" s="108">
        <f t="shared" si="240"/>
        <v>15902.988016605377</v>
      </c>
      <c r="AI164" s="108">
        <f t="shared" si="240"/>
        <v>50246.255099773407</v>
      </c>
      <c r="AJ164" s="108">
        <f t="shared" si="240"/>
        <v>47211.49742603302</v>
      </c>
      <c r="AK164" s="108">
        <f t="shared" si="240"/>
        <v>43800.558149814606</v>
      </c>
      <c r="AL164" s="108">
        <f t="shared" si="240"/>
        <v>21425.840556621552</v>
      </c>
      <c r="AM164" s="108">
        <f t="shared" si="240"/>
        <v>35564.521104097366</v>
      </c>
      <c r="AN164" s="108">
        <f t="shared" si="240"/>
        <v>10147.034525871277</v>
      </c>
      <c r="AO164" s="108">
        <f t="shared" si="240"/>
        <v>56923.77582192421</v>
      </c>
      <c r="AP164" s="108">
        <f t="shared" si="240"/>
        <v>12393.612563610077</v>
      </c>
      <c r="AQ164" s="108">
        <f t="shared" si="240"/>
        <v>12393.612563610077</v>
      </c>
      <c r="AR164" s="108">
        <f t="shared" si="240"/>
        <v>10404.577553272247</v>
      </c>
      <c r="AS164" s="108">
        <f t="shared" si="240"/>
        <v>10404.577553272247</v>
      </c>
      <c r="AT164" s="108">
        <f t="shared" si="240"/>
        <v>10404.577553272247</v>
      </c>
      <c r="AU164" s="108">
        <f t="shared" si="240"/>
        <v>58523.024618625641</v>
      </c>
      <c r="AV164" s="108">
        <f t="shared" si="240"/>
        <v>12732.236981391907</v>
      </c>
      <c r="AW164" s="108">
        <f t="shared" si="240"/>
        <v>1122.5616931915283</v>
      </c>
      <c r="AX164" s="108">
        <f t="shared" si="240"/>
        <v>45527.335703372955</v>
      </c>
      <c r="AY164" s="108">
        <f t="shared" si="240"/>
        <v>19788.356423377991</v>
      </c>
      <c r="AZ164" s="108">
        <f t="shared" si="240"/>
        <v>19788.356423377991</v>
      </c>
      <c r="BA164" s="108">
        <f t="shared" si="240"/>
        <v>35294.210314750671</v>
      </c>
      <c r="BB164" s="108">
        <f t="shared" si="240"/>
        <v>35294.210314750671</v>
      </c>
      <c r="BC164" s="108">
        <f t="shared" si="240"/>
        <v>35294.210314750671</v>
      </c>
      <c r="BD164" s="108">
        <f t="shared" si="240"/>
        <v>35294.210314750671</v>
      </c>
      <c r="BE164" s="108">
        <f t="shared" si="240"/>
        <v>35294.210314750671</v>
      </c>
      <c r="BF164" s="108">
        <f t="shared" si="240"/>
        <v>35294.210314750671</v>
      </c>
      <c r="BG164" s="108">
        <f t="shared" si="240"/>
        <v>18979.990482330322</v>
      </c>
    </row>
    <row r="165" spans="1:59" ht="15.75" thickBot="1" x14ac:dyDescent="0.3">
      <c r="A165" s="115"/>
      <c r="B165" s="115"/>
      <c r="C165" s="109" t="s">
        <v>565</v>
      </c>
      <c r="D165" s="114" t="s">
        <v>554</v>
      </c>
      <c r="E165" s="110">
        <f>IF(E160&gt;1899,DATE(E160,E157,E154)+E144,E160&amp;"-"&amp;E157&amp;"-"&amp;INT(E154)&amp;" " &amp;E161&amp;":"&amp;E162&amp;":"&amp;E163&amp;"."&amp;LEFT(E164,2))</f>
        <v>21138.916748937219</v>
      </c>
      <c r="F165" s="110" t="str">
        <f t="shared" ref="F165:BG165" si="241">IF(F160&gt;1899,DATE(F160,F157,F154)+F144,F160&amp;"-"&amp;F157&amp;"-"&amp;INT(F154)&amp;" " &amp;F161&amp;":"&amp;F162&amp;":"&amp;F163&amp;"."&amp;LEFT(F164,2))</f>
        <v>333-3-25 14:21:24.24</v>
      </c>
      <c r="G165" s="110">
        <f t="shared" si="241"/>
        <v>36553.331841323525</v>
      </c>
      <c r="H165" s="110">
        <f t="shared" si="241"/>
        <v>36199.499346585479</v>
      </c>
      <c r="I165" s="110">
        <f t="shared" si="241"/>
        <v>31829.372715489473</v>
      </c>
      <c r="J165" s="110">
        <f t="shared" si="241"/>
        <v>31975.845600096975</v>
      </c>
      <c r="K165" s="110">
        <f t="shared" si="241"/>
        <v>32183.95954205934</v>
      </c>
      <c r="L165" s="110">
        <f t="shared" si="241"/>
        <v>32330.484125072602</v>
      </c>
      <c r="M165" s="110">
        <f t="shared" si="241"/>
        <v>23.99502891395241</v>
      </c>
      <c r="N165" s="110" t="str">
        <f t="shared" si="241"/>
        <v>1600-2-7 9:50:1.16</v>
      </c>
      <c r="O165" s="110" t="str">
        <f t="shared" si="241"/>
        <v>1601-2-25 2:17:9.91</v>
      </c>
      <c r="P165" s="110" t="str">
        <f t="shared" si="241"/>
        <v>837-5-1 6:35:1.16</v>
      </c>
      <c r="Q165" s="110" t="str">
        <f t="shared" si="241"/>
        <v>-122-2-14 1:12:57.57</v>
      </c>
      <c r="R165" s="110" t="str">
        <f t="shared" si="241"/>
        <v>-122-1-15 13:3:46.46</v>
      </c>
      <c r="S165" s="110" t="str">
        <f t="shared" si="241"/>
        <v>-1000-7-28 20:3:47.47</v>
      </c>
      <c r="T165" s="110" t="str">
        <f t="shared" si="241"/>
        <v>-1000-5-1 14:8:6.68</v>
      </c>
      <c r="U165" s="110" t="str">
        <f t="shared" si="241"/>
        <v>-1001-9-7 5:38:24.24</v>
      </c>
      <c r="V165" s="110" t="str">
        <f t="shared" si="241"/>
        <v>-4712-2-2 16:6:46.46</v>
      </c>
      <c r="W165" s="110">
        <f t="shared" si="241"/>
        <v>31917.168935103808</v>
      </c>
      <c r="X165" s="110">
        <f t="shared" si="241"/>
        <v>33748.662768030073</v>
      </c>
      <c r="Y165" s="110">
        <f t="shared" si="241"/>
        <v>28196.482858564705</v>
      </c>
      <c r="Z165" s="110">
        <f t="shared" si="241"/>
        <v>52617.991863890551</v>
      </c>
      <c r="AA165" s="110">
        <f t="shared" si="241"/>
        <v>36553.331841323525</v>
      </c>
      <c r="AB165" s="110">
        <f t="shared" si="241"/>
        <v>19928.010134564713</v>
      </c>
      <c r="AC165" s="110">
        <f t="shared" si="241"/>
        <v>28846.737802466378</v>
      </c>
      <c r="AD165" s="110">
        <f t="shared" si="241"/>
        <v>32272.058072366752</v>
      </c>
      <c r="AE165" s="110">
        <f t="shared" si="241"/>
        <v>28196.482858564705</v>
      </c>
      <c r="AF165" s="110">
        <f t="shared" si="241"/>
        <v>33984.16825811984</v>
      </c>
      <c r="AG165" s="110">
        <f t="shared" si="241"/>
        <v>33925.486206534784</v>
      </c>
      <c r="AH165" s="110">
        <f t="shared" si="241"/>
        <v>33335.282128506806</v>
      </c>
      <c r="AI165" s="110">
        <f t="shared" si="241"/>
        <v>33718.903359331656</v>
      </c>
      <c r="AJ165" s="110">
        <f t="shared" si="241"/>
        <v>34132.233879762702</v>
      </c>
      <c r="AK165" s="110" t="str">
        <f t="shared" si="241"/>
        <v>1818-1-29 16:55:43.43</v>
      </c>
      <c r="AL165" s="110">
        <f t="shared" si="241"/>
        <v>33157.147470206488</v>
      </c>
      <c r="AM165" s="110" t="str">
        <f t="shared" si="241"/>
        <v>622-8-5 6:51:35.35</v>
      </c>
      <c r="AN165" s="110">
        <f t="shared" si="241"/>
        <v>36642.813311886974</v>
      </c>
      <c r="AO165" s="110" t="str">
        <f t="shared" si="241"/>
        <v>1-2-4 2:53:56.56</v>
      </c>
      <c r="AP165" s="110">
        <f t="shared" si="241"/>
        <v>44851.719587889034</v>
      </c>
      <c r="AQ165" s="110">
        <f t="shared" si="241"/>
        <v>44851.719587889034</v>
      </c>
      <c r="AR165" s="110">
        <f t="shared" si="241"/>
        <v>44881.561231534462</v>
      </c>
      <c r="AS165" s="110">
        <f t="shared" si="241"/>
        <v>44881.561231534462</v>
      </c>
      <c r="AT165" s="110">
        <f t="shared" si="241"/>
        <v>44881.561231534462</v>
      </c>
      <c r="AU165" s="110">
        <f t="shared" si="241"/>
        <v>26838.823594016489</v>
      </c>
      <c r="AV165" s="110">
        <f t="shared" si="241"/>
        <v>35696.566814030521</v>
      </c>
      <c r="AW165" s="110">
        <f t="shared" si="241"/>
        <v>12811.832651881501</v>
      </c>
      <c r="AX165" s="110">
        <f t="shared" si="241"/>
        <v>20961.710943603422</v>
      </c>
      <c r="AY165" s="110">
        <f t="shared" si="241"/>
        <v>44911.37314569857</v>
      </c>
      <c r="AZ165" s="110">
        <f t="shared" si="241"/>
        <v>44911.37314569857</v>
      </c>
      <c r="BA165" s="110">
        <f t="shared" si="241"/>
        <v>44941.091380720027</v>
      </c>
      <c r="BB165" s="110">
        <f t="shared" si="241"/>
        <v>44941.091380720027</v>
      </c>
      <c r="BC165" s="110">
        <f t="shared" si="241"/>
        <v>44941.091380720027</v>
      </c>
      <c r="BD165" s="110">
        <f t="shared" si="241"/>
        <v>44941.091380720027</v>
      </c>
      <c r="BE165" s="110">
        <f t="shared" si="241"/>
        <v>44941.091380720027</v>
      </c>
      <c r="BF165" s="110">
        <f t="shared" si="241"/>
        <v>44941.091380720027</v>
      </c>
      <c r="BG165" s="110">
        <f t="shared" si="241"/>
        <v>28196.482858564705</v>
      </c>
    </row>
    <row r="166" spans="1:59" ht="15.75" thickTop="1" x14ac:dyDescent="0.25"/>
    <row r="167" spans="1:59" x14ac:dyDescent="0.25">
      <c r="C167" s="339" t="s">
        <v>935</v>
      </c>
      <c r="D167" s="339"/>
      <c r="E167" s="339"/>
      <c r="F167" s="339"/>
    </row>
    <row r="169" spans="1:59" x14ac:dyDescent="0.25">
      <c r="D169" s="234" t="s">
        <v>168</v>
      </c>
      <c r="E169" s="282">
        <f>E3</f>
        <v>21097.81</v>
      </c>
      <c r="F169" s="282" t="str">
        <f t="shared" ref="F169:BG169" si="242">F3</f>
        <v>0333-01-27 12:00:00</v>
      </c>
      <c r="G169" s="282">
        <f t="shared" si="242"/>
        <v>36526.5</v>
      </c>
      <c r="H169" s="282">
        <f t="shared" si="242"/>
        <v>36161</v>
      </c>
      <c r="I169" s="282">
        <f t="shared" si="242"/>
        <v>31804</v>
      </c>
      <c r="J169" s="282">
        <f t="shared" si="242"/>
        <v>31947.5</v>
      </c>
      <c r="K169" s="282">
        <f t="shared" si="242"/>
        <v>32169</v>
      </c>
      <c r="L169" s="282">
        <f t="shared" si="242"/>
        <v>32313.5</v>
      </c>
      <c r="M169" s="282">
        <f t="shared" si="242"/>
        <v>1.000011574074074</v>
      </c>
      <c r="N169" s="282" t="str">
        <f t="shared" si="242"/>
        <v>1600-01-01</v>
      </c>
      <c r="O169" s="282" t="str">
        <f t="shared" si="242"/>
        <v>1600-12-31</v>
      </c>
      <c r="P169" s="282" t="str">
        <f t="shared" si="242"/>
        <v>0837-04-10 07:12</v>
      </c>
      <c r="Q169" s="282" t="str">
        <f t="shared" si="242"/>
        <v>-0123-12-31</v>
      </c>
      <c r="R169" s="282" t="str">
        <f t="shared" si="242"/>
        <v>-0122-01-01</v>
      </c>
      <c r="S169" s="282" t="str">
        <f t="shared" si="242"/>
        <v>-1000-07-12 12:00</v>
      </c>
      <c r="T169" s="282" t="str">
        <f t="shared" si="242"/>
        <v>-1000-02-29</v>
      </c>
      <c r="U169" s="282" t="str">
        <f t="shared" si="242"/>
        <v>-1001-08-17 21:36</v>
      </c>
      <c r="V169" s="282" t="str">
        <f t="shared" si="242"/>
        <v>-4712-01-01 12:00</v>
      </c>
      <c r="W169" s="282">
        <f t="shared" si="242"/>
        <v>31877</v>
      </c>
      <c r="X169" s="282">
        <f t="shared" si="242"/>
        <v>33706</v>
      </c>
      <c r="Y169" s="282">
        <f t="shared" si="242"/>
        <v>28171</v>
      </c>
      <c r="Z169" s="282">
        <f t="shared" si="242"/>
        <v>52597</v>
      </c>
      <c r="AA169" s="282">
        <f t="shared" si="242"/>
        <v>36526</v>
      </c>
      <c r="AB169" s="282">
        <f t="shared" si="242"/>
        <v>19905</v>
      </c>
      <c r="AC169" s="282">
        <f t="shared" si="242"/>
        <v>28808</v>
      </c>
      <c r="AD169" s="282">
        <f t="shared" si="242"/>
        <v>32255</v>
      </c>
      <c r="AE169" s="282">
        <f t="shared" si="242"/>
        <v>28174.151157407407</v>
      </c>
      <c r="AF169" s="282">
        <f t="shared" si="242"/>
        <v>33958</v>
      </c>
      <c r="AG169" s="282">
        <f t="shared" si="242"/>
        <v>33890</v>
      </c>
      <c r="AH169" s="282">
        <f t="shared" si="242"/>
        <v>33298</v>
      </c>
      <c r="AI169" s="282">
        <f t="shared" si="242"/>
        <v>33695</v>
      </c>
      <c r="AJ169" s="282">
        <f t="shared" si="242"/>
        <v>34090</v>
      </c>
      <c r="AK169" s="282" t="str">
        <f t="shared" si="242"/>
        <v>1818-01-01</v>
      </c>
      <c r="AL169" s="282">
        <f t="shared" si="242"/>
        <v>33136</v>
      </c>
      <c r="AM169" s="282" t="str">
        <f t="shared" si="242"/>
        <v>0622-07-16</v>
      </c>
      <c r="AN169" s="282">
        <f t="shared" si="242"/>
        <v>36622</v>
      </c>
      <c r="AO169" s="282" t="str">
        <f t="shared" si="242"/>
        <v>0001-01-03</v>
      </c>
      <c r="AP169" s="282">
        <f t="shared" si="242"/>
        <v>44829.57916666667</v>
      </c>
      <c r="AQ169" s="282">
        <f t="shared" si="242"/>
        <v>44836.634722222225</v>
      </c>
      <c r="AR169" s="282">
        <f t="shared" si="242"/>
        <v>44843.537499999999</v>
      </c>
      <c r="AS169" s="282">
        <f t="shared" si="242"/>
        <v>44851.34375</v>
      </c>
      <c r="AT169" s="282">
        <f t="shared" si="242"/>
        <v>44866</v>
      </c>
      <c r="AU169" s="282">
        <f t="shared" si="242"/>
        <v>26816</v>
      </c>
      <c r="AV169" s="282">
        <f t="shared" si="242"/>
        <v>35674</v>
      </c>
      <c r="AW169" s="282">
        <f t="shared" si="242"/>
        <v>12789</v>
      </c>
      <c r="AX169" s="282">
        <f t="shared" si="242"/>
        <v>20925</v>
      </c>
      <c r="AY169" s="282">
        <f t="shared" si="242"/>
        <v>44896</v>
      </c>
      <c r="AZ169" s="282">
        <f t="shared" si="242"/>
        <v>44897</v>
      </c>
      <c r="BA169" s="282">
        <f t="shared" si="242"/>
        <v>44898</v>
      </c>
      <c r="BB169" s="282">
        <f t="shared" si="242"/>
        <v>44899</v>
      </c>
      <c r="BC169" s="282">
        <f t="shared" si="242"/>
        <v>44900</v>
      </c>
      <c r="BD169" s="282">
        <f t="shared" si="242"/>
        <v>44901</v>
      </c>
      <c r="BE169" s="282">
        <f t="shared" si="242"/>
        <v>44902</v>
      </c>
      <c r="BF169" s="282">
        <f t="shared" si="242"/>
        <v>44903</v>
      </c>
      <c r="BG169" s="282">
        <f t="shared" si="242"/>
        <v>28174</v>
      </c>
    </row>
    <row r="170" spans="1:59" x14ac:dyDescent="0.25">
      <c r="D170" s="234" t="s">
        <v>298</v>
      </c>
      <c r="E170" s="283">
        <f>E25</f>
        <v>2436116.31</v>
      </c>
      <c r="F170" s="283">
        <f t="shared" ref="F170:BG170" si="243">F25</f>
        <v>1842713</v>
      </c>
      <c r="G170" s="283">
        <f t="shared" si="243"/>
        <v>2451545</v>
      </c>
      <c r="H170" s="283">
        <f t="shared" si="243"/>
        <v>2451179.5</v>
      </c>
      <c r="I170" s="283">
        <f t="shared" si="243"/>
        <v>2446822.5</v>
      </c>
      <c r="J170" s="283">
        <f t="shared" si="243"/>
        <v>2446966</v>
      </c>
      <c r="K170" s="283">
        <f t="shared" si="243"/>
        <v>2447187.5</v>
      </c>
      <c r="L170" s="283">
        <f t="shared" si="243"/>
        <v>2447332</v>
      </c>
      <c r="M170" s="283">
        <f t="shared" si="243"/>
        <v>2415020.500011574</v>
      </c>
      <c r="N170" s="283">
        <f t="shared" si="243"/>
        <v>2305447.5</v>
      </c>
      <c r="O170" s="283">
        <f t="shared" si="243"/>
        <v>2305812.5</v>
      </c>
      <c r="P170" s="283">
        <f t="shared" si="243"/>
        <v>2026871.8</v>
      </c>
      <c r="Q170" s="283">
        <f t="shared" si="243"/>
        <v>1676496.5</v>
      </c>
      <c r="R170" s="283">
        <f t="shared" si="243"/>
        <v>1676497.5</v>
      </c>
      <c r="S170" s="283">
        <f t="shared" si="243"/>
        <v>1356001</v>
      </c>
      <c r="T170" s="283">
        <f t="shared" si="243"/>
        <v>1355866.5</v>
      </c>
      <c r="U170" s="283">
        <f t="shared" si="243"/>
        <v>1355671.4</v>
      </c>
      <c r="V170" s="283">
        <f t="shared" si="243"/>
        <v>0</v>
      </c>
      <c r="W170" s="283">
        <f t="shared" si="243"/>
        <v>2446895.5</v>
      </c>
      <c r="X170" s="283">
        <f t="shared" si="243"/>
        <v>2448724.5</v>
      </c>
      <c r="Y170" s="283">
        <f t="shared" si="243"/>
        <v>2443189.5</v>
      </c>
      <c r="Z170" s="283">
        <f t="shared" si="243"/>
        <v>2467615.5</v>
      </c>
      <c r="AA170" s="283">
        <f t="shared" si="243"/>
        <v>2451544.5</v>
      </c>
      <c r="AB170" s="283">
        <f t="shared" si="243"/>
        <v>2434923.5</v>
      </c>
      <c r="AC170" s="283">
        <f t="shared" si="243"/>
        <v>2443826.5</v>
      </c>
      <c r="AD170" s="283">
        <f t="shared" si="243"/>
        <v>2447273.5</v>
      </c>
      <c r="AE170" s="283">
        <f t="shared" si="243"/>
        <v>2443192.6511574076</v>
      </c>
      <c r="AF170" s="283">
        <f t="shared" si="243"/>
        <v>2448976.5</v>
      </c>
      <c r="AG170" s="283">
        <f t="shared" si="243"/>
        <v>2448908.5</v>
      </c>
      <c r="AH170" s="283">
        <f t="shared" si="243"/>
        <v>2448316.5</v>
      </c>
      <c r="AI170" s="283">
        <f t="shared" si="243"/>
        <v>2448713.5</v>
      </c>
      <c r="AJ170" s="283">
        <f t="shared" si="243"/>
        <v>2449108.5</v>
      </c>
      <c r="AK170" s="283">
        <f t="shared" si="243"/>
        <v>2385070.5</v>
      </c>
      <c r="AL170" s="283">
        <f t="shared" si="243"/>
        <v>2448154.5</v>
      </c>
      <c r="AM170" s="283">
        <f t="shared" si="243"/>
        <v>1948439.5</v>
      </c>
      <c r="AN170" s="283">
        <f t="shared" si="243"/>
        <v>2451640.5</v>
      </c>
      <c r="AO170" s="283">
        <f t="shared" si="243"/>
        <v>1721425.5</v>
      </c>
      <c r="AP170" s="283">
        <f t="shared" si="243"/>
        <v>2459848.0791666666</v>
      </c>
      <c r="AQ170" s="283">
        <f t="shared" si="243"/>
        <v>2459855.1347222221</v>
      </c>
      <c r="AR170" s="283">
        <f t="shared" si="243"/>
        <v>2459862.0375000001</v>
      </c>
      <c r="AS170" s="283">
        <f t="shared" si="243"/>
        <v>2459869.84375</v>
      </c>
      <c r="AT170" s="283">
        <f t="shared" si="243"/>
        <v>2459884.5</v>
      </c>
      <c r="AU170" s="283">
        <f t="shared" si="243"/>
        <v>2441834.5</v>
      </c>
      <c r="AV170" s="283">
        <f t="shared" si="243"/>
        <v>2450692.5</v>
      </c>
      <c r="AW170" s="283">
        <f t="shared" si="243"/>
        <v>2427807.5</v>
      </c>
      <c r="AX170" s="283">
        <f t="shared" si="243"/>
        <v>2435943.5</v>
      </c>
      <c r="AY170" s="283">
        <f t="shared" si="243"/>
        <v>2459914.5</v>
      </c>
      <c r="AZ170" s="283">
        <f t="shared" si="243"/>
        <v>2459915.5</v>
      </c>
      <c r="BA170" s="283">
        <f t="shared" si="243"/>
        <v>2459916.5</v>
      </c>
      <c r="BB170" s="283">
        <f t="shared" si="243"/>
        <v>2459917.5</v>
      </c>
      <c r="BC170" s="283">
        <f t="shared" si="243"/>
        <v>2459918.5</v>
      </c>
      <c r="BD170" s="283">
        <f t="shared" si="243"/>
        <v>2459919.5</v>
      </c>
      <c r="BE170" s="283">
        <f t="shared" si="243"/>
        <v>2459920.5</v>
      </c>
      <c r="BF170" s="283">
        <f t="shared" si="243"/>
        <v>2459921.5</v>
      </c>
      <c r="BG170" s="283">
        <f t="shared" si="243"/>
        <v>2443192.5</v>
      </c>
    </row>
    <row r="171" spans="1:59" x14ac:dyDescent="0.25">
      <c r="D171" s="234" t="s">
        <v>957</v>
      </c>
      <c r="E171" s="283">
        <f>E12</f>
        <v>0.81000000000130967</v>
      </c>
      <c r="F171" s="283">
        <f t="shared" ref="F171:BG171" si="244">F12</f>
        <v>0.5</v>
      </c>
      <c r="G171" s="283">
        <f t="shared" si="244"/>
        <v>0.5</v>
      </c>
      <c r="H171" s="283">
        <f t="shared" si="244"/>
        <v>0</v>
      </c>
      <c r="I171" s="283">
        <f t="shared" si="244"/>
        <v>0</v>
      </c>
      <c r="J171" s="283">
        <f t="shared" si="244"/>
        <v>0.5</v>
      </c>
      <c r="K171" s="283">
        <f t="shared" si="244"/>
        <v>0</v>
      </c>
      <c r="L171" s="283">
        <f t="shared" si="244"/>
        <v>0.5</v>
      </c>
      <c r="M171" s="283">
        <f t="shared" si="244"/>
        <v>1.1574074074038876E-5</v>
      </c>
      <c r="N171" s="283">
        <f t="shared" si="244"/>
        <v>0</v>
      </c>
      <c r="O171" s="283">
        <f t="shared" si="244"/>
        <v>0</v>
      </c>
      <c r="P171" s="283">
        <f t="shared" si="244"/>
        <v>0.3</v>
      </c>
      <c r="Q171" s="283">
        <f t="shared" si="244"/>
        <v>0</v>
      </c>
      <c r="R171" s="283">
        <f t="shared" si="244"/>
        <v>0</v>
      </c>
      <c r="S171" s="283">
        <f t="shared" si="244"/>
        <v>0.5</v>
      </c>
      <c r="T171" s="283">
        <f t="shared" si="244"/>
        <v>0</v>
      </c>
      <c r="U171" s="283">
        <f t="shared" si="244"/>
        <v>0.9</v>
      </c>
      <c r="V171" s="283">
        <f t="shared" si="244"/>
        <v>0.5</v>
      </c>
      <c r="W171" s="283">
        <f t="shared" si="244"/>
        <v>0</v>
      </c>
      <c r="X171" s="283">
        <f t="shared" si="244"/>
        <v>0</v>
      </c>
      <c r="Y171" s="283">
        <f t="shared" si="244"/>
        <v>0</v>
      </c>
      <c r="Z171" s="283">
        <f t="shared" si="244"/>
        <v>0</v>
      </c>
      <c r="AA171" s="283">
        <f t="shared" si="244"/>
        <v>0</v>
      </c>
      <c r="AB171" s="283">
        <f t="shared" si="244"/>
        <v>0</v>
      </c>
      <c r="AC171" s="283">
        <f t="shared" si="244"/>
        <v>0</v>
      </c>
      <c r="AD171" s="283">
        <f t="shared" si="244"/>
        <v>0</v>
      </c>
      <c r="AE171" s="283">
        <f t="shared" si="244"/>
        <v>0.15115740740657202</v>
      </c>
      <c r="AF171" s="283">
        <f t="shared" si="244"/>
        <v>0</v>
      </c>
      <c r="AG171" s="283">
        <f t="shared" si="244"/>
        <v>0</v>
      </c>
      <c r="AH171" s="283">
        <f t="shared" si="244"/>
        <v>0</v>
      </c>
      <c r="AI171" s="283">
        <f t="shared" si="244"/>
        <v>0</v>
      </c>
      <c r="AJ171" s="283">
        <f t="shared" si="244"/>
        <v>0</v>
      </c>
      <c r="AK171" s="283">
        <f t="shared" si="244"/>
        <v>0</v>
      </c>
      <c r="AL171" s="283">
        <f t="shared" si="244"/>
        <v>0</v>
      </c>
      <c r="AM171" s="283">
        <f t="shared" si="244"/>
        <v>0</v>
      </c>
      <c r="AN171" s="283">
        <f t="shared" si="244"/>
        <v>0</v>
      </c>
      <c r="AO171" s="283">
        <f t="shared" si="244"/>
        <v>0</v>
      </c>
      <c r="AP171" s="283">
        <f t="shared" si="244"/>
        <v>0.57916666667006211</v>
      </c>
      <c r="AQ171" s="283">
        <f t="shared" si="244"/>
        <v>0.63472222222480923</v>
      </c>
      <c r="AR171" s="283">
        <f t="shared" si="244"/>
        <v>0.53749999999854481</v>
      </c>
      <c r="AS171" s="283">
        <f t="shared" si="244"/>
        <v>0.34375</v>
      </c>
      <c r="AT171" s="283">
        <f t="shared" si="244"/>
        <v>0</v>
      </c>
      <c r="AU171" s="283">
        <f t="shared" si="244"/>
        <v>0</v>
      </c>
      <c r="AV171" s="283">
        <f t="shared" si="244"/>
        <v>0</v>
      </c>
      <c r="AW171" s="283">
        <f t="shared" si="244"/>
        <v>0</v>
      </c>
      <c r="AX171" s="283">
        <f t="shared" si="244"/>
        <v>0</v>
      </c>
      <c r="AY171" s="283">
        <f t="shared" si="244"/>
        <v>0</v>
      </c>
      <c r="AZ171" s="283">
        <f t="shared" si="244"/>
        <v>0</v>
      </c>
      <c r="BA171" s="283">
        <f t="shared" si="244"/>
        <v>0</v>
      </c>
      <c r="BB171" s="283">
        <f t="shared" si="244"/>
        <v>0</v>
      </c>
      <c r="BC171" s="283">
        <f t="shared" si="244"/>
        <v>0</v>
      </c>
      <c r="BD171" s="283">
        <f t="shared" si="244"/>
        <v>0</v>
      </c>
      <c r="BE171" s="283">
        <f t="shared" si="244"/>
        <v>0</v>
      </c>
      <c r="BF171" s="283">
        <f t="shared" si="244"/>
        <v>0</v>
      </c>
      <c r="BG171" s="283">
        <f t="shared" si="244"/>
        <v>0</v>
      </c>
    </row>
    <row r="172" spans="1:59" x14ac:dyDescent="0.25">
      <c r="D172" s="234" t="s">
        <v>108</v>
      </c>
      <c r="E172" s="82">
        <f>E5</f>
        <v>1957</v>
      </c>
      <c r="F172" s="82">
        <f t="shared" ref="F172:BG172" si="245">F5</f>
        <v>333</v>
      </c>
      <c r="G172" s="82">
        <f t="shared" si="245"/>
        <v>2000</v>
      </c>
      <c r="H172" s="82">
        <f t="shared" si="245"/>
        <v>1999</v>
      </c>
      <c r="I172" s="82">
        <f t="shared" si="245"/>
        <v>1987</v>
      </c>
      <c r="J172" s="82">
        <f t="shared" si="245"/>
        <v>1987</v>
      </c>
      <c r="K172" s="82">
        <f t="shared" si="245"/>
        <v>1988</v>
      </c>
      <c r="L172" s="82">
        <f t="shared" si="245"/>
        <v>1988</v>
      </c>
      <c r="M172" s="82">
        <f t="shared" si="245"/>
        <v>1900</v>
      </c>
      <c r="N172" s="82">
        <f t="shared" si="245"/>
        <v>1600</v>
      </c>
      <c r="O172" s="82">
        <f t="shared" si="245"/>
        <v>1600</v>
      </c>
      <c r="P172" s="82">
        <f t="shared" si="245"/>
        <v>837</v>
      </c>
      <c r="Q172" s="82">
        <f t="shared" si="245"/>
        <v>-123</v>
      </c>
      <c r="R172" s="82">
        <f t="shared" si="245"/>
        <v>-122</v>
      </c>
      <c r="S172" s="82">
        <f t="shared" si="245"/>
        <v>-1000</v>
      </c>
      <c r="T172" s="82">
        <f t="shared" si="245"/>
        <v>-1000</v>
      </c>
      <c r="U172" s="82">
        <f t="shared" si="245"/>
        <v>-1001</v>
      </c>
      <c r="V172" s="82">
        <f t="shared" si="245"/>
        <v>-4712</v>
      </c>
      <c r="W172" s="82">
        <f t="shared" si="245"/>
        <v>1987</v>
      </c>
      <c r="X172" s="82">
        <f t="shared" si="245"/>
        <v>1992</v>
      </c>
      <c r="Y172" s="82">
        <f t="shared" si="245"/>
        <v>1977</v>
      </c>
      <c r="Z172" s="82">
        <f t="shared" si="245"/>
        <v>2044</v>
      </c>
      <c r="AA172" s="82">
        <f t="shared" si="245"/>
        <v>2000</v>
      </c>
      <c r="AB172" s="82">
        <f t="shared" si="245"/>
        <v>1954</v>
      </c>
      <c r="AC172" s="82">
        <f t="shared" si="245"/>
        <v>1978</v>
      </c>
      <c r="AD172" s="82">
        <f t="shared" si="245"/>
        <v>1988</v>
      </c>
      <c r="AE172" s="82">
        <f t="shared" si="245"/>
        <v>1977</v>
      </c>
      <c r="AF172" s="82">
        <f t="shared" si="245"/>
        <v>1992</v>
      </c>
      <c r="AG172" s="82">
        <f t="shared" si="245"/>
        <v>1992</v>
      </c>
      <c r="AH172" s="82">
        <f t="shared" si="245"/>
        <v>1991</v>
      </c>
      <c r="AI172" s="82">
        <f t="shared" si="245"/>
        <v>1992</v>
      </c>
      <c r="AJ172" s="82">
        <f t="shared" si="245"/>
        <v>1993</v>
      </c>
      <c r="AK172" s="82">
        <f t="shared" si="245"/>
        <v>1818</v>
      </c>
      <c r="AL172" s="82">
        <f t="shared" si="245"/>
        <v>1990</v>
      </c>
      <c r="AM172" s="82">
        <f t="shared" si="245"/>
        <v>622</v>
      </c>
      <c r="AN172" s="82">
        <f t="shared" si="245"/>
        <v>2000</v>
      </c>
      <c r="AO172" s="82">
        <f t="shared" si="245"/>
        <v>1</v>
      </c>
      <c r="AP172" s="82">
        <f t="shared" si="245"/>
        <v>2022</v>
      </c>
      <c r="AQ172" s="82">
        <f t="shared" si="245"/>
        <v>2022</v>
      </c>
      <c r="AR172" s="82">
        <f t="shared" si="245"/>
        <v>2022</v>
      </c>
      <c r="AS172" s="82">
        <f t="shared" si="245"/>
        <v>2022</v>
      </c>
      <c r="AT172" s="82">
        <f t="shared" si="245"/>
        <v>2022</v>
      </c>
      <c r="AU172" s="82">
        <f t="shared" si="245"/>
        <v>1973</v>
      </c>
      <c r="AV172" s="82">
        <f t="shared" si="245"/>
        <v>1997</v>
      </c>
      <c r="AW172" s="82">
        <f t="shared" si="245"/>
        <v>1935</v>
      </c>
      <c r="AX172" s="82">
        <f t="shared" si="245"/>
        <v>1957</v>
      </c>
      <c r="AY172" s="82">
        <f t="shared" si="245"/>
        <v>2022</v>
      </c>
      <c r="AZ172" s="82">
        <f t="shared" si="245"/>
        <v>2022</v>
      </c>
      <c r="BA172" s="82">
        <f t="shared" si="245"/>
        <v>2022</v>
      </c>
      <c r="BB172" s="82">
        <f t="shared" si="245"/>
        <v>2022</v>
      </c>
      <c r="BC172" s="82">
        <f t="shared" si="245"/>
        <v>2022</v>
      </c>
      <c r="BD172" s="82">
        <f t="shared" si="245"/>
        <v>2022</v>
      </c>
      <c r="BE172" s="82">
        <f t="shared" si="245"/>
        <v>2022</v>
      </c>
      <c r="BF172" s="82">
        <f t="shared" si="245"/>
        <v>2022</v>
      </c>
      <c r="BG172" s="82">
        <f t="shared" si="245"/>
        <v>1977</v>
      </c>
    </row>
    <row r="173" spans="1:59" x14ac:dyDescent="0.25">
      <c r="D173" s="234" t="s">
        <v>943</v>
      </c>
      <c r="E173" s="82">
        <f>E6</f>
        <v>10</v>
      </c>
      <c r="F173" s="82">
        <f t="shared" ref="F173:BG173" si="246">F6</f>
        <v>1</v>
      </c>
      <c r="G173" s="82">
        <f t="shared" si="246"/>
        <v>1</v>
      </c>
      <c r="H173" s="82">
        <f t="shared" si="246"/>
        <v>1</v>
      </c>
      <c r="I173" s="82">
        <f t="shared" si="246"/>
        <v>1</v>
      </c>
      <c r="J173" s="82">
        <f t="shared" si="246"/>
        <v>6</v>
      </c>
      <c r="K173" s="82">
        <f t="shared" si="246"/>
        <v>1</v>
      </c>
      <c r="L173" s="82">
        <f t="shared" si="246"/>
        <v>6</v>
      </c>
      <c r="M173" s="82">
        <f t="shared" si="246"/>
        <v>1</v>
      </c>
      <c r="N173" s="82">
        <f t="shared" si="246"/>
        <v>1</v>
      </c>
      <c r="O173" s="82">
        <f t="shared" si="246"/>
        <v>12</v>
      </c>
      <c r="P173" s="82">
        <f t="shared" si="246"/>
        <v>4</v>
      </c>
      <c r="Q173" s="82">
        <f t="shared" si="246"/>
        <v>12</v>
      </c>
      <c r="R173" s="82">
        <f t="shared" si="246"/>
        <v>1</v>
      </c>
      <c r="S173" s="82">
        <f t="shared" si="246"/>
        <v>7</v>
      </c>
      <c r="T173" s="82">
        <f t="shared" si="246"/>
        <v>2</v>
      </c>
      <c r="U173" s="82">
        <f t="shared" si="246"/>
        <v>8</v>
      </c>
      <c r="V173" s="82">
        <f t="shared" si="246"/>
        <v>1</v>
      </c>
      <c r="W173" s="82">
        <f t="shared" si="246"/>
        <v>4</v>
      </c>
      <c r="X173" s="82">
        <f t="shared" si="246"/>
        <v>4</v>
      </c>
      <c r="Y173" s="82">
        <f t="shared" si="246"/>
        <v>2</v>
      </c>
      <c r="Z173" s="82">
        <f t="shared" si="246"/>
        <v>1</v>
      </c>
      <c r="AA173" s="82">
        <f t="shared" si="246"/>
        <v>1</v>
      </c>
      <c r="AB173" s="82">
        <f t="shared" si="246"/>
        <v>6</v>
      </c>
      <c r="AC173" s="82">
        <f t="shared" si="246"/>
        <v>11</v>
      </c>
      <c r="AD173" s="82">
        <f t="shared" si="246"/>
        <v>4</v>
      </c>
      <c r="AE173" s="82">
        <f t="shared" si="246"/>
        <v>2</v>
      </c>
      <c r="AF173" s="82">
        <f t="shared" si="246"/>
        <v>12</v>
      </c>
      <c r="AG173" s="82">
        <f t="shared" si="246"/>
        <v>10</v>
      </c>
      <c r="AH173" s="82">
        <f t="shared" si="246"/>
        <v>3</v>
      </c>
      <c r="AI173" s="82">
        <f t="shared" si="246"/>
        <v>4</v>
      </c>
      <c r="AJ173" s="82">
        <f t="shared" si="246"/>
        <v>5</v>
      </c>
      <c r="AK173" s="82">
        <f t="shared" si="246"/>
        <v>1</v>
      </c>
      <c r="AL173" s="82">
        <f t="shared" si="246"/>
        <v>9</v>
      </c>
      <c r="AM173" s="82">
        <f t="shared" si="246"/>
        <v>7</v>
      </c>
      <c r="AN173" s="82">
        <f t="shared" si="246"/>
        <v>4</v>
      </c>
      <c r="AO173" s="82">
        <f t="shared" si="246"/>
        <v>1</v>
      </c>
      <c r="AP173" s="82">
        <f t="shared" si="246"/>
        <v>9</v>
      </c>
      <c r="AQ173" s="82">
        <f t="shared" si="246"/>
        <v>10</v>
      </c>
      <c r="AR173" s="82">
        <f t="shared" si="246"/>
        <v>10</v>
      </c>
      <c r="AS173" s="82">
        <f t="shared" si="246"/>
        <v>10</v>
      </c>
      <c r="AT173" s="82">
        <f t="shared" si="246"/>
        <v>11</v>
      </c>
      <c r="AU173" s="82">
        <f t="shared" si="246"/>
        <v>6</v>
      </c>
      <c r="AV173" s="82">
        <f t="shared" si="246"/>
        <v>9</v>
      </c>
      <c r="AW173" s="82">
        <f t="shared" si="246"/>
        <v>1</v>
      </c>
      <c r="AX173" s="82">
        <f t="shared" si="246"/>
        <v>4</v>
      </c>
      <c r="AY173" s="82">
        <f t="shared" si="246"/>
        <v>12</v>
      </c>
      <c r="AZ173" s="82">
        <f t="shared" si="246"/>
        <v>12</v>
      </c>
      <c r="BA173" s="82">
        <f t="shared" si="246"/>
        <v>12</v>
      </c>
      <c r="BB173" s="82">
        <f t="shared" si="246"/>
        <v>12</v>
      </c>
      <c r="BC173" s="82">
        <f t="shared" si="246"/>
        <v>12</v>
      </c>
      <c r="BD173" s="82">
        <f t="shared" si="246"/>
        <v>12</v>
      </c>
      <c r="BE173" s="82">
        <f t="shared" si="246"/>
        <v>12</v>
      </c>
      <c r="BF173" s="82">
        <f t="shared" si="246"/>
        <v>12</v>
      </c>
      <c r="BG173" s="82">
        <f t="shared" si="246"/>
        <v>2</v>
      </c>
    </row>
    <row r="174" spans="1:59" x14ac:dyDescent="0.25">
      <c r="D174" s="280" t="s">
        <v>163</v>
      </c>
      <c r="E174" s="83">
        <f>E7</f>
        <v>4</v>
      </c>
      <c r="F174" s="83">
        <f t="shared" ref="F174:BG174" si="247">F7</f>
        <v>27</v>
      </c>
      <c r="G174" s="83">
        <f t="shared" si="247"/>
        <v>1</v>
      </c>
      <c r="H174" s="83">
        <f t="shared" si="247"/>
        <v>1</v>
      </c>
      <c r="I174" s="83">
        <f t="shared" si="247"/>
        <v>27</v>
      </c>
      <c r="J174" s="83">
        <f t="shared" si="247"/>
        <v>19</v>
      </c>
      <c r="K174" s="83">
        <f t="shared" si="247"/>
        <v>27</v>
      </c>
      <c r="L174" s="83">
        <f t="shared" si="247"/>
        <v>19</v>
      </c>
      <c r="M174" s="83">
        <f t="shared" si="247"/>
        <v>1</v>
      </c>
      <c r="N174" s="83">
        <f t="shared" si="247"/>
        <v>1</v>
      </c>
      <c r="O174" s="83">
        <f t="shared" si="247"/>
        <v>31</v>
      </c>
      <c r="P174" s="83">
        <f t="shared" si="247"/>
        <v>10</v>
      </c>
      <c r="Q174" s="83">
        <f t="shared" si="247"/>
        <v>31</v>
      </c>
      <c r="R174" s="83">
        <f t="shared" si="247"/>
        <v>1</v>
      </c>
      <c r="S174" s="83">
        <f t="shared" si="247"/>
        <v>12</v>
      </c>
      <c r="T174" s="83">
        <f t="shared" si="247"/>
        <v>29</v>
      </c>
      <c r="U174" s="83">
        <f t="shared" si="247"/>
        <v>17</v>
      </c>
      <c r="V174" s="83">
        <f t="shared" si="247"/>
        <v>1</v>
      </c>
      <c r="W174" s="83">
        <f t="shared" si="247"/>
        <v>10</v>
      </c>
      <c r="X174" s="83">
        <f t="shared" si="247"/>
        <v>12</v>
      </c>
      <c r="Y174" s="83">
        <f t="shared" si="247"/>
        <v>15</v>
      </c>
      <c r="Z174" s="83">
        <f t="shared" si="247"/>
        <v>1</v>
      </c>
      <c r="AA174" s="83">
        <f t="shared" si="247"/>
        <v>1</v>
      </c>
      <c r="AB174" s="83">
        <f t="shared" si="247"/>
        <v>30</v>
      </c>
      <c r="AC174" s="83">
        <f t="shared" si="247"/>
        <v>14</v>
      </c>
      <c r="AD174" s="83">
        <f t="shared" si="247"/>
        <v>22</v>
      </c>
      <c r="AE174" s="83">
        <f t="shared" si="247"/>
        <v>18</v>
      </c>
      <c r="AF174" s="83">
        <f t="shared" si="247"/>
        <v>20</v>
      </c>
      <c r="AG174" s="83">
        <f t="shared" si="247"/>
        <v>13</v>
      </c>
      <c r="AH174" s="83">
        <f t="shared" si="247"/>
        <v>1</v>
      </c>
      <c r="AI174" s="83">
        <f t="shared" si="247"/>
        <v>1</v>
      </c>
      <c r="AJ174" s="83">
        <f t="shared" si="247"/>
        <v>1</v>
      </c>
      <c r="AK174" s="83">
        <f t="shared" si="247"/>
        <v>1</v>
      </c>
      <c r="AL174" s="83">
        <f t="shared" si="247"/>
        <v>20</v>
      </c>
      <c r="AM174" s="83">
        <f t="shared" si="247"/>
        <v>16</v>
      </c>
      <c r="AN174" s="83">
        <f t="shared" si="247"/>
        <v>6</v>
      </c>
      <c r="AO174" s="83">
        <f t="shared" si="247"/>
        <v>3</v>
      </c>
      <c r="AP174" s="83">
        <f t="shared" si="247"/>
        <v>25</v>
      </c>
      <c r="AQ174" s="83">
        <f t="shared" si="247"/>
        <v>2</v>
      </c>
      <c r="AR174" s="83">
        <f t="shared" si="247"/>
        <v>9</v>
      </c>
      <c r="AS174" s="83">
        <f t="shared" si="247"/>
        <v>17</v>
      </c>
      <c r="AT174" s="83">
        <f t="shared" si="247"/>
        <v>1</v>
      </c>
      <c r="AU174" s="83">
        <f t="shared" si="247"/>
        <v>1</v>
      </c>
      <c r="AV174" s="83">
        <f t="shared" si="247"/>
        <v>1</v>
      </c>
      <c r="AW174" s="83">
        <f t="shared" si="247"/>
        <v>5</v>
      </c>
      <c r="AX174" s="83">
        <f t="shared" si="247"/>
        <v>15</v>
      </c>
      <c r="AY174" s="83">
        <f t="shared" si="247"/>
        <v>1</v>
      </c>
      <c r="AZ174" s="83">
        <f t="shared" si="247"/>
        <v>2</v>
      </c>
      <c r="BA174" s="83">
        <f t="shared" si="247"/>
        <v>3</v>
      </c>
      <c r="BB174" s="83">
        <f t="shared" si="247"/>
        <v>4</v>
      </c>
      <c r="BC174" s="83">
        <f t="shared" si="247"/>
        <v>5</v>
      </c>
      <c r="BD174" s="83">
        <f t="shared" si="247"/>
        <v>6</v>
      </c>
      <c r="BE174" s="83">
        <f t="shared" si="247"/>
        <v>7</v>
      </c>
      <c r="BF174" s="83">
        <f t="shared" si="247"/>
        <v>8</v>
      </c>
      <c r="BG174" s="83">
        <f t="shared" si="247"/>
        <v>18</v>
      </c>
    </row>
    <row r="176" spans="1:59" hidden="1" x14ac:dyDescent="0.25">
      <c r="C176" t="s">
        <v>944</v>
      </c>
      <c r="D176" s="7" t="s">
        <v>947</v>
      </c>
      <c r="E176">
        <f>MOD(E172,4)</f>
        <v>1</v>
      </c>
      <c r="F176">
        <f t="shared" ref="F176:BG176" si="248">MOD(F172,4)</f>
        <v>1</v>
      </c>
      <c r="G176">
        <f t="shared" si="248"/>
        <v>0</v>
      </c>
      <c r="H176">
        <f t="shared" si="248"/>
        <v>3</v>
      </c>
      <c r="I176">
        <f t="shared" si="248"/>
        <v>3</v>
      </c>
      <c r="J176">
        <f t="shared" si="248"/>
        <v>3</v>
      </c>
      <c r="K176">
        <f t="shared" si="248"/>
        <v>0</v>
      </c>
      <c r="L176">
        <f t="shared" si="248"/>
        <v>0</v>
      </c>
      <c r="M176">
        <f t="shared" si="248"/>
        <v>0</v>
      </c>
      <c r="N176">
        <f t="shared" si="248"/>
        <v>0</v>
      </c>
      <c r="O176">
        <f t="shared" si="248"/>
        <v>0</v>
      </c>
      <c r="P176">
        <f t="shared" si="248"/>
        <v>1</v>
      </c>
      <c r="Q176">
        <f t="shared" si="248"/>
        <v>1</v>
      </c>
      <c r="R176">
        <f t="shared" si="248"/>
        <v>2</v>
      </c>
      <c r="S176">
        <f t="shared" si="248"/>
        <v>0</v>
      </c>
      <c r="T176">
        <f t="shared" si="248"/>
        <v>0</v>
      </c>
      <c r="U176">
        <f t="shared" si="248"/>
        <v>3</v>
      </c>
      <c r="V176">
        <f t="shared" si="248"/>
        <v>0</v>
      </c>
      <c r="W176">
        <f t="shared" si="248"/>
        <v>3</v>
      </c>
      <c r="X176">
        <f t="shared" si="248"/>
        <v>0</v>
      </c>
      <c r="Y176">
        <f t="shared" si="248"/>
        <v>1</v>
      </c>
      <c r="Z176">
        <f t="shared" si="248"/>
        <v>0</v>
      </c>
      <c r="AA176">
        <f t="shared" si="248"/>
        <v>0</v>
      </c>
      <c r="AB176">
        <f t="shared" si="248"/>
        <v>2</v>
      </c>
      <c r="AC176">
        <f t="shared" si="248"/>
        <v>2</v>
      </c>
      <c r="AD176">
        <f t="shared" si="248"/>
        <v>0</v>
      </c>
      <c r="AE176">
        <f t="shared" si="248"/>
        <v>1</v>
      </c>
      <c r="AF176">
        <f t="shared" si="248"/>
        <v>0</v>
      </c>
      <c r="AG176">
        <f t="shared" si="248"/>
        <v>0</v>
      </c>
      <c r="AH176">
        <f t="shared" si="248"/>
        <v>3</v>
      </c>
      <c r="AI176">
        <f t="shared" si="248"/>
        <v>0</v>
      </c>
      <c r="AJ176">
        <f t="shared" si="248"/>
        <v>1</v>
      </c>
      <c r="AK176">
        <f t="shared" si="248"/>
        <v>2</v>
      </c>
      <c r="AL176">
        <f t="shared" si="248"/>
        <v>2</v>
      </c>
      <c r="AM176">
        <f t="shared" si="248"/>
        <v>2</v>
      </c>
      <c r="AN176">
        <f t="shared" si="248"/>
        <v>0</v>
      </c>
      <c r="AO176">
        <f t="shared" si="248"/>
        <v>1</v>
      </c>
      <c r="AP176">
        <f t="shared" si="248"/>
        <v>2</v>
      </c>
      <c r="AQ176">
        <f t="shared" si="248"/>
        <v>2</v>
      </c>
      <c r="AR176">
        <f t="shared" si="248"/>
        <v>2</v>
      </c>
      <c r="AS176">
        <f t="shared" si="248"/>
        <v>2</v>
      </c>
      <c r="AT176">
        <f t="shared" si="248"/>
        <v>2</v>
      </c>
      <c r="AU176">
        <f t="shared" si="248"/>
        <v>1</v>
      </c>
      <c r="AV176">
        <f t="shared" si="248"/>
        <v>1</v>
      </c>
      <c r="AW176">
        <f t="shared" si="248"/>
        <v>3</v>
      </c>
      <c r="AX176">
        <f t="shared" si="248"/>
        <v>1</v>
      </c>
      <c r="AY176">
        <f t="shared" si="248"/>
        <v>2</v>
      </c>
      <c r="AZ176">
        <f t="shared" si="248"/>
        <v>2</v>
      </c>
      <c r="BA176">
        <f t="shared" si="248"/>
        <v>2</v>
      </c>
      <c r="BB176">
        <f t="shared" si="248"/>
        <v>2</v>
      </c>
      <c r="BC176">
        <f t="shared" si="248"/>
        <v>2</v>
      </c>
      <c r="BD176">
        <f t="shared" si="248"/>
        <v>2</v>
      </c>
      <c r="BE176">
        <f t="shared" si="248"/>
        <v>2</v>
      </c>
      <c r="BF176">
        <f t="shared" si="248"/>
        <v>2</v>
      </c>
      <c r="BG176">
        <f t="shared" si="248"/>
        <v>1</v>
      </c>
    </row>
    <row r="177" spans="3:59" hidden="1" x14ac:dyDescent="0.25">
      <c r="C177" t="s">
        <v>945</v>
      </c>
      <c r="D177" s="7" t="s">
        <v>948</v>
      </c>
      <c r="E177">
        <f>MOD(E172,100)</f>
        <v>57</v>
      </c>
      <c r="F177">
        <f t="shared" ref="F177:BG177" si="249">MOD(F172,100)</f>
        <v>33</v>
      </c>
      <c r="G177">
        <f t="shared" si="249"/>
        <v>0</v>
      </c>
      <c r="H177">
        <f t="shared" si="249"/>
        <v>99</v>
      </c>
      <c r="I177">
        <f t="shared" si="249"/>
        <v>87</v>
      </c>
      <c r="J177">
        <f t="shared" si="249"/>
        <v>87</v>
      </c>
      <c r="K177">
        <f t="shared" si="249"/>
        <v>88</v>
      </c>
      <c r="L177">
        <f t="shared" si="249"/>
        <v>88</v>
      </c>
      <c r="M177">
        <f t="shared" si="249"/>
        <v>0</v>
      </c>
      <c r="N177">
        <f t="shared" si="249"/>
        <v>0</v>
      </c>
      <c r="O177">
        <f t="shared" si="249"/>
        <v>0</v>
      </c>
      <c r="P177">
        <f t="shared" si="249"/>
        <v>37</v>
      </c>
      <c r="Q177">
        <f t="shared" si="249"/>
        <v>77</v>
      </c>
      <c r="R177">
        <f t="shared" si="249"/>
        <v>78</v>
      </c>
      <c r="S177">
        <f t="shared" si="249"/>
        <v>0</v>
      </c>
      <c r="T177">
        <f t="shared" si="249"/>
        <v>0</v>
      </c>
      <c r="U177">
        <f t="shared" si="249"/>
        <v>99</v>
      </c>
      <c r="V177">
        <f t="shared" si="249"/>
        <v>88</v>
      </c>
      <c r="W177">
        <f t="shared" si="249"/>
        <v>87</v>
      </c>
      <c r="X177">
        <f t="shared" si="249"/>
        <v>92</v>
      </c>
      <c r="Y177">
        <f t="shared" si="249"/>
        <v>77</v>
      </c>
      <c r="Z177">
        <f t="shared" si="249"/>
        <v>44</v>
      </c>
      <c r="AA177">
        <f t="shared" si="249"/>
        <v>0</v>
      </c>
      <c r="AB177">
        <f t="shared" si="249"/>
        <v>54</v>
      </c>
      <c r="AC177">
        <f t="shared" si="249"/>
        <v>78</v>
      </c>
      <c r="AD177">
        <f t="shared" si="249"/>
        <v>88</v>
      </c>
      <c r="AE177">
        <f t="shared" si="249"/>
        <v>77</v>
      </c>
      <c r="AF177">
        <f t="shared" si="249"/>
        <v>92</v>
      </c>
      <c r="AG177">
        <f t="shared" si="249"/>
        <v>92</v>
      </c>
      <c r="AH177">
        <f t="shared" si="249"/>
        <v>91</v>
      </c>
      <c r="AI177">
        <f t="shared" si="249"/>
        <v>92</v>
      </c>
      <c r="AJ177">
        <f t="shared" si="249"/>
        <v>93</v>
      </c>
      <c r="AK177">
        <f t="shared" si="249"/>
        <v>18</v>
      </c>
      <c r="AL177">
        <f t="shared" si="249"/>
        <v>90</v>
      </c>
      <c r="AM177">
        <f t="shared" si="249"/>
        <v>22</v>
      </c>
      <c r="AN177">
        <f t="shared" si="249"/>
        <v>0</v>
      </c>
      <c r="AO177">
        <f t="shared" si="249"/>
        <v>1</v>
      </c>
      <c r="AP177">
        <f t="shared" si="249"/>
        <v>22</v>
      </c>
      <c r="AQ177">
        <f t="shared" si="249"/>
        <v>22</v>
      </c>
      <c r="AR177">
        <f t="shared" si="249"/>
        <v>22</v>
      </c>
      <c r="AS177">
        <f t="shared" si="249"/>
        <v>22</v>
      </c>
      <c r="AT177">
        <f t="shared" si="249"/>
        <v>22</v>
      </c>
      <c r="AU177">
        <f t="shared" si="249"/>
        <v>73</v>
      </c>
      <c r="AV177">
        <f t="shared" si="249"/>
        <v>97</v>
      </c>
      <c r="AW177">
        <f t="shared" si="249"/>
        <v>35</v>
      </c>
      <c r="AX177">
        <f t="shared" si="249"/>
        <v>57</v>
      </c>
      <c r="AY177">
        <f t="shared" si="249"/>
        <v>22</v>
      </c>
      <c r="AZ177">
        <f t="shared" si="249"/>
        <v>22</v>
      </c>
      <c r="BA177">
        <f t="shared" si="249"/>
        <v>22</v>
      </c>
      <c r="BB177">
        <f t="shared" si="249"/>
        <v>22</v>
      </c>
      <c r="BC177">
        <f t="shared" si="249"/>
        <v>22</v>
      </c>
      <c r="BD177">
        <f t="shared" si="249"/>
        <v>22</v>
      </c>
      <c r="BE177">
        <f t="shared" si="249"/>
        <v>22</v>
      </c>
      <c r="BF177">
        <f t="shared" si="249"/>
        <v>22</v>
      </c>
      <c r="BG177">
        <f t="shared" si="249"/>
        <v>77</v>
      </c>
    </row>
    <row r="178" spans="3:59" hidden="1" x14ac:dyDescent="0.25">
      <c r="C178" t="s">
        <v>946</v>
      </c>
      <c r="D178" s="7" t="s">
        <v>949</v>
      </c>
      <c r="E178">
        <f>MOD(E172,400)</f>
        <v>357</v>
      </c>
      <c r="F178">
        <f t="shared" ref="F178:BG178" si="250">MOD(F172,400)</f>
        <v>333</v>
      </c>
      <c r="G178">
        <f t="shared" si="250"/>
        <v>0</v>
      </c>
      <c r="H178">
        <f t="shared" si="250"/>
        <v>399</v>
      </c>
      <c r="I178">
        <f t="shared" si="250"/>
        <v>387</v>
      </c>
      <c r="J178">
        <f t="shared" si="250"/>
        <v>387</v>
      </c>
      <c r="K178">
        <f t="shared" si="250"/>
        <v>388</v>
      </c>
      <c r="L178">
        <f t="shared" si="250"/>
        <v>388</v>
      </c>
      <c r="M178">
        <f t="shared" si="250"/>
        <v>300</v>
      </c>
      <c r="N178">
        <f t="shared" si="250"/>
        <v>0</v>
      </c>
      <c r="O178">
        <f t="shared" si="250"/>
        <v>0</v>
      </c>
      <c r="P178">
        <f t="shared" si="250"/>
        <v>37</v>
      </c>
      <c r="Q178">
        <f t="shared" si="250"/>
        <v>277</v>
      </c>
      <c r="R178">
        <f t="shared" si="250"/>
        <v>278</v>
      </c>
      <c r="S178">
        <f t="shared" si="250"/>
        <v>200</v>
      </c>
      <c r="T178">
        <f t="shared" si="250"/>
        <v>200</v>
      </c>
      <c r="U178">
        <f t="shared" si="250"/>
        <v>199</v>
      </c>
      <c r="V178">
        <f t="shared" si="250"/>
        <v>88</v>
      </c>
      <c r="W178">
        <f t="shared" si="250"/>
        <v>387</v>
      </c>
      <c r="X178">
        <f t="shared" si="250"/>
        <v>392</v>
      </c>
      <c r="Y178">
        <f t="shared" si="250"/>
        <v>377</v>
      </c>
      <c r="Z178">
        <f t="shared" si="250"/>
        <v>44</v>
      </c>
      <c r="AA178">
        <f t="shared" si="250"/>
        <v>0</v>
      </c>
      <c r="AB178">
        <f t="shared" si="250"/>
        <v>354</v>
      </c>
      <c r="AC178">
        <f t="shared" si="250"/>
        <v>378</v>
      </c>
      <c r="AD178">
        <f t="shared" si="250"/>
        <v>388</v>
      </c>
      <c r="AE178">
        <f t="shared" si="250"/>
        <v>377</v>
      </c>
      <c r="AF178">
        <f t="shared" si="250"/>
        <v>392</v>
      </c>
      <c r="AG178">
        <f t="shared" si="250"/>
        <v>392</v>
      </c>
      <c r="AH178">
        <f t="shared" si="250"/>
        <v>391</v>
      </c>
      <c r="AI178">
        <f t="shared" si="250"/>
        <v>392</v>
      </c>
      <c r="AJ178">
        <f t="shared" si="250"/>
        <v>393</v>
      </c>
      <c r="AK178">
        <f t="shared" si="250"/>
        <v>218</v>
      </c>
      <c r="AL178">
        <f t="shared" si="250"/>
        <v>390</v>
      </c>
      <c r="AM178">
        <f t="shared" si="250"/>
        <v>222</v>
      </c>
      <c r="AN178">
        <f t="shared" si="250"/>
        <v>0</v>
      </c>
      <c r="AO178">
        <f t="shared" si="250"/>
        <v>1</v>
      </c>
      <c r="AP178">
        <f t="shared" si="250"/>
        <v>22</v>
      </c>
      <c r="AQ178">
        <f t="shared" si="250"/>
        <v>22</v>
      </c>
      <c r="AR178">
        <f t="shared" si="250"/>
        <v>22</v>
      </c>
      <c r="AS178">
        <f t="shared" si="250"/>
        <v>22</v>
      </c>
      <c r="AT178">
        <f t="shared" si="250"/>
        <v>22</v>
      </c>
      <c r="AU178">
        <f t="shared" si="250"/>
        <v>373</v>
      </c>
      <c r="AV178">
        <f t="shared" si="250"/>
        <v>397</v>
      </c>
      <c r="AW178">
        <f t="shared" si="250"/>
        <v>335</v>
      </c>
      <c r="AX178">
        <f t="shared" si="250"/>
        <v>357</v>
      </c>
      <c r="AY178">
        <f t="shared" si="250"/>
        <v>22</v>
      </c>
      <c r="AZ178">
        <f t="shared" si="250"/>
        <v>22</v>
      </c>
      <c r="BA178">
        <f t="shared" si="250"/>
        <v>22</v>
      </c>
      <c r="BB178">
        <f t="shared" si="250"/>
        <v>22</v>
      </c>
      <c r="BC178">
        <f t="shared" si="250"/>
        <v>22</v>
      </c>
      <c r="BD178">
        <f t="shared" si="250"/>
        <v>22</v>
      </c>
      <c r="BE178">
        <f t="shared" si="250"/>
        <v>22</v>
      </c>
      <c r="BF178">
        <f t="shared" si="250"/>
        <v>22</v>
      </c>
      <c r="BG178">
        <f t="shared" si="250"/>
        <v>377</v>
      </c>
    </row>
    <row r="179" spans="3:59" x14ac:dyDescent="0.25">
      <c r="C179" t="s">
        <v>950</v>
      </c>
      <c r="D179" s="7" t="s">
        <v>954</v>
      </c>
      <c r="E179">
        <f>IF(E176=0,IF(E177,IF(E178=0,1,0),1),0)</f>
        <v>0</v>
      </c>
      <c r="F179">
        <f t="shared" ref="F179:BG179" si="251">IF(F176=0,IF(F177,IF(F178=0,1,0),1),0)</f>
        <v>0</v>
      </c>
      <c r="G179">
        <f t="shared" si="251"/>
        <v>1</v>
      </c>
      <c r="H179">
        <f t="shared" si="251"/>
        <v>0</v>
      </c>
      <c r="I179">
        <f t="shared" si="251"/>
        <v>0</v>
      </c>
      <c r="J179">
        <f t="shared" si="251"/>
        <v>0</v>
      </c>
      <c r="K179">
        <f t="shared" si="251"/>
        <v>0</v>
      </c>
      <c r="L179">
        <f t="shared" si="251"/>
        <v>0</v>
      </c>
      <c r="M179">
        <f t="shared" si="251"/>
        <v>1</v>
      </c>
      <c r="N179">
        <f t="shared" si="251"/>
        <v>1</v>
      </c>
      <c r="O179">
        <f t="shared" si="251"/>
        <v>1</v>
      </c>
      <c r="P179">
        <f t="shared" si="251"/>
        <v>0</v>
      </c>
      <c r="Q179">
        <f t="shared" si="251"/>
        <v>0</v>
      </c>
      <c r="R179">
        <f t="shared" si="251"/>
        <v>0</v>
      </c>
      <c r="S179">
        <f t="shared" si="251"/>
        <v>1</v>
      </c>
      <c r="T179">
        <f t="shared" si="251"/>
        <v>1</v>
      </c>
      <c r="U179">
        <f t="shared" si="251"/>
        <v>0</v>
      </c>
      <c r="V179">
        <f t="shared" si="251"/>
        <v>0</v>
      </c>
      <c r="W179">
        <f t="shared" si="251"/>
        <v>0</v>
      </c>
      <c r="X179">
        <f t="shared" si="251"/>
        <v>0</v>
      </c>
      <c r="Y179">
        <f t="shared" si="251"/>
        <v>0</v>
      </c>
      <c r="Z179">
        <f t="shared" si="251"/>
        <v>0</v>
      </c>
      <c r="AA179">
        <f t="shared" si="251"/>
        <v>1</v>
      </c>
      <c r="AB179">
        <f t="shared" si="251"/>
        <v>0</v>
      </c>
      <c r="AC179">
        <f t="shared" si="251"/>
        <v>0</v>
      </c>
      <c r="AD179">
        <f t="shared" si="251"/>
        <v>0</v>
      </c>
      <c r="AE179">
        <f t="shared" si="251"/>
        <v>0</v>
      </c>
      <c r="AF179">
        <f t="shared" si="251"/>
        <v>0</v>
      </c>
      <c r="AG179">
        <f t="shared" si="251"/>
        <v>0</v>
      </c>
      <c r="AH179">
        <f t="shared" si="251"/>
        <v>0</v>
      </c>
      <c r="AI179">
        <f t="shared" si="251"/>
        <v>0</v>
      </c>
      <c r="AJ179">
        <f t="shared" si="251"/>
        <v>0</v>
      </c>
      <c r="AK179">
        <f t="shared" si="251"/>
        <v>0</v>
      </c>
      <c r="AL179">
        <f t="shared" si="251"/>
        <v>0</v>
      </c>
      <c r="AM179">
        <f t="shared" si="251"/>
        <v>0</v>
      </c>
      <c r="AN179">
        <f t="shared" si="251"/>
        <v>1</v>
      </c>
      <c r="AO179">
        <f t="shared" si="251"/>
        <v>0</v>
      </c>
      <c r="AP179">
        <f t="shared" si="251"/>
        <v>0</v>
      </c>
      <c r="AQ179">
        <f t="shared" si="251"/>
        <v>0</v>
      </c>
      <c r="AR179">
        <f t="shared" si="251"/>
        <v>0</v>
      </c>
      <c r="AS179">
        <f t="shared" si="251"/>
        <v>0</v>
      </c>
      <c r="AT179">
        <f t="shared" si="251"/>
        <v>0</v>
      </c>
      <c r="AU179">
        <f t="shared" si="251"/>
        <v>0</v>
      </c>
      <c r="AV179">
        <f t="shared" si="251"/>
        <v>0</v>
      </c>
      <c r="AW179">
        <f t="shared" si="251"/>
        <v>0</v>
      </c>
      <c r="AX179">
        <f t="shared" si="251"/>
        <v>0</v>
      </c>
      <c r="AY179">
        <f t="shared" si="251"/>
        <v>0</v>
      </c>
      <c r="AZ179">
        <f t="shared" si="251"/>
        <v>0</v>
      </c>
      <c r="BA179">
        <f t="shared" si="251"/>
        <v>0</v>
      </c>
      <c r="BB179">
        <f t="shared" si="251"/>
        <v>0</v>
      </c>
      <c r="BC179">
        <f t="shared" si="251"/>
        <v>0</v>
      </c>
      <c r="BD179">
        <f t="shared" si="251"/>
        <v>0</v>
      </c>
      <c r="BE179">
        <f t="shared" si="251"/>
        <v>0</v>
      </c>
      <c r="BF179">
        <f t="shared" si="251"/>
        <v>0</v>
      </c>
      <c r="BG179">
        <f t="shared" si="251"/>
        <v>0</v>
      </c>
    </row>
    <row r="180" spans="3:59" x14ac:dyDescent="0.25">
      <c r="C180" t="s">
        <v>952</v>
      </c>
    </row>
    <row r="181" spans="3:59" x14ac:dyDescent="0.25">
      <c r="C181" t="s">
        <v>955</v>
      </c>
      <c r="D181" s="7" t="s">
        <v>953</v>
      </c>
      <c r="E181">
        <f>IF(E173&lt;2,0,IF(E179&gt;0,-1,-2))</f>
        <v>-2</v>
      </c>
      <c r="F181">
        <f t="shared" ref="F181:BG181" si="252">IF(F173&lt;2,0,IF(F179&gt;0,-1,-2))</f>
        <v>0</v>
      </c>
      <c r="G181">
        <f t="shared" si="252"/>
        <v>0</v>
      </c>
      <c r="H181">
        <f t="shared" si="252"/>
        <v>0</v>
      </c>
      <c r="I181">
        <f t="shared" si="252"/>
        <v>0</v>
      </c>
      <c r="J181">
        <f t="shared" si="252"/>
        <v>-2</v>
      </c>
      <c r="K181">
        <f t="shared" si="252"/>
        <v>0</v>
      </c>
      <c r="L181">
        <f t="shared" si="252"/>
        <v>-2</v>
      </c>
      <c r="M181">
        <f t="shared" si="252"/>
        <v>0</v>
      </c>
      <c r="N181">
        <f t="shared" si="252"/>
        <v>0</v>
      </c>
      <c r="O181">
        <f t="shared" si="252"/>
        <v>-1</v>
      </c>
      <c r="P181">
        <f t="shared" si="252"/>
        <v>-2</v>
      </c>
      <c r="Q181">
        <f t="shared" si="252"/>
        <v>-2</v>
      </c>
      <c r="R181">
        <f t="shared" si="252"/>
        <v>0</v>
      </c>
      <c r="S181">
        <f t="shared" si="252"/>
        <v>-1</v>
      </c>
      <c r="T181">
        <f t="shared" si="252"/>
        <v>-1</v>
      </c>
      <c r="U181">
        <f t="shared" si="252"/>
        <v>-2</v>
      </c>
      <c r="V181">
        <f t="shared" si="252"/>
        <v>0</v>
      </c>
      <c r="W181">
        <f t="shared" si="252"/>
        <v>-2</v>
      </c>
      <c r="X181">
        <f t="shared" si="252"/>
        <v>-2</v>
      </c>
      <c r="Y181">
        <f t="shared" si="252"/>
        <v>-2</v>
      </c>
      <c r="Z181">
        <f t="shared" si="252"/>
        <v>0</v>
      </c>
      <c r="AA181">
        <f t="shared" si="252"/>
        <v>0</v>
      </c>
      <c r="AB181">
        <f t="shared" si="252"/>
        <v>-2</v>
      </c>
      <c r="AC181">
        <f t="shared" si="252"/>
        <v>-2</v>
      </c>
      <c r="AD181">
        <f t="shared" si="252"/>
        <v>-2</v>
      </c>
      <c r="AE181">
        <f t="shared" si="252"/>
        <v>-2</v>
      </c>
      <c r="AF181">
        <f t="shared" si="252"/>
        <v>-2</v>
      </c>
      <c r="AG181">
        <f t="shared" si="252"/>
        <v>-2</v>
      </c>
      <c r="AH181">
        <f t="shared" si="252"/>
        <v>-2</v>
      </c>
      <c r="AI181">
        <f t="shared" si="252"/>
        <v>-2</v>
      </c>
      <c r="AJ181">
        <f t="shared" si="252"/>
        <v>-2</v>
      </c>
      <c r="AK181">
        <f t="shared" si="252"/>
        <v>0</v>
      </c>
      <c r="AL181">
        <f t="shared" si="252"/>
        <v>-2</v>
      </c>
      <c r="AM181">
        <f t="shared" si="252"/>
        <v>-2</v>
      </c>
      <c r="AN181">
        <f t="shared" si="252"/>
        <v>-1</v>
      </c>
      <c r="AO181">
        <f t="shared" si="252"/>
        <v>0</v>
      </c>
      <c r="AP181">
        <f t="shared" si="252"/>
        <v>-2</v>
      </c>
      <c r="AQ181">
        <f t="shared" si="252"/>
        <v>-2</v>
      </c>
      <c r="AR181">
        <f t="shared" si="252"/>
        <v>-2</v>
      </c>
      <c r="AS181">
        <f t="shared" si="252"/>
        <v>-2</v>
      </c>
      <c r="AT181">
        <f t="shared" si="252"/>
        <v>-2</v>
      </c>
      <c r="AU181">
        <f t="shared" si="252"/>
        <v>-2</v>
      </c>
      <c r="AV181">
        <f t="shared" si="252"/>
        <v>-2</v>
      </c>
      <c r="AW181">
        <f t="shared" si="252"/>
        <v>0</v>
      </c>
      <c r="AX181">
        <f t="shared" si="252"/>
        <v>-2</v>
      </c>
      <c r="AY181">
        <f t="shared" si="252"/>
        <v>-2</v>
      </c>
      <c r="AZ181">
        <f t="shared" si="252"/>
        <v>-2</v>
      </c>
      <c r="BA181">
        <f t="shared" si="252"/>
        <v>-2</v>
      </c>
      <c r="BB181">
        <f t="shared" si="252"/>
        <v>-2</v>
      </c>
      <c r="BC181">
        <f t="shared" si="252"/>
        <v>-2</v>
      </c>
      <c r="BD181">
        <f t="shared" si="252"/>
        <v>-2</v>
      </c>
      <c r="BE181">
        <f t="shared" si="252"/>
        <v>-2</v>
      </c>
      <c r="BF181">
        <f t="shared" si="252"/>
        <v>-2</v>
      </c>
      <c r="BG181">
        <f t="shared" si="252"/>
        <v>-2</v>
      </c>
    </row>
    <row r="183" spans="3:59" x14ac:dyDescent="0.25">
      <c r="C183" t="s">
        <v>958</v>
      </c>
    </row>
    <row r="184" spans="3:59" x14ac:dyDescent="0.25">
      <c r="C184" t="s">
        <v>959</v>
      </c>
      <c r="D184" s="281" t="s">
        <v>298</v>
      </c>
      <c r="E184" s="226">
        <f>(Lookups!$N$6 - 1)  +  365 * (E172 -1)  +  _xlfn.FLOOR.MATH((E172 - 1) / 4)  -  _xlfn.FLOOR.MATH((E172 - 1) / 100)  +  _xlfn.FLOOR.MATH((E172 - 1) / 400) + _xlfn.FLOOR.MATH( (((367 * E173) - 362) / 12)+E181) + E174+E171</f>
        <v>2436116.31</v>
      </c>
      <c r="F184" s="226">
        <f>(Lookups!$N$6 - 1)  +  365 * (F172 -1)  +  _xlfn.FLOOR.MATH((F172 - 1) / 4)  -  _xlfn.FLOOR.MATH((F172 - 1) / 100)  +  _xlfn.FLOOR.MATH((F172 - 1) / 400) + _xlfn.FLOOR.MATH( (((367 * F173) - 362) / 12)+F181) + F174+F171</f>
        <v>1842712</v>
      </c>
      <c r="G184" s="226">
        <f>(Lookups!$N$6 - 1)  +  365 * (G172 -1)  +  _xlfn.FLOOR.MATH((G172 - 1) / 4)  -  _xlfn.FLOOR.MATH((G172 - 1) / 100)  +  _xlfn.FLOOR.MATH((G172 - 1) / 400) + _xlfn.FLOOR.MATH( (((367 * G173) - 362) / 12)+G181) + G174+G171</f>
        <v>2451545</v>
      </c>
      <c r="H184" s="226">
        <f>(Lookups!$N$6 - 1)  +  365 * (H172 -1)  +  _xlfn.FLOOR.MATH((H172 - 1) / 4)  -  _xlfn.FLOOR.MATH((H172 - 1) / 100)  +  _xlfn.FLOOR.MATH((H172 - 1) / 400) + _xlfn.FLOOR.MATH( (((367 * H173) - 362) / 12)+H181) + H174+H171</f>
        <v>2451179.5</v>
      </c>
      <c r="I184" s="226">
        <f>(Lookups!$N$6 - 1)  +  365 * (I172 -1)  +  _xlfn.FLOOR.MATH((I172 - 1) / 4)  -  _xlfn.FLOOR.MATH((I172 - 1) / 100)  +  _xlfn.FLOOR.MATH((I172 - 1) / 400) + _xlfn.FLOOR.MATH( (((367 * I173) - 362) / 12)+I181) + I174+I171</f>
        <v>2446822.5</v>
      </c>
      <c r="J184" s="226">
        <f>(Lookups!$N$6 - 1)  +  365 * (J172 -1)  +  _xlfn.FLOOR.MATH((J172 - 1) / 4)  -  _xlfn.FLOOR.MATH((J172 - 1) / 100)  +  _xlfn.FLOOR.MATH((J172 - 1) / 400) + _xlfn.FLOOR.MATH( (((367 * J173) - 362) / 12)+J181) + J174+J171</f>
        <v>2446966</v>
      </c>
      <c r="K184" s="226">
        <f>(Lookups!$N$6 - 1)  +  365 * (K172 -1)  +  _xlfn.FLOOR.MATH((K172 - 1) / 4)  -  _xlfn.FLOOR.MATH((K172 - 1) / 100)  +  _xlfn.FLOOR.MATH((K172 - 1) / 400) + _xlfn.FLOOR.MATH( (((367 * K173) - 362) / 12)+K181) + K174+K171</f>
        <v>2447187.5</v>
      </c>
      <c r="L184" s="226">
        <f>(Lookups!$N$6 - 1)  +  365 * (L172 -1)  +  _xlfn.FLOOR.MATH((L172 - 1) / 4)  -  _xlfn.FLOOR.MATH((L172 - 1) / 100)  +  _xlfn.FLOOR.MATH((L172 - 1) / 400) + _xlfn.FLOOR.MATH( (((367 * L173) - 362) / 12)+L181) + L174+L171</f>
        <v>2447331</v>
      </c>
      <c r="M184" s="226">
        <f>(Lookups!$N$6 - 1)  +  365 * (M172 -1)  +  _xlfn.FLOOR.MATH((M172 - 1) / 4)  -  _xlfn.FLOOR.MATH((M172 - 1) / 100)  +  _xlfn.FLOOR.MATH((M172 - 1) / 400) + _xlfn.FLOOR.MATH( (((367 * M173) - 362) / 12)+M181) + M174+M171</f>
        <v>2415020.500011574</v>
      </c>
      <c r="N184" s="226">
        <f>(Lookups!$N$6 - 1)  +  365 * (N172 -1)  +  _xlfn.FLOOR.MATH((N172 - 1) / 4)  -  _xlfn.FLOOR.MATH((N172 - 1) / 100)  +  _xlfn.FLOOR.MATH((N172 - 1) / 400) + _xlfn.FLOOR.MATH( (((367 * N173) - 362) / 12)+N181) + N174+N171</f>
        <v>2305447.5</v>
      </c>
      <c r="O184" s="226">
        <f>(Lookups!$N$6 - 1)  +  365 * (O172 -1)  +  _xlfn.FLOOR.MATH((O172 - 1) / 4)  -  _xlfn.FLOOR.MATH((O172 - 1) / 100)  +  _xlfn.FLOOR.MATH((O172 - 1) / 400) + _xlfn.FLOOR.MATH( (((367 * O173) - 362) / 12)+O181) + O174+O171</f>
        <v>2305812.5</v>
      </c>
      <c r="P184" s="226">
        <f>(Lookups!$N$6 - 1)  +  365 * (P172 -1)  +  _xlfn.FLOOR.MATH((P172 - 1) / 4)  -  _xlfn.FLOOR.MATH((P172 - 1) / 100)  +  _xlfn.FLOOR.MATH((P172 - 1) / 400) + _xlfn.FLOOR.MATH( (((367 * P173) - 362) / 12)+P181) + P174+P171</f>
        <v>2026867.8</v>
      </c>
      <c r="Q184" s="226">
        <f>(Lookups!$N$6 - 1)  +  365 * (Q172 -1)  +  _xlfn.FLOOR.MATH((Q172 - 1) / 4)  -  _xlfn.FLOOR.MATH((Q172 - 1) / 100)  +  _xlfn.FLOOR.MATH((Q172 - 1) / 400) + _xlfn.FLOOR.MATH( (((367 * Q173) - 362) / 12)+Q181) + Q174+Q171</f>
        <v>1676499.5</v>
      </c>
      <c r="R184" s="226">
        <f>(Lookups!$N$6 - 1)  +  365 * (R172 -1)  +  _xlfn.FLOOR.MATH((R172 - 1) / 4)  -  _xlfn.FLOOR.MATH((R172 - 1) / 100)  +  _xlfn.FLOOR.MATH((R172 - 1) / 400) + _xlfn.FLOOR.MATH( (((367 * R173) - 362) / 12)+R181) + R174+R171</f>
        <v>1676500.5</v>
      </c>
      <c r="S184" s="226">
        <f>(Lookups!$N$6 - 1)  +  365 * (S172 -1)  +  _xlfn.FLOOR.MATH((S172 - 1) / 4)  -  _xlfn.FLOOR.MATH((S172 - 1) / 100)  +  _xlfn.FLOOR.MATH((S172 - 1) / 400) + _xlfn.FLOOR.MATH( (((367 * S173) - 362) / 12)+S181) + S174+S171</f>
        <v>1356011</v>
      </c>
      <c r="T184" s="226">
        <f>(Lookups!$N$6 - 1)  +  365 * (T172 -1)  +  _xlfn.FLOOR.MATH((T172 - 1) / 4)  -  _xlfn.FLOOR.MATH((T172 - 1) / 100)  +  _xlfn.FLOOR.MATH((T172 - 1) / 400) + _xlfn.FLOOR.MATH( (((367 * T173) - 362) / 12)+T181) + T174+T171</f>
        <v>1355875.5</v>
      </c>
      <c r="U184" s="226">
        <f>(Lookups!$N$6 - 1)  +  365 * (U172 -1)  +  _xlfn.FLOOR.MATH((U172 - 1) / 4)  -  _xlfn.FLOOR.MATH((U172 - 1) / 100)  +  _xlfn.FLOOR.MATH((U172 - 1) / 400) + _xlfn.FLOOR.MATH( (((367 * U173) - 362) / 12)+U181) + U174+U171</f>
        <v>1355681.4</v>
      </c>
      <c r="V184" s="226">
        <f>(Lookups!$N$6 - 1)  +  365 * (V172 -1)  +  _xlfn.FLOOR.MATH((V172 - 1) / 4)  -  _xlfn.FLOOR.MATH((V172 - 1) / 100)  +  _xlfn.FLOOR.MATH((V172 - 1) / 400) + _xlfn.FLOOR.MATH( (((367 * V173) - 362) / 12)+V181) + V174+V171</f>
        <v>38</v>
      </c>
      <c r="W184" s="226">
        <f>(Lookups!$N$6 - 1)  +  365 * (W172 -1)  +  _xlfn.FLOOR.MATH((W172 - 1) / 4)  -  _xlfn.FLOOR.MATH((W172 - 1) / 100)  +  _xlfn.FLOOR.MATH((W172 - 1) / 400) + _xlfn.FLOOR.MATH( (((367 * W173) - 362) / 12)+W181) + W174+W171</f>
        <v>2446895.5</v>
      </c>
      <c r="X184" s="226">
        <f>(Lookups!$N$6 - 1)  +  365 * (X172 -1)  +  _xlfn.FLOOR.MATH((X172 - 1) / 4)  -  _xlfn.FLOOR.MATH((X172 - 1) / 100)  +  _xlfn.FLOOR.MATH((X172 - 1) / 400) + _xlfn.FLOOR.MATH( (((367 * X173) - 362) / 12)+X181) + X174+X171</f>
        <v>2448723.5</v>
      </c>
      <c r="Y184" s="226">
        <f>(Lookups!$N$6 - 1)  +  365 * (Y172 -1)  +  _xlfn.FLOOR.MATH((Y172 - 1) / 4)  -  _xlfn.FLOOR.MATH((Y172 - 1) / 100)  +  _xlfn.FLOOR.MATH((Y172 - 1) / 400) + _xlfn.FLOOR.MATH( (((367 * Y173) - 362) / 12)+Y181) + Y174+Y171</f>
        <v>2443187.5</v>
      </c>
      <c r="Z184" s="226">
        <f>(Lookups!$N$6 - 1)  +  365 * (Z172 -1)  +  _xlfn.FLOOR.MATH((Z172 - 1) / 4)  -  _xlfn.FLOOR.MATH((Z172 - 1) / 100)  +  _xlfn.FLOOR.MATH((Z172 - 1) / 400) + _xlfn.FLOOR.MATH( (((367 * Z173) - 362) / 12)+Z181) + Z174+Z171</f>
        <v>2467615.5</v>
      </c>
      <c r="AA184" s="226">
        <f>(Lookups!$N$6 - 1)  +  365 * (AA172 -1)  +  _xlfn.FLOOR.MATH((AA172 - 1) / 4)  -  _xlfn.FLOOR.MATH((AA172 - 1) / 100)  +  _xlfn.FLOOR.MATH((AA172 - 1) / 400) + _xlfn.FLOOR.MATH( (((367 * AA173) - 362) / 12)+AA181) + AA174+AA171</f>
        <v>2451544.5</v>
      </c>
      <c r="AB184" s="226">
        <f>(Lookups!$N$6 - 1)  +  365 * (AB172 -1)  +  _xlfn.FLOOR.MATH((AB172 - 1) / 4)  -  _xlfn.FLOOR.MATH((AB172 - 1) / 100)  +  _xlfn.FLOOR.MATH((AB172 - 1) / 400) + _xlfn.FLOOR.MATH( (((367 * AB173) - 362) / 12)+AB181) + AB174+AB171</f>
        <v>2434923.5</v>
      </c>
      <c r="AC184" s="226">
        <f>(Lookups!$N$6 - 1)  +  365 * (AC172 -1)  +  _xlfn.FLOOR.MATH((AC172 - 1) / 4)  -  _xlfn.FLOOR.MATH((AC172 - 1) / 100)  +  _xlfn.FLOOR.MATH((AC172 - 1) / 400) + _xlfn.FLOOR.MATH( (((367 * AC173) - 362) / 12)+AC181) + AC174+AC171</f>
        <v>2443826.5</v>
      </c>
      <c r="AD184" s="226">
        <f>(Lookups!$N$6 - 1)  +  365 * (AD172 -1)  +  _xlfn.FLOOR.MATH((AD172 - 1) / 4)  -  _xlfn.FLOOR.MATH((AD172 - 1) / 100)  +  _xlfn.FLOOR.MATH((AD172 - 1) / 400) + _xlfn.FLOOR.MATH( (((367 * AD173) - 362) / 12)+AD181) + AD174+AD171</f>
        <v>2447272.5</v>
      </c>
      <c r="AE184" s="226">
        <f>(Lookups!$N$6 - 1)  +  365 * (AE172 -1)  +  _xlfn.FLOOR.MATH((AE172 - 1) / 4)  -  _xlfn.FLOOR.MATH((AE172 - 1) / 100)  +  _xlfn.FLOOR.MATH((AE172 - 1) / 400) + _xlfn.FLOOR.MATH( (((367 * AE173) - 362) / 12)+AE181) + AE174+AE171</f>
        <v>2443190.6511574076</v>
      </c>
      <c r="AF184" s="226">
        <f>(Lookups!$N$6 - 1)  +  365 * (AF172 -1)  +  _xlfn.FLOOR.MATH((AF172 - 1) / 4)  -  _xlfn.FLOOR.MATH((AF172 - 1) / 100)  +  _xlfn.FLOOR.MATH((AF172 - 1) / 400) + _xlfn.FLOOR.MATH( (((367 * AF173) - 362) / 12)+AF181) + AF174+AF171</f>
        <v>2448975.5</v>
      </c>
      <c r="AG184" s="226">
        <f>(Lookups!$N$6 - 1)  +  365 * (AG172 -1)  +  _xlfn.FLOOR.MATH((AG172 - 1) / 4)  -  _xlfn.FLOOR.MATH((AG172 - 1) / 100)  +  _xlfn.FLOOR.MATH((AG172 - 1) / 400) + _xlfn.FLOOR.MATH( (((367 * AG173) - 362) / 12)+AG181) + AG174+AG171</f>
        <v>2448907.5</v>
      </c>
      <c r="AH184" s="226">
        <f>(Lookups!$N$6 - 1)  +  365 * (AH172 -1)  +  _xlfn.FLOOR.MATH((AH172 - 1) / 4)  -  _xlfn.FLOOR.MATH((AH172 - 1) / 100)  +  _xlfn.FLOOR.MATH((AH172 - 1) / 400) + _xlfn.FLOOR.MATH( (((367 * AH173) - 362) / 12)+AH181) + AH174+AH171</f>
        <v>2448316.5</v>
      </c>
      <c r="AI184" s="226">
        <f>(Lookups!$N$6 - 1)  +  365 * (AI172 -1)  +  _xlfn.FLOOR.MATH((AI172 - 1) / 4)  -  _xlfn.FLOOR.MATH((AI172 - 1) / 100)  +  _xlfn.FLOOR.MATH((AI172 - 1) / 400) + _xlfn.FLOOR.MATH( (((367 * AI173) - 362) / 12)+AI181) + AI174+AI171</f>
        <v>2448712.5</v>
      </c>
      <c r="AJ184" s="226">
        <f>(Lookups!$N$6 - 1)  +  365 * (AJ172 -1)  +  _xlfn.FLOOR.MATH((AJ172 - 1) / 4)  -  _xlfn.FLOOR.MATH((AJ172 - 1) / 100)  +  _xlfn.FLOOR.MATH((AJ172 - 1) / 400) + _xlfn.FLOOR.MATH( (((367 * AJ173) - 362) / 12)+AJ181) + AJ174+AJ171</f>
        <v>2449108.5</v>
      </c>
      <c r="AK184" s="226">
        <f>(Lookups!$N$6 - 1)  +  365 * (AK172 -1)  +  _xlfn.FLOOR.MATH((AK172 - 1) / 4)  -  _xlfn.FLOOR.MATH((AK172 - 1) / 100)  +  _xlfn.FLOOR.MATH((AK172 - 1) / 400) + _xlfn.FLOOR.MATH( (((367 * AK173) - 362) / 12)+AK181) + AK174+AK171</f>
        <v>2385070.5</v>
      </c>
      <c r="AL184" s="226">
        <f>(Lookups!$N$6 - 1)  +  365 * (AL172 -1)  +  _xlfn.FLOOR.MATH((AL172 - 1) / 4)  -  _xlfn.FLOOR.MATH((AL172 - 1) / 100)  +  _xlfn.FLOOR.MATH((AL172 - 1) / 400) + _xlfn.FLOOR.MATH( (((367 * AL173) - 362) / 12)+AL181) + AL174+AL171</f>
        <v>2448154.5</v>
      </c>
      <c r="AM184" s="226">
        <f>(Lookups!$N$6 - 1)  +  365 * (AM172 -1)  +  _xlfn.FLOOR.MATH((AM172 - 1) / 4)  -  _xlfn.FLOOR.MATH((AM172 - 1) / 100)  +  _xlfn.FLOOR.MATH((AM172 - 1) / 400) + _xlfn.FLOOR.MATH( (((367 * AM173) - 362) / 12)+AM181) + AM174+AM171</f>
        <v>1948436.5</v>
      </c>
      <c r="AN184" s="226">
        <f>(Lookups!$N$6 - 1)  +  365 * (AN172 -1)  +  _xlfn.FLOOR.MATH((AN172 - 1) / 4)  -  _xlfn.FLOOR.MATH((AN172 - 1) / 100)  +  _xlfn.FLOOR.MATH((AN172 - 1) / 400) + _xlfn.FLOOR.MATH( (((367 * AN173) - 362) / 12)+AN181) + AN174+AN171</f>
        <v>2451640.5</v>
      </c>
      <c r="AO184" s="226">
        <f>(Lookups!$N$6 - 1)  +  365 * (AO172 -1)  +  _xlfn.FLOOR.MATH((AO172 - 1) / 4)  -  _xlfn.FLOOR.MATH((AO172 - 1) / 100)  +  _xlfn.FLOOR.MATH((AO172 - 1) / 400) + _xlfn.FLOOR.MATH( (((367 * AO173) - 362) / 12)+AO181) + AO174+AO171</f>
        <v>1721427.5</v>
      </c>
      <c r="AP184" s="226">
        <f>(Lookups!$N$6 - 1)  +  365 * (AP172 -1)  +  _xlfn.FLOOR.MATH((AP172 - 1) / 4)  -  _xlfn.FLOOR.MATH((AP172 - 1) / 100)  +  _xlfn.FLOOR.MATH((AP172 - 1) / 400) + _xlfn.FLOOR.MATH( (((367 * AP173) - 362) / 12)+AP181) + AP174+AP171</f>
        <v>2459848.0791666666</v>
      </c>
      <c r="AQ184" s="226">
        <f>(Lookups!$N$6 - 1)  +  365 * (AQ172 -1)  +  _xlfn.FLOOR.MATH((AQ172 - 1) / 4)  -  _xlfn.FLOOR.MATH((AQ172 - 1) / 100)  +  _xlfn.FLOOR.MATH((AQ172 - 1) / 400) + _xlfn.FLOOR.MATH( (((367 * AQ173) - 362) / 12)+AQ181) + AQ174+AQ171</f>
        <v>2459855.1347222221</v>
      </c>
      <c r="AR184" s="226">
        <f>(Lookups!$N$6 - 1)  +  365 * (AR172 -1)  +  _xlfn.FLOOR.MATH((AR172 - 1) / 4)  -  _xlfn.FLOOR.MATH((AR172 - 1) / 100)  +  _xlfn.FLOOR.MATH((AR172 - 1) / 400) + _xlfn.FLOOR.MATH( (((367 * AR173) - 362) / 12)+AR181) + AR174+AR171</f>
        <v>2459862.0375000001</v>
      </c>
      <c r="AS184" s="226">
        <f>(Lookups!$N$6 - 1)  +  365 * (AS172 -1)  +  _xlfn.FLOOR.MATH((AS172 - 1) / 4)  -  _xlfn.FLOOR.MATH((AS172 - 1) / 100)  +  _xlfn.FLOOR.MATH((AS172 - 1) / 400) + _xlfn.FLOOR.MATH( (((367 * AS173) - 362) / 12)+AS181) + AS174+AS171</f>
        <v>2459869.84375</v>
      </c>
      <c r="AT184" s="226">
        <f>(Lookups!$N$6 - 1)  +  365 * (AT172 -1)  +  _xlfn.FLOOR.MATH((AT172 - 1) / 4)  -  _xlfn.FLOOR.MATH((AT172 - 1) / 100)  +  _xlfn.FLOOR.MATH((AT172 - 1) / 400) + _xlfn.FLOOR.MATH( (((367 * AT173) - 362) / 12)+AT181) + AT174+AT171</f>
        <v>2459884.5</v>
      </c>
      <c r="AU184" s="226">
        <f>(Lookups!$N$6 - 1)  +  365 * (AU172 -1)  +  _xlfn.FLOOR.MATH((AU172 - 1) / 4)  -  _xlfn.FLOOR.MATH((AU172 - 1) / 100)  +  _xlfn.FLOOR.MATH((AU172 - 1) / 400) + _xlfn.FLOOR.MATH( (((367 * AU173) - 362) / 12)+AU181) + AU174+AU171</f>
        <v>2441834.5</v>
      </c>
      <c r="AV184" s="226">
        <f>(Lookups!$N$6 - 1)  +  365 * (AV172 -1)  +  _xlfn.FLOOR.MATH((AV172 - 1) / 4)  -  _xlfn.FLOOR.MATH((AV172 - 1) / 100)  +  _xlfn.FLOOR.MATH((AV172 - 1) / 400) + _xlfn.FLOOR.MATH( (((367 * AV173) - 362) / 12)+AV181) + AV174+AV171</f>
        <v>2450692.5</v>
      </c>
      <c r="AW184" s="226">
        <f>(Lookups!$N$6 - 1)  +  365 * (AW172 -1)  +  _xlfn.FLOOR.MATH((AW172 - 1) / 4)  -  _xlfn.FLOOR.MATH((AW172 - 1) / 100)  +  _xlfn.FLOOR.MATH((AW172 - 1) / 400) + _xlfn.FLOOR.MATH( (((367 * AW173) - 362) / 12)+AW181) + AW174+AW171</f>
        <v>2427807.5</v>
      </c>
      <c r="AX184" s="226">
        <f>(Lookups!$N$6 - 1)  +  365 * (AX172 -1)  +  _xlfn.FLOOR.MATH((AX172 - 1) / 4)  -  _xlfn.FLOOR.MATH((AX172 - 1) / 100)  +  _xlfn.FLOOR.MATH((AX172 - 1) / 400) + _xlfn.FLOOR.MATH( (((367 * AX173) - 362) / 12)+AX181) + AX174+AX171</f>
        <v>2435943.5</v>
      </c>
      <c r="AY184" s="226">
        <f>(Lookups!$N$6 - 1)  +  365 * (AY172 -1)  +  _xlfn.FLOOR.MATH((AY172 - 1) / 4)  -  _xlfn.FLOOR.MATH((AY172 - 1) / 100)  +  _xlfn.FLOOR.MATH((AY172 - 1) / 400) + _xlfn.FLOOR.MATH( (((367 * AY173) - 362) / 12)+AY181) + AY174+AY171</f>
        <v>2459914.5</v>
      </c>
      <c r="AZ184" s="226">
        <f>(Lookups!$N$6 - 1)  +  365 * (AZ172 -1)  +  _xlfn.FLOOR.MATH((AZ172 - 1) / 4)  -  _xlfn.FLOOR.MATH((AZ172 - 1) / 100)  +  _xlfn.FLOOR.MATH((AZ172 - 1) / 400) + _xlfn.FLOOR.MATH( (((367 * AZ173) - 362) / 12)+AZ181) + AZ174+AZ171</f>
        <v>2459915.5</v>
      </c>
      <c r="BA184" s="226">
        <f>(Lookups!$N$6 - 1)  +  365 * (BA172 -1)  +  _xlfn.FLOOR.MATH((BA172 - 1) / 4)  -  _xlfn.FLOOR.MATH((BA172 - 1) / 100)  +  _xlfn.FLOOR.MATH((BA172 - 1) / 400) + _xlfn.FLOOR.MATH( (((367 * BA173) - 362) / 12)+BA181) + BA174+BA171</f>
        <v>2459916.5</v>
      </c>
      <c r="BB184" s="226">
        <f>(Lookups!$N$6 - 1)  +  365 * (BB172 -1)  +  _xlfn.FLOOR.MATH((BB172 - 1) / 4)  -  _xlfn.FLOOR.MATH((BB172 - 1) / 100)  +  _xlfn.FLOOR.MATH((BB172 - 1) / 400) + _xlfn.FLOOR.MATH( (((367 * BB173) - 362) / 12)+BB181) + BB174+BB171</f>
        <v>2459917.5</v>
      </c>
      <c r="BC184" s="226">
        <f>(Lookups!$N$6 - 1)  +  365 * (BC172 -1)  +  _xlfn.FLOOR.MATH((BC172 - 1) / 4)  -  _xlfn.FLOOR.MATH((BC172 - 1) / 100)  +  _xlfn.FLOOR.MATH((BC172 - 1) / 400) + _xlfn.FLOOR.MATH( (((367 * BC173) - 362) / 12)+BC181) + BC174+BC171</f>
        <v>2459918.5</v>
      </c>
      <c r="BD184" s="226">
        <f>(Lookups!$N$6 - 1)  +  365 * (BD172 -1)  +  _xlfn.FLOOR.MATH((BD172 - 1) / 4)  -  _xlfn.FLOOR.MATH((BD172 - 1) / 100)  +  _xlfn.FLOOR.MATH((BD172 - 1) / 400) + _xlfn.FLOOR.MATH( (((367 * BD173) - 362) / 12)+BD181) + BD174+BD171</f>
        <v>2459919.5</v>
      </c>
      <c r="BE184" s="226">
        <f>(Lookups!$N$6 - 1)  +  365 * (BE172 -1)  +  _xlfn.FLOOR.MATH((BE172 - 1) / 4)  -  _xlfn.FLOOR.MATH((BE172 - 1) / 100)  +  _xlfn.FLOOR.MATH((BE172 - 1) / 400) + _xlfn.FLOOR.MATH( (((367 * BE173) - 362) / 12)+BE181) + BE174+BE171</f>
        <v>2459920.5</v>
      </c>
      <c r="BF184" s="226">
        <f>(Lookups!$N$6 - 1)  +  365 * (BF172 -1)  +  _xlfn.FLOOR.MATH((BF172 - 1) / 4)  -  _xlfn.FLOOR.MATH((BF172 - 1) / 100)  +  _xlfn.FLOOR.MATH((BF172 - 1) / 400) + _xlfn.FLOOR.MATH( (((367 * BF173) - 362) / 12)+BF181) + BF174+BF171</f>
        <v>2459921.5</v>
      </c>
      <c r="BG184" s="226">
        <f>(Lookups!$N$6 - 1)  +  365 * (BG172 -1)  +  _xlfn.FLOOR.MATH((BG172 - 1) / 4)  -  _xlfn.FLOOR.MATH((BG172 - 1) / 100)  +  _xlfn.FLOOR.MATH((BG172 - 1) / 400) + _xlfn.FLOOR.MATH( (((367 * BG173) - 362) / 12)+BG181) + BG174+BG171</f>
        <v>2443190.5</v>
      </c>
    </row>
    <row r="185" spans="3:59" x14ac:dyDescent="0.25">
      <c r="C185" t="s">
        <v>960</v>
      </c>
      <c r="D185" s="19" t="s">
        <v>1015</v>
      </c>
      <c r="E185" s="1">
        <f t="shared" ref="E185:AJ185" si="253">ROUND(E184,2)-ROUND(E170,2)</f>
        <v>0</v>
      </c>
      <c r="F185" s="1">
        <f t="shared" si="253"/>
        <v>-1</v>
      </c>
      <c r="G185" s="1">
        <f t="shared" si="253"/>
        <v>0</v>
      </c>
      <c r="H185" s="1">
        <f t="shared" si="253"/>
        <v>0</v>
      </c>
      <c r="I185" s="1">
        <f t="shared" si="253"/>
        <v>0</v>
      </c>
      <c r="J185" s="1">
        <f t="shared" si="253"/>
        <v>0</v>
      </c>
      <c r="K185" s="1">
        <f t="shared" si="253"/>
        <v>0</v>
      </c>
      <c r="L185" s="1">
        <f t="shared" si="253"/>
        <v>-1</v>
      </c>
      <c r="M185" s="1">
        <f t="shared" si="253"/>
        <v>0</v>
      </c>
      <c r="N185" s="1">
        <f t="shared" si="253"/>
        <v>0</v>
      </c>
      <c r="O185" s="1">
        <f t="shared" si="253"/>
        <v>0</v>
      </c>
      <c r="P185" s="1">
        <f t="shared" si="253"/>
        <v>-4</v>
      </c>
      <c r="Q185" s="1">
        <f t="shared" si="253"/>
        <v>3</v>
      </c>
      <c r="R185" s="1">
        <f t="shared" si="253"/>
        <v>3</v>
      </c>
      <c r="S185" s="1">
        <f t="shared" si="253"/>
        <v>10</v>
      </c>
      <c r="T185" s="1">
        <f t="shared" si="253"/>
        <v>9</v>
      </c>
      <c r="U185" s="1">
        <f t="shared" si="253"/>
        <v>10</v>
      </c>
      <c r="V185" s="1">
        <f t="shared" si="253"/>
        <v>38</v>
      </c>
      <c r="W185" s="1">
        <f t="shared" si="253"/>
        <v>0</v>
      </c>
      <c r="X185" s="1">
        <f t="shared" si="253"/>
        <v>-1</v>
      </c>
      <c r="Y185" s="1">
        <f t="shared" si="253"/>
        <v>-2</v>
      </c>
      <c r="Z185" s="1">
        <f t="shared" si="253"/>
        <v>0</v>
      </c>
      <c r="AA185" s="1">
        <f t="shared" si="253"/>
        <v>0</v>
      </c>
      <c r="AB185" s="1">
        <f t="shared" si="253"/>
        <v>0</v>
      </c>
      <c r="AC185" s="1">
        <f t="shared" si="253"/>
        <v>0</v>
      </c>
      <c r="AD185" s="1">
        <f t="shared" si="253"/>
        <v>-1</v>
      </c>
      <c r="AE185" s="1">
        <f t="shared" si="253"/>
        <v>-2</v>
      </c>
      <c r="AF185" s="1">
        <f t="shared" si="253"/>
        <v>-1</v>
      </c>
      <c r="AG185" s="1">
        <f t="shared" si="253"/>
        <v>-1</v>
      </c>
      <c r="AH185" s="1">
        <f t="shared" si="253"/>
        <v>0</v>
      </c>
      <c r="AI185" s="1">
        <f t="shared" si="253"/>
        <v>-1</v>
      </c>
      <c r="AJ185" s="1">
        <f t="shared" si="253"/>
        <v>0</v>
      </c>
      <c r="AK185" s="1">
        <f t="shared" ref="AK185:BG185" si="254">ROUND(AK184,2)-ROUND(AK170,2)</f>
        <v>0</v>
      </c>
      <c r="AL185" s="1">
        <f t="shared" si="254"/>
        <v>0</v>
      </c>
      <c r="AM185" s="1">
        <f t="shared" si="254"/>
        <v>-3</v>
      </c>
      <c r="AN185" s="1">
        <f t="shared" si="254"/>
        <v>0</v>
      </c>
      <c r="AO185" s="1">
        <f t="shared" si="254"/>
        <v>2</v>
      </c>
      <c r="AP185" s="1">
        <f t="shared" si="254"/>
        <v>0</v>
      </c>
      <c r="AQ185" s="1">
        <f t="shared" si="254"/>
        <v>0</v>
      </c>
      <c r="AR185" s="1">
        <f t="shared" si="254"/>
        <v>0</v>
      </c>
      <c r="AS185" s="1">
        <f t="shared" si="254"/>
        <v>0</v>
      </c>
      <c r="AT185" s="1">
        <f t="shared" si="254"/>
        <v>0</v>
      </c>
      <c r="AU185" s="1">
        <f t="shared" si="254"/>
        <v>0</v>
      </c>
      <c r="AV185" s="1">
        <f t="shared" si="254"/>
        <v>0</v>
      </c>
      <c r="AW185" s="1">
        <f t="shared" si="254"/>
        <v>0</v>
      </c>
      <c r="AX185" s="1">
        <f t="shared" si="254"/>
        <v>0</v>
      </c>
      <c r="AY185" s="1">
        <f t="shared" si="254"/>
        <v>0</v>
      </c>
      <c r="AZ185" s="1">
        <f t="shared" si="254"/>
        <v>0</v>
      </c>
      <c r="BA185" s="1">
        <f t="shared" si="254"/>
        <v>0</v>
      </c>
      <c r="BB185" s="1">
        <f t="shared" si="254"/>
        <v>0</v>
      </c>
      <c r="BC185" s="1">
        <f t="shared" si="254"/>
        <v>0</v>
      </c>
      <c r="BD185" s="1">
        <f t="shared" si="254"/>
        <v>0</v>
      </c>
      <c r="BE185" s="1">
        <f t="shared" si="254"/>
        <v>0</v>
      </c>
      <c r="BF185" s="1">
        <f t="shared" si="254"/>
        <v>0</v>
      </c>
      <c r="BG185" s="1">
        <f t="shared" si="254"/>
        <v>-2</v>
      </c>
    </row>
    <row r="187" spans="3:59" x14ac:dyDescent="0.25">
      <c r="C187" t="s">
        <v>962</v>
      </c>
      <c r="D187" s="7" t="s">
        <v>961</v>
      </c>
      <c r="E187" s="1">
        <f>_xlfn.FLOOR.MATH(E184+0.5)-0.5</f>
        <v>2436115.5</v>
      </c>
      <c r="F187" s="1">
        <f t="shared" ref="F187:BG187" si="255">_xlfn.FLOOR.MATH(F184+0.5)-0.5</f>
        <v>1842711.5</v>
      </c>
      <c r="G187" s="1">
        <f t="shared" si="255"/>
        <v>2451544.5</v>
      </c>
      <c r="H187" s="1">
        <f t="shared" si="255"/>
        <v>2451179.5</v>
      </c>
      <c r="I187" s="1">
        <f t="shared" si="255"/>
        <v>2446822.5</v>
      </c>
      <c r="J187" s="1">
        <f t="shared" si="255"/>
        <v>2446965.5</v>
      </c>
      <c r="K187" s="1">
        <f t="shared" si="255"/>
        <v>2447187.5</v>
      </c>
      <c r="L187" s="1">
        <f t="shared" si="255"/>
        <v>2447330.5</v>
      </c>
      <c r="M187" s="1">
        <f t="shared" si="255"/>
        <v>2415020.5</v>
      </c>
      <c r="N187" s="1">
        <f t="shared" si="255"/>
        <v>2305447.5</v>
      </c>
      <c r="O187" s="1">
        <f t="shared" si="255"/>
        <v>2305812.5</v>
      </c>
      <c r="P187" s="1">
        <f t="shared" si="255"/>
        <v>2026867.5</v>
      </c>
      <c r="Q187" s="1">
        <f t="shared" si="255"/>
        <v>1676499.5</v>
      </c>
      <c r="R187" s="1">
        <f t="shared" si="255"/>
        <v>1676500.5</v>
      </c>
      <c r="S187" s="1">
        <f t="shared" si="255"/>
        <v>1356010.5</v>
      </c>
      <c r="T187" s="1">
        <f t="shared" si="255"/>
        <v>1355875.5</v>
      </c>
      <c r="U187" s="1">
        <f t="shared" si="255"/>
        <v>1355680.5</v>
      </c>
      <c r="V187" s="1">
        <f t="shared" si="255"/>
        <v>37.5</v>
      </c>
      <c r="W187" s="1">
        <f t="shared" si="255"/>
        <v>2446895.5</v>
      </c>
      <c r="X187" s="1">
        <f t="shared" si="255"/>
        <v>2448723.5</v>
      </c>
      <c r="Y187" s="1">
        <f t="shared" si="255"/>
        <v>2443187.5</v>
      </c>
      <c r="Z187" s="1">
        <f t="shared" si="255"/>
        <v>2467615.5</v>
      </c>
      <c r="AA187" s="1">
        <f t="shared" si="255"/>
        <v>2451544.5</v>
      </c>
      <c r="AB187" s="1">
        <f t="shared" si="255"/>
        <v>2434923.5</v>
      </c>
      <c r="AC187" s="1">
        <f t="shared" si="255"/>
        <v>2443826.5</v>
      </c>
      <c r="AD187" s="1">
        <f t="shared" si="255"/>
        <v>2447272.5</v>
      </c>
      <c r="AE187" s="1">
        <f t="shared" si="255"/>
        <v>2443190.5</v>
      </c>
      <c r="AF187" s="1">
        <f t="shared" si="255"/>
        <v>2448975.5</v>
      </c>
      <c r="AG187" s="1">
        <f t="shared" si="255"/>
        <v>2448907.5</v>
      </c>
      <c r="AH187" s="1">
        <f t="shared" si="255"/>
        <v>2448316.5</v>
      </c>
      <c r="AI187" s="1">
        <f t="shared" si="255"/>
        <v>2448712.5</v>
      </c>
      <c r="AJ187" s="1">
        <f t="shared" si="255"/>
        <v>2449108.5</v>
      </c>
      <c r="AK187" s="1">
        <f t="shared" si="255"/>
        <v>2385070.5</v>
      </c>
      <c r="AL187" s="1">
        <f t="shared" si="255"/>
        <v>2448154.5</v>
      </c>
      <c r="AM187" s="1">
        <f t="shared" si="255"/>
        <v>1948436.5</v>
      </c>
      <c r="AN187" s="1">
        <f t="shared" si="255"/>
        <v>2451640.5</v>
      </c>
      <c r="AO187" s="1">
        <f t="shared" si="255"/>
        <v>1721427.5</v>
      </c>
      <c r="AP187" s="1">
        <f t="shared" si="255"/>
        <v>2459847.5</v>
      </c>
      <c r="AQ187" s="1">
        <f t="shared" si="255"/>
        <v>2459854.5</v>
      </c>
      <c r="AR187" s="1">
        <f t="shared" si="255"/>
        <v>2459861.5</v>
      </c>
      <c r="AS187" s="1">
        <f t="shared" si="255"/>
        <v>2459869.5</v>
      </c>
      <c r="AT187" s="1">
        <f t="shared" si="255"/>
        <v>2459884.5</v>
      </c>
      <c r="AU187" s="1">
        <f t="shared" si="255"/>
        <v>2441834.5</v>
      </c>
      <c r="AV187" s="1">
        <f t="shared" si="255"/>
        <v>2450692.5</v>
      </c>
      <c r="AW187" s="1">
        <f t="shared" si="255"/>
        <v>2427807.5</v>
      </c>
      <c r="AX187" s="1">
        <f t="shared" si="255"/>
        <v>2435943.5</v>
      </c>
      <c r="AY187" s="1">
        <f t="shared" si="255"/>
        <v>2459914.5</v>
      </c>
      <c r="AZ187" s="1">
        <f t="shared" si="255"/>
        <v>2459915.5</v>
      </c>
      <c r="BA187" s="1">
        <f t="shared" si="255"/>
        <v>2459916.5</v>
      </c>
      <c r="BB187" s="1">
        <f t="shared" si="255"/>
        <v>2459917.5</v>
      </c>
      <c r="BC187" s="1">
        <f t="shared" si="255"/>
        <v>2459918.5</v>
      </c>
      <c r="BD187" s="1">
        <f t="shared" si="255"/>
        <v>2459919.5</v>
      </c>
      <c r="BE187" s="1">
        <f t="shared" si="255"/>
        <v>2459920.5</v>
      </c>
      <c r="BF187" s="1">
        <f t="shared" si="255"/>
        <v>2459921.5</v>
      </c>
      <c r="BG187" s="1">
        <f t="shared" si="255"/>
        <v>2443190.5</v>
      </c>
    </row>
    <row r="188" spans="3:59" x14ac:dyDescent="0.25">
      <c r="C188" t="s">
        <v>963</v>
      </c>
      <c r="D188" s="7" t="s">
        <v>964</v>
      </c>
      <c r="E188" s="1">
        <f>E187-Lookups!$N$6</f>
        <v>714690</v>
      </c>
      <c r="F188" s="1">
        <f>F187-Lookups!$N$6</f>
        <v>121286</v>
      </c>
      <c r="G188" s="1">
        <f>G187-Lookups!$N$6</f>
        <v>730119</v>
      </c>
      <c r="H188" s="1">
        <f>H187-Lookups!$N$6</f>
        <v>729754</v>
      </c>
      <c r="I188" s="1">
        <f>I187-Lookups!$N$6</f>
        <v>725397</v>
      </c>
      <c r="J188" s="1">
        <f>J187-Lookups!$N$6</f>
        <v>725540</v>
      </c>
      <c r="K188" s="1">
        <f>K187-Lookups!$N$6</f>
        <v>725762</v>
      </c>
      <c r="L188" s="1">
        <f>L187-Lookups!$N$6</f>
        <v>725905</v>
      </c>
      <c r="M188" s="1">
        <f>M187-Lookups!$N$6</f>
        <v>693595</v>
      </c>
      <c r="N188" s="1">
        <f>N187-Lookups!$N$6</f>
        <v>584022</v>
      </c>
      <c r="O188" s="1">
        <f>O187-Lookups!$N$6</f>
        <v>584387</v>
      </c>
      <c r="P188" s="1">
        <f>P187-Lookups!$N$6</f>
        <v>305442</v>
      </c>
      <c r="Q188" s="1">
        <f>Q187-Lookups!$N$6</f>
        <v>-44926</v>
      </c>
      <c r="R188" s="1">
        <f>R187-Lookups!$N$6</f>
        <v>-44925</v>
      </c>
      <c r="S188" s="1">
        <f>S187-Lookups!$N$6</f>
        <v>-365415</v>
      </c>
      <c r="T188" s="1">
        <f>T187-Lookups!$N$6</f>
        <v>-365550</v>
      </c>
      <c r="U188" s="1">
        <f>U187-Lookups!$N$6</f>
        <v>-365745</v>
      </c>
      <c r="V188" s="1">
        <f>V187-Lookups!$N$6</f>
        <v>-1721388</v>
      </c>
      <c r="W188" s="1">
        <f>W187-Lookups!$N$6</f>
        <v>725470</v>
      </c>
      <c r="X188" s="1">
        <f>X187-Lookups!$N$6</f>
        <v>727298</v>
      </c>
      <c r="Y188" s="1">
        <f>Y187-Lookups!$N$6</f>
        <v>721762</v>
      </c>
      <c r="Z188" s="1">
        <f>Z187-Lookups!$N$6</f>
        <v>746190</v>
      </c>
      <c r="AA188" s="1">
        <f>AA187-Lookups!$N$6</f>
        <v>730119</v>
      </c>
      <c r="AB188" s="1">
        <f>AB187-Lookups!$N$6</f>
        <v>713498</v>
      </c>
      <c r="AC188" s="1">
        <f>AC187-Lookups!$N$6</f>
        <v>722401</v>
      </c>
      <c r="AD188" s="1">
        <f>AD187-Lookups!$N$6</f>
        <v>725847</v>
      </c>
      <c r="AE188" s="1">
        <f>AE187-Lookups!$N$6</f>
        <v>721765</v>
      </c>
      <c r="AF188" s="1">
        <f>AF187-Lookups!$N$6</f>
        <v>727550</v>
      </c>
      <c r="AG188" s="1">
        <f>AG187-Lookups!$N$6</f>
        <v>727482</v>
      </c>
      <c r="AH188" s="1">
        <f>AH187-Lookups!$N$6</f>
        <v>726891</v>
      </c>
      <c r="AI188" s="1">
        <f>AI187-Lookups!$N$6</f>
        <v>727287</v>
      </c>
      <c r="AJ188" s="1">
        <f>AJ187-Lookups!$N$6</f>
        <v>727683</v>
      </c>
      <c r="AK188" s="1">
        <f>AK187-Lookups!$N$6</f>
        <v>663645</v>
      </c>
      <c r="AL188" s="1">
        <f>AL187-Lookups!$N$6</f>
        <v>726729</v>
      </c>
      <c r="AM188" s="1">
        <f>AM187-Lookups!$N$6</f>
        <v>227011</v>
      </c>
      <c r="AN188" s="1">
        <f>AN187-Lookups!$N$6</f>
        <v>730215</v>
      </c>
      <c r="AO188" s="1">
        <f>AO187-Lookups!$N$6</f>
        <v>2</v>
      </c>
      <c r="AP188" s="1">
        <f>AP187-Lookups!$N$6</f>
        <v>738422</v>
      </c>
      <c r="AQ188" s="1">
        <f>AQ187-Lookups!$N$6</f>
        <v>738429</v>
      </c>
      <c r="AR188" s="1">
        <f>AR187-Lookups!$N$6</f>
        <v>738436</v>
      </c>
      <c r="AS188" s="1">
        <f>AS187-Lookups!$N$6</f>
        <v>738444</v>
      </c>
      <c r="AT188" s="1">
        <f>AT187-Lookups!$N$6</f>
        <v>738459</v>
      </c>
      <c r="AU188" s="1">
        <f>AU187-Lookups!$N$6</f>
        <v>720409</v>
      </c>
      <c r="AV188" s="1">
        <f>AV187-Lookups!$N$6</f>
        <v>729267</v>
      </c>
      <c r="AW188" s="1">
        <f>AW187-Lookups!$N$6</f>
        <v>706382</v>
      </c>
      <c r="AX188" s="1">
        <f>AX187-Lookups!$N$6</f>
        <v>714518</v>
      </c>
      <c r="AY188" s="1">
        <f>AY187-Lookups!$N$6</f>
        <v>738489</v>
      </c>
      <c r="AZ188" s="1">
        <f>AZ187-Lookups!$N$6</f>
        <v>738490</v>
      </c>
      <c r="BA188" s="1">
        <f>BA187-Lookups!$N$6</f>
        <v>738491</v>
      </c>
      <c r="BB188" s="1">
        <f>BB187-Lookups!$N$6</f>
        <v>738492</v>
      </c>
      <c r="BC188" s="1">
        <f>BC187-Lookups!$N$6</f>
        <v>738493</v>
      </c>
      <c r="BD188" s="1">
        <f>BD187-Lookups!$N$6</f>
        <v>738494</v>
      </c>
      <c r="BE188" s="1">
        <f>BE187-Lookups!$N$6</f>
        <v>738495</v>
      </c>
      <c r="BF188" s="1">
        <f>BF187-Lookups!$N$6</f>
        <v>738496</v>
      </c>
      <c r="BG188" s="1">
        <f>BG187-Lookups!$N$6</f>
        <v>721765</v>
      </c>
    </row>
    <row r="189" spans="3:59" x14ac:dyDescent="0.25">
      <c r="C189" s="6" t="s">
        <v>965</v>
      </c>
      <c r="D189" s="7" t="s">
        <v>966</v>
      </c>
      <c r="E189">
        <f>_xlfn.FLOOR.MATH(E188/146097)</f>
        <v>4</v>
      </c>
      <c r="F189">
        <f t="shared" ref="F189:BG189" si="256">_xlfn.FLOOR.MATH(F188/146097)</f>
        <v>0</v>
      </c>
      <c r="G189">
        <f t="shared" si="256"/>
        <v>4</v>
      </c>
      <c r="H189">
        <f t="shared" si="256"/>
        <v>4</v>
      </c>
      <c r="I189">
        <f t="shared" si="256"/>
        <v>4</v>
      </c>
      <c r="J189">
        <f t="shared" si="256"/>
        <v>4</v>
      </c>
      <c r="K189">
        <f t="shared" si="256"/>
        <v>4</v>
      </c>
      <c r="L189">
        <f t="shared" si="256"/>
        <v>4</v>
      </c>
      <c r="M189">
        <f t="shared" si="256"/>
        <v>4</v>
      </c>
      <c r="N189">
        <f t="shared" si="256"/>
        <v>3</v>
      </c>
      <c r="O189">
        <f t="shared" si="256"/>
        <v>3</v>
      </c>
      <c r="P189">
        <f t="shared" si="256"/>
        <v>2</v>
      </c>
      <c r="Q189">
        <f t="shared" si="256"/>
        <v>-1</v>
      </c>
      <c r="R189">
        <f t="shared" si="256"/>
        <v>-1</v>
      </c>
      <c r="S189">
        <f t="shared" si="256"/>
        <v>-3</v>
      </c>
      <c r="T189">
        <f t="shared" si="256"/>
        <v>-3</v>
      </c>
      <c r="U189">
        <f t="shared" si="256"/>
        <v>-3</v>
      </c>
      <c r="V189">
        <f t="shared" si="256"/>
        <v>-12</v>
      </c>
      <c r="W189">
        <f t="shared" si="256"/>
        <v>4</v>
      </c>
      <c r="X189">
        <f t="shared" si="256"/>
        <v>4</v>
      </c>
      <c r="Y189">
        <f t="shared" si="256"/>
        <v>4</v>
      </c>
      <c r="Z189">
        <f t="shared" si="256"/>
        <v>5</v>
      </c>
      <c r="AA189">
        <f t="shared" si="256"/>
        <v>4</v>
      </c>
      <c r="AB189">
        <f t="shared" si="256"/>
        <v>4</v>
      </c>
      <c r="AC189">
        <f t="shared" si="256"/>
        <v>4</v>
      </c>
      <c r="AD189">
        <f t="shared" si="256"/>
        <v>4</v>
      </c>
      <c r="AE189">
        <f t="shared" si="256"/>
        <v>4</v>
      </c>
      <c r="AF189">
        <f t="shared" si="256"/>
        <v>4</v>
      </c>
      <c r="AG189">
        <f t="shared" si="256"/>
        <v>4</v>
      </c>
      <c r="AH189">
        <f t="shared" si="256"/>
        <v>4</v>
      </c>
      <c r="AI189">
        <f t="shared" si="256"/>
        <v>4</v>
      </c>
      <c r="AJ189">
        <f t="shared" si="256"/>
        <v>4</v>
      </c>
      <c r="AK189">
        <f t="shared" si="256"/>
        <v>4</v>
      </c>
      <c r="AL189">
        <f t="shared" si="256"/>
        <v>4</v>
      </c>
      <c r="AM189">
        <f t="shared" si="256"/>
        <v>1</v>
      </c>
      <c r="AN189">
        <f t="shared" si="256"/>
        <v>4</v>
      </c>
      <c r="AO189">
        <f t="shared" si="256"/>
        <v>0</v>
      </c>
      <c r="AP189">
        <f t="shared" si="256"/>
        <v>5</v>
      </c>
      <c r="AQ189">
        <f t="shared" si="256"/>
        <v>5</v>
      </c>
      <c r="AR189">
        <f t="shared" si="256"/>
        <v>5</v>
      </c>
      <c r="AS189">
        <f t="shared" si="256"/>
        <v>5</v>
      </c>
      <c r="AT189">
        <f t="shared" si="256"/>
        <v>5</v>
      </c>
      <c r="AU189">
        <f t="shared" si="256"/>
        <v>4</v>
      </c>
      <c r="AV189">
        <f t="shared" si="256"/>
        <v>4</v>
      </c>
      <c r="AW189">
        <f t="shared" si="256"/>
        <v>4</v>
      </c>
      <c r="AX189">
        <f t="shared" si="256"/>
        <v>4</v>
      </c>
      <c r="AY189">
        <f t="shared" si="256"/>
        <v>5</v>
      </c>
      <c r="AZ189">
        <f t="shared" si="256"/>
        <v>5</v>
      </c>
      <c r="BA189">
        <f t="shared" si="256"/>
        <v>5</v>
      </c>
      <c r="BB189">
        <f t="shared" si="256"/>
        <v>5</v>
      </c>
      <c r="BC189">
        <f t="shared" si="256"/>
        <v>5</v>
      </c>
      <c r="BD189">
        <f t="shared" si="256"/>
        <v>5</v>
      </c>
      <c r="BE189">
        <f t="shared" si="256"/>
        <v>5</v>
      </c>
      <c r="BF189">
        <f t="shared" si="256"/>
        <v>5</v>
      </c>
      <c r="BG189">
        <f t="shared" si="256"/>
        <v>4</v>
      </c>
    </row>
    <row r="190" spans="3:59" x14ac:dyDescent="0.25">
      <c r="C190" t="s">
        <v>967</v>
      </c>
      <c r="D190" s="7" t="s">
        <v>968</v>
      </c>
      <c r="E190" s="1">
        <f>MOD(E188,146097)</f>
        <v>130302</v>
      </c>
      <c r="F190" s="1">
        <f t="shared" ref="F190:BG190" si="257">MOD(F188,146097)</f>
        <v>121286</v>
      </c>
      <c r="G190" s="1">
        <f t="shared" si="257"/>
        <v>145731</v>
      </c>
      <c r="H190" s="1">
        <f t="shared" si="257"/>
        <v>145366</v>
      </c>
      <c r="I190" s="1">
        <f t="shared" si="257"/>
        <v>141009</v>
      </c>
      <c r="J190" s="1">
        <f t="shared" si="257"/>
        <v>141152</v>
      </c>
      <c r="K190" s="1">
        <f t="shared" si="257"/>
        <v>141374</v>
      </c>
      <c r="L190" s="1">
        <f t="shared" si="257"/>
        <v>141517</v>
      </c>
      <c r="M190" s="1">
        <f t="shared" si="257"/>
        <v>109207</v>
      </c>
      <c r="N190" s="1">
        <f t="shared" si="257"/>
        <v>145731</v>
      </c>
      <c r="O190" s="1">
        <f t="shared" si="257"/>
        <v>146096</v>
      </c>
      <c r="P190" s="1">
        <f t="shared" si="257"/>
        <v>13248</v>
      </c>
      <c r="Q190" s="1">
        <f t="shared" si="257"/>
        <v>101171</v>
      </c>
      <c r="R190" s="1">
        <f t="shared" si="257"/>
        <v>101172</v>
      </c>
      <c r="S190" s="1">
        <f t="shared" si="257"/>
        <v>72876</v>
      </c>
      <c r="T190" s="1">
        <f t="shared" si="257"/>
        <v>72741</v>
      </c>
      <c r="U190" s="1">
        <f t="shared" si="257"/>
        <v>72546</v>
      </c>
      <c r="V190" s="1">
        <f t="shared" si="257"/>
        <v>31776</v>
      </c>
      <c r="W190" s="1">
        <f t="shared" si="257"/>
        <v>141082</v>
      </c>
      <c r="X190" s="1">
        <f t="shared" si="257"/>
        <v>142910</v>
      </c>
      <c r="Y190" s="1">
        <f t="shared" si="257"/>
        <v>137374</v>
      </c>
      <c r="Z190" s="1">
        <f t="shared" si="257"/>
        <v>15705</v>
      </c>
      <c r="AA190" s="1">
        <f t="shared" si="257"/>
        <v>145731</v>
      </c>
      <c r="AB190" s="1">
        <f t="shared" si="257"/>
        <v>129110</v>
      </c>
      <c r="AC190" s="1">
        <f t="shared" si="257"/>
        <v>138013</v>
      </c>
      <c r="AD190" s="1">
        <f t="shared" si="257"/>
        <v>141459</v>
      </c>
      <c r="AE190" s="1">
        <f t="shared" si="257"/>
        <v>137377</v>
      </c>
      <c r="AF190" s="1">
        <f t="shared" si="257"/>
        <v>143162</v>
      </c>
      <c r="AG190" s="1">
        <f t="shared" si="257"/>
        <v>143094</v>
      </c>
      <c r="AH190" s="1">
        <f t="shared" si="257"/>
        <v>142503</v>
      </c>
      <c r="AI190" s="1">
        <f t="shared" si="257"/>
        <v>142899</v>
      </c>
      <c r="AJ190" s="1">
        <f t="shared" si="257"/>
        <v>143295</v>
      </c>
      <c r="AK190" s="1">
        <f t="shared" si="257"/>
        <v>79257</v>
      </c>
      <c r="AL190" s="1">
        <f t="shared" si="257"/>
        <v>142341</v>
      </c>
      <c r="AM190" s="1">
        <f t="shared" si="257"/>
        <v>80914</v>
      </c>
      <c r="AN190" s="1">
        <f t="shared" si="257"/>
        <v>145827</v>
      </c>
      <c r="AO190" s="1">
        <f t="shared" si="257"/>
        <v>2</v>
      </c>
      <c r="AP190" s="1">
        <f t="shared" si="257"/>
        <v>7937</v>
      </c>
      <c r="AQ190" s="1">
        <f t="shared" si="257"/>
        <v>7944</v>
      </c>
      <c r="AR190" s="1">
        <f t="shared" si="257"/>
        <v>7951</v>
      </c>
      <c r="AS190" s="1">
        <f t="shared" si="257"/>
        <v>7959</v>
      </c>
      <c r="AT190" s="1">
        <f t="shared" si="257"/>
        <v>7974</v>
      </c>
      <c r="AU190" s="1">
        <f t="shared" si="257"/>
        <v>136021</v>
      </c>
      <c r="AV190" s="1">
        <f t="shared" si="257"/>
        <v>144879</v>
      </c>
      <c r="AW190" s="1">
        <f t="shared" si="257"/>
        <v>121994</v>
      </c>
      <c r="AX190" s="1">
        <f t="shared" si="257"/>
        <v>130130</v>
      </c>
      <c r="AY190" s="1">
        <f t="shared" si="257"/>
        <v>8004</v>
      </c>
      <c r="AZ190" s="1">
        <f t="shared" si="257"/>
        <v>8005</v>
      </c>
      <c r="BA190" s="1">
        <f t="shared" si="257"/>
        <v>8006</v>
      </c>
      <c r="BB190" s="1">
        <f t="shared" si="257"/>
        <v>8007</v>
      </c>
      <c r="BC190" s="1">
        <f t="shared" si="257"/>
        <v>8008</v>
      </c>
      <c r="BD190" s="1">
        <f t="shared" si="257"/>
        <v>8009</v>
      </c>
      <c r="BE190" s="1">
        <f t="shared" si="257"/>
        <v>8010</v>
      </c>
      <c r="BF190" s="1">
        <f t="shared" si="257"/>
        <v>8011</v>
      </c>
      <c r="BG190" s="1">
        <f t="shared" si="257"/>
        <v>137377</v>
      </c>
    </row>
    <row r="191" spans="3:59" x14ac:dyDescent="0.25">
      <c r="C191" t="s">
        <v>969</v>
      </c>
      <c r="D191" s="7" t="s">
        <v>970</v>
      </c>
      <c r="E191">
        <f>_xlfn.FLOOR.MATH(E190/36524)</f>
        <v>3</v>
      </c>
      <c r="F191">
        <f t="shared" ref="F191:BG191" si="258">_xlfn.FLOOR.MATH(F190/36524)</f>
        <v>3</v>
      </c>
      <c r="G191">
        <f t="shared" si="258"/>
        <v>3</v>
      </c>
      <c r="H191">
        <f t="shared" si="258"/>
        <v>3</v>
      </c>
      <c r="I191">
        <f t="shared" si="258"/>
        <v>3</v>
      </c>
      <c r="J191">
        <f t="shared" si="258"/>
        <v>3</v>
      </c>
      <c r="K191">
        <f t="shared" si="258"/>
        <v>3</v>
      </c>
      <c r="L191">
        <f t="shared" si="258"/>
        <v>3</v>
      </c>
      <c r="M191">
        <f t="shared" si="258"/>
        <v>2</v>
      </c>
      <c r="N191">
        <f t="shared" si="258"/>
        <v>3</v>
      </c>
      <c r="O191">
        <f t="shared" si="258"/>
        <v>4</v>
      </c>
      <c r="P191">
        <f t="shared" si="258"/>
        <v>0</v>
      </c>
      <c r="Q191">
        <f t="shared" si="258"/>
        <v>2</v>
      </c>
      <c r="R191">
        <f t="shared" si="258"/>
        <v>2</v>
      </c>
      <c r="S191">
        <f t="shared" si="258"/>
        <v>1</v>
      </c>
      <c r="T191">
        <f t="shared" si="258"/>
        <v>1</v>
      </c>
      <c r="U191">
        <f t="shared" si="258"/>
        <v>1</v>
      </c>
      <c r="V191">
        <f t="shared" si="258"/>
        <v>0</v>
      </c>
      <c r="W191">
        <f t="shared" si="258"/>
        <v>3</v>
      </c>
      <c r="X191">
        <f t="shared" si="258"/>
        <v>3</v>
      </c>
      <c r="Y191">
        <f t="shared" si="258"/>
        <v>3</v>
      </c>
      <c r="Z191">
        <f t="shared" si="258"/>
        <v>0</v>
      </c>
      <c r="AA191">
        <f t="shared" si="258"/>
        <v>3</v>
      </c>
      <c r="AB191">
        <f t="shared" si="258"/>
        <v>3</v>
      </c>
      <c r="AC191">
        <f t="shared" si="258"/>
        <v>3</v>
      </c>
      <c r="AD191">
        <f t="shared" si="258"/>
        <v>3</v>
      </c>
      <c r="AE191">
        <f t="shared" si="258"/>
        <v>3</v>
      </c>
      <c r="AF191">
        <f t="shared" si="258"/>
        <v>3</v>
      </c>
      <c r="AG191">
        <f t="shared" si="258"/>
        <v>3</v>
      </c>
      <c r="AH191">
        <f t="shared" si="258"/>
        <v>3</v>
      </c>
      <c r="AI191">
        <f t="shared" si="258"/>
        <v>3</v>
      </c>
      <c r="AJ191">
        <f t="shared" si="258"/>
        <v>3</v>
      </c>
      <c r="AK191">
        <f t="shared" si="258"/>
        <v>2</v>
      </c>
      <c r="AL191">
        <f t="shared" si="258"/>
        <v>3</v>
      </c>
      <c r="AM191">
        <f t="shared" si="258"/>
        <v>2</v>
      </c>
      <c r="AN191">
        <f t="shared" si="258"/>
        <v>3</v>
      </c>
      <c r="AO191">
        <f t="shared" si="258"/>
        <v>0</v>
      </c>
      <c r="AP191">
        <f t="shared" si="258"/>
        <v>0</v>
      </c>
      <c r="AQ191">
        <f t="shared" si="258"/>
        <v>0</v>
      </c>
      <c r="AR191">
        <f t="shared" si="258"/>
        <v>0</v>
      </c>
      <c r="AS191">
        <f t="shared" si="258"/>
        <v>0</v>
      </c>
      <c r="AT191">
        <f t="shared" si="258"/>
        <v>0</v>
      </c>
      <c r="AU191">
        <f t="shared" si="258"/>
        <v>3</v>
      </c>
      <c r="AV191">
        <f t="shared" si="258"/>
        <v>3</v>
      </c>
      <c r="AW191">
        <f t="shared" si="258"/>
        <v>3</v>
      </c>
      <c r="AX191">
        <f t="shared" si="258"/>
        <v>3</v>
      </c>
      <c r="AY191">
        <f t="shared" si="258"/>
        <v>0</v>
      </c>
      <c r="AZ191">
        <f t="shared" si="258"/>
        <v>0</v>
      </c>
      <c r="BA191">
        <f t="shared" si="258"/>
        <v>0</v>
      </c>
      <c r="BB191">
        <f t="shared" si="258"/>
        <v>0</v>
      </c>
      <c r="BC191">
        <f t="shared" si="258"/>
        <v>0</v>
      </c>
      <c r="BD191">
        <f t="shared" si="258"/>
        <v>0</v>
      </c>
      <c r="BE191">
        <f t="shared" si="258"/>
        <v>0</v>
      </c>
      <c r="BF191">
        <f t="shared" si="258"/>
        <v>0</v>
      </c>
      <c r="BG191">
        <f t="shared" si="258"/>
        <v>3</v>
      </c>
    </row>
    <row r="192" spans="3:59" x14ac:dyDescent="0.25">
      <c r="C192" t="s">
        <v>971</v>
      </c>
      <c r="D192" s="7" t="s">
        <v>972</v>
      </c>
      <c r="E192" s="1">
        <f>MOD(E190,36524)</f>
        <v>20730</v>
      </c>
      <c r="F192" s="1">
        <f t="shared" ref="F192:BG192" si="259">MOD(F190,36524)</f>
        <v>11714</v>
      </c>
      <c r="G192" s="1">
        <f t="shared" si="259"/>
        <v>36159</v>
      </c>
      <c r="H192" s="1">
        <f t="shared" si="259"/>
        <v>35794</v>
      </c>
      <c r="I192" s="1">
        <f t="shared" si="259"/>
        <v>31437</v>
      </c>
      <c r="J192" s="1">
        <f t="shared" si="259"/>
        <v>31580</v>
      </c>
      <c r="K192" s="1">
        <f t="shared" si="259"/>
        <v>31802</v>
      </c>
      <c r="L192" s="1">
        <f t="shared" si="259"/>
        <v>31945</v>
      </c>
      <c r="M192" s="1">
        <f t="shared" si="259"/>
        <v>36159</v>
      </c>
      <c r="N192" s="1">
        <f t="shared" si="259"/>
        <v>36159</v>
      </c>
      <c r="O192" s="1">
        <f t="shared" si="259"/>
        <v>0</v>
      </c>
      <c r="P192" s="1">
        <f t="shared" si="259"/>
        <v>13248</v>
      </c>
      <c r="Q192" s="1">
        <f t="shared" si="259"/>
        <v>28123</v>
      </c>
      <c r="R192" s="1">
        <f t="shared" si="259"/>
        <v>28124</v>
      </c>
      <c r="S192" s="1">
        <f t="shared" si="259"/>
        <v>36352</v>
      </c>
      <c r="T192" s="1">
        <f t="shared" si="259"/>
        <v>36217</v>
      </c>
      <c r="U192" s="1">
        <f t="shared" si="259"/>
        <v>36022</v>
      </c>
      <c r="V192" s="1">
        <f t="shared" si="259"/>
        <v>31776</v>
      </c>
      <c r="W192" s="1">
        <f t="shared" si="259"/>
        <v>31510</v>
      </c>
      <c r="X192" s="1">
        <f t="shared" si="259"/>
        <v>33338</v>
      </c>
      <c r="Y192" s="1">
        <f t="shared" si="259"/>
        <v>27802</v>
      </c>
      <c r="Z192" s="1">
        <f t="shared" si="259"/>
        <v>15705</v>
      </c>
      <c r="AA192" s="1">
        <f t="shared" si="259"/>
        <v>36159</v>
      </c>
      <c r="AB192" s="1">
        <f t="shared" si="259"/>
        <v>19538</v>
      </c>
      <c r="AC192" s="1">
        <f t="shared" si="259"/>
        <v>28441</v>
      </c>
      <c r="AD192" s="1">
        <f t="shared" si="259"/>
        <v>31887</v>
      </c>
      <c r="AE192" s="1">
        <f t="shared" si="259"/>
        <v>27805</v>
      </c>
      <c r="AF192" s="1">
        <f t="shared" si="259"/>
        <v>33590</v>
      </c>
      <c r="AG192" s="1">
        <f t="shared" si="259"/>
        <v>33522</v>
      </c>
      <c r="AH192" s="1">
        <f t="shared" si="259"/>
        <v>32931</v>
      </c>
      <c r="AI192" s="1">
        <f t="shared" si="259"/>
        <v>33327</v>
      </c>
      <c r="AJ192" s="1">
        <f t="shared" si="259"/>
        <v>33723</v>
      </c>
      <c r="AK192" s="1">
        <f t="shared" si="259"/>
        <v>6209</v>
      </c>
      <c r="AL192" s="1">
        <f t="shared" si="259"/>
        <v>32769</v>
      </c>
      <c r="AM192" s="1">
        <f t="shared" si="259"/>
        <v>7866</v>
      </c>
      <c r="AN192" s="1">
        <f t="shared" si="259"/>
        <v>36255</v>
      </c>
      <c r="AO192" s="1">
        <f t="shared" si="259"/>
        <v>2</v>
      </c>
      <c r="AP192" s="1">
        <f t="shared" si="259"/>
        <v>7937</v>
      </c>
      <c r="AQ192" s="1">
        <f t="shared" si="259"/>
        <v>7944</v>
      </c>
      <c r="AR192" s="1">
        <f t="shared" si="259"/>
        <v>7951</v>
      </c>
      <c r="AS192" s="1">
        <f t="shared" si="259"/>
        <v>7959</v>
      </c>
      <c r="AT192" s="1">
        <f t="shared" si="259"/>
        <v>7974</v>
      </c>
      <c r="AU192" s="1">
        <f t="shared" si="259"/>
        <v>26449</v>
      </c>
      <c r="AV192" s="1">
        <f t="shared" si="259"/>
        <v>35307</v>
      </c>
      <c r="AW192" s="1">
        <f t="shared" si="259"/>
        <v>12422</v>
      </c>
      <c r="AX192" s="1">
        <f t="shared" si="259"/>
        <v>20558</v>
      </c>
      <c r="AY192" s="1">
        <f t="shared" si="259"/>
        <v>8004</v>
      </c>
      <c r="AZ192" s="1">
        <f t="shared" si="259"/>
        <v>8005</v>
      </c>
      <c r="BA192" s="1">
        <f t="shared" si="259"/>
        <v>8006</v>
      </c>
      <c r="BB192" s="1">
        <f t="shared" si="259"/>
        <v>8007</v>
      </c>
      <c r="BC192" s="1">
        <f t="shared" si="259"/>
        <v>8008</v>
      </c>
      <c r="BD192" s="1">
        <f t="shared" si="259"/>
        <v>8009</v>
      </c>
      <c r="BE192" s="1">
        <f t="shared" si="259"/>
        <v>8010</v>
      </c>
      <c r="BF192" s="1">
        <f t="shared" si="259"/>
        <v>8011</v>
      </c>
      <c r="BG192" s="1">
        <f t="shared" si="259"/>
        <v>27805</v>
      </c>
    </row>
    <row r="193" spans="3:59" x14ac:dyDescent="0.25">
      <c r="C193" t="s">
        <v>973</v>
      </c>
      <c r="D193" s="7" t="s">
        <v>974</v>
      </c>
      <c r="E193">
        <f>_xlfn.FLOOR.MATH(E192/1461)</f>
        <v>14</v>
      </c>
      <c r="F193">
        <f t="shared" ref="F193:BG193" si="260">_xlfn.FLOOR.MATH(F192/1461)</f>
        <v>8</v>
      </c>
      <c r="G193">
        <f t="shared" si="260"/>
        <v>24</v>
      </c>
      <c r="H193">
        <f t="shared" si="260"/>
        <v>24</v>
      </c>
      <c r="I193">
        <f t="shared" si="260"/>
        <v>21</v>
      </c>
      <c r="J193">
        <f t="shared" si="260"/>
        <v>21</v>
      </c>
      <c r="K193">
        <f t="shared" si="260"/>
        <v>21</v>
      </c>
      <c r="L193">
        <f t="shared" si="260"/>
        <v>21</v>
      </c>
      <c r="M193">
        <f t="shared" si="260"/>
        <v>24</v>
      </c>
      <c r="N193">
        <f t="shared" si="260"/>
        <v>24</v>
      </c>
      <c r="O193">
        <f t="shared" si="260"/>
        <v>0</v>
      </c>
      <c r="P193">
        <f t="shared" si="260"/>
        <v>9</v>
      </c>
      <c r="Q193">
        <f t="shared" si="260"/>
        <v>19</v>
      </c>
      <c r="R193">
        <f t="shared" si="260"/>
        <v>19</v>
      </c>
      <c r="S193">
        <f t="shared" si="260"/>
        <v>24</v>
      </c>
      <c r="T193">
        <f t="shared" si="260"/>
        <v>24</v>
      </c>
      <c r="U193">
        <f t="shared" si="260"/>
        <v>24</v>
      </c>
      <c r="V193">
        <f t="shared" si="260"/>
        <v>21</v>
      </c>
      <c r="W193">
        <f t="shared" si="260"/>
        <v>21</v>
      </c>
      <c r="X193">
        <f t="shared" si="260"/>
        <v>22</v>
      </c>
      <c r="Y193">
        <f t="shared" si="260"/>
        <v>19</v>
      </c>
      <c r="Z193">
        <f t="shared" si="260"/>
        <v>10</v>
      </c>
      <c r="AA193">
        <f t="shared" si="260"/>
        <v>24</v>
      </c>
      <c r="AB193">
        <f t="shared" si="260"/>
        <v>13</v>
      </c>
      <c r="AC193">
        <f t="shared" si="260"/>
        <v>19</v>
      </c>
      <c r="AD193">
        <f t="shared" si="260"/>
        <v>21</v>
      </c>
      <c r="AE193">
        <f t="shared" si="260"/>
        <v>19</v>
      </c>
      <c r="AF193">
        <f t="shared" si="260"/>
        <v>22</v>
      </c>
      <c r="AG193">
        <f t="shared" si="260"/>
        <v>22</v>
      </c>
      <c r="AH193">
        <f t="shared" si="260"/>
        <v>22</v>
      </c>
      <c r="AI193">
        <f t="shared" si="260"/>
        <v>22</v>
      </c>
      <c r="AJ193">
        <f t="shared" si="260"/>
        <v>23</v>
      </c>
      <c r="AK193">
        <f t="shared" si="260"/>
        <v>4</v>
      </c>
      <c r="AL193">
        <f t="shared" si="260"/>
        <v>22</v>
      </c>
      <c r="AM193">
        <f t="shared" si="260"/>
        <v>5</v>
      </c>
      <c r="AN193">
        <f t="shared" si="260"/>
        <v>24</v>
      </c>
      <c r="AO193">
        <f t="shared" si="260"/>
        <v>0</v>
      </c>
      <c r="AP193">
        <f t="shared" si="260"/>
        <v>5</v>
      </c>
      <c r="AQ193">
        <f t="shared" si="260"/>
        <v>5</v>
      </c>
      <c r="AR193">
        <f t="shared" si="260"/>
        <v>5</v>
      </c>
      <c r="AS193">
        <f t="shared" si="260"/>
        <v>5</v>
      </c>
      <c r="AT193">
        <f t="shared" si="260"/>
        <v>5</v>
      </c>
      <c r="AU193">
        <f t="shared" si="260"/>
        <v>18</v>
      </c>
      <c r="AV193">
        <f t="shared" si="260"/>
        <v>24</v>
      </c>
      <c r="AW193">
        <f t="shared" si="260"/>
        <v>8</v>
      </c>
      <c r="AX193">
        <f t="shared" si="260"/>
        <v>14</v>
      </c>
      <c r="AY193">
        <f t="shared" si="260"/>
        <v>5</v>
      </c>
      <c r="AZ193">
        <f t="shared" si="260"/>
        <v>5</v>
      </c>
      <c r="BA193">
        <f t="shared" si="260"/>
        <v>5</v>
      </c>
      <c r="BB193">
        <f t="shared" si="260"/>
        <v>5</v>
      </c>
      <c r="BC193">
        <f t="shared" si="260"/>
        <v>5</v>
      </c>
      <c r="BD193">
        <f t="shared" si="260"/>
        <v>5</v>
      </c>
      <c r="BE193">
        <f t="shared" si="260"/>
        <v>5</v>
      </c>
      <c r="BF193">
        <f t="shared" si="260"/>
        <v>5</v>
      </c>
      <c r="BG193">
        <f t="shared" si="260"/>
        <v>19</v>
      </c>
    </row>
    <row r="194" spans="3:59" x14ac:dyDescent="0.25">
      <c r="C194" t="s">
        <v>975</v>
      </c>
      <c r="D194" s="7" t="s">
        <v>976</v>
      </c>
      <c r="E194" s="1">
        <f>MOD(E192,1461)</f>
        <v>276</v>
      </c>
      <c r="F194" s="1">
        <f t="shared" ref="F194:BG194" si="261">MOD(F192,1461)</f>
        <v>26</v>
      </c>
      <c r="G194" s="1">
        <f t="shared" si="261"/>
        <v>1095</v>
      </c>
      <c r="H194" s="1">
        <f t="shared" si="261"/>
        <v>730</v>
      </c>
      <c r="I194" s="1">
        <f t="shared" si="261"/>
        <v>756</v>
      </c>
      <c r="J194" s="1">
        <f t="shared" si="261"/>
        <v>899</v>
      </c>
      <c r="K194" s="1">
        <f t="shared" si="261"/>
        <v>1121</v>
      </c>
      <c r="L194" s="1">
        <f t="shared" si="261"/>
        <v>1264</v>
      </c>
      <c r="M194" s="1">
        <f t="shared" si="261"/>
        <v>1095</v>
      </c>
      <c r="N194" s="1">
        <f t="shared" si="261"/>
        <v>1095</v>
      </c>
      <c r="O194" s="1">
        <f t="shared" si="261"/>
        <v>0</v>
      </c>
      <c r="P194" s="1">
        <f t="shared" si="261"/>
        <v>99</v>
      </c>
      <c r="Q194" s="1">
        <f t="shared" si="261"/>
        <v>364</v>
      </c>
      <c r="R194" s="1">
        <f t="shared" si="261"/>
        <v>365</v>
      </c>
      <c r="S194" s="1">
        <f t="shared" si="261"/>
        <v>1288</v>
      </c>
      <c r="T194" s="1">
        <f t="shared" si="261"/>
        <v>1153</v>
      </c>
      <c r="U194" s="1">
        <f t="shared" si="261"/>
        <v>958</v>
      </c>
      <c r="V194" s="1">
        <f t="shared" si="261"/>
        <v>1095</v>
      </c>
      <c r="W194" s="1">
        <f t="shared" si="261"/>
        <v>829</v>
      </c>
      <c r="X194" s="1">
        <f t="shared" si="261"/>
        <v>1196</v>
      </c>
      <c r="Y194" s="1">
        <f t="shared" si="261"/>
        <v>43</v>
      </c>
      <c r="Z194" s="1">
        <f t="shared" si="261"/>
        <v>1095</v>
      </c>
      <c r="AA194" s="1">
        <f t="shared" si="261"/>
        <v>1095</v>
      </c>
      <c r="AB194" s="1">
        <f t="shared" si="261"/>
        <v>545</v>
      </c>
      <c r="AC194" s="1">
        <f t="shared" si="261"/>
        <v>682</v>
      </c>
      <c r="AD194" s="1">
        <f t="shared" si="261"/>
        <v>1206</v>
      </c>
      <c r="AE194" s="1">
        <f t="shared" si="261"/>
        <v>46</v>
      </c>
      <c r="AF194" s="1">
        <f t="shared" si="261"/>
        <v>1448</v>
      </c>
      <c r="AG194" s="1">
        <f t="shared" si="261"/>
        <v>1380</v>
      </c>
      <c r="AH194" s="1">
        <f t="shared" si="261"/>
        <v>789</v>
      </c>
      <c r="AI194" s="1">
        <f t="shared" si="261"/>
        <v>1185</v>
      </c>
      <c r="AJ194" s="1">
        <f t="shared" si="261"/>
        <v>120</v>
      </c>
      <c r="AK194" s="1">
        <f t="shared" si="261"/>
        <v>365</v>
      </c>
      <c r="AL194" s="1">
        <f t="shared" si="261"/>
        <v>627</v>
      </c>
      <c r="AM194" s="1">
        <f t="shared" si="261"/>
        <v>561</v>
      </c>
      <c r="AN194" s="1">
        <f t="shared" si="261"/>
        <v>1191</v>
      </c>
      <c r="AO194" s="1">
        <f t="shared" si="261"/>
        <v>2</v>
      </c>
      <c r="AP194" s="1">
        <f t="shared" si="261"/>
        <v>632</v>
      </c>
      <c r="AQ194" s="1">
        <f t="shared" si="261"/>
        <v>639</v>
      </c>
      <c r="AR194" s="1">
        <f t="shared" si="261"/>
        <v>646</v>
      </c>
      <c r="AS194" s="1">
        <f t="shared" si="261"/>
        <v>654</v>
      </c>
      <c r="AT194" s="1">
        <f t="shared" si="261"/>
        <v>669</v>
      </c>
      <c r="AU194" s="1">
        <f t="shared" si="261"/>
        <v>151</v>
      </c>
      <c r="AV194" s="1">
        <f t="shared" si="261"/>
        <v>243</v>
      </c>
      <c r="AW194" s="1">
        <f t="shared" si="261"/>
        <v>734</v>
      </c>
      <c r="AX194" s="1">
        <f t="shared" si="261"/>
        <v>104</v>
      </c>
      <c r="AY194" s="1">
        <f t="shared" si="261"/>
        <v>699</v>
      </c>
      <c r="AZ194" s="1">
        <f t="shared" si="261"/>
        <v>700</v>
      </c>
      <c r="BA194" s="1">
        <f t="shared" si="261"/>
        <v>701</v>
      </c>
      <c r="BB194" s="1">
        <f t="shared" si="261"/>
        <v>702</v>
      </c>
      <c r="BC194" s="1">
        <f t="shared" si="261"/>
        <v>703</v>
      </c>
      <c r="BD194" s="1">
        <f t="shared" si="261"/>
        <v>704</v>
      </c>
      <c r="BE194" s="1">
        <f t="shared" si="261"/>
        <v>705</v>
      </c>
      <c r="BF194" s="1">
        <f t="shared" si="261"/>
        <v>706</v>
      </c>
      <c r="BG194" s="1">
        <f t="shared" si="261"/>
        <v>46</v>
      </c>
    </row>
    <row r="195" spans="3:59" x14ac:dyDescent="0.25">
      <c r="C195" t="s">
        <v>978</v>
      </c>
      <c r="D195" s="7" t="s">
        <v>977</v>
      </c>
      <c r="E195">
        <f>_xlfn.FLOOR.MATH(E194/365)</f>
        <v>0</v>
      </c>
      <c r="F195">
        <f t="shared" ref="F195:BG195" si="262">_xlfn.FLOOR.MATH(F194/365)</f>
        <v>0</v>
      </c>
      <c r="G195">
        <f t="shared" si="262"/>
        <v>3</v>
      </c>
      <c r="H195">
        <f t="shared" si="262"/>
        <v>2</v>
      </c>
      <c r="I195">
        <f t="shared" si="262"/>
        <v>2</v>
      </c>
      <c r="J195">
        <f t="shared" si="262"/>
        <v>2</v>
      </c>
      <c r="K195">
        <f t="shared" si="262"/>
        <v>3</v>
      </c>
      <c r="L195">
        <f t="shared" si="262"/>
        <v>3</v>
      </c>
      <c r="M195">
        <f t="shared" si="262"/>
        <v>3</v>
      </c>
      <c r="N195">
        <f t="shared" si="262"/>
        <v>3</v>
      </c>
      <c r="O195">
        <f t="shared" si="262"/>
        <v>0</v>
      </c>
      <c r="P195">
        <f t="shared" si="262"/>
        <v>0</v>
      </c>
      <c r="Q195">
        <f t="shared" si="262"/>
        <v>0</v>
      </c>
      <c r="R195">
        <f t="shared" si="262"/>
        <v>1</v>
      </c>
      <c r="S195">
        <f t="shared" si="262"/>
        <v>3</v>
      </c>
      <c r="T195">
        <f t="shared" si="262"/>
        <v>3</v>
      </c>
      <c r="U195">
        <f t="shared" si="262"/>
        <v>2</v>
      </c>
      <c r="V195">
        <f t="shared" si="262"/>
        <v>3</v>
      </c>
      <c r="W195">
        <f t="shared" si="262"/>
        <v>2</v>
      </c>
      <c r="X195">
        <f t="shared" si="262"/>
        <v>3</v>
      </c>
      <c r="Y195">
        <f t="shared" si="262"/>
        <v>0</v>
      </c>
      <c r="Z195">
        <f t="shared" si="262"/>
        <v>3</v>
      </c>
      <c r="AA195">
        <f t="shared" si="262"/>
        <v>3</v>
      </c>
      <c r="AB195">
        <f t="shared" si="262"/>
        <v>1</v>
      </c>
      <c r="AC195">
        <f t="shared" si="262"/>
        <v>1</v>
      </c>
      <c r="AD195">
        <f t="shared" si="262"/>
        <v>3</v>
      </c>
      <c r="AE195">
        <f t="shared" si="262"/>
        <v>0</v>
      </c>
      <c r="AF195">
        <f t="shared" si="262"/>
        <v>3</v>
      </c>
      <c r="AG195">
        <f t="shared" si="262"/>
        <v>3</v>
      </c>
      <c r="AH195">
        <f t="shared" si="262"/>
        <v>2</v>
      </c>
      <c r="AI195">
        <f t="shared" si="262"/>
        <v>3</v>
      </c>
      <c r="AJ195">
        <f t="shared" si="262"/>
        <v>0</v>
      </c>
      <c r="AK195">
        <f t="shared" si="262"/>
        <v>1</v>
      </c>
      <c r="AL195">
        <f t="shared" si="262"/>
        <v>1</v>
      </c>
      <c r="AM195">
        <f t="shared" si="262"/>
        <v>1</v>
      </c>
      <c r="AN195">
        <f t="shared" si="262"/>
        <v>3</v>
      </c>
      <c r="AO195">
        <f t="shared" si="262"/>
        <v>0</v>
      </c>
      <c r="AP195">
        <f t="shared" si="262"/>
        <v>1</v>
      </c>
      <c r="AQ195">
        <f t="shared" si="262"/>
        <v>1</v>
      </c>
      <c r="AR195">
        <f t="shared" si="262"/>
        <v>1</v>
      </c>
      <c r="AS195">
        <f t="shared" si="262"/>
        <v>1</v>
      </c>
      <c r="AT195">
        <f t="shared" si="262"/>
        <v>1</v>
      </c>
      <c r="AU195">
        <f t="shared" si="262"/>
        <v>0</v>
      </c>
      <c r="AV195">
        <f t="shared" si="262"/>
        <v>0</v>
      </c>
      <c r="AW195">
        <f t="shared" si="262"/>
        <v>2</v>
      </c>
      <c r="AX195">
        <f t="shared" si="262"/>
        <v>0</v>
      </c>
      <c r="AY195">
        <f t="shared" si="262"/>
        <v>1</v>
      </c>
      <c r="AZ195">
        <f t="shared" si="262"/>
        <v>1</v>
      </c>
      <c r="BA195">
        <f t="shared" si="262"/>
        <v>1</v>
      </c>
      <c r="BB195">
        <f t="shared" si="262"/>
        <v>1</v>
      </c>
      <c r="BC195">
        <f t="shared" si="262"/>
        <v>1</v>
      </c>
      <c r="BD195">
        <f t="shared" si="262"/>
        <v>1</v>
      </c>
      <c r="BE195">
        <f t="shared" si="262"/>
        <v>1</v>
      </c>
      <c r="BF195">
        <f t="shared" si="262"/>
        <v>1</v>
      </c>
      <c r="BG195">
        <f t="shared" si="262"/>
        <v>0</v>
      </c>
    </row>
    <row r="196" spans="3:59" x14ac:dyDescent="0.25">
      <c r="C196" t="s">
        <v>979</v>
      </c>
      <c r="D196" s="7" t="s">
        <v>980</v>
      </c>
      <c r="E196">
        <f>E189*400+E191*100+E193*4+E195</f>
        <v>1956</v>
      </c>
      <c r="F196">
        <f t="shared" ref="F196:BG196" si="263">F189*400+F191*100+F193*4+F195</f>
        <v>332</v>
      </c>
      <c r="G196">
        <f t="shared" si="263"/>
        <v>1999</v>
      </c>
      <c r="H196">
        <f t="shared" si="263"/>
        <v>1998</v>
      </c>
      <c r="I196">
        <f t="shared" si="263"/>
        <v>1986</v>
      </c>
      <c r="J196">
        <f t="shared" si="263"/>
        <v>1986</v>
      </c>
      <c r="K196">
        <f t="shared" si="263"/>
        <v>1987</v>
      </c>
      <c r="L196">
        <f t="shared" si="263"/>
        <v>1987</v>
      </c>
      <c r="M196">
        <f t="shared" si="263"/>
        <v>1899</v>
      </c>
      <c r="N196">
        <f t="shared" si="263"/>
        <v>1599</v>
      </c>
      <c r="O196">
        <f t="shared" si="263"/>
        <v>1600</v>
      </c>
      <c r="P196">
        <f t="shared" si="263"/>
        <v>836</v>
      </c>
      <c r="Q196">
        <f t="shared" si="263"/>
        <v>-124</v>
      </c>
      <c r="R196">
        <f t="shared" si="263"/>
        <v>-123</v>
      </c>
      <c r="S196">
        <f t="shared" si="263"/>
        <v>-1001</v>
      </c>
      <c r="T196">
        <f t="shared" si="263"/>
        <v>-1001</v>
      </c>
      <c r="U196">
        <f t="shared" si="263"/>
        <v>-1002</v>
      </c>
      <c r="V196">
        <f t="shared" si="263"/>
        <v>-4713</v>
      </c>
      <c r="W196">
        <f t="shared" si="263"/>
        <v>1986</v>
      </c>
      <c r="X196">
        <f t="shared" si="263"/>
        <v>1991</v>
      </c>
      <c r="Y196">
        <f t="shared" si="263"/>
        <v>1976</v>
      </c>
      <c r="Z196">
        <f t="shared" si="263"/>
        <v>2043</v>
      </c>
      <c r="AA196">
        <f t="shared" si="263"/>
        <v>1999</v>
      </c>
      <c r="AB196">
        <f t="shared" si="263"/>
        <v>1953</v>
      </c>
      <c r="AC196">
        <f t="shared" si="263"/>
        <v>1977</v>
      </c>
      <c r="AD196">
        <f t="shared" si="263"/>
        <v>1987</v>
      </c>
      <c r="AE196">
        <f t="shared" si="263"/>
        <v>1976</v>
      </c>
      <c r="AF196">
        <f t="shared" si="263"/>
        <v>1991</v>
      </c>
      <c r="AG196">
        <f t="shared" si="263"/>
        <v>1991</v>
      </c>
      <c r="AH196">
        <f t="shared" si="263"/>
        <v>1990</v>
      </c>
      <c r="AI196">
        <f t="shared" si="263"/>
        <v>1991</v>
      </c>
      <c r="AJ196">
        <f t="shared" si="263"/>
        <v>1992</v>
      </c>
      <c r="AK196">
        <f t="shared" si="263"/>
        <v>1817</v>
      </c>
      <c r="AL196">
        <f t="shared" si="263"/>
        <v>1989</v>
      </c>
      <c r="AM196">
        <f t="shared" si="263"/>
        <v>621</v>
      </c>
      <c r="AN196">
        <f t="shared" si="263"/>
        <v>1999</v>
      </c>
      <c r="AO196">
        <f t="shared" si="263"/>
        <v>0</v>
      </c>
      <c r="AP196">
        <f t="shared" si="263"/>
        <v>2021</v>
      </c>
      <c r="AQ196">
        <f t="shared" si="263"/>
        <v>2021</v>
      </c>
      <c r="AR196">
        <f t="shared" si="263"/>
        <v>2021</v>
      </c>
      <c r="AS196">
        <f t="shared" si="263"/>
        <v>2021</v>
      </c>
      <c r="AT196">
        <f t="shared" si="263"/>
        <v>2021</v>
      </c>
      <c r="AU196">
        <f t="shared" si="263"/>
        <v>1972</v>
      </c>
      <c r="AV196">
        <f t="shared" si="263"/>
        <v>1996</v>
      </c>
      <c r="AW196">
        <f t="shared" si="263"/>
        <v>1934</v>
      </c>
      <c r="AX196">
        <f t="shared" si="263"/>
        <v>1956</v>
      </c>
      <c r="AY196">
        <f t="shared" si="263"/>
        <v>2021</v>
      </c>
      <c r="AZ196">
        <f t="shared" si="263"/>
        <v>2021</v>
      </c>
      <c r="BA196">
        <f t="shared" si="263"/>
        <v>2021</v>
      </c>
      <c r="BB196">
        <f t="shared" si="263"/>
        <v>2021</v>
      </c>
      <c r="BC196">
        <f t="shared" si="263"/>
        <v>2021</v>
      </c>
      <c r="BD196">
        <f t="shared" si="263"/>
        <v>2021</v>
      </c>
      <c r="BE196">
        <f t="shared" si="263"/>
        <v>2021</v>
      </c>
      <c r="BF196">
        <f t="shared" si="263"/>
        <v>2021</v>
      </c>
      <c r="BG196">
        <f t="shared" si="263"/>
        <v>1976</v>
      </c>
    </row>
    <row r="197" spans="3:59" x14ac:dyDescent="0.25">
      <c r="C197" t="s">
        <v>981</v>
      </c>
      <c r="D197" s="281" t="s">
        <v>980</v>
      </c>
      <c r="E197" s="50">
        <f>IF(E191&lt;&gt;4,IF(E195&lt;&gt;4,E196+1,E196),E196)</f>
        <v>1957</v>
      </c>
      <c r="F197" s="50">
        <f t="shared" ref="F197:BG197" si="264">IF(F191&lt;&gt;4,IF(F195&lt;&gt;4,F196+1,F196),F196)</f>
        <v>333</v>
      </c>
      <c r="G197" s="50">
        <f t="shared" si="264"/>
        <v>2000</v>
      </c>
      <c r="H197" s="50">
        <f t="shared" si="264"/>
        <v>1999</v>
      </c>
      <c r="I197" s="50">
        <f t="shared" si="264"/>
        <v>1987</v>
      </c>
      <c r="J197" s="50">
        <f t="shared" si="264"/>
        <v>1987</v>
      </c>
      <c r="K197" s="50">
        <f t="shared" si="264"/>
        <v>1988</v>
      </c>
      <c r="L197" s="50">
        <f t="shared" si="264"/>
        <v>1988</v>
      </c>
      <c r="M197" s="50">
        <f t="shared" si="264"/>
        <v>1900</v>
      </c>
      <c r="N197" s="50">
        <f t="shared" si="264"/>
        <v>1600</v>
      </c>
      <c r="O197" s="50">
        <f t="shared" si="264"/>
        <v>1600</v>
      </c>
      <c r="P197" s="50">
        <f t="shared" si="264"/>
        <v>837</v>
      </c>
      <c r="Q197" s="50">
        <f t="shared" si="264"/>
        <v>-123</v>
      </c>
      <c r="R197" s="50">
        <f t="shared" si="264"/>
        <v>-122</v>
      </c>
      <c r="S197" s="50">
        <f t="shared" si="264"/>
        <v>-1000</v>
      </c>
      <c r="T197" s="50">
        <f t="shared" si="264"/>
        <v>-1000</v>
      </c>
      <c r="U197" s="50">
        <f t="shared" si="264"/>
        <v>-1001</v>
      </c>
      <c r="V197" s="50">
        <f t="shared" si="264"/>
        <v>-4712</v>
      </c>
      <c r="W197" s="50">
        <f t="shared" si="264"/>
        <v>1987</v>
      </c>
      <c r="X197" s="50">
        <f t="shared" si="264"/>
        <v>1992</v>
      </c>
      <c r="Y197" s="50">
        <f t="shared" si="264"/>
        <v>1977</v>
      </c>
      <c r="Z197" s="50">
        <f t="shared" si="264"/>
        <v>2044</v>
      </c>
      <c r="AA197" s="50">
        <f t="shared" si="264"/>
        <v>2000</v>
      </c>
      <c r="AB197" s="50">
        <f t="shared" si="264"/>
        <v>1954</v>
      </c>
      <c r="AC197" s="50">
        <f t="shared" si="264"/>
        <v>1978</v>
      </c>
      <c r="AD197" s="50">
        <f t="shared" si="264"/>
        <v>1988</v>
      </c>
      <c r="AE197" s="50">
        <f t="shared" si="264"/>
        <v>1977</v>
      </c>
      <c r="AF197" s="50">
        <f t="shared" si="264"/>
        <v>1992</v>
      </c>
      <c r="AG197" s="50">
        <f t="shared" si="264"/>
        <v>1992</v>
      </c>
      <c r="AH197" s="50">
        <f t="shared" si="264"/>
        <v>1991</v>
      </c>
      <c r="AI197" s="50">
        <f t="shared" si="264"/>
        <v>1992</v>
      </c>
      <c r="AJ197" s="50">
        <f t="shared" si="264"/>
        <v>1993</v>
      </c>
      <c r="AK197" s="50">
        <f t="shared" si="264"/>
        <v>1818</v>
      </c>
      <c r="AL197" s="50">
        <f t="shared" si="264"/>
        <v>1990</v>
      </c>
      <c r="AM197" s="50">
        <f t="shared" si="264"/>
        <v>622</v>
      </c>
      <c r="AN197" s="50">
        <f t="shared" si="264"/>
        <v>2000</v>
      </c>
      <c r="AO197" s="50">
        <f t="shared" si="264"/>
        <v>1</v>
      </c>
      <c r="AP197" s="50">
        <f t="shared" si="264"/>
        <v>2022</v>
      </c>
      <c r="AQ197" s="50">
        <f t="shared" si="264"/>
        <v>2022</v>
      </c>
      <c r="AR197" s="50">
        <f t="shared" si="264"/>
        <v>2022</v>
      </c>
      <c r="AS197" s="50">
        <f t="shared" si="264"/>
        <v>2022</v>
      </c>
      <c r="AT197" s="50">
        <f t="shared" si="264"/>
        <v>2022</v>
      </c>
      <c r="AU197" s="50">
        <f t="shared" si="264"/>
        <v>1973</v>
      </c>
      <c r="AV197" s="50">
        <f t="shared" si="264"/>
        <v>1997</v>
      </c>
      <c r="AW197" s="50">
        <f t="shared" si="264"/>
        <v>1935</v>
      </c>
      <c r="AX197" s="50">
        <f t="shared" si="264"/>
        <v>1957</v>
      </c>
      <c r="AY197" s="50">
        <f t="shared" si="264"/>
        <v>2022</v>
      </c>
      <c r="AZ197" s="50">
        <f t="shared" si="264"/>
        <v>2022</v>
      </c>
      <c r="BA197" s="50">
        <f t="shared" si="264"/>
        <v>2022</v>
      </c>
      <c r="BB197" s="50">
        <f t="shared" si="264"/>
        <v>2022</v>
      </c>
      <c r="BC197" s="50">
        <f t="shared" si="264"/>
        <v>2022</v>
      </c>
      <c r="BD197" s="50">
        <f t="shared" si="264"/>
        <v>2022</v>
      </c>
      <c r="BE197" s="50">
        <f t="shared" si="264"/>
        <v>2022</v>
      </c>
      <c r="BF197" s="50">
        <f t="shared" si="264"/>
        <v>2022</v>
      </c>
      <c r="BG197" s="50">
        <f t="shared" si="264"/>
        <v>1977</v>
      </c>
    </row>
    <row r="199" spans="3:59" x14ac:dyDescent="0.25">
      <c r="C199" t="s">
        <v>992</v>
      </c>
      <c r="D199" s="7" t="s">
        <v>991</v>
      </c>
      <c r="E199">
        <f>IF(MOD(E197,4)=0,IF(MOD(E197,100)=0,IF(MOD(E197,400)=0,1,0),-2),0)</f>
        <v>0</v>
      </c>
      <c r="F199">
        <f t="shared" ref="F199:BG199" si="265">IF(MOD(F197,4)=0,IF(MOD(F197,100)=0,IF(MOD(F197,400)=0,1,0),-2),0)</f>
        <v>0</v>
      </c>
      <c r="G199">
        <f t="shared" si="265"/>
        <v>1</v>
      </c>
      <c r="H199">
        <f t="shared" si="265"/>
        <v>0</v>
      </c>
      <c r="I199">
        <f t="shared" si="265"/>
        <v>0</v>
      </c>
      <c r="J199">
        <f t="shared" si="265"/>
        <v>0</v>
      </c>
      <c r="K199">
        <f t="shared" si="265"/>
        <v>-2</v>
      </c>
      <c r="L199">
        <f t="shared" si="265"/>
        <v>-2</v>
      </c>
      <c r="M199">
        <f t="shared" si="265"/>
        <v>0</v>
      </c>
      <c r="N199">
        <f t="shared" si="265"/>
        <v>1</v>
      </c>
      <c r="O199">
        <f t="shared" si="265"/>
        <v>1</v>
      </c>
      <c r="P199">
        <f t="shared" si="265"/>
        <v>0</v>
      </c>
      <c r="Q199">
        <f t="shared" si="265"/>
        <v>0</v>
      </c>
      <c r="R199">
        <f t="shared" si="265"/>
        <v>0</v>
      </c>
      <c r="S199">
        <f t="shared" si="265"/>
        <v>0</v>
      </c>
      <c r="T199">
        <f t="shared" si="265"/>
        <v>0</v>
      </c>
      <c r="U199">
        <f t="shared" si="265"/>
        <v>0</v>
      </c>
      <c r="V199">
        <f t="shared" si="265"/>
        <v>-2</v>
      </c>
      <c r="W199">
        <f t="shared" si="265"/>
        <v>0</v>
      </c>
      <c r="X199">
        <f t="shared" si="265"/>
        <v>-2</v>
      </c>
      <c r="Y199">
        <f t="shared" si="265"/>
        <v>0</v>
      </c>
      <c r="Z199">
        <f t="shared" si="265"/>
        <v>-2</v>
      </c>
      <c r="AA199">
        <f t="shared" si="265"/>
        <v>1</v>
      </c>
      <c r="AB199">
        <f t="shared" si="265"/>
        <v>0</v>
      </c>
      <c r="AC199">
        <f t="shared" si="265"/>
        <v>0</v>
      </c>
      <c r="AD199">
        <f t="shared" si="265"/>
        <v>-2</v>
      </c>
      <c r="AE199">
        <f t="shared" si="265"/>
        <v>0</v>
      </c>
      <c r="AF199">
        <f t="shared" si="265"/>
        <v>-2</v>
      </c>
      <c r="AG199">
        <f t="shared" si="265"/>
        <v>-2</v>
      </c>
      <c r="AH199">
        <f t="shared" si="265"/>
        <v>0</v>
      </c>
      <c r="AI199">
        <f t="shared" si="265"/>
        <v>-2</v>
      </c>
      <c r="AJ199">
        <f t="shared" si="265"/>
        <v>0</v>
      </c>
      <c r="AK199">
        <f t="shared" si="265"/>
        <v>0</v>
      </c>
      <c r="AL199">
        <f t="shared" si="265"/>
        <v>0</v>
      </c>
      <c r="AM199">
        <f t="shared" si="265"/>
        <v>0</v>
      </c>
      <c r="AN199">
        <f t="shared" si="265"/>
        <v>1</v>
      </c>
      <c r="AO199">
        <f t="shared" si="265"/>
        <v>0</v>
      </c>
      <c r="AP199">
        <f t="shared" si="265"/>
        <v>0</v>
      </c>
      <c r="AQ199">
        <f t="shared" si="265"/>
        <v>0</v>
      </c>
      <c r="AR199">
        <f t="shared" si="265"/>
        <v>0</v>
      </c>
      <c r="AS199">
        <f t="shared" si="265"/>
        <v>0</v>
      </c>
      <c r="AT199">
        <f t="shared" si="265"/>
        <v>0</v>
      </c>
      <c r="AU199">
        <f t="shared" si="265"/>
        <v>0</v>
      </c>
      <c r="AV199">
        <f t="shared" si="265"/>
        <v>0</v>
      </c>
      <c r="AW199">
        <f t="shared" si="265"/>
        <v>0</v>
      </c>
      <c r="AX199">
        <f t="shared" si="265"/>
        <v>0</v>
      </c>
      <c r="AY199">
        <f t="shared" si="265"/>
        <v>0</v>
      </c>
      <c r="AZ199">
        <f t="shared" si="265"/>
        <v>0</v>
      </c>
      <c r="BA199">
        <f t="shared" si="265"/>
        <v>0</v>
      </c>
      <c r="BB199">
        <f t="shared" si="265"/>
        <v>0</v>
      </c>
      <c r="BC199">
        <f t="shared" si="265"/>
        <v>0</v>
      </c>
      <c r="BD199">
        <f t="shared" si="265"/>
        <v>0</v>
      </c>
      <c r="BE199">
        <f t="shared" si="265"/>
        <v>0</v>
      </c>
      <c r="BF199">
        <f t="shared" si="265"/>
        <v>0</v>
      </c>
      <c r="BG199">
        <f t="shared" si="265"/>
        <v>0</v>
      </c>
    </row>
    <row r="201" spans="3:59" x14ac:dyDescent="0.25">
      <c r="C201" t="s">
        <v>989</v>
      </c>
      <c r="D201" s="7" t="s">
        <v>994</v>
      </c>
      <c r="E201">
        <f>(Lookups!$N$6 - 1)  +  365 * (E197 -1)  +  _xlfn.FLOOR.MATH((E197 - 1) / 4)  -  _xlfn.FLOOR.MATH((E197 - 1) / 100)  +  _xlfn.FLOOR.MATH((E197 - 1) / 400) + _xlfn.FLOOR.MATH( (((367 * 1) - 362) / 12)+0) + 1</f>
        <v>2435839.5</v>
      </c>
      <c r="F201">
        <f>(Lookups!$N$6 - 1)  +  365 * (F197 -1)  +  _xlfn.FLOOR.MATH((F197 - 1) / 4)  -  _xlfn.FLOOR.MATH((F197 - 1) / 100)  +  _xlfn.FLOOR.MATH((F197 - 1) / 400) + _xlfn.FLOOR.MATH( (((367 * 1) - 362) / 12)+0) + 1</f>
        <v>1842685.5</v>
      </c>
      <c r="G201">
        <f>(Lookups!$N$6 - 1)  +  365 * (G197 -1)  +  _xlfn.FLOOR.MATH((G197 - 1) / 4)  -  _xlfn.FLOOR.MATH((G197 - 1) / 100)  +  _xlfn.FLOOR.MATH((G197 - 1) / 400) + _xlfn.FLOOR.MATH( (((367 * 1) - 362) / 12)+0) + 1</f>
        <v>2451544.5</v>
      </c>
      <c r="H201">
        <f>(Lookups!$N$6 - 1)  +  365 * (H197 -1)  +  _xlfn.FLOOR.MATH((H197 - 1) / 4)  -  _xlfn.FLOOR.MATH((H197 - 1) / 100)  +  _xlfn.FLOOR.MATH((H197 - 1) / 400) + _xlfn.FLOOR.MATH( (((367 * 1) - 362) / 12)+0) + 1</f>
        <v>2451179.5</v>
      </c>
      <c r="I201">
        <f>(Lookups!$N$6 - 1)  +  365 * (I197 -1)  +  _xlfn.FLOOR.MATH((I197 - 1) / 4)  -  _xlfn.FLOOR.MATH((I197 - 1) / 100)  +  _xlfn.FLOOR.MATH((I197 - 1) / 400) + _xlfn.FLOOR.MATH( (((367 * 1) - 362) / 12)+0) + 1</f>
        <v>2446796.5</v>
      </c>
      <c r="J201">
        <f>(Lookups!$N$6 - 1)  +  365 * (J197 -1)  +  _xlfn.FLOOR.MATH((J197 - 1) / 4)  -  _xlfn.FLOOR.MATH((J197 - 1) / 100)  +  _xlfn.FLOOR.MATH((J197 - 1) / 400) + _xlfn.FLOOR.MATH( (((367 * 1) - 362) / 12)+0) + 1</f>
        <v>2446796.5</v>
      </c>
      <c r="K201">
        <f>(Lookups!$N$6 - 1)  +  365 * (K197 -1)  +  _xlfn.FLOOR.MATH((K197 - 1) / 4)  -  _xlfn.FLOOR.MATH((K197 - 1) / 100)  +  _xlfn.FLOOR.MATH((K197 - 1) / 400) + _xlfn.FLOOR.MATH( (((367 * 1) - 362) / 12)+0) + 1</f>
        <v>2447161.5</v>
      </c>
      <c r="L201">
        <f>(Lookups!$N$6 - 1)  +  365 * (L197 -1)  +  _xlfn.FLOOR.MATH((L197 - 1) / 4)  -  _xlfn.FLOOR.MATH((L197 - 1) / 100)  +  _xlfn.FLOOR.MATH((L197 - 1) / 400) + _xlfn.FLOOR.MATH( (((367 * 1) - 362) / 12)+0) + 1</f>
        <v>2447161.5</v>
      </c>
      <c r="M201">
        <f>(Lookups!$N$6 - 1)  +  365 * (M197 -1)  +  _xlfn.FLOOR.MATH((M197 - 1) / 4)  -  _xlfn.FLOOR.MATH((M197 - 1) / 100)  +  _xlfn.FLOOR.MATH((M197 - 1) / 400) + _xlfn.FLOOR.MATH( (((367 * 1) - 362) / 12)+0) + 1</f>
        <v>2415020.5</v>
      </c>
      <c r="N201">
        <f>(Lookups!$N$6 - 1)  +  365 * (N197 -1)  +  _xlfn.FLOOR.MATH((N197 - 1) / 4)  -  _xlfn.FLOOR.MATH((N197 - 1) / 100)  +  _xlfn.FLOOR.MATH((N197 - 1) / 400) + _xlfn.FLOOR.MATH( (((367 * 1) - 362) / 12)+0) + 1</f>
        <v>2305447.5</v>
      </c>
      <c r="O201">
        <f>(Lookups!$N$6 - 1)  +  365 * (O197 -1)  +  _xlfn.FLOOR.MATH((O197 - 1) / 4)  -  _xlfn.FLOOR.MATH((O197 - 1) / 100)  +  _xlfn.FLOOR.MATH((O197 - 1) / 400) + _xlfn.FLOOR.MATH( (((367 * 1) - 362) / 12)+0) + 1</f>
        <v>2305447.5</v>
      </c>
      <c r="P201">
        <f>(Lookups!$N$6 - 1)  +  365 * (P197 -1)  +  _xlfn.FLOOR.MATH((P197 - 1) / 4)  -  _xlfn.FLOOR.MATH((P197 - 1) / 100)  +  _xlfn.FLOOR.MATH((P197 - 1) / 400) + _xlfn.FLOOR.MATH( (((367 * 1) - 362) / 12)+0) + 1</f>
        <v>2026768.5</v>
      </c>
      <c r="Q201">
        <f>(Lookups!$N$6 - 1)  +  365 * (Q197 -1)  +  _xlfn.FLOOR.MATH((Q197 - 1) / 4)  -  _xlfn.FLOOR.MATH((Q197 - 1) / 100)  +  _xlfn.FLOOR.MATH((Q197 - 1) / 400) + _xlfn.FLOOR.MATH( (((367 * 1) - 362) / 12)+0) + 1</f>
        <v>1676135.5</v>
      </c>
      <c r="R201">
        <f>(Lookups!$N$6 - 1)  +  365 * (R197 -1)  +  _xlfn.FLOOR.MATH((R197 - 1) / 4)  -  _xlfn.FLOOR.MATH((R197 - 1) / 100)  +  _xlfn.FLOOR.MATH((R197 - 1) / 400) + _xlfn.FLOOR.MATH( (((367 * 1) - 362) / 12)+0) + 1</f>
        <v>1676500.5</v>
      </c>
      <c r="S201">
        <f>(Lookups!$N$6 - 1)  +  365 * (S197 -1)  +  _xlfn.FLOOR.MATH((S197 - 1) / 4)  -  _xlfn.FLOOR.MATH((S197 - 1) / 100)  +  _xlfn.FLOOR.MATH((S197 - 1) / 400) + _xlfn.FLOOR.MATH( (((367 * 1) - 362) / 12)+0) + 1</f>
        <v>1355817.5</v>
      </c>
      <c r="T201">
        <f>(Lookups!$N$6 - 1)  +  365 * (T197 -1)  +  _xlfn.FLOOR.MATH((T197 - 1) / 4)  -  _xlfn.FLOOR.MATH((T197 - 1) / 100)  +  _xlfn.FLOOR.MATH((T197 - 1) / 400) + _xlfn.FLOOR.MATH( (((367 * 1) - 362) / 12)+0) + 1</f>
        <v>1355817.5</v>
      </c>
      <c r="U201">
        <f>(Lookups!$N$6 - 1)  +  365 * (U197 -1)  +  _xlfn.FLOOR.MATH((U197 - 1) / 4)  -  _xlfn.FLOOR.MATH((U197 - 1) / 100)  +  _xlfn.FLOOR.MATH((U197 - 1) / 400) + _xlfn.FLOOR.MATH( (((367 * 1) - 362) / 12)+0) + 1</f>
        <v>1355452.5</v>
      </c>
      <c r="V201">
        <f>(Lookups!$N$6 - 1)  +  365 * (V197 -1)  +  _xlfn.FLOOR.MATH((V197 - 1) / 4)  -  _xlfn.FLOOR.MATH((V197 - 1) / 100)  +  _xlfn.FLOOR.MATH((V197 - 1) / 400) + _xlfn.FLOOR.MATH( (((367 * 1) - 362) / 12)+0) + 1</f>
        <v>37.5</v>
      </c>
      <c r="W201">
        <f>(Lookups!$N$6 - 1)  +  365 * (W197 -1)  +  _xlfn.FLOOR.MATH((W197 - 1) / 4)  -  _xlfn.FLOOR.MATH((W197 - 1) / 100)  +  _xlfn.FLOOR.MATH((W197 - 1) / 400) + _xlfn.FLOOR.MATH( (((367 * 1) - 362) / 12)+0) + 1</f>
        <v>2446796.5</v>
      </c>
      <c r="X201">
        <f>(Lookups!$N$6 - 1)  +  365 * (X197 -1)  +  _xlfn.FLOOR.MATH((X197 - 1) / 4)  -  _xlfn.FLOOR.MATH((X197 - 1) / 100)  +  _xlfn.FLOOR.MATH((X197 - 1) / 400) + _xlfn.FLOOR.MATH( (((367 * 1) - 362) / 12)+0) + 1</f>
        <v>2448622.5</v>
      </c>
      <c r="Y201">
        <f>(Lookups!$N$6 - 1)  +  365 * (Y197 -1)  +  _xlfn.FLOOR.MATH((Y197 - 1) / 4)  -  _xlfn.FLOOR.MATH((Y197 - 1) / 100)  +  _xlfn.FLOOR.MATH((Y197 - 1) / 400) + _xlfn.FLOOR.MATH( (((367 * 1) - 362) / 12)+0) + 1</f>
        <v>2443144.5</v>
      </c>
      <c r="Z201">
        <f>(Lookups!$N$6 - 1)  +  365 * (Z197 -1)  +  _xlfn.FLOOR.MATH((Z197 - 1) / 4)  -  _xlfn.FLOOR.MATH((Z197 - 1) / 100)  +  _xlfn.FLOOR.MATH((Z197 - 1) / 400) + _xlfn.FLOOR.MATH( (((367 * 1) - 362) / 12)+0) + 1</f>
        <v>2467615.5</v>
      </c>
      <c r="AA201">
        <f>(Lookups!$N$6 - 1)  +  365 * (AA197 -1)  +  _xlfn.FLOOR.MATH((AA197 - 1) / 4)  -  _xlfn.FLOOR.MATH((AA197 - 1) / 100)  +  _xlfn.FLOOR.MATH((AA197 - 1) / 400) + _xlfn.FLOOR.MATH( (((367 * 1) - 362) / 12)+0) + 1</f>
        <v>2451544.5</v>
      </c>
      <c r="AB201">
        <f>(Lookups!$N$6 - 1)  +  365 * (AB197 -1)  +  _xlfn.FLOOR.MATH((AB197 - 1) / 4)  -  _xlfn.FLOOR.MATH((AB197 - 1) / 100)  +  _xlfn.FLOOR.MATH((AB197 - 1) / 400) + _xlfn.FLOOR.MATH( (((367 * 1) - 362) / 12)+0) + 1</f>
        <v>2434743.5</v>
      </c>
      <c r="AC201">
        <f>(Lookups!$N$6 - 1)  +  365 * (AC197 -1)  +  _xlfn.FLOOR.MATH((AC197 - 1) / 4)  -  _xlfn.FLOOR.MATH((AC197 - 1) / 100)  +  _xlfn.FLOOR.MATH((AC197 - 1) / 400) + _xlfn.FLOOR.MATH( (((367 * 1) - 362) / 12)+0) + 1</f>
        <v>2443509.5</v>
      </c>
      <c r="AD201">
        <f>(Lookups!$N$6 - 1)  +  365 * (AD197 -1)  +  _xlfn.FLOOR.MATH((AD197 - 1) / 4)  -  _xlfn.FLOOR.MATH((AD197 - 1) / 100)  +  _xlfn.FLOOR.MATH((AD197 - 1) / 400) + _xlfn.FLOOR.MATH( (((367 * 1) - 362) / 12)+0) + 1</f>
        <v>2447161.5</v>
      </c>
      <c r="AE201">
        <f>(Lookups!$N$6 - 1)  +  365 * (AE197 -1)  +  _xlfn.FLOOR.MATH((AE197 - 1) / 4)  -  _xlfn.FLOOR.MATH((AE197 - 1) / 100)  +  _xlfn.FLOOR.MATH((AE197 - 1) / 400) + _xlfn.FLOOR.MATH( (((367 * 1) - 362) / 12)+0) + 1</f>
        <v>2443144.5</v>
      </c>
      <c r="AF201">
        <f>(Lookups!$N$6 - 1)  +  365 * (AF197 -1)  +  _xlfn.FLOOR.MATH((AF197 - 1) / 4)  -  _xlfn.FLOOR.MATH((AF197 - 1) / 100)  +  _xlfn.FLOOR.MATH((AF197 - 1) / 400) + _xlfn.FLOOR.MATH( (((367 * 1) - 362) / 12)+0) + 1</f>
        <v>2448622.5</v>
      </c>
      <c r="AG201">
        <f>(Lookups!$N$6 - 1)  +  365 * (AG197 -1)  +  _xlfn.FLOOR.MATH((AG197 - 1) / 4)  -  _xlfn.FLOOR.MATH((AG197 - 1) / 100)  +  _xlfn.FLOOR.MATH((AG197 - 1) / 400) + _xlfn.FLOOR.MATH( (((367 * 1) - 362) / 12)+0) + 1</f>
        <v>2448622.5</v>
      </c>
      <c r="AH201">
        <f>(Lookups!$N$6 - 1)  +  365 * (AH197 -1)  +  _xlfn.FLOOR.MATH((AH197 - 1) / 4)  -  _xlfn.FLOOR.MATH((AH197 - 1) / 100)  +  _xlfn.FLOOR.MATH((AH197 - 1) / 400) + _xlfn.FLOOR.MATH( (((367 * 1) - 362) / 12)+0) + 1</f>
        <v>2448257.5</v>
      </c>
      <c r="AI201">
        <f>(Lookups!$N$6 - 1)  +  365 * (AI197 -1)  +  _xlfn.FLOOR.MATH((AI197 - 1) / 4)  -  _xlfn.FLOOR.MATH((AI197 - 1) / 100)  +  _xlfn.FLOOR.MATH((AI197 - 1) / 400) + _xlfn.FLOOR.MATH( (((367 * 1) - 362) / 12)+0) + 1</f>
        <v>2448622.5</v>
      </c>
      <c r="AJ201">
        <f>(Lookups!$N$6 - 1)  +  365 * (AJ197 -1)  +  _xlfn.FLOOR.MATH((AJ197 - 1) / 4)  -  _xlfn.FLOOR.MATH((AJ197 - 1) / 100)  +  _xlfn.FLOOR.MATH((AJ197 - 1) / 400) + _xlfn.FLOOR.MATH( (((367 * 1) - 362) / 12)+0) + 1</f>
        <v>2448988.5</v>
      </c>
      <c r="AK201">
        <f>(Lookups!$N$6 - 1)  +  365 * (AK197 -1)  +  _xlfn.FLOOR.MATH((AK197 - 1) / 4)  -  _xlfn.FLOOR.MATH((AK197 - 1) / 100)  +  _xlfn.FLOOR.MATH((AK197 - 1) / 400) + _xlfn.FLOOR.MATH( (((367 * 1) - 362) / 12)+0) + 1</f>
        <v>2385070.5</v>
      </c>
      <c r="AL201">
        <f>(Lookups!$N$6 - 1)  +  365 * (AL197 -1)  +  _xlfn.FLOOR.MATH((AL197 - 1) / 4)  -  _xlfn.FLOOR.MATH((AL197 - 1) / 100)  +  _xlfn.FLOOR.MATH((AL197 - 1) / 400) + _xlfn.FLOOR.MATH( (((367 * 1) - 362) / 12)+0) + 1</f>
        <v>2447892.5</v>
      </c>
      <c r="AM201">
        <f>(Lookups!$N$6 - 1)  +  365 * (AM197 -1)  +  _xlfn.FLOOR.MATH((AM197 - 1) / 4)  -  _xlfn.FLOOR.MATH((AM197 - 1) / 100)  +  _xlfn.FLOOR.MATH((AM197 - 1) / 400) + _xlfn.FLOOR.MATH( (((367 * 1) - 362) / 12)+0) + 1</f>
        <v>1948240.5</v>
      </c>
      <c r="AN201">
        <f>(Lookups!$N$6 - 1)  +  365 * (AN197 -1)  +  _xlfn.FLOOR.MATH((AN197 - 1) / 4)  -  _xlfn.FLOOR.MATH((AN197 - 1) / 100)  +  _xlfn.FLOOR.MATH((AN197 - 1) / 400) + _xlfn.FLOOR.MATH( (((367 * 1) - 362) / 12)+0) + 1</f>
        <v>2451544.5</v>
      </c>
      <c r="AO201">
        <f>(Lookups!$N$6 - 1)  +  365 * (AO197 -1)  +  _xlfn.FLOOR.MATH((AO197 - 1) / 4)  -  _xlfn.FLOOR.MATH((AO197 - 1) / 100)  +  _xlfn.FLOOR.MATH((AO197 - 1) / 400) + _xlfn.FLOOR.MATH( (((367 * 1) - 362) / 12)+0) + 1</f>
        <v>1721425.5</v>
      </c>
      <c r="AP201">
        <f>(Lookups!$N$6 - 1)  +  365 * (AP197 -1)  +  _xlfn.FLOOR.MATH((AP197 - 1) / 4)  -  _xlfn.FLOOR.MATH((AP197 - 1) / 100)  +  _xlfn.FLOOR.MATH((AP197 - 1) / 400) + _xlfn.FLOOR.MATH( (((367 * 1) - 362) / 12)+0) + 1</f>
        <v>2459580.5</v>
      </c>
      <c r="AQ201">
        <f>(Lookups!$N$6 - 1)  +  365 * (AQ197 -1)  +  _xlfn.FLOOR.MATH((AQ197 - 1) / 4)  -  _xlfn.FLOOR.MATH((AQ197 - 1) / 100)  +  _xlfn.FLOOR.MATH((AQ197 - 1) / 400) + _xlfn.FLOOR.MATH( (((367 * 1) - 362) / 12)+0) + 1</f>
        <v>2459580.5</v>
      </c>
      <c r="AR201">
        <f>(Lookups!$N$6 - 1)  +  365 * (AR197 -1)  +  _xlfn.FLOOR.MATH((AR197 - 1) / 4)  -  _xlfn.FLOOR.MATH((AR197 - 1) / 100)  +  _xlfn.FLOOR.MATH((AR197 - 1) / 400) + _xlfn.FLOOR.MATH( (((367 * 1) - 362) / 12)+0) + 1</f>
        <v>2459580.5</v>
      </c>
      <c r="AS201">
        <f>(Lookups!$N$6 - 1)  +  365 * (AS197 -1)  +  _xlfn.FLOOR.MATH((AS197 - 1) / 4)  -  _xlfn.FLOOR.MATH((AS197 - 1) / 100)  +  _xlfn.FLOOR.MATH((AS197 - 1) / 400) + _xlfn.FLOOR.MATH( (((367 * 1) - 362) / 12)+0) + 1</f>
        <v>2459580.5</v>
      </c>
      <c r="AT201">
        <f>(Lookups!$N$6 - 1)  +  365 * (AT197 -1)  +  _xlfn.FLOOR.MATH((AT197 - 1) / 4)  -  _xlfn.FLOOR.MATH((AT197 - 1) / 100)  +  _xlfn.FLOOR.MATH((AT197 - 1) / 400) + _xlfn.FLOOR.MATH( (((367 * 1) - 362) / 12)+0) + 1</f>
        <v>2459580.5</v>
      </c>
      <c r="AU201">
        <f>(Lookups!$N$6 - 1)  +  365 * (AU197 -1)  +  _xlfn.FLOOR.MATH((AU197 - 1) / 4)  -  _xlfn.FLOOR.MATH((AU197 - 1) / 100)  +  _xlfn.FLOOR.MATH((AU197 - 1) / 400) + _xlfn.FLOOR.MATH( (((367 * 1) - 362) / 12)+0) + 1</f>
        <v>2441683.5</v>
      </c>
      <c r="AV201">
        <f>(Lookups!$N$6 - 1)  +  365 * (AV197 -1)  +  _xlfn.FLOOR.MATH((AV197 - 1) / 4)  -  _xlfn.FLOOR.MATH((AV197 - 1) / 100)  +  _xlfn.FLOOR.MATH((AV197 - 1) / 400) + _xlfn.FLOOR.MATH( (((367 * 1) - 362) / 12)+0) + 1</f>
        <v>2450449.5</v>
      </c>
      <c r="AW201">
        <f>(Lookups!$N$6 - 1)  +  365 * (AW197 -1)  +  _xlfn.FLOOR.MATH((AW197 - 1) / 4)  -  _xlfn.FLOOR.MATH((AW197 - 1) / 100)  +  _xlfn.FLOOR.MATH((AW197 - 1) / 400) + _xlfn.FLOOR.MATH( (((367 * 1) - 362) / 12)+0) + 1</f>
        <v>2427803.5</v>
      </c>
      <c r="AX201">
        <f>(Lookups!$N$6 - 1)  +  365 * (AX197 -1)  +  _xlfn.FLOOR.MATH((AX197 - 1) / 4)  -  _xlfn.FLOOR.MATH((AX197 - 1) / 100)  +  _xlfn.FLOOR.MATH((AX197 - 1) / 400) + _xlfn.FLOOR.MATH( (((367 * 1) - 362) / 12)+0) + 1</f>
        <v>2435839.5</v>
      </c>
      <c r="AY201">
        <f>(Lookups!$N$6 - 1)  +  365 * (AY197 -1)  +  _xlfn.FLOOR.MATH((AY197 - 1) / 4)  -  _xlfn.FLOOR.MATH((AY197 - 1) / 100)  +  _xlfn.FLOOR.MATH((AY197 - 1) / 400) + _xlfn.FLOOR.MATH( (((367 * 1) - 362) / 12)+0) + 1</f>
        <v>2459580.5</v>
      </c>
      <c r="AZ201">
        <f>(Lookups!$N$6 - 1)  +  365 * (AZ197 -1)  +  _xlfn.FLOOR.MATH((AZ197 - 1) / 4)  -  _xlfn.FLOOR.MATH((AZ197 - 1) / 100)  +  _xlfn.FLOOR.MATH((AZ197 - 1) / 400) + _xlfn.FLOOR.MATH( (((367 * 1) - 362) / 12)+0) + 1</f>
        <v>2459580.5</v>
      </c>
      <c r="BA201">
        <f>(Lookups!$N$6 - 1)  +  365 * (BA197 -1)  +  _xlfn.FLOOR.MATH((BA197 - 1) / 4)  -  _xlfn.FLOOR.MATH((BA197 - 1) / 100)  +  _xlfn.FLOOR.MATH((BA197 - 1) / 400) + _xlfn.FLOOR.MATH( (((367 * 1) - 362) / 12)+0) + 1</f>
        <v>2459580.5</v>
      </c>
      <c r="BB201">
        <f>(Lookups!$N$6 - 1)  +  365 * (BB197 -1)  +  _xlfn.FLOOR.MATH((BB197 - 1) / 4)  -  _xlfn.FLOOR.MATH((BB197 - 1) / 100)  +  _xlfn.FLOOR.MATH((BB197 - 1) / 400) + _xlfn.FLOOR.MATH( (((367 * 1) - 362) / 12)+0) + 1</f>
        <v>2459580.5</v>
      </c>
      <c r="BC201">
        <f>(Lookups!$N$6 - 1)  +  365 * (BC197 -1)  +  _xlfn.FLOOR.MATH((BC197 - 1) / 4)  -  _xlfn.FLOOR.MATH((BC197 - 1) / 100)  +  _xlfn.FLOOR.MATH((BC197 - 1) / 400) + _xlfn.FLOOR.MATH( (((367 * 1) - 362) / 12)+0) + 1</f>
        <v>2459580.5</v>
      </c>
      <c r="BD201">
        <f>(Lookups!$N$6 - 1)  +  365 * (BD197 -1)  +  _xlfn.FLOOR.MATH((BD197 - 1) / 4)  -  _xlfn.FLOOR.MATH((BD197 - 1) / 100)  +  _xlfn.FLOOR.MATH((BD197 - 1) / 400) + _xlfn.FLOOR.MATH( (((367 * 1) - 362) / 12)+0) + 1</f>
        <v>2459580.5</v>
      </c>
      <c r="BE201">
        <f>(Lookups!$N$6 - 1)  +  365 * (BE197 -1)  +  _xlfn.FLOOR.MATH((BE197 - 1) / 4)  -  _xlfn.FLOOR.MATH((BE197 - 1) / 100)  +  _xlfn.FLOOR.MATH((BE197 - 1) / 400) + _xlfn.FLOOR.MATH( (((367 * 1) - 362) / 12)+0) + 1</f>
        <v>2459580.5</v>
      </c>
      <c r="BF201">
        <f>(Lookups!$N$6 - 1)  +  365 * (BF197 -1)  +  _xlfn.FLOOR.MATH((BF197 - 1) / 4)  -  _xlfn.FLOOR.MATH((BF197 - 1) / 100)  +  _xlfn.FLOOR.MATH((BF197 - 1) / 400) + _xlfn.FLOOR.MATH( (((367 * 1) - 362) / 12)+0) + 1</f>
        <v>2459580.5</v>
      </c>
      <c r="BG201">
        <f>(Lookups!$N$6 - 1)  +  365 * (BG197 -1)  +  _xlfn.FLOOR.MATH((BG197 - 1) / 4)  -  _xlfn.FLOOR.MATH((BG197 - 1) / 100)  +  _xlfn.FLOOR.MATH((BG197 - 1) / 400) + _xlfn.FLOOR.MATH( (((367 * 1) - 362) / 12)+0) + 1</f>
        <v>2443144.5</v>
      </c>
    </row>
    <row r="202" spans="3:59" x14ac:dyDescent="0.25">
      <c r="C202" t="s">
        <v>990</v>
      </c>
      <c r="D202" s="7" t="s">
        <v>993</v>
      </c>
      <c r="E202">
        <f>(Lookups!$N$6 - 1)  +  365 * (E197 -1)  +  _xlfn.FLOOR.MATH((E197 - 1) / 4)  -  _xlfn.FLOOR.MATH((E197 - 1) / 100)  +  _xlfn.FLOOR.MATH((E197 - 1) / 400) + _xlfn.FLOOR.MATH( (((367 * 3) - 362) / 12)+E199) + 1</f>
        <v>2435900.5</v>
      </c>
      <c r="F202">
        <f>(Lookups!$N$6 - 1)  +  365 * (F197 -1)  +  _xlfn.FLOOR.MATH((F197 - 1) / 4)  -  _xlfn.FLOOR.MATH((F197 - 1) / 100)  +  _xlfn.FLOOR.MATH((F197 - 1) / 400) + _xlfn.FLOOR.MATH( (((367 * 3) - 362) / 12)+F199) + 1</f>
        <v>1842746.5</v>
      </c>
      <c r="G202">
        <f>(Lookups!$N$6 - 1)  +  365 * (G197 -1)  +  _xlfn.FLOOR.MATH((G197 - 1) / 4)  -  _xlfn.FLOOR.MATH((G197 - 1) / 100)  +  _xlfn.FLOOR.MATH((G197 - 1) / 400) + _xlfn.FLOOR.MATH( (((367 * 3) - 362) / 12)+G199) + 1</f>
        <v>2451606.5</v>
      </c>
      <c r="H202">
        <f>(Lookups!$N$6 - 1)  +  365 * (H197 -1)  +  _xlfn.FLOOR.MATH((H197 - 1) / 4)  -  _xlfn.FLOOR.MATH((H197 - 1) / 100)  +  _xlfn.FLOOR.MATH((H197 - 1) / 400) + _xlfn.FLOOR.MATH( (((367 * 3) - 362) / 12)+H199) + 1</f>
        <v>2451240.5</v>
      </c>
      <c r="I202">
        <f>(Lookups!$N$6 - 1)  +  365 * (I197 -1)  +  _xlfn.FLOOR.MATH((I197 - 1) / 4)  -  _xlfn.FLOOR.MATH((I197 - 1) / 100)  +  _xlfn.FLOOR.MATH((I197 - 1) / 400) + _xlfn.FLOOR.MATH( (((367 * 3) - 362) / 12)+I199) + 1</f>
        <v>2446857.5</v>
      </c>
      <c r="J202">
        <f>(Lookups!$N$6 - 1)  +  365 * (J197 -1)  +  _xlfn.FLOOR.MATH((J197 - 1) / 4)  -  _xlfn.FLOOR.MATH((J197 - 1) / 100)  +  _xlfn.FLOOR.MATH((J197 - 1) / 400) + _xlfn.FLOOR.MATH( (((367 * 3) - 362) / 12)+J199) + 1</f>
        <v>2446857.5</v>
      </c>
      <c r="K202">
        <f>(Lookups!$N$6 - 1)  +  365 * (K197 -1)  +  _xlfn.FLOOR.MATH((K197 - 1) / 4)  -  _xlfn.FLOOR.MATH((K197 - 1) / 100)  +  _xlfn.FLOOR.MATH((K197 - 1) / 400) + _xlfn.FLOOR.MATH( (((367 * 3) - 362) / 12)+K199) + 1</f>
        <v>2447220.5</v>
      </c>
      <c r="L202">
        <f>(Lookups!$N$6 - 1)  +  365 * (L197 -1)  +  _xlfn.FLOOR.MATH((L197 - 1) / 4)  -  _xlfn.FLOOR.MATH((L197 - 1) / 100)  +  _xlfn.FLOOR.MATH((L197 - 1) / 400) + _xlfn.FLOOR.MATH( (((367 * 3) - 362) / 12)+L199) + 1</f>
        <v>2447220.5</v>
      </c>
      <c r="M202">
        <f>(Lookups!$N$6 - 1)  +  365 * (M197 -1)  +  _xlfn.FLOOR.MATH((M197 - 1) / 4)  -  _xlfn.FLOOR.MATH((M197 - 1) / 100)  +  _xlfn.FLOOR.MATH((M197 - 1) / 400) + _xlfn.FLOOR.MATH( (((367 * 3) - 362) / 12)+M199) + 1</f>
        <v>2415081.5</v>
      </c>
      <c r="N202">
        <f>(Lookups!$N$6 - 1)  +  365 * (N197 -1)  +  _xlfn.FLOOR.MATH((N197 - 1) / 4)  -  _xlfn.FLOOR.MATH((N197 - 1) / 100)  +  _xlfn.FLOOR.MATH((N197 - 1) / 400) + _xlfn.FLOOR.MATH( (((367 * 3) - 362) / 12)+N199) + 1</f>
        <v>2305509.5</v>
      </c>
      <c r="O202">
        <f>(Lookups!$N$6 - 1)  +  365 * (O197 -1)  +  _xlfn.FLOOR.MATH((O197 - 1) / 4)  -  _xlfn.FLOOR.MATH((O197 - 1) / 100)  +  _xlfn.FLOOR.MATH((O197 - 1) / 400) + _xlfn.FLOOR.MATH( (((367 * 3) - 362) / 12)+O199) + 1</f>
        <v>2305509.5</v>
      </c>
      <c r="P202">
        <f>(Lookups!$N$6 - 1)  +  365 * (P197 -1)  +  _xlfn.FLOOR.MATH((P197 - 1) / 4)  -  _xlfn.FLOOR.MATH((P197 - 1) / 100)  +  _xlfn.FLOOR.MATH((P197 - 1) / 400) + _xlfn.FLOOR.MATH( (((367 * 3) - 362) / 12)+P199) + 1</f>
        <v>2026829.5</v>
      </c>
      <c r="Q202">
        <f>(Lookups!$N$6 - 1)  +  365 * (Q197 -1)  +  _xlfn.FLOOR.MATH((Q197 - 1) / 4)  -  _xlfn.FLOOR.MATH((Q197 - 1) / 100)  +  _xlfn.FLOOR.MATH((Q197 - 1) / 400) + _xlfn.FLOOR.MATH( (((367 * 3) - 362) / 12)+Q199) + 1</f>
        <v>1676196.5</v>
      </c>
      <c r="R202">
        <f>(Lookups!$N$6 - 1)  +  365 * (R197 -1)  +  _xlfn.FLOOR.MATH((R197 - 1) / 4)  -  _xlfn.FLOOR.MATH((R197 - 1) / 100)  +  _xlfn.FLOOR.MATH((R197 - 1) / 400) + _xlfn.FLOOR.MATH( (((367 * 3) - 362) / 12)+R199) + 1</f>
        <v>1676561.5</v>
      </c>
      <c r="S202">
        <f>(Lookups!$N$6 - 1)  +  365 * (S197 -1)  +  _xlfn.FLOOR.MATH((S197 - 1) / 4)  -  _xlfn.FLOOR.MATH((S197 - 1) / 100)  +  _xlfn.FLOOR.MATH((S197 - 1) / 400) + _xlfn.FLOOR.MATH( (((367 * 3) - 362) / 12)+S199) + 1</f>
        <v>1355878.5</v>
      </c>
      <c r="T202">
        <f>(Lookups!$N$6 - 1)  +  365 * (T197 -1)  +  _xlfn.FLOOR.MATH((T197 - 1) / 4)  -  _xlfn.FLOOR.MATH((T197 - 1) / 100)  +  _xlfn.FLOOR.MATH((T197 - 1) / 400) + _xlfn.FLOOR.MATH( (((367 * 3) - 362) / 12)+T199) + 1</f>
        <v>1355878.5</v>
      </c>
      <c r="U202">
        <f>(Lookups!$N$6 - 1)  +  365 * (U197 -1)  +  _xlfn.FLOOR.MATH((U197 - 1) / 4)  -  _xlfn.FLOOR.MATH((U197 - 1) / 100)  +  _xlfn.FLOOR.MATH((U197 - 1) / 400) + _xlfn.FLOOR.MATH( (((367 * 3) - 362) / 12)+U199) + 1</f>
        <v>1355513.5</v>
      </c>
      <c r="V202">
        <f>(Lookups!$N$6 - 1)  +  365 * (V197 -1)  +  _xlfn.FLOOR.MATH((V197 - 1) / 4)  -  _xlfn.FLOOR.MATH((V197 - 1) / 100)  +  _xlfn.FLOOR.MATH((V197 - 1) / 400) + _xlfn.FLOOR.MATH( (((367 * 3) - 362) / 12)+V199) + 1</f>
        <v>96.5</v>
      </c>
      <c r="W202">
        <f>(Lookups!$N$6 - 1)  +  365 * (W197 -1)  +  _xlfn.FLOOR.MATH((W197 - 1) / 4)  -  _xlfn.FLOOR.MATH((W197 - 1) / 100)  +  _xlfn.FLOOR.MATH((W197 - 1) / 400) + _xlfn.FLOOR.MATH( (((367 * 3) - 362) / 12)+W199) + 1</f>
        <v>2446857.5</v>
      </c>
      <c r="X202">
        <f>(Lookups!$N$6 - 1)  +  365 * (X197 -1)  +  _xlfn.FLOOR.MATH((X197 - 1) / 4)  -  _xlfn.FLOOR.MATH((X197 - 1) / 100)  +  _xlfn.FLOOR.MATH((X197 - 1) / 400) + _xlfn.FLOOR.MATH( (((367 * 3) - 362) / 12)+X199) + 1</f>
        <v>2448681.5</v>
      </c>
      <c r="Y202">
        <f>(Lookups!$N$6 - 1)  +  365 * (Y197 -1)  +  _xlfn.FLOOR.MATH((Y197 - 1) / 4)  -  _xlfn.FLOOR.MATH((Y197 - 1) / 100)  +  _xlfn.FLOOR.MATH((Y197 - 1) / 400) + _xlfn.FLOOR.MATH( (((367 * 3) - 362) / 12)+Y199) + 1</f>
        <v>2443205.5</v>
      </c>
      <c r="Z202">
        <f>(Lookups!$N$6 - 1)  +  365 * (Z197 -1)  +  _xlfn.FLOOR.MATH((Z197 - 1) / 4)  -  _xlfn.FLOOR.MATH((Z197 - 1) / 100)  +  _xlfn.FLOOR.MATH((Z197 - 1) / 400) + _xlfn.FLOOR.MATH( (((367 * 3) - 362) / 12)+Z199) + 1</f>
        <v>2467674.5</v>
      </c>
      <c r="AA202">
        <f>(Lookups!$N$6 - 1)  +  365 * (AA197 -1)  +  _xlfn.FLOOR.MATH((AA197 - 1) / 4)  -  _xlfn.FLOOR.MATH((AA197 - 1) / 100)  +  _xlfn.FLOOR.MATH((AA197 - 1) / 400) + _xlfn.FLOOR.MATH( (((367 * 3) - 362) / 12)+AA199) + 1</f>
        <v>2451606.5</v>
      </c>
      <c r="AB202">
        <f>(Lookups!$N$6 - 1)  +  365 * (AB197 -1)  +  _xlfn.FLOOR.MATH((AB197 - 1) / 4)  -  _xlfn.FLOOR.MATH((AB197 - 1) / 100)  +  _xlfn.FLOOR.MATH((AB197 - 1) / 400) + _xlfn.FLOOR.MATH( (((367 * 3) - 362) / 12)+AB199) + 1</f>
        <v>2434804.5</v>
      </c>
      <c r="AC202">
        <f>(Lookups!$N$6 - 1)  +  365 * (AC197 -1)  +  _xlfn.FLOOR.MATH((AC197 - 1) / 4)  -  _xlfn.FLOOR.MATH((AC197 - 1) / 100)  +  _xlfn.FLOOR.MATH((AC197 - 1) / 400) + _xlfn.FLOOR.MATH( (((367 * 3) - 362) / 12)+AC199) + 1</f>
        <v>2443570.5</v>
      </c>
      <c r="AD202">
        <f>(Lookups!$N$6 - 1)  +  365 * (AD197 -1)  +  _xlfn.FLOOR.MATH((AD197 - 1) / 4)  -  _xlfn.FLOOR.MATH((AD197 - 1) / 100)  +  _xlfn.FLOOR.MATH((AD197 - 1) / 400) + _xlfn.FLOOR.MATH( (((367 * 3) - 362) / 12)+AD199) + 1</f>
        <v>2447220.5</v>
      </c>
      <c r="AE202">
        <f>(Lookups!$N$6 - 1)  +  365 * (AE197 -1)  +  _xlfn.FLOOR.MATH((AE197 - 1) / 4)  -  _xlfn.FLOOR.MATH((AE197 - 1) / 100)  +  _xlfn.FLOOR.MATH((AE197 - 1) / 400) + _xlfn.FLOOR.MATH( (((367 * 3) - 362) / 12)+AE199) + 1</f>
        <v>2443205.5</v>
      </c>
      <c r="AF202">
        <f>(Lookups!$N$6 - 1)  +  365 * (AF197 -1)  +  _xlfn.FLOOR.MATH((AF197 - 1) / 4)  -  _xlfn.FLOOR.MATH((AF197 - 1) / 100)  +  _xlfn.FLOOR.MATH((AF197 - 1) / 400) + _xlfn.FLOOR.MATH( (((367 * 3) - 362) / 12)+AF199) + 1</f>
        <v>2448681.5</v>
      </c>
      <c r="AG202">
        <f>(Lookups!$N$6 - 1)  +  365 * (AG197 -1)  +  _xlfn.FLOOR.MATH((AG197 - 1) / 4)  -  _xlfn.FLOOR.MATH((AG197 - 1) / 100)  +  _xlfn.FLOOR.MATH((AG197 - 1) / 400) + _xlfn.FLOOR.MATH( (((367 * 3) - 362) / 12)+AG199) + 1</f>
        <v>2448681.5</v>
      </c>
      <c r="AH202">
        <f>(Lookups!$N$6 - 1)  +  365 * (AH197 -1)  +  _xlfn.FLOOR.MATH((AH197 - 1) / 4)  -  _xlfn.FLOOR.MATH((AH197 - 1) / 100)  +  _xlfn.FLOOR.MATH((AH197 - 1) / 400) + _xlfn.FLOOR.MATH( (((367 * 3) - 362) / 12)+AH199) + 1</f>
        <v>2448318.5</v>
      </c>
      <c r="AI202">
        <f>(Lookups!$N$6 - 1)  +  365 * (AI197 -1)  +  _xlfn.FLOOR.MATH((AI197 - 1) / 4)  -  _xlfn.FLOOR.MATH((AI197 - 1) / 100)  +  _xlfn.FLOOR.MATH((AI197 - 1) / 400) + _xlfn.FLOOR.MATH( (((367 * 3) - 362) / 12)+AI199) + 1</f>
        <v>2448681.5</v>
      </c>
      <c r="AJ202">
        <f>(Lookups!$N$6 - 1)  +  365 * (AJ197 -1)  +  _xlfn.FLOOR.MATH((AJ197 - 1) / 4)  -  _xlfn.FLOOR.MATH((AJ197 - 1) / 100)  +  _xlfn.FLOOR.MATH((AJ197 - 1) / 400) + _xlfn.FLOOR.MATH( (((367 * 3) - 362) / 12)+AJ199) + 1</f>
        <v>2449049.5</v>
      </c>
      <c r="AK202">
        <f>(Lookups!$N$6 - 1)  +  365 * (AK197 -1)  +  _xlfn.FLOOR.MATH((AK197 - 1) / 4)  -  _xlfn.FLOOR.MATH((AK197 - 1) / 100)  +  _xlfn.FLOOR.MATH((AK197 - 1) / 400) + _xlfn.FLOOR.MATH( (((367 * 3) - 362) / 12)+AK199) + 1</f>
        <v>2385131.5</v>
      </c>
      <c r="AL202">
        <f>(Lookups!$N$6 - 1)  +  365 * (AL197 -1)  +  _xlfn.FLOOR.MATH((AL197 - 1) / 4)  -  _xlfn.FLOOR.MATH((AL197 - 1) / 100)  +  _xlfn.FLOOR.MATH((AL197 - 1) / 400) + _xlfn.FLOOR.MATH( (((367 * 3) - 362) / 12)+AL199) + 1</f>
        <v>2447953.5</v>
      </c>
      <c r="AM202">
        <f>(Lookups!$N$6 - 1)  +  365 * (AM197 -1)  +  _xlfn.FLOOR.MATH((AM197 - 1) / 4)  -  _xlfn.FLOOR.MATH((AM197 - 1) / 100)  +  _xlfn.FLOOR.MATH((AM197 - 1) / 400) + _xlfn.FLOOR.MATH( (((367 * 3) - 362) / 12)+AM199) + 1</f>
        <v>1948301.5</v>
      </c>
      <c r="AN202">
        <f>(Lookups!$N$6 - 1)  +  365 * (AN197 -1)  +  _xlfn.FLOOR.MATH((AN197 - 1) / 4)  -  _xlfn.FLOOR.MATH((AN197 - 1) / 100)  +  _xlfn.FLOOR.MATH((AN197 - 1) / 400) + _xlfn.FLOOR.MATH( (((367 * 3) - 362) / 12)+AN199) + 1</f>
        <v>2451606.5</v>
      </c>
      <c r="AO202">
        <f>(Lookups!$N$6 - 1)  +  365 * (AO197 -1)  +  _xlfn.FLOOR.MATH((AO197 - 1) / 4)  -  _xlfn.FLOOR.MATH((AO197 - 1) / 100)  +  _xlfn.FLOOR.MATH((AO197 - 1) / 400) + _xlfn.FLOOR.MATH( (((367 * 3) - 362) / 12)+AO199) + 1</f>
        <v>1721486.5</v>
      </c>
      <c r="AP202">
        <f>(Lookups!$N$6 - 1)  +  365 * (AP197 -1)  +  _xlfn.FLOOR.MATH((AP197 - 1) / 4)  -  _xlfn.FLOOR.MATH((AP197 - 1) / 100)  +  _xlfn.FLOOR.MATH((AP197 - 1) / 400) + _xlfn.FLOOR.MATH( (((367 * 3) - 362) / 12)+AP199) + 1</f>
        <v>2459641.5</v>
      </c>
      <c r="AQ202">
        <f>(Lookups!$N$6 - 1)  +  365 * (AQ197 -1)  +  _xlfn.FLOOR.MATH((AQ197 - 1) / 4)  -  _xlfn.FLOOR.MATH((AQ197 - 1) / 100)  +  _xlfn.FLOOR.MATH((AQ197 - 1) / 400) + _xlfn.FLOOR.MATH( (((367 * 3) - 362) / 12)+AQ199) + 1</f>
        <v>2459641.5</v>
      </c>
      <c r="AR202">
        <f>(Lookups!$N$6 - 1)  +  365 * (AR197 -1)  +  _xlfn.FLOOR.MATH((AR197 - 1) / 4)  -  _xlfn.FLOOR.MATH((AR197 - 1) / 100)  +  _xlfn.FLOOR.MATH((AR197 - 1) / 400) + _xlfn.FLOOR.MATH( (((367 * 3) - 362) / 12)+AR199) + 1</f>
        <v>2459641.5</v>
      </c>
      <c r="AS202">
        <f>(Lookups!$N$6 - 1)  +  365 * (AS197 -1)  +  _xlfn.FLOOR.MATH((AS197 - 1) / 4)  -  _xlfn.FLOOR.MATH((AS197 - 1) / 100)  +  _xlfn.FLOOR.MATH((AS197 - 1) / 400) + _xlfn.FLOOR.MATH( (((367 * 3) - 362) / 12)+AS199) + 1</f>
        <v>2459641.5</v>
      </c>
      <c r="AT202">
        <f>(Lookups!$N$6 - 1)  +  365 * (AT197 -1)  +  _xlfn.FLOOR.MATH((AT197 - 1) / 4)  -  _xlfn.FLOOR.MATH((AT197 - 1) / 100)  +  _xlfn.FLOOR.MATH((AT197 - 1) / 400) + _xlfn.FLOOR.MATH( (((367 * 3) - 362) / 12)+AT199) + 1</f>
        <v>2459641.5</v>
      </c>
      <c r="AU202">
        <f>(Lookups!$N$6 - 1)  +  365 * (AU197 -1)  +  _xlfn.FLOOR.MATH((AU197 - 1) / 4)  -  _xlfn.FLOOR.MATH((AU197 - 1) / 100)  +  _xlfn.FLOOR.MATH((AU197 - 1) / 400) + _xlfn.FLOOR.MATH( (((367 * 3) - 362) / 12)+AU199) + 1</f>
        <v>2441744.5</v>
      </c>
      <c r="AV202">
        <f>(Lookups!$N$6 - 1)  +  365 * (AV197 -1)  +  _xlfn.FLOOR.MATH((AV197 - 1) / 4)  -  _xlfn.FLOOR.MATH((AV197 - 1) / 100)  +  _xlfn.FLOOR.MATH((AV197 - 1) / 400) + _xlfn.FLOOR.MATH( (((367 * 3) - 362) / 12)+AV199) + 1</f>
        <v>2450510.5</v>
      </c>
      <c r="AW202">
        <f>(Lookups!$N$6 - 1)  +  365 * (AW197 -1)  +  _xlfn.FLOOR.MATH((AW197 - 1) / 4)  -  _xlfn.FLOOR.MATH((AW197 - 1) / 100)  +  _xlfn.FLOOR.MATH((AW197 - 1) / 400) + _xlfn.FLOOR.MATH( (((367 * 3) - 362) / 12)+AW199) + 1</f>
        <v>2427864.5</v>
      </c>
      <c r="AX202">
        <f>(Lookups!$N$6 - 1)  +  365 * (AX197 -1)  +  _xlfn.FLOOR.MATH((AX197 - 1) / 4)  -  _xlfn.FLOOR.MATH((AX197 - 1) / 100)  +  _xlfn.FLOOR.MATH((AX197 - 1) / 400) + _xlfn.FLOOR.MATH( (((367 * 3) - 362) / 12)+AX199) + 1</f>
        <v>2435900.5</v>
      </c>
      <c r="AY202">
        <f>(Lookups!$N$6 - 1)  +  365 * (AY197 -1)  +  _xlfn.FLOOR.MATH((AY197 - 1) / 4)  -  _xlfn.FLOOR.MATH((AY197 - 1) / 100)  +  _xlfn.FLOOR.MATH((AY197 - 1) / 400) + _xlfn.FLOOR.MATH( (((367 * 3) - 362) / 12)+AY199) + 1</f>
        <v>2459641.5</v>
      </c>
      <c r="AZ202">
        <f>(Lookups!$N$6 - 1)  +  365 * (AZ197 -1)  +  _xlfn.FLOOR.MATH((AZ197 - 1) / 4)  -  _xlfn.FLOOR.MATH((AZ197 - 1) / 100)  +  _xlfn.FLOOR.MATH((AZ197 - 1) / 400) + _xlfn.FLOOR.MATH( (((367 * 3) - 362) / 12)+AZ199) + 1</f>
        <v>2459641.5</v>
      </c>
      <c r="BA202">
        <f>(Lookups!$N$6 - 1)  +  365 * (BA197 -1)  +  _xlfn.FLOOR.MATH((BA197 - 1) / 4)  -  _xlfn.FLOOR.MATH((BA197 - 1) / 100)  +  _xlfn.FLOOR.MATH((BA197 - 1) / 400) + _xlfn.FLOOR.MATH( (((367 * 3) - 362) / 12)+BA199) + 1</f>
        <v>2459641.5</v>
      </c>
      <c r="BB202">
        <f>(Lookups!$N$6 - 1)  +  365 * (BB197 -1)  +  _xlfn.FLOOR.MATH((BB197 - 1) / 4)  -  _xlfn.FLOOR.MATH((BB197 - 1) / 100)  +  _xlfn.FLOOR.MATH((BB197 - 1) / 400) + _xlfn.FLOOR.MATH( (((367 * 3) - 362) / 12)+BB199) + 1</f>
        <v>2459641.5</v>
      </c>
      <c r="BC202">
        <f>(Lookups!$N$6 - 1)  +  365 * (BC197 -1)  +  _xlfn.FLOOR.MATH((BC197 - 1) / 4)  -  _xlfn.FLOOR.MATH((BC197 - 1) / 100)  +  _xlfn.FLOOR.MATH((BC197 - 1) / 400) + _xlfn.FLOOR.MATH( (((367 * 3) - 362) / 12)+BC199) + 1</f>
        <v>2459641.5</v>
      </c>
      <c r="BD202">
        <f>(Lookups!$N$6 - 1)  +  365 * (BD197 -1)  +  _xlfn.FLOOR.MATH((BD197 - 1) / 4)  -  _xlfn.FLOOR.MATH((BD197 - 1) / 100)  +  _xlfn.FLOOR.MATH((BD197 - 1) / 400) + _xlfn.FLOOR.MATH( (((367 * 3) - 362) / 12)+BD199) + 1</f>
        <v>2459641.5</v>
      </c>
      <c r="BE202">
        <f>(Lookups!$N$6 - 1)  +  365 * (BE197 -1)  +  _xlfn.FLOOR.MATH((BE197 - 1) / 4)  -  _xlfn.FLOOR.MATH((BE197 - 1) / 100)  +  _xlfn.FLOOR.MATH((BE197 - 1) / 400) + _xlfn.FLOOR.MATH( (((367 * 3) - 362) / 12)+BE199) + 1</f>
        <v>2459641.5</v>
      </c>
      <c r="BF202">
        <f>(Lookups!$N$6 - 1)  +  365 * (BF197 -1)  +  _xlfn.FLOOR.MATH((BF197 - 1) / 4)  -  _xlfn.FLOOR.MATH((BF197 - 1) / 100)  +  _xlfn.FLOOR.MATH((BF197 - 1) / 400) + _xlfn.FLOOR.MATH( (((367 * 3) - 362) / 12)+BF199) + 1</f>
        <v>2459641.5</v>
      </c>
      <c r="BG202">
        <f>(Lookups!$N$6 - 1)  +  365 * (BG197 -1)  +  _xlfn.FLOOR.MATH((BG197 - 1) / 4)  -  _xlfn.FLOOR.MATH((BG197 - 1) / 100)  +  _xlfn.FLOOR.MATH((BG197 - 1) / 400) + _xlfn.FLOOR.MATH( (((367 * 3) - 362) / 12)+BG199) + 1</f>
        <v>2443205.5</v>
      </c>
    </row>
    <row r="204" spans="3:59" x14ac:dyDescent="0.25">
      <c r="C204" t="s">
        <v>963</v>
      </c>
    </row>
    <row r="205" spans="3:59" x14ac:dyDescent="0.25">
      <c r="C205" t="s">
        <v>983</v>
      </c>
      <c r="D205" s="7" t="s">
        <v>982</v>
      </c>
      <c r="E205" s="1">
        <f>E187-E201</f>
        <v>276</v>
      </c>
      <c r="F205" s="1">
        <f t="shared" ref="F205:BG205" si="266">F187-F201</f>
        <v>26</v>
      </c>
      <c r="G205" s="1">
        <f t="shared" si="266"/>
        <v>0</v>
      </c>
      <c r="H205" s="1">
        <f t="shared" si="266"/>
        <v>0</v>
      </c>
      <c r="I205" s="1">
        <f t="shared" si="266"/>
        <v>26</v>
      </c>
      <c r="J205" s="1">
        <f t="shared" si="266"/>
        <v>169</v>
      </c>
      <c r="K205" s="1">
        <f t="shared" si="266"/>
        <v>26</v>
      </c>
      <c r="L205" s="1">
        <f t="shared" si="266"/>
        <v>169</v>
      </c>
      <c r="M205" s="1">
        <f t="shared" si="266"/>
        <v>0</v>
      </c>
      <c r="N205" s="1">
        <f t="shared" si="266"/>
        <v>0</v>
      </c>
      <c r="O205" s="1">
        <f t="shared" si="266"/>
        <v>365</v>
      </c>
      <c r="P205" s="1">
        <f t="shared" si="266"/>
        <v>99</v>
      </c>
      <c r="Q205" s="1">
        <f t="shared" si="266"/>
        <v>364</v>
      </c>
      <c r="R205" s="1">
        <f t="shared" si="266"/>
        <v>0</v>
      </c>
      <c r="S205" s="1">
        <f t="shared" si="266"/>
        <v>193</v>
      </c>
      <c r="T205" s="1">
        <f t="shared" si="266"/>
        <v>58</v>
      </c>
      <c r="U205" s="1">
        <f t="shared" si="266"/>
        <v>228</v>
      </c>
      <c r="V205" s="1">
        <f t="shared" si="266"/>
        <v>0</v>
      </c>
      <c r="W205" s="1">
        <f t="shared" si="266"/>
        <v>99</v>
      </c>
      <c r="X205" s="1">
        <f t="shared" si="266"/>
        <v>101</v>
      </c>
      <c r="Y205" s="1">
        <f t="shared" si="266"/>
        <v>43</v>
      </c>
      <c r="Z205" s="1">
        <f t="shared" si="266"/>
        <v>0</v>
      </c>
      <c r="AA205" s="1">
        <f t="shared" si="266"/>
        <v>0</v>
      </c>
      <c r="AB205" s="1">
        <f t="shared" si="266"/>
        <v>180</v>
      </c>
      <c r="AC205" s="1">
        <f t="shared" si="266"/>
        <v>317</v>
      </c>
      <c r="AD205" s="1">
        <f t="shared" si="266"/>
        <v>111</v>
      </c>
      <c r="AE205" s="1">
        <f t="shared" si="266"/>
        <v>46</v>
      </c>
      <c r="AF205" s="1">
        <f t="shared" si="266"/>
        <v>353</v>
      </c>
      <c r="AG205" s="1">
        <f t="shared" si="266"/>
        <v>285</v>
      </c>
      <c r="AH205" s="1">
        <f t="shared" si="266"/>
        <v>59</v>
      </c>
      <c r="AI205" s="1">
        <f t="shared" si="266"/>
        <v>90</v>
      </c>
      <c r="AJ205" s="1">
        <f t="shared" si="266"/>
        <v>120</v>
      </c>
      <c r="AK205" s="1">
        <f t="shared" si="266"/>
        <v>0</v>
      </c>
      <c r="AL205" s="1">
        <f t="shared" si="266"/>
        <v>262</v>
      </c>
      <c r="AM205" s="1">
        <f t="shared" si="266"/>
        <v>196</v>
      </c>
      <c r="AN205" s="1">
        <f t="shared" si="266"/>
        <v>96</v>
      </c>
      <c r="AO205" s="1">
        <f t="shared" si="266"/>
        <v>2</v>
      </c>
      <c r="AP205" s="1">
        <f t="shared" si="266"/>
        <v>267</v>
      </c>
      <c r="AQ205" s="1">
        <f t="shared" si="266"/>
        <v>274</v>
      </c>
      <c r="AR205" s="1">
        <f t="shared" si="266"/>
        <v>281</v>
      </c>
      <c r="AS205" s="1">
        <f t="shared" si="266"/>
        <v>289</v>
      </c>
      <c r="AT205" s="1">
        <f t="shared" si="266"/>
        <v>304</v>
      </c>
      <c r="AU205" s="1">
        <f t="shared" si="266"/>
        <v>151</v>
      </c>
      <c r="AV205" s="1">
        <f t="shared" si="266"/>
        <v>243</v>
      </c>
      <c r="AW205" s="1">
        <f t="shared" si="266"/>
        <v>4</v>
      </c>
      <c r="AX205" s="1">
        <f t="shared" si="266"/>
        <v>104</v>
      </c>
      <c r="AY205" s="1">
        <f t="shared" si="266"/>
        <v>334</v>
      </c>
      <c r="AZ205" s="1">
        <f t="shared" si="266"/>
        <v>335</v>
      </c>
      <c r="BA205" s="1">
        <f t="shared" si="266"/>
        <v>336</v>
      </c>
      <c r="BB205" s="1">
        <f t="shared" si="266"/>
        <v>337</v>
      </c>
      <c r="BC205" s="1">
        <f t="shared" si="266"/>
        <v>338</v>
      </c>
      <c r="BD205" s="1">
        <f t="shared" si="266"/>
        <v>339</v>
      </c>
      <c r="BE205" s="1">
        <f t="shared" si="266"/>
        <v>340</v>
      </c>
      <c r="BF205" s="1">
        <f t="shared" si="266"/>
        <v>341</v>
      </c>
      <c r="BG205" s="1">
        <f t="shared" si="266"/>
        <v>46</v>
      </c>
    </row>
    <row r="206" spans="3:59" x14ac:dyDescent="0.25">
      <c r="C206" t="s">
        <v>985</v>
      </c>
      <c r="D206" s="7" t="s">
        <v>984</v>
      </c>
      <c r="E206">
        <f>IF(E187&lt;E202,0,IF(E199&lt;&gt;0,1,2))</f>
        <v>2</v>
      </c>
      <c r="F206">
        <f t="shared" ref="F206:BG206" si="267">IF(F187&lt;F202,0,IF(F199&lt;&gt;0,1,2))</f>
        <v>0</v>
      </c>
      <c r="G206">
        <f t="shared" si="267"/>
        <v>0</v>
      </c>
      <c r="H206">
        <f t="shared" si="267"/>
        <v>0</v>
      </c>
      <c r="I206">
        <f t="shared" si="267"/>
        <v>0</v>
      </c>
      <c r="J206">
        <f t="shared" si="267"/>
        <v>2</v>
      </c>
      <c r="K206">
        <f t="shared" si="267"/>
        <v>0</v>
      </c>
      <c r="L206">
        <f t="shared" si="267"/>
        <v>1</v>
      </c>
      <c r="M206">
        <f t="shared" si="267"/>
        <v>0</v>
      </c>
      <c r="N206">
        <f t="shared" si="267"/>
        <v>0</v>
      </c>
      <c r="O206">
        <f t="shared" si="267"/>
        <v>1</v>
      </c>
      <c r="P206">
        <f t="shared" si="267"/>
        <v>2</v>
      </c>
      <c r="Q206">
        <f t="shared" si="267"/>
        <v>2</v>
      </c>
      <c r="R206">
        <f t="shared" si="267"/>
        <v>0</v>
      </c>
      <c r="S206">
        <f t="shared" si="267"/>
        <v>2</v>
      </c>
      <c r="T206">
        <f t="shared" si="267"/>
        <v>0</v>
      </c>
      <c r="U206">
        <f t="shared" si="267"/>
        <v>2</v>
      </c>
      <c r="V206">
        <f t="shared" si="267"/>
        <v>0</v>
      </c>
      <c r="W206">
        <f t="shared" si="267"/>
        <v>2</v>
      </c>
      <c r="X206">
        <f t="shared" si="267"/>
        <v>1</v>
      </c>
      <c r="Y206">
        <f t="shared" si="267"/>
        <v>0</v>
      </c>
      <c r="Z206">
        <f t="shared" si="267"/>
        <v>0</v>
      </c>
      <c r="AA206">
        <f t="shared" si="267"/>
        <v>0</v>
      </c>
      <c r="AB206">
        <f t="shared" si="267"/>
        <v>2</v>
      </c>
      <c r="AC206">
        <f t="shared" si="267"/>
        <v>2</v>
      </c>
      <c r="AD206">
        <f t="shared" si="267"/>
        <v>1</v>
      </c>
      <c r="AE206">
        <f t="shared" si="267"/>
        <v>0</v>
      </c>
      <c r="AF206">
        <f t="shared" si="267"/>
        <v>1</v>
      </c>
      <c r="AG206">
        <f t="shared" si="267"/>
        <v>1</v>
      </c>
      <c r="AH206">
        <f t="shared" si="267"/>
        <v>0</v>
      </c>
      <c r="AI206">
        <f t="shared" si="267"/>
        <v>1</v>
      </c>
      <c r="AJ206">
        <f t="shared" si="267"/>
        <v>2</v>
      </c>
      <c r="AK206">
        <f t="shared" si="267"/>
        <v>0</v>
      </c>
      <c r="AL206">
        <f t="shared" si="267"/>
        <v>2</v>
      </c>
      <c r="AM206">
        <f t="shared" si="267"/>
        <v>2</v>
      </c>
      <c r="AN206">
        <f t="shared" si="267"/>
        <v>1</v>
      </c>
      <c r="AO206">
        <f t="shared" si="267"/>
        <v>0</v>
      </c>
      <c r="AP206">
        <f t="shared" si="267"/>
        <v>2</v>
      </c>
      <c r="AQ206">
        <f t="shared" si="267"/>
        <v>2</v>
      </c>
      <c r="AR206">
        <f t="shared" si="267"/>
        <v>2</v>
      </c>
      <c r="AS206">
        <f t="shared" si="267"/>
        <v>2</v>
      </c>
      <c r="AT206">
        <f t="shared" si="267"/>
        <v>2</v>
      </c>
      <c r="AU206">
        <f t="shared" si="267"/>
        <v>2</v>
      </c>
      <c r="AV206">
        <f t="shared" si="267"/>
        <v>2</v>
      </c>
      <c r="AW206">
        <f t="shared" si="267"/>
        <v>0</v>
      </c>
      <c r="AX206">
        <f t="shared" si="267"/>
        <v>2</v>
      </c>
      <c r="AY206">
        <f t="shared" si="267"/>
        <v>2</v>
      </c>
      <c r="AZ206">
        <f t="shared" si="267"/>
        <v>2</v>
      </c>
      <c r="BA206">
        <f t="shared" si="267"/>
        <v>2</v>
      </c>
      <c r="BB206">
        <f t="shared" si="267"/>
        <v>2</v>
      </c>
      <c r="BC206">
        <f t="shared" si="267"/>
        <v>2</v>
      </c>
      <c r="BD206">
        <f t="shared" si="267"/>
        <v>2</v>
      </c>
      <c r="BE206">
        <f t="shared" si="267"/>
        <v>2</v>
      </c>
      <c r="BF206">
        <f t="shared" si="267"/>
        <v>2</v>
      </c>
      <c r="BG206">
        <f t="shared" si="267"/>
        <v>0</v>
      </c>
    </row>
    <row r="207" spans="3:59" x14ac:dyDescent="0.25">
      <c r="C207" t="s">
        <v>986</v>
      </c>
    </row>
    <row r="208" spans="3:59" x14ac:dyDescent="0.25">
      <c r="C208" t="s">
        <v>987</v>
      </c>
      <c r="D208" s="281" t="s">
        <v>937</v>
      </c>
      <c r="E208" s="50">
        <f>_xlfn.FLOOR.MATH((((E205+E206)*12)+373)/367)</f>
        <v>10</v>
      </c>
      <c r="F208" s="50">
        <f t="shared" ref="F208:BG208" si="268">_xlfn.FLOOR.MATH((((F205+F206)*12)+373)/367)</f>
        <v>1</v>
      </c>
      <c r="G208" s="50">
        <f t="shared" si="268"/>
        <v>1</v>
      </c>
      <c r="H208" s="50">
        <f t="shared" si="268"/>
        <v>1</v>
      </c>
      <c r="I208" s="50">
        <f t="shared" si="268"/>
        <v>1</v>
      </c>
      <c r="J208" s="50">
        <f t="shared" si="268"/>
        <v>6</v>
      </c>
      <c r="K208" s="50">
        <f t="shared" si="268"/>
        <v>1</v>
      </c>
      <c r="L208" s="50">
        <f t="shared" si="268"/>
        <v>6</v>
      </c>
      <c r="M208" s="50">
        <f t="shared" si="268"/>
        <v>1</v>
      </c>
      <c r="N208" s="50">
        <f t="shared" si="268"/>
        <v>1</v>
      </c>
      <c r="O208" s="50">
        <f t="shared" si="268"/>
        <v>12</v>
      </c>
      <c r="P208" s="50">
        <f t="shared" si="268"/>
        <v>4</v>
      </c>
      <c r="Q208" s="50">
        <f t="shared" si="268"/>
        <v>12</v>
      </c>
      <c r="R208" s="50">
        <f t="shared" si="268"/>
        <v>1</v>
      </c>
      <c r="S208" s="50">
        <f t="shared" si="268"/>
        <v>7</v>
      </c>
      <c r="T208" s="50">
        <f t="shared" si="268"/>
        <v>2</v>
      </c>
      <c r="U208" s="50">
        <f t="shared" si="268"/>
        <v>8</v>
      </c>
      <c r="V208" s="50">
        <f t="shared" si="268"/>
        <v>1</v>
      </c>
      <c r="W208" s="50">
        <f t="shared" si="268"/>
        <v>4</v>
      </c>
      <c r="X208" s="50">
        <f t="shared" si="268"/>
        <v>4</v>
      </c>
      <c r="Y208" s="50">
        <f t="shared" si="268"/>
        <v>2</v>
      </c>
      <c r="Z208" s="50">
        <f t="shared" si="268"/>
        <v>1</v>
      </c>
      <c r="AA208" s="50">
        <f t="shared" si="268"/>
        <v>1</v>
      </c>
      <c r="AB208" s="50">
        <f t="shared" si="268"/>
        <v>6</v>
      </c>
      <c r="AC208" s="50">
        <f t="shared" si="268"/>
        <v>11</v>
      </c>
      <c r="AD208" s="50">
        <f t="shared" si="268"/>
        <v>4</v>
      </c>
      <c r="AE208" s="50">
        <f t="shared" si="268"/>
        <v>2</v>
      </c>
      <c r="AF208" s="50">
        <f t="shared" si="268"/>
        <v>12</v>
      </c>
      <c r="AG208" s="50">
        <f t="shared" si="268"/>
        <v>10</v>
      </c>
      <c r="AH208" s="50">
        <f t="shared" si="268"/>
        <v>2</v>
      </c>
      <c r="AI208" s="50">
        <f t="shared" si="268"/>
        <v>3</v>
      </c>
      <c r="AJ208" s="50">
        <f t="shared" si="268"/>
        <v>5</v>
      </c>
      <c r="AK208" s="50">
        <f t="shared" si="268"/>
        <v>1</v>
      </c>
      <c r="AL208" s="50">
        <f t="shared" si="268"/>
        <v>9</v>
      </c>
      <c r="AM208" s="50">
        <f t="shared" si="268"/>
        <v>7</v>
      </c>
      <c r="AN208" s="50">
        <f t="shared" si="268"/>
        <v>4</v>
      </c>
      <c r="AO208" s="50">
        <f t="shared" si="268"/>
        <v>1</v>
      </c>
      <c r="AP208" s="50">
        <f t="shared" si="268"/>
        <v>9</v>
      </c>
      <c r="AQ208" s="50">
        <f t="shared" si="268"/>
        <v>10</v>
      </c>
      <c r="AR208" s="50">
        <f t="shared" si="268"/>
        <v>10</v>
      </c>
      <c r="AS208" s="50">
        <f t="shared" si="268"/>
        <v>10</v>
      </c>
      <c r="AT208" s="50">
        <f t="shared" si="268"/>
        <v>11</v>
      </c>
      <c r="AU208" s="50">
        <f t="shared" si="268"/>
        <v>6</v>
      </c>
      <c r="AV208" s="50">
        <f t="shared" si="268"/>
        <v>9</v>
      </c>
      <c r="AW208" s="50">
        <f t="shared" si="268"/>
        <v>1</v>
      </c>
      <c r="AX208" s="50">
        <f t="shared" si="268"/>
        <v>4</v>
      </c>
      <c r="AY208" s="50">
        <f t="shared" si="268"/>
        <v>12</v>
      </c>
      <c r="AZ208" s="50">
        <f t="shared" si="268"/>
        <v>12</v>
      </c>
      <c r="BA208" s="50">
        <f t="shared" si="268"/>
        <v>12</v>
      </c>
      <c r="BB208" s="50">
        <f t="shared" si="268"/>
        <v>12</v>
      </c>
      <c r="BC208" s="50">
        <f t="shared" si="268"/>
        <v>12</v>
      </c>
      <c r="BD208" s="50">
        <f t="shared" si="268"/>
        <v>12</v>
      </c>
      <c r="BE208" s="50">
        <f t="shared" si="268"/>
        <v>12</v>
      </c>
      <c r="BF208" s="50">
        <f t="shared" si="268"/>
        <v>12</v>
      </c>
      <c r="BG208" s="50">
        <f t="shared" si="268"/>
        <v>2</v>
      </c>
    </row>
    <row r="210" spans="3:59" x14ac:dyDescent="0.25">
      <c r="C210" t="s">
        <v>995</v>
      </c>
      <c r="D210" s="7" t="s">
        <v>951</v>
      </c>
      <c r="E210">
        <f>IF(E208&lt;3,0,IF(E199&lt;&gt;0,-2,-1))</f>
        <v>-1</v>
      </c>
      <c r="F210">
        <f t="shared" ref="F210:BG210" si="269">IF(F208&lt;3,0,IF(F199&lt;&gt;0,-2,-1))</f>
        <v>0</v>
      </c>
      <c r="G210">
        <f t="shared" si="269"/>
        <v>0</v>
      </c>
      <c r="H210">
        <f t="shared" si="269"/>
        <v>0</v>
      </c>
      <c r="I210">
        <f t="shared" si="269"/>
        <v>0</v>
      </c>
      <c r="J210">
        <f t="shared" si="269"/>
        <v>-1</v>
      </c>
      <c r="K210">
        <f t="shared" si="269"/>
        <v>0</v>
      </c>
      <c r="L210">
        <f t="shared" si="269"/>
        <v>-2</v>
      </c>
      <c r="M210">
        <f t="shared" si="269"/>
        <v>0</v>
      </c>
      <c r="N210">
        <f t="shared" si="269"/>
        <v>0</v>
      </c>
      <c r="O210">
        <f t="shared" si="269"/>
        <v>-2</v>
      </c>
      <c r="P210">
        <f t="shared" si="269"/>
        <v>-1</v>
      </c>
      <c r="Q210">
        <f t="shared" si="269"/>
        <v>-1</v>
      </c>
      <c r="R210">
        <f t="shared" si="269"/>
        <v>0</v>
      </c>
      <c r="S210">
        <f t="shared" si="269"/>
        <v>-1</v>
      </c>
      <c r="T210">
        <f t="shared" si="269"/>
        <v>0</v>
      </c>
      <c r="U210">
        <f t="shared" si="269"/>
        <v>-1</v>
      </c>
      <c r="V210">
        <f t="shared" si="269"/>
        <v>0</v>
      </c>
      <c r="W210">
        <f t="shared" si="269"/>
        <v>-1</v>
      </c>
      <c r="X210">
        <f t="shared" si="269"/>
        <v>-2</v>
      </c>
      <c r="Y210">
        <f t="shared" si="269"/>
        <v>0</v>
      </c>
      <c r="Z210">
        <f t="shared" si="269"/>
        <v>0</v>
      </c>
      <c r="AA210">
        <f t="shared" si="269"/>
        <v>0</v>
      </c>
      <c r="AB210">
        <f t="shared" si="269"/>
        <v>-1</v>
      </c>
      <c r="AC210">
        <f t="shared" si="269"/>
        <v>-1</v>
      </c>
      <c r="AD210">
        <f t="shared" si="269"/>
        <v>-2</v>
      </c>
      <c r="AE210">
        <f t="shared" si="269"/>
        <v>0</v>
      </c>
      <c r="AF210">
        <f t="shared" si="269"/>
        <v>-2</v>
      </c>
      <c r="AG210">
        <f t="shared" si="269"/>
        <v>-2</v>
      </c>
      <c r="AH210">
        <f t="shared" si="269"/>
        <v>0</v>
      </c>
      <c r="AI210">
        <f t="shared" si="269"/>
        <v>-2</v>
      </c>
      <c r="AJ210">
        <f t="shared" si="269"/>
        <v>-1</v>
      </c>
      <c r="AK210">
        <f t="shared" si="269"/>
        <v>0</v>
      </c>
      <c r="AL210">
        <f t="shared" si="269"/>
        <v>-1</v>
      </c>
      <c r="AM210">
        <f t="shared" si="269"/>
        <v>-1</v>
      </c>
      <c r="AN210">
        <f t="shared" si="269"/>
        <v>-2</v>
      </c>
      <c r="AO210">
        <f t="shared" si="269"/>
        <v>0</v>
      </c>
      <c r="AP210">
        <f t="shared" si="269"/>
        <v>-1</v>
      </c>
      <c r="AQ210">
        <f t="shared" si="269"/>
        <v>-1</v>
      </c>
      <c r="AR210">
        <f t="shared" si="269"/>
        <v>-1</v>
      </c>
      <c r="AS210">
        <f t="shared" si="269"/>
        <v>-1</v>
      </c>
      <c r="AT210">
        <f t="shared" si="269"/>
        <v>-1</v>
      </c>
      <c r="AU210">
        <f t="shared" si="269"/>
        <v>-1</v>
      </c>
      <c r="AV210">
        <f t="shared" si="269"/>
        <v>-1</v>
      </c>
      <c r="AW210">
        <f t="shared" si="269"/>
        <v>0</v>
      </c>
      <c r="AX210">
        <f t="shared" si="269"/>
        <v>-1</v>
      </c>
      <c r="AY210">
        <f t="shared" si="269"/>
        <v>-1</v>
      </c>
      <c r="AZ210">
        <f t="shared" si="269"/>
        <v>-1</v>
      </c>
      <c r="BA210">
        <f t="shared" si="269"/>
        <v>-1</v>
      </c>
      <c r="BB210">
        <f t="shared" si="269"/>
        <v>-1</v>
      </c>
      <c r="BC210">
        <f t="shared" si="269"/>
        <v>-1</v>
      </c>
      <c r="BD210">
        <f t="shared" si="269"/>
        <v>-1</v>
      </c>
      <c r="BE210">
        <f t="shared" si="269"/>
        <v>-1</v>
      </c>
      <c r="BF210">
        <f t="shared" si="269"/>
        <v>-1</v>
      </c>
      <c r="BG210">
        <f t="shared" si="269"/>
        <v>0</v>
      </c>
    </row>
    <row r="211" spans="3:59" x14ac:dyDescent="0.25">
      <c r="C211" t="s">
        <v>996</v>
      </c>
      <c r="D211" s="7" t="s">
        <v>997</v>
      </c>
      <c r="E211">
        <f>(Lookups!$N$6 - 1)  +  365 * (E197 -1)  +  _xlfn.FLOOR.MATH((E197 - 1) / 4)  -  _xlfn.FLOOR.MATH((E197 - 1) / 100)  +  _xlfn.FLOOR.MATH((E197 - 1) / 400) + _xlfn.FLOOR.MATH( (((367 * E208) - 362) / 12)+E210) + 1</f>
        <v>2436113.5</v>
      </c>
      <c r="F211">
        <f>(Lookups!$N$6 - 1)  +  365 * (F197 -1)  +  _xlfn.FLOOR.MATH((F197 - 1) / 4)  -  _xlfn.FLOOR.MATH((F197 - 1) / 100)  +  _xlfn.FLOOR.MATH((F197 - 1) / 400) + _xlfn.FLOOR.MATH( (((367 * F208) - 362) / 12)+F210) + 1</f>
        <v>1842685.5</v>
      </c>
      <c r="G211">
        <f>(Lookups!$N$6 - 1)  +  365 * (G197 -1)  +  _xlfn.FLOOR.MATH((G197 - 1) / 4)  -  _xlfn.FLOOR.MATH((G197 - 1) / 100)  +  _xlfn.FLOOR.MATH((G197 - 1) / 400) + _xlfn.FLOOR.MATH( (((367 * G208) - 362) / 12)+G210) + 1</f>
        <v>2451544.5</v>
      </c>
      <c r="H211">
        <f>(Lookups!$N$6 - 1)  +  365 * (H197 -1)  +  _xlfn.FLOOR.MATH((H197 - 1) / 4)  -  _xlfn.FLOOR.MATH((H197 - 1) / 100)  +  _xlfn.FLOOR.MATH((H197 - 1) / 400) + _xlfn.FLOOR.MATH( (((367 * H208) - 362) / 12)+H210) + 1</f>
        <v>2451179.5</v>
      </c>
      <c r="I211">
        <f>(Lookups!$N$6 - 1)  +  365 * (I197 -1)  +  _xlfn.FLOOR.MATH((I197 - 1) / 4)  -  _xlfn.FLOOR.MATH((I197 - 1) / 100)  +  _xlfn.FLOOR.MATH((I197 - 1) / 400) + _xlfn.FLOOR.MATH( (((367 * I208) - 362) / 12)+I210) + 1</f>
        <v>2446796.5</v>
      </c>
      <c r="J211">
        <f>(Lookups!$N$6 - 1)  +  365 * (J197 -1)  +  _xlfn.FLOOR.MATH((J197 - 1) / 4)  -  _xlfn.FLOOR.MATH((J197 - 1) / 100)  +  _xlfn.FLOOR.MATH((J197 - 1) / 400) + _xlfn.FLOOR.MATH( (((367 * J208) - 362) / 12)+J210) + 1</f>
        <v>2446948.5</v>
      </c>
      <c r="K211">
        <f>(Lookups!$N$6 - 1)  +  365 * (K197 -1)  +  _xlfn.FLOOR.MATH((K197 - 1) / 4)  -  _xlfn.FLOOR.MATH((K197 - 1) / 100)  +  _xlfn.FLOOR.MATH((K197 - 1) / 400) + _xlfn.FLOOR.MATH( (((367 * K208) - 362) / 12)+K210) + 1</f>
        <v>2447161.5</v>
      </c>
      <c r="L211">
        <f>(Lookups!$N$6 - 1)  +  365 * (L197 -1)  +  _xlfn.FLOOR.MATH((L197 - 1) / 4)  -  _xlfn.FLOOR.MATH((L197 - 1) / 100)  +  _xlfn.FLOOR.MATH((L197 - 1) / 400) + _xlfn.FLOOR.MATH( (((367 * L208) - 362) / 12)+L210) + 1</f>
        <v>2447312.5</v>
      </c>
      <c r="M211">
        <f>(Lookups!$N$6 - 1)  +  365 * (M197 -1)  +  _xlfn.FLOOR.MATH((M197 - 1) / 4)  -  _xlfn.FLOOR.MATH((M197 - 1) / 100)  +  _xlfn.FLOOR.MATH((M197 - 1) / 400) + _xlfn.FLOOR.MATH( (((367 * M208) - 362) / 12)+M210) + 1</f>
        <v>2415020.5</v>
      </c>
      <c r="N211">
        <f>(Lookups!$N$6 - 1)  +  365 * (N197 -1)  +  _xlfn.FLOOR.MATH((N197 - 1) / 4)  -  _xlfn.FLOOR.MATH((N197 - 1) / 100)  +  _xlfn.FLOOR.MATH((N197 - 1) / 400) + _xlfn.FLOOR.MATH( (((367 * N208) - 362) / 12)+N210) + 1</f>
        <v>2305447.5</v>
      </c>
      <c r="O211">
        <f>(Lookups!$N$6 - 1)  +  365 * (O197 -1)  +  _xlfn.FLOOR.MATH((O197 - 1) / 4)  -  _xlfn.FLOOR.MATH((O197 - 1) / 100)  +  _xlfn.FLOOR.MATH((O197 - 1) / 400) + _xlfn.FLOOR.MATH( (((367 * O208) - 362) / 12)+O210) + 1</f>
        <v>2305781.5</v>
      </c>
      <c r="P211">
        <f>(Lookups!$N$6 - 1)  +  365 * (P197 -1)  +  _xlfn.FLOOR.MATH((P197 - 1) / 4)  -  _xlfn.FLOOR.MATH((P197 - 1) / 100)  +  _xlfn.FLOOR.MATH((P197 - 1) / 400) + _xlfn.FLOOR.MATH( (((367 * P208) - 362) / 12)+P210) + 1</f>
        <v>2026859.5</v>
      </c>
      <c r="Q211">
        <f>(Lookups!$N$6 - 1)  +  365 * (Q197 -1)  +  _xlfn.FLOOR.MATH((Q197 - 1) / 4)  -  _xlfn.FLOOR.MATH((Q197 - 1) / 100)  +  _xlfn.FLOOR.MATH((Q197 - 1) / 400) + _xlfn.FLOOR.MATH( (((367 * Q208) - 362) / 12)+Q210) + 1</f>
        <v>1676470.5</v>
      </c>
      <c r="R211">
        <f>(Lookups!$N$6 - 1)  +  365 * (R197 -1)  +  _xlfn.FLOOR.MATH((R197 - 1) / 4)  -  _xlfn.FLOOR.MATH((R197 - 1) / 100)  +  _xlfn.FLOOR.MATH((R197 - 1) / 400) + _xlfn.FLOOR.MATH( (((367 * R208) - 362) / 12)+R210) + 1</f>
        <v>1676500.5</v>
      </c>
      <c r="S211">
        <f>(Lookups!$N$6 - 1)  +  365 * (S197 -1)  +  _xlfn.FLOOR.MATH((S197 - 1) / 4)  -  _xlfn.FLOOR.MATH((S197 - 1) / 100)  +  _xlfn.FLOOR.MATH((S197 - 1) / 400) + _xlfn.FLOOR.MATH( (((367 * S208) - 362) / 12)+S210) + 1</f>
        <v>1355999.5</v>
      </c>
      <c r="T211">
        <f>(Lookups!$N$6 - 1)  +  365 * (T197 -1)  +  _xlfn.FLOOR.MATH((T197 - 1) / 4)  -  _xlfn.FLOOR.MATH((T197 - 1) / 100)  +  _xlfn.FLOOR.MATH((T197 - 1) / 400) + _xlfn.FLOOR.MATH( (((367 * T208) - 362) / 12)+T210) + 1</f>
        <v>1355848.5</v>
      </c>
      <c r="U211">
        <f>(Lookups!$N$6 - 1)  +  365 * (U197 -1)  +  _xlfn.FLOOR.MATH((U197 - 1) / 4)  -  _xlfn.FLOOR.MATH((U197 - 1) / 100)  +  _xlfn.FLOOR.MATH((U197 - 1) / 400) + _xlfn.FLOOR.MATH( (((367 * U208) - 362) / 12)+U210) + 1</f>
        <v>1355665.5</v>
      </c>
      <c r="V211">
        <f>(Lookups!$N$6 - 1)  +  365 * (V197 -1)  +  _xlfn.FLOOR.MATH((V197 - 1) / 4)  -  _xlfn.FLOOR.MATH((V197 - 1) / 100)  +  _xlfn.FLOOR.MATH((V197 - 1) / 400) + _xlfn.FLOOR.MATH( (((367 * V208) - 362) / 12)+V210) + 1</f>
        <v>37.5</v>
      </c>
      <c r="W211">
        <f>(Lookups!$N$6 - 1)  +  365 * (W197 -1)  +  _xlfn.FLOOR.MATH((W197 - 1) / 4)  -  _xlfn.FLOOR.MATH((W197 - 1) / 100)  +  _xlfn.FLOOR.MATH((W197 - 1) / 400) + _xlfn.FLOOR.MATH( (((367 * W208) - 362) / 12)+W210) + 1</f>
        <v>2446887.5</v>
      </c>
      <c r="X211">
        <f>(Lookups!$N$6 - 1)  +  365 * (X197 -1)  +  _xlfn.FLOOR.MATH((X197 - 1) / 4)  -  _xlfn.FLOOR.MATH((X197 - 1) / 100)  +  _xlfn.FLOOR.MATH((X197 - 1) / 400) + _xlfn.FLOOR.MATH( (((367 * X208) - 362) / 12)+X210) + 1</f>
        <v>2448712.5</v>
      </c>
      <c r="Y211">
        <f>(Lookups!$N$6 - 1)  +  365 * (Y197 -1)  +  _xlfn.FLOOR.MATH((Y197 - 1) / 4)  -  _xlfn.FLOOR.MATH((Y197 - 1) / 100)  +  _xlfn.FLOOR.MATH((Y197 - 1) / 400) + _xlfn.FLOOR.MATH( (((367 * Y208) - 362) / 12)+Y210) + 1</f>
        <v>2443175.5</v>
      </c>
      <c r="Z211">
        <f>(Lookups!$N$6 - 1)  +  365 * (Z197 -1)  +  _xlfn.FLOOR.MATH((Z197 - 1) / 4)  -  _xlfn.FLOOR.MATH((Z197 - 1) / 100)  +  _xlfn.FLOOR.MATH((Z197 - 1) / 400) + _xlfn.FLOOR.MATH( (((367 * Z208) - 362) / 12)+Z210) + 1</f>
        <v>2467615.5</v>
      </c>
      <c r="AA211">
        <f>(Lookups!$N$6 - 1)  +  365 * (AA197 -1)  +  _xlfn.FLOOR.MATH((AA197 - 1) / 4)  -  _xlfn.FLOOR.MATH((AA197 - 1) / 100)  +  _xlfn.FLOOR.MATH((AA197 - 1) / 400) + _xlfn.FLOOR.MATH( (((367 * AA208) - 362) / 12)+AA210) + 1</f>
        <v>2451544.5</v>
      </c>
      <c r="AB211">
        <f>(Lookups!$N$6 - 1)  +  365 * (AB197 -1)  +  _xlfn.FLOOR.MATH((AB197 - 1) / 4)  -  _xlfn.FLOOR.MATH((AB197 - 1) / 100)  +  _xlfn.FLOOR.MATH((AB197 - 1) / 400) + _xlfn.FLOOR.MATH( (((367 * AB208) - 362) / 12)+AB210) + 1</f>
        <v>2434895.5</v>
      </c>
      <c r="AC211">
        <f>(Lookups!$N$6 - 1)  +  365 * (AC197 -1)  +  _xlfn.FLOOR.MATH((AC197 - 1) / 4)  -  _xlfn.FLOOR.MATH((AC197 - 1) / 100)  +  _xlfn.FLOOR.MATH((AC197 - 1) / 400) + _xlfn.FLOOR.MATH( (((367 * AC208) - 362) / 12)+AC210) + 1</f>
        <v>2443814.5</v>
      </c>
      <c r="AD211">
        <f>(Lookups!$N$6 - 1)  +  365 * (AD197 -1)  +  _xlfn.FLOOR.MATH((AD197 - 1) / 4)  -  _xlfn.FLOOR.MATH((AD197 - 1) / 100)  +  _xlfn.FLOOR.MATH((AD197 - 1) / 400) + _xlfn.FLOOR.MATH( (((367 * AD208) - 362) / 12)+AD210) + 1</f>
        <v>2447251.5</v>
      </c>
      <c r="AE211">
        <f>(Lookups!$N$6 - 1)  +  365 * (AE197 -1)  +  _xlfn.FLOOR.MATH((AE197 - 1) / 4)  -  _xlfn.FLOOR.MATH((AE197 - 1) / 100)  +  _xlfn.FLOOR.MATH((AE197 - 1) / 400) + _xlfn.FLOOR.MATH( (((367 * AE208) - 362) / 12)+AE210) + 1</f>
        <v>2443175.5</v>
      </c>
      <c r="AF211">
        <f>(Lookups!$N$6 - 1)  +  365 * (AF197 -1)  +  _xlfn.FLOOR.MATH((AF197 - 1) / 4)  -  _xlfn.FLOOR.MATH((AF197 - 1) / 100)  +  _xlfn.FLOOR.MATH((AF197 - 1) / 400) + _xlfn.FLOOR.MATH( (((367 * AF208) - 362) / 12)+AF210) + 1</f>
        <v>2448956.5</v>
      </c>
      <c r="AG211">
        <f>(Lookups!$N$6 - 1)  +  365 * (AG197 -1)  +  _xlfn.FLOOR.MATH((AG197 - 1) / 4)  -  _xlfn.FLOOR.MATH((AG197 - 1) / 100)  +  _xlfn.FLOOR.MATH((AG197 - 1) / 400) + _xlfn.FLOOR.MATH( (((367 * AG208) - 362) / 12)+AG210) + 1</f>
        <v>2448895.5</v>
      </c>
      <c r="AH211">
        <f>(Lookups!$N$6 - 1)  +  365 * (AH197 -1)  +  _xlfn.FLOOR.MATH((AH197 - 1) / 4)  -  _xlfn.FLOOR.MATH((AH197 - 1) / 100)  +  _xlfn.FLOOR.MATH((AH197 - 1) / 400) + _xlfn.FLOOR.MATH( (((367 * AH208) - 362) / 12)+AH210) + 1</f>
        <v>2448288.5</v>
      </c>
      <c r="AI211">
        <f>(Lookups!$N$6 - 1)  +  365 * (AI197 -1)  +  _xlfn.FLOOR.MATH((AI197 - 1) / 4)  -  _xlfn.FLOOR.MATH((AI197 - 1) / 100)  +  _xlfn.FLOOR.MATH((AI197 - 1) / 400) + _xlfn.FLOOR.MATH( (((367 * AI208) - 362) / 12)+AI210) + 1</f>
        <v>2448681.5</v>
      </c>
      <c r="AJ211">
        <f>(Lookups!$N$6 - 1)  +  365 * (AJ197 -1)  +  _xlfn.FLOOR.MATH((AJ197 - 1) / 4)  -  _xlfn.FLOOR.MATH((AJ197 - 1) / 100)  +  _xlfn.FLOOR.MATH((AJ197 - 1) / 400) + _xlfn.FLOOR.MATH( (((367 * AJ208) - 362) / 12)+AJ210) + 1</f>
        <v>2449109.5</v>
      </c>
      <c r="AK211">
        <f>(Lookups!$N$6 - 1)  +  365 * (AK197 -1)  +  _xlfn.FLOOR.MATH((AK197 - 1) / 4)  -  _xlfn.FLOOR.MATH((AK197 - 1) / 100)  +  _xlfn.FLOOR.MATH((AK197 - 1) / 400) + _xlfn.FLOOR.MATH( (((367 * AK208) - 362) / 12)+AK210) + 1</f>
        <v>2385070.5</v>
      </c>
      <c r="AL211">
        <f>(Lookups!$N$6 - 1)  +  365 * (AL197 -1)  +  _xlfn.FLOOR.MATH((AL197 - 1) / 4)  -  _xlfn.FLOOR.MATH((AL197 - 1) / 100)  +  _xlfn.FLOOR.MATH((AL197 - 1) / 400) + _xlfn.FLOOR.MATH( (((367 * AL208) - 362) / 12)+AL210) + 1</f>
        <v>2448136.5</v>
      </c>
      <c r="AM211">
        <f>(Lookups!$N$6 - 1)  +  365 * (AM197 -1)  +  _xlfn.FLOOR.MATH((AM197 - 1) / 4)  -  _xlfn.FLOOR.MATH((AM197 - 1) / 100)  +  _xlfn.FLOOR.MATH((AM197 - 1) / 400) + _xlfn.FLOOR.MATH( (((367 * AM208) - 362) / 12)+AM210) + 1</f>
        <v>1948422.5</v>
      </c>
      <c r="AN211">
        <f>(Lookups!$N$6 - 1)  +  365 * (AN197 -1)  +  _xlfn.FLOOR.MATH((AN197 - 1) / 4)  -  _xlfn.FLOOR.MATH((AN197 - 1) / 100)  +  _xlfn.FLOOR.MATH((AN197 - 1) / 400) + _xlfn.FLOOR.MATH( (((367 * AN208) - 362) / 12)+AN210) + 1</f>
        <v>2451634.5</v>
      </c>
      <c r="AO211">
        <f>(Lookups!$N$6 - 1)  +  365 * (AO197 -1)  +  _xlfn.FLOOR.MATH((AO197 - 1) / 4)  -  _xlfn.FLOOR.MATH((AO197 - 1) / 100)  +  _xlfn.FLOOR.MATH((AO197 - 1) / 400) + _xlfn.FLOOR.MATH( (((367 * AO208) - 362) / 12)+AO210) + 1</f>
        <v>1721425.5</v>
      </c>
      <c r="AP211">
        <f>(Lookups!$N$6 - 1)  +  365 * (AP197 -1)  +  _xlfn.FLOOR.MATH((AP197 - 1) / 4)  -  _xlfn.FLOOR.MATH((AP197 - 1) / 100)  +  _xlfn.FLOOR.MATH((AP197 - 1) / 400) + _xlfn.FLOOR.MATH( (((367 * AP208) - 362) / 12)+AP210) + 1</f>
        <v>2459824.5</v>
      </c>
      <c r="AQ211">
        <f>(Lookups!$N$6 - 1)  +  365 * (AQ197 -1)  +  _xlfn.FLOOR.MATH((AQ197 - 1) / 4)  -  _xlfn.FLOOR.MATH((AQ197 - 1) / 100)  +  _xlfn.FLOOR.MATH((AQ197 - 1) / 400) + _xlfn.FLOOR.MATH( (((367 * AQ208) - 362) / 12)+AQ210) + 1</f>
        <v>2459854.5</v>
      </c>
      <c r="AR211">
        <f>(Lookups!$N$6 - 1)  +  365 * (AR197 -1)  +  _xlfn.FLOOR.MATH((AR197 - 1) / 4)  -  _xlfn.FLOOR.MATH((AR197 - 1) / 100)  +  _xlfn.FLOOR.MATH((AR197 - 1) / 400) + _xlfn.FLOOR.MATH( (((367 * AR208) - 362) / 12)+AR210) + 1</f>
        <v>2459854.5</v>
      </c>
      <c r="AS211">
        <f>(Lookups!$N$6 - 1)  +  365 * (AS197 -1)  +  _xlfn.FLOOR.MATH((AS197 - 1) / 4)  -  _xlfn.FLOOR.MATH((AS197 - 1) / 100)  +  _xlfn.FLOOR.MATH((AS197 - 1) / 400) + _xlfn.FLOOR.MATH( (((367 * AS208) - 362) / 12)+AS210) + 1</f>
        <v>2459854.5</v>
      </c>
      <c r="AT211">
        <f>(Lookups!$N$6 - 1)  +  365 * (AT197 -1)  +  _xlfn.FLOOR.MATH((AT197 - 1) / 4)  -  _xlfn.FLOOR.MATH((AT197 - 1) / 100)  +  _xlfn.FLOOR.MATH((AT197 - 1) / 400) + _xlfn.FLOOR.MATH( (((367 * AT208) - 362) / 12)+AT210) + 1</f>
        <v>2459885.5</v>
      </c>
      <c r="AU211">
        <f>(Lookups!$N$6 - 1)  +  365 * (AU197 -1)  +  _xlfn.FLOOR.MATH((AU197 - 1) / 4)  -  _xlfn.FLOOR.MATH((AU197 - 1) / 100)  +  _xlfn.FLOOR.MATH((AU197 - 1) / 400) + _xlfn.FLOOR.MATH( (((367 * AU208) - 362) / 12)+AU210) + 1</f>
        <v>2441835.5</v>
      </c>
      <c r="AV211">
        <f>(Lookups!$N$6 - 1)  +  365 * (AV197 -1)  +  _xlfn.FLOOR.MATH((AV197 - 1) / 4)  -  _xlfn.FLOOR.MATH((AV197 - 1) / 100)  +  _xlfn.FLOOR.MATH((AV197 - 1) / 400) + _xlfn.FLOOR.MATH( (((367 * AV208) - 362) / 12)+AV210) + 1</f>
        <v>2450693.5</v>
      </c>
      <c r="AW211">
        <f>(Lookups!$N$6 - 1)  +  365 * (AW197 -1)  +  _xlfn.FLOOR.MATH((AW197 - 1) / 4)  -  _xlfn.FLOOR.MATH((AW197 - 1) / 100)  +  _xlfn.FLOOR.MATH((AW197 - 1) / 400) + _xlfn.FLOOR.MATH( (((367 * AW208) - 362) / 12)+AW210) + 1</f>
        <v>2427803.5</v>
      </c>
      <c r="AX211">
        <f>(Lookups!$N$6 - 1)  +  365 * (AX197 -1)  +  _xlfn.FLOOR.MATH((AX197 - 1) / 4)  -  _xlfn.FLOOR.MATH((AX197 - 1) / 100)  +  _xlfn.FLOOR.MATH((AX197 - 1) / 400) + _xlfn.FLOOR.MATH( (((367 * AX208) - 362) / 12)+AX210) + 1</f>
        <v>2435930.5</v>
      </c>
      <c r="AY211">
        <f>(Lookups!$N$6 - 1)  +  365 * (AY197 -1)  +  _xlfn.FLOOR.MATH((AY197 - 1) / 4)  -  _xlfn.FLOOR.MATH((AY197 - 1) / 100)  +  _xlfn.FLOOR.MATH((AY197 - 1) / 400) + _xlfn.FLOOR.MATH( (((367 * AY208) - 362) / 12)+AY210) + 1</f>
        <v>2459915.5</v>
      </c>
      <c r="AZ211">
        <f>(Lookups!$N$6 - 1)  +  365 * (AZ197 -1)  +  _xlfn.FLOOR.MATH((AZ197 - 1) / 4)  -  _xlfn.FLOOR.MATH((AZ197 - 1) / 100)  +  _xlfn.FLOOR.MATH((AZ197 - 1) / 400) + _xlfn.FLOOR.MATH( (((367 * AZ208) - 362) / 12)+AZ210) + 1</f>
        <v>2459915.5</v>
      </c>
      <c r="BA211">
        <f>(Lookups!$N$6 - 1)  +  365 * (BA197 -1)  +  _xlfn.FLOOR.MATH((BA197 - 1) / 4)  -  _xlfn.FLOOR.MATH((BA197 - 1) / 100)  +  _xlfn.FLOOR.MATH((BA197 - 1) / 400) + _xlfn.FLOOR.MATH( (((367 * BA208) - 362) / 12)+BA210) + 1</f>
        <v>2459915.5</v>
      </c>
      <c r="BB211">
        <f>(Lookups!$N$6 - 1)  +  365 * (BB197 -1)  +  _xlfn.FLOOR.MATH((BB197 - 1) / 4)  -  _xlfn.FLOOR.MATH((BB197 - 1) / 100)  +  _xlfn.FLOOR.MATH((BB197 - 1) / 400) + _xlfn.FLOOR.MATH( (((367 * BB208) - 362) / 12)+BB210) + 1</f>
        <v>2459915.5</v>
      </c>
      <c r="BC211">
        <f>(Lookups!$N$6 - 1)  +  365 * (BC197 -1)  +  _xlfn.FLOOR.MATH((BC197 - 1) / 4)  -  _xlfn.FLOOR.MATH((BC197 - 1) / 100)  +  _xlfn.FLOOR.MATH((BC197 - 1) / 400) + _xlfn.FLOOR.MATH( (((367 * BC208) - 362) / 12)+BC210) + 1</f>
        <v>2459915.5</v>
      </c>
      <c r="BD211">
        <f>(Lookups!$N$6 - 1)  +  365 * (BD197 -1)  +  _xlfn.FLOOR.MATH((BD197 - 1) / 4)  -  _xlfn.FLOOR.MATH((BD197 - 1) / 100)  +  _xlfn.FLOOR.MATH((BD197 - 1) / 400) + _xlfn.FLOOR.MATH( (((367 * BD208) - 362) / 12)+BD210) + 1</f>
        <v>2459915.5</v>
      </c>
      <c r="BE211">
        <f>(Lookups!$N$6 - 1)  +  365 * (BE197 -1)  +  _xlfn.FLOOR.MATH((BE197 - 1) / 4)  -  _xlfn.FLOOR.MATH((BE197 - 1) / 100)  +  _xlfn.FLOOR.MATH((BE197 - 1) / 400) + _xlfn.FLOOR.MATH( (((367 * BE208) - 362) / 12)+BE210) + 1</f>
        <v>2459915.5</v>
      </c>
      <c r="BF211">
        <f>(Lookups!$N$6 - 1)  +  365 * (BF197 -1)  +  _xlfn.FLOOR.MATH((BF197 - 1) / 4)  -  _xlfn.FLOOR.MATH((BF197 - 1) / 100)  +  _xlfn.FLOOR.MATH((BF197 - 1) / 400) + _xlfn.FLOOR.MATH( (((367 * BF208) - 362) / 12)+BF210) + 1</f>
        <v>2459915.5</v>
      </c>
      <c r="BG211">
        <f>(Lookups!$N$6 - 1)  +  365 * (BG197 -1)  +  _xlfn.FLOOR.MATH((BG197 - 1) / 4)  -  _xlfn.FLOOR.MATH((BG197 - 1) / 100)  +  _xlfn.FLOOR.MATH((BG197 - 1) / 400) + _xlfn.FLOOR.MATH( (((367 * BG208) - 362) / 12)+BG210) + 1</f>
        <v>2443175.5</v>
      </c>
    </row>
    <row r="213" spans="3:59" x14ac:dyDescent="0.25">
      <c r="C213" t="s">
        <v>988</v>
      </c>
      <c r="D213" s="281" t="s">
        <v>925</v>
      </c>
      <c r="E213" s="226">
        <f>E187-E211+1</f>
        <v>3</v>
      </c>
      <c r="F213" s="226">
        <f t="shared" ref="F213:BG213" si="270">F187-F211+1</f>
        <v>27</v>
      </c>
      <c r="G213" s="226">
        <f t="shared" si="270"/>
        <v>1</v>
      </c>
      <c r="H213" s="226">
        <f t="shared" si="270"/>
        <v>1</v>
      </c>
      <c r="I213" s="226">
        <f t="shared" si="270"/>
        <v>27</v>
      </c>
      <c r="J213" s="226">
        <f t="shared" si="270"/>
        <v>18</v>
      </c>
      <c r="K213" s="226">
        <f t="shared" si="270"/>
        <v>27</v>
      </c>
      <c r="L213" s="226">
        <f t="shared" si="270"/>
        <v>19</v>
      </c>
      <c r="M213" s="226">
        <f t="shared" si="270"/>
        <v>1</v>
      </c>
      <c r="N213" s="226">
        <f t="shared" si="270"/>
        <v>1</v>
      </c>
      <c r="O213" s="226">
        <f t="shared" si="270"/>
        <v>32</v>
      </c>
      <c r="P213" s="226">
        <f t="shared" si="270"/>
        <v>9</v>
      </c>
      <c r="Q213" s="226">
        <f t="shared" si="270"/>
        <v>30</v>
      </c>
      <c r="R213" s="226">
        <f t="shared" si="270"/>
        <v>1</v>
      </c>
      <c r="S213" s="226">
        <f t="shared" si="270"/>
        <v>12</v>
      </c>
      <c r="T213" s="226">
        <f t="shared" si="270"/>
        <v>28</v>
      </c>
      <c r="U213" s="226">
        <f t="shared" si="270"/>
        <v>16</v>
      </c>
      <c r="V213" s="226">
        <f t="shared" si="270"/>
        <v>1</v>
      </c>
      <c r="W213" s="226">
        <f t="shared" si="270"/>
        <v>9</v>
      </c>
      <c r="X213" s="226">
        <f t="shared" si="270"/>
        <v>12</v>
      </c>
      <c r="Y213" s="226">
        <f t="shared" si="270"/>
        <v>13</v>
      </c>
      <c r="Z213" s="226">
        <f t="shared" si="270"/>
        <v>1</v>
      </c>
      <c r="AA213" s="226">
        <f t="shared" si="270"/>
        <v>1</v>
      </c>
      <c r="AB213" s="226">
        <f t="shared" si="270"/>
        <v>29</v>
      </c>
      <c r="AC213" s="226">
        <f t="shared" si="270"/>
        <v>13</v>
      </c>
      <c r="AD213" s="226">
        <f t="shared" si="270"/>
        <v>22</v>
      </c>
      <c r="AE213" s="226">
        <f t="shared" si="270"/>
        <v>16</v>
      </c>
      <c r="AF213" s="226">
        <f t="shared" si="270"/>
        <v>20</v>
      </c>
      <c r="AG213" s="226">
        <f t="shared" si="270"/>
        <v>13</v>
      </c>
      <c r="AH213" s="226">
        <f t="shared" si="270"/>
        <v>29</v>
      </c>
      <c r="AI213" s="226">
        <f t="shared" si="270"/>
        <v>32</v>
      </c>
      <c r="AJ213" s="226">
        <f t="shared" si="270"/>
        <v>0</v>
      </c>
      <c r="AK213" s="226">
        <f t="shared" si="270"/>
        <v>1</v>
      </c>
      <c r="AL213" s="226">
        <f t="shared" si="270"/>
        <v>19</v>
      </c>
      <c r="AM213" s="226">
        <f t="shared" si="270"/>
        <v>15</v>
      </c>
      <c r="AN213" s="226">
        <f t="shared" si="270"/>
        <v>7</v>
      </c>
      <c r="AO213" s="226">
        <f t="shared" si="270"/>
        <v>3</v>
      </c>
      <c r="AP213" s="226">
        <f t="shared" si="270"/>
        <v>24</v>
      </c>
      <c r="AQ213" s="226">
        <f t="shared" si="270"/>
        <v>1</v>
      </c>
      <c r="AR213" s="226">
        <f t="shared" si="270"/>
        <v>8</v>
      </c>
      <c r="AS213" s="226">
        <f t="shared" si="270"/>
        <v>16</v>
      </c>
      <c r="AT213" s="226">
        <f t="shared" si="270"/>
        <v>0</v>
      </c>
      <c r="AU213" s="226">
        <f t="shared" si="270"/>
        <v>0</v>
      </c>
      <c r="AV213" s="226">
        <f t="shared" si="270"/>
        <v>0</v>
      </c>
      <c r="AW213" s="226">
        <f t="shared" si="270"/>
        <v>5</v>
      </c>
      <c r="AX213" s="226">
        <f t="shared" si="270"/>
        <v>14</v>
      </c>
      <c r="AY213" s="226">
        <f t="shared" si="270"/>
        <v>0</v>
      </c>
      <c r="AZ213" s="226">
        <f t="shared" si="270"/>
        <v>1</v>
      </c>
      <c r="BA213" s="226">
        <f t="shared" si="270"/>
        <v>2</v>
      </c>
      <c r="BB213" s="226">
        <f t="shared" si="270"/>
        <v>3</v>
      </c>
      <c r="BC213" s="226">
        <f t="shared" si="270"/>
        <v>4</v>
      </c>
      <c r="BD213" s="226">
        <f t="shared" si="270"/>
        <v>5</v>
      </c>
      <c r="BE213" s="226">
        <f t="shared" si="270"/>
        <v>6</v>
      </c>
      <c r="BF213" s="226">
        <f t="shared" si="270"/>
        <v>7</v>
      </c>
      <c r="BG213" s="226">
        <f t="shared" si="270"/>
        <v>16</v>
      </c>
    </row>
    <row r="214" spans="3:59" x14ac:dyDescent="0.25">
      <c r="C214" t="s">
        <v>998</v>
      </c>
      <c r="D214" s="7" t="s">
        <v>999</v>
      </c>
      <c r="E214" s="1">
        <f>(E184-0.5)-_xlfn.FLOOR.MATH(E184-0.5)</f>
        <v>0.81000000005587935</v>
      </c>
      <c r="F214" s="1">
        <f t="shared" ref="F214:BG214" si="271">(F184-0.5)-_xlfn.FLOOR.MATH(F184-0.5)</f>
        <v>0.5</v>
      </c>
      <c r="G214" s="1">
        <f t="shared" si="271"/>
        <v>0.5</v>
      </c>
      <c r="H214" s="1">
        <f t="shared" si="271"/>
        <v>0</v>
      </c>
      <c r="I214" s="1">
        <f t="shared" si="271"/>
        <v>0</v>
      </c>
      <c r="J214" s="1">
        <f t="shared" si="271"/>
        <v>0.5</v>
      </c>
      <c r="K214" s="1">
        <f t="shared" si="271"/>
        <v>0</v>
      </c>
      <c r="L214" s="1">
        <f t="shared" si="271"/>
        <v>0.5</v>
      </c>
      <c r="M214" s="1">
        <f t="shared" si="271"/>
        <v>1.1574011296033859E-5</v>
      </c>
      <c r="N214" s="1">
        <f t="shared" si="271"/>
        <v>0</v>
      </c>
      <c r="O214" s="1">
        <f t="shared" si="271"/>
        <v>0</v>
      </c>
      <c r="P214" s="1">
        <f t="shared" si="271"/>
        <v>0.30000000004656613</v>
      </c>
      <c r="Q214" s="1">
        <f t="shared" si="271"/>
        <v>0</v>
      </c>
      <c r="R214" s="1">
        <f t="shared" si="271"/>
        <v>0</v>
      </c>
      <c r="S214" s="1">
        <f t="shared" si="271"/>
        <v>0.5</v>
      </c>
      <c r="T214" s="1">
        <f t="shared" si="271"/>
        <v>0</v>
      </c>
      <c r="U214" s="1">
        <f t="shared" si="271"/>
        <v>0.89999999990686774</v>
      </c>
      <c r="V214" s="1">
        <f t="shared" si="271"/>
        <v>0.5</v>
      </c>
      <c r="W214" s="1">
        <f t="shared" si="271"/>
        <v>0</v>
      </c>
      <c r="X214" s="1">
        <f t="shared" si="271"/>
        <v>0</v>
      </c>
      <c r="Y214" s="1">
        <f t="shared" si="271"/>
        <v>0</v>
      </c>
      <c r="Z214" s="1">
        <f t="shared" si="271"/>
        <v>0</v>
      </c>
      <c r="AA214" s="1">
        <f t="shared" si="271"/>
        <v>0</v>
      </c>
      <c r="AB214" s="1">
        <f t="shared" si="271"/>
        <v>0</v>
      </c>
      <c r="AC214" s="1">
        <f t="shared" si="271"/>
        <v>0</v>
      </c>
      <c r="AD214" s="1">
        <f t="shared" si="271"/>
        <v>0</v>
      </c>
      <c r="AE214" s="1">
        <f t="shared" si="271"/>
        <v>0.15115740755572915</v>
      </c>
      <c r="AF214" s="1">
        <f t="shared" si="271"/>
        <v>0</v>
      </c>
      <c r="AG214" s="1">
        <f t="shared" si="271"/>
        <v>0</v>
      </c>
      <c r="AH214" s="1">
        <f t="shared" si="271"/>
        <v>0</v>
      </c>
      <c r="AI214" s="1">
        <f t="shared" si="271"/>
        <v>0</v>
      </c>
      <c r="AJ214" s="1">
        <f t="shared" si="271"/>
        <v>0</v>
      </c>
      <c r="AK214" s="1">
        <f t="shared" si="271"/>
        <v>0</v>
      </c>
      <c r="AL214" s="1">
        <f t="shared" si="271"/>
        <v>0</v>
      </c>
      <c r="AM214" s="1">
        <f t="shared" si="271"/>
        <v>0</v>
      </c>
      <c r="AN214" s="1">
        <f t="shared" si="271"/>
        <v>0</v>
      </c>
      <c r="AO214" s="1">
        <f t="shared" si="271"/>
        <v>0</v>
      </c>
      <c r="AP214" s="1">
        <f t="shared" si="271"/>
        <v>0.5791666666045785</v>
      </c>
      <c r="AQ214" s="1">
        <f t="shared" si="271"/>
        <v>0.63472222210839391</v>
      </c>
      <c r="AR214" s="1">
        <f t="shared" si="271"/>
        <v>0.53750000009313226</v>
      </c>
      <c r="AS214" s="1">
        <f t="shared" si="271"/>
        <v>0.34375</v>
      </c>
      <c r="AT214" s="1">
        <f t="shared" si="271"/>
        <v>0</v>
      </c>
      <c r="AU214" s="1">
        <f t="shared" si="271"/>
        <v>0</v>
      </c>
      <c r="AV214" s="1">
        <f t="shared" si="271"/>
        <v>0</v>
      </c>
      <c r="AW214" s="1">
        <f t="shared" si="271"/>
        <v>0</v>
      </c>
      <c r="AX214" s="1">
        <f t="shared" si="271"/>
        <v>0</v>
      </c>
      <c r="AY214" s="1">
        <f t="shared" si="271"/>
        <v>0</v>
      </c>
      <c r="AZ214" s="1">
        <f t="shared" si="271"/>
        <v>0</v>
      </c>
      <c r="BA214" s="1">
        <f t="shared" si="271"/>
        <v>0</v>
      </c>
      <c r="BB214" s="1">
        <f t="shared" si="271"/>
        <v>0</v>
      </c>
      <c r="BC214" s="1">
        <f t="shared" si="271"/>
        <v>0</v>
      </c>
      <c r="BD214" s="1">
        <f t="shared" si="271"/>
        <v>0</v>
      </c>
      <c r="BE214" s="1">
        <f t="shared" si="271"/>
        <v>0</v>
      </c>
      <c r="BF214" s="1">
        <f t="shared" si="271"/>
        <v>0</v>
      </c>
      <c r="BG214" s="1">
        <f t="shared" si="271"/>
        <v>0</v>
      </c>
    </row>
    <row r="215" spans="3:59" ht="15.75" thickBot="1" x14ac:dyDescent="0.3">
      <c r="D215" s="7" t="s">
        <v>938</v>
      </c>
      <c r="E215" s="110">
        <f>IF(E197&gt;1899,DATE(E197,E208,E213)+E214,E197&amp;"-"&amp;E208&amp;"-"&amp;E213)</f>
        <v>21096.810000000056</v>
      </c>
      <c r="F215" s="110" t="str">
        <f t="shared" ref="F215:BG215" si="272">IF(F197&gt;1899,DATE(F197,F208,F213)+F214,F197&amp;"-"&amp;F208&amp;"-"&amp;F213)</f>
        <v>333-1-27</v>
      </c>
      <c r="G215" s="110">
        <f t="shared" si="272"/>
        <v>36526.5</v>
      </c>
      <c r="H215" s="110">
        <f t="shared" si="272"/>
        <v>36161</v>
      </c>
      <c r="I215" s="110">
        <f t="shared" si="272"/>
        <v>31804</v>
      </c>
      <c r="J215" s="110">
        <f t="shared" si="272"/>
        <v>31946.5</v>
      </c>
      <c r="K215" s="110">
        <f t="shared" si="272"/>
        <v>32169</v>
      </c>
      <c r="L215" s="110">
        <f t="shared" si="272"/>
        <v>32313.5</v>
      </c>
      <c r="M215" s="110">
        <f t="shared" si="272"/>
        <v>1.000011574011296</v>
      </c>
      <c r="N215" s="110" t="str">
        <f t="shared" si="272"/>
        <v>1600-1-1</v>
      </c>
      <c r="O215" s="110" t="str">
        <f t="shared" si="272"/>
        <v>1600-12-32</v>
      </c>
      <c r="P215" s="110" t="str">
        <f t="shared" si="272"/>
        <v>837-4-9</v>
      </c>
      <c r="Q215" s="110" t="str">
        <f t="shared" si="272"/>
        <v>-123-12-30</v>
      </c>
      <c r="R215" s="110" t="str">
        <f t="shared" si="272"/>
        <v>-122-1-1</v>
      </c>
      <c r="S215" s="110" t="str">
        <f t="shared" si="272"/>
        <v>-1000-7-12</v>
      </c>
      <c r="T215" s="110" t="str">
        <f t="shared" si="272"/>
        <v>-1000-2-28</v>
      </c>
      <c r="U215" s="110" t="str">
        <f t="shared" si="272"/>
        <v>-1001-8-16</v>
      </c>
      <c r="V215" s="110" t="str">
        <f t="shared" si="272"/>
        <v>-4712-1-1</v>
      </c>
      <c r="W215" s="110">
        <f t="shared" si="272"/>
        <v>31876</v>
      </c>
      <c r="X215" s="110">
        <f t="shared" si="272"/>
        <v>33706</v>
      </c>
      <c r="Y215" s="110">
        <f t="shared" si="272"/>
        <v>28169</v>
      </c>
      <c r="Z215" s="110">
        <f t="shared" si="272"/>
        <v>52597</v>
      </c>
      <c r="AA215" s="110">
        <f t="shared" si="272"/>
        <v>36526</v>
      </c>
      <c r="AB215" s="110">
        <f t="shared" si="272"/>
        <v>19904</v>
      </c>
      <c r="AC215" s="110">
        <f t="shared" si="272"/>
        <v>28807</v>
      </c>
      <c r="AD215" s="110">
        <f t="shared" si="272"/>
        <v>32255</v>
      </c>
      <c r="AE215" s="110">
        <f t="shared" si="272"/>
        <v>28172.151157407556</v>
      </c>
      <c r="AF215" s="110">
        <f t="shared" si="272"/>
        <v>33958</v>
      </c>
      <c r="AG215" s="110">
        <f t="shared" si="272"/>
        <v>33890</v>
      </c>
      <c r="AH215" s="110">
        <f t="shared" si="272"/>
        <v>33298</v>
      </c>
      <c r="AI215" s="110">
        <f t="shared" si="272"/>
        <v>33695</v>
      </c>
      <c r="AJ215" s="110">
        <f t="shared" si="272"/>
        <v>34089</v>
      </c>
      <c r="AK215" s="110" t="str">
        <f t="shared" si="272"/>
        <v>1818-1-1</v>
      </c>
      <c r="AL215" s="110">
        <f t="shared" si="272"/>
        <v>33135</v>
      </c>
      <c r="AM215" s="110" t="str">
        <f t="shared" si="272"/>
        <v>622-7-15</v>
      </c>
      <c r="AN215" s="110">
        <f t="shared" si="272"/>
        <v>36623</v>
      </c>
      <c r="AO215" s="110" t="str">
        <f t="shared" si="272"/>
        <v>1-1-3</v>
      </c>
      <c r="AP215" s="110">
        <f t="shared" si="272"/>
        <v>44828.579166666605</v>
      </c>
      <c r="AQ215" s="110">
        <f t="shared" si="272"/>
        <v>44835.634722222108</v>
      </c>
      <c r="AR215" s="110">
        <f t="shared" si="272"/>
        <v>44842.537500000093</v>
      </c>
      <c r="AS215" s="110">
        <f t="shared" si="272"/>
        <v>44850.34375</v>
      </c>
      <c r="AT215" s="110">
        <f t="shared" si="272"/>
        <v>44865</v>
      </c>
      <c r="AU215" s="110">
        <f t="shared" si="272"/>
        <v>26815</v>
      </c>
      <c r="AV215" s="110">
        <f t="shared" si="272"/>
        <v>35673</v>
      </c>
      <c r="AW215" s="110">
        <f t="shared" si="272"/>
        <v>12789</v>
      </c>
      <c r="AX215" s="110">
        <f t="shared" si="272"/>
        <v>20924</v>
      </c>
      <c r="AY215" s="110">
        <f t="shared" si="272"/>
        <v>44895</v>
      </c>
      <c r="AZ215" s="110">
        <f t="shared" si="272"/>
        <v>44896</v>
      </c>
      <c r="BA215" s="110">
        <f t="shared" si="272"/>
        <v>44897</v>
      </c>
      <c r="BB215" s="110">
        <f t="shared" si="272"/>
        <v>44898</v>
      </c>
      <c r="BC215" s="110">
        <f t="shared" si="272"/>
        <v>44899</v>
      </c>
      <c r="BD215" s="110">
        <f t="shared" si="272"/>
        <v>44900</v>
      </c>
      <c r="BE215" s="110">
        <f t="shared" si="272"/>
        <v>44901</v>
      </c>
      <c r="BF215" s="110">
        <f t="shared" si="272"/>
        <v>44902</v>
      </c>
      <c r="BG215" s="110">
        <f t="shared" si="272"/>
        <v>28172</v>
      </c>
    </row>
    <row r="216" spans="3:59" ht="15.75" thickTop="1" x14ac:dyDescent="0.25"/>
  </sheetData>
  <mergeCells count="2">
    <mergeCell ref="A1:D1"/>
    <mergeCell ref="C167:F16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38F3-4F5D-4122-83DA-A73BA5CA8974}">
  <dimension ref="A1:BK27"/>
  <sheetViews>
    <sheetView workbookViewId="0">
      <selection activeCell="E23" sqref="E23:BK23"/>
    </sheetView>
  </sheetViews>
  <sheetFormatPr defaultRowHeight="15" x14ac:dyDescent="0.25"/>
  <cols>
    <col min="1" max="1" width="5.7109375" bestFit="1" customWidth="1"/>
    <col min="2" max="2" width="3.140625" bestFit="1" customWidth="1"/>
    <col min="3" max="3" width="43.7109375" bestFit="1" customWidth="1"/>
    <col min="4" max="4" width="6.7109375" style="7" bestFit="1" customWidth="1"/>
    <col min="5" max="13" width="18.28515625" bestFit="1" customWidth="1"/>
    <col min="14" max="15" width="10.42578125" bestFit="1" customWidth="1"/>
    <col min="16" max="16" width="15.5703125" bestFit="1" customWidth="1"/>
    <col min="17" max="18" width="11.140625" bestFit="1" customWidth="1"/>
    <col min="19" max="19" width="16.28515625" bestFit="1" customWidth="1"/>
    <col min="20" max="20" width="11.140625" bestFit="1" customWidth="1"/>
    <col min="21" max="22" width="16.28515625" bestFit="1" customWidth="1"/>
    <col min="23" max="36" width="18.28515625" bestFit="1" customWidth="1"/>
    <col min="37" max="37" width="10.42578125" bestFit="1" customWidth="1"/>
    <col min="38" max="38" width="18.28515625" bestFit="1" customWidth="1"/>
    <col min="39" max="39" width="17.28515625" bestFit="1" customWidth="1"/>
    <col min="40" max="40" width="18.28515625" bestFit="1" customWidth="1"/>
    <col min="41" max="41" width="15.7109375" bestFit="1" customWidth="1"/>
    <col min="42" max="63" width="18.28515625" bestFit="1" customWidth="1"/>
  </cols>
  <sheetData>
    <row r="1" spans="1:63" ht="15.75" x14ac:dyDescent="0.25">
      <c r="A1" s="338" t="s">
        <v>1149</v>
      </c>
      <c r="B1" s="338"/>
      <c r="C1" s="338"/>
      <c r="D1" s="338"/>
    </row>
    <row r="2" spans="1:63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  <c r="BH2" s="19">
        <f>Examples!BH2</f>
        <v>0</v>
      </c>
      <c r="BI2" s="19">
        <f>Examples!BI2</f>
        <v>0</v>
      </c>
      <c r="BJ2" s="19">
        <f>Examples!BJ2</f>
        <v>0</v>
      </c>
      <c r="BK2" s="19">
        <f>Examples!BK2</f>
        <v>0</v>
      </c>
    </row>
    <row r="3" spans="1:63" x14ac:dyDescent="0.25">
      <c r="A3" s="7"/>
      <c r="B3" s="7"/>
      <c r="C3" s="67" t="s">
        <v>291</v>
      </c>
      <c r="D3" s="68" t="s">
        <v>168</v>
      </c>
      <c r="E3" s="61">
        <f>Examples!E3</f>
        <v>21097.81</v>
      </c>
      <c r="F3" s="61" t="str">
        <f>Examples!F3</f>
        <v>0333-01-27 12:00:00</v>
      </c>
      <c r="G3" s="61">
        <f>Examples!G3</f>
        <v>36526.5</v>
      </c>
      <c r="H3" s="61">
        <f>Examples!H3</f>
        <v>36161</v>
      </c>
      <c r="I3" s="61">
        <f>Examples!I3</f>
        <v>31804</v>
      </c>
      <c r="J3" s="61">
        <f>Examples!J3</f>
        <v>31947.5</v>
      </c>
      <c r="K3" s="61">
        <f>Examples!K3</f>
        <v>32169</v>
      </c>
      <c r="L3" s="61">
        <f>Examples!L3</f>
        <v>32313.5</v>
      </c>
      <c r="M3" s="61">
        <f>Examples!M3</f>
        <v>1.000011574074074</v>
      </c>
      <c r="N3" s="61" t="str">
        <f>Examples!N3</f>
        <v>1600-01-01</v>
      </c>
      <c r="O3" s="61" t="str">
        <f>Examples!O3</f>
        <v>1600-12-31</v>
      </c>
      <c r="P3" s="61" t="str">
        <f>Examples!P3</f>
        <v>0837-04-10 07:12</v>
      </c>
      <c r="Q3" s="61" t="str">
        <f>Examples!Q3</f>
        <v>-0123-12-31</v>
      </c>
      <c r="R3" s="61" t="str">
        <f>Examples!R3</f>
        <v>-0122-01-01</v>
      </c>
      <c r="S3" s="61" t="str">
        <f>Examples!S3</f>
        <v>-1000-07-12 12:00</v>
      </c>
      <c r="T3" s="61" t="str">
        <f>Examples!T3</f>
        <v>-1000-02-29</v>
      </c>
      <c r="U3" s="61" t="str">
        <f>Examples!U3</f>
        <v>-1001-08-17 21:36</v>
      </c>
      <c r="V3" s="61" t="str">
        <f>Examples!V3</f>
        <v>-4712-01-01 12:00</v>
      </c>
      <c r="W3" s="61">
        <f>Examples!W3</f>
        <v>31877</v>
      </c>
      <c r="X3" s="61">
        <f>Examples!X3</f>
        <v>33706</v>
      </c>
      <c r="Y3" s="61">
        <f>Examples!Y3</f>
        <v>28171</v>
      </c>
      <c r="Z3" s="61">
        <f>Examples!Z3</f>
        <v>52597</v>
      </c>
      <c r="AA3" s="61">
        <f>Examples!AA3</f>
        <v>36526</v>
      </c>
      <c r="AB3" s="61">
        <f>Examples!AB3</f>
        <v>19905</v>
      </c>
      <c r="AC3" s="61">
        <f>Examples!AC3</f>
        <v>28808</v>
      </c>
      <c r="AD3" s="61">
        <f>Examples!AD3</f>
        <v>32255</v>
      </c>
      <c r="AE3" s="61">
        <f>Examples!AE3</f>
        <v>28174.151157407407</v>
      </c>
      <c r="AF3" s="61">
        <f>Examples!AF3</f>
        <v>33958</v>
      </c>
      <c r="AG3" s="61">
        <f>Examples!AG3</f>
        <v>33890</v>
      </c>
      <c r="AH3" s="61">
        <f>Examples!AH3</f>
        <v>33298</v>
      </c>
      <c r="AI3" s="61">
        <f>Examples!AI3</f>
        <v>33695</v>
      </c>
      <c r="AJ3" s="61">
        <f>Examples!AJ3</f>
        <v>34090</v>
      </c>
      <c r="AK3" s="61" t="str">
        <f>Examples!AK3</f>
        <v>1818-01-01</v>
      </c>
      <c r="AL3" s="61">
        <f>Examples!AL3</f>
        <v>33136</v>
      </c>
      <c r="AM3" s="61" t="str">
        <f>Examples!AM3</f>
        <v>0622-07-16</v>
      </c>
      <c r="AN3" s="61">
        <f>Examples!AN3</f>
        <v>36622</v>
      </c>
      <c r="AO3" s="61" t="str">
        <f>Examples!AO3</f>
        <v>0001-01-03</v>
      </c>
      <c r="AP3" s="61">
        <f>Examples!AP3</f>
        <v>44829.57916666667</v>
      </c>
      <c r="AQ3" s="61">
        <f>Examples!AQ3</f>
        <v>44836.634722222225</v>
      </c>
      <c r="AR3" s="61">
        <f>Examples!AR3</f>
        <v>44843.537499999999</v>
      </c>
      <c r="AS3" s="61">
        <f>Examples!AS3</f>
        <v>44851.34375</v>
      </c>
      <c r="AT3" s="61">
        <f>Examples!AT3</f>
        <v>44866</v>
      </c>
      <c r="AU3" s="61">
        <f>Examples!AU3</f>
        <v>26816</v>
      </c>
      <c r="AV3" s="61">
        <f>Examples!AV3</f>
        <v>35674</v>
      </c>
      <c r="AW3" s="61">
        <f>Examples!AW3</f>
        <v>12789</v>
      </c>
      <c r="AX3" s="61">
        <f>Examples!AX3</f>
        <v>20925</v>
      </c>
      <c r="AY3" s="61">
        <f>Examples!AY3</f>
        <v>44896</v>
      </c>
      <c r="AZ3" s="61">
        <f>Examples!AZ3</f>
        <v>44897</v>
      </c>
      <c r="BA3" s="61">
        <f>Examples!BA3</f>
        <v>44898</v>
      </c>
      <c r="BB3" s="61">
        <f>Examples!BB3</f>
        <v>44899</v>
      </c>
      <c r="BC3" s="61">
        <f>Examples!BC3</f>
        <v>44900</v>
      </c>
      <c r="BD3" s="61">
        <f>Examples!BD3</f>
        <v>44901</v>
      </c>
      <c r="BE3" s="61">
        <f>Examples!BE3</f>
        <v>44902</v>
      </c>
      <c r="BF3" s="61">
        <f>Examples!BF3</f>
        <v>44903</v>
      </c>
      <c r="BG3" s="61">
        <f>Examples!BG3</f>
        <v>28174</v>
      </c>
      <c r="BH3" s="61">
        <f>Examples!BH3</f>
        <v>0</v>
      </c>
      <c r="BI3" s="61">
        <f>Examples!BI3</f>
        <v>0</v>
      </c>
      <c r="BJ3" s="61">
        <f>Examples!BJ3</f>
        <v>0</v>
      </c>
      <c r="BK3" s="61">
        <f>Examples!BK3</f>
        <v>0</v>
      </c>
    </row>
    <row r="4" spans="1:63" x14ac:dyDescent="0.25">
      <c r="A4" s="89"/>
      <c r="B4" s="89"/>
      <c r="C4" s="130" t="s">
        <v>577</v>
      </c>
      <c r="D4" s="47" t="s">
        <v>323</v>
      </c>
      <c r="E4" s="47">
        <f>IF(ISNUMBER(E3),YEAR(E3),IF(LEFT(E3,1)="-",LEFT(E3,5),LEFT(E3,4)))</f>
        <v>1957</v>
      </c>
      <c r="F4" s="47" t="str">
        <f t="shared" ref="F4:BK4" si="0">IF(ISNUMBER(F3),YEAR(F3),IF(LEFT(F3,1)="-",LEFT(F3,5),LEFT(F3,4)))</f>
        <v>0333</v>
      </c>
      <c r="G4" s="47">
        <f t="shared" si="0"/>
        <v>2000</v>
      </c>
      <c r="H4" s="47">
        <f t="shared" si="0"/>
        <v>1999</v>
      </c>
      <c r="I4" s="47">
        <f t="shared" si="0"/>
        <v>1987</v>
      </c>
      <c r="J4" s="47">
        <f t="shared" si="0"/>
        <v>1987</v>
      </c>
      <c r="K4" s="47">
        <f t="shared" si="0"/>
        <v>1988</v>
      </c>
      <c r="L4" s="47">
        <f t="shared" si="0"/>
        <v>1988</v>
      </c>
      <c r="M4" s="47">
        <f t="shared" si="0"/>
        <v>1900</v>
      </c>
      <c r="N4" s="47" t="str">
        <f t="shared" si="0"/>
        <v>1600</v>
      </c>
      <c r="O4" s="47" t="str">
        <f t="shared" si="0"/>
        <v>1600</v>
      </c>
      <c r="P4" s="47" t="str">
        <f t="shared" si="0"/>
        <v>0837</v>
      </c>
      <c r="Q4" s="47" t="str">
        <f t="shared" si="0"/>
        <v>-0123</v>
      </c>
      <c r="R4" s="47" t="str">
        <f t="shared" si="0"/>
        <v>-0122</v>
      </c>
      <c r="S4" s="47" t="str">
        <f t="shared" si="0"/>
        <v>-1000</v>
      </c>
      <c r="T4" s="47" t="str">
        <f t="shared" si="0"/>
        <v>-1000</v>
      </c>
      <c r="U4" s="47" t="str">
        <f t="shared" si="0"/>
        <v>-1001</v>
      </c>
      <c r="V4" s="47" t="str">
        <f t="shared" si="0"/>
        <v>-4712</v>
      </c>
      <c r="W4" s="47">
        <f t="shared" si="0"/>
        <v>1987</v>
      </c>
      <c r="X4" s="47">
        <f t="shared" si="0"/>
        <v>1992</v>
      </c>
      <c r="Y4" s="47">
        <f t="shared" si="0"/>
        <v>1977</v>
      </c>
      <c r="Z4" s="47">
        <f t="shared" si="0"/>
        <v>2044</v>
      </c>
      <c r="AA4" s="47">
        <f t="shared" si="0"/>
        <v>2000</v>
      </c>
      <c r="AB4" s="47">
        <f t="shared" si="0"/>
        <v>1954</v>
      </c>
      <c r="AC4" s="47">
        <f t="shared" si="0"/>
        <v>1978</v>
      </c>
      <c r="AD4" s="47">
        <f t="shared" si="0"/>
        <v>1988</v>
      </c>
      <c r="AE4" s="47">
        <f t="shared" si="0"/>
        <v>1977</v>
      </c>
      <c r="AF4" s="47">
        <f t="shared" si="0"/>
        <v>1992</v>
      </c>
      <c r="AG4" s="47">
        <f t="shared" si="0"/>
        <v>1992</v>
      </c>
      <c r="AH4" s="47">
        <f t="shared" si="0"/>
        <v>1991</v>
      </c>
      <c r="AI4" s="47">
        <f t="shared" si="0"/>
        <v>1992</v>
      </c>
      <c r="AJ4" s="47">
        <f t="shared" si="0"/>
        <v>1993</v>
      </c>
      <c r="AK4" s="47" t="str">
        <f t="shared" si="0"/>
        <v>1818</v>
      </c>
      <c r="AL4" s="47">
        <f t="shared" si="0"/>
        <v>1990</v>
      </c>
      <c r="AM4" s="47" t="str">
        <f t="shared" si="0"/>
        <v>0622</v>
      </c>
      <c r="AN4" s="47">
        <f t="shared" si="0"/>
        <v>2000</v>
      </c>
      <c r="AO4" s="47" t="str">
        <f t="shared" si="0"/>
        <v>0001</v>
      </c>
      <c r="AP4" s="47">
        <f t="shared" si="0"/>
        <v>2022</v>
      </c>
      <c r="AQ4" s="47">
        <f t="shared" si="0"/>
        <v>2022</v>
      </c>
      <c r="AR4" s="47">
        <f t="shared" si="0"/>
        <v>2022</v>
      </c>
      <c r="AS4" s="47">
        <f t="shared" si="0"/>
        <v>2022</v>
      </c>
      <c r="AT4" s="47">
        <f t="shared" si="0"/>
        <v>2022</v>
      </c>
      <c r="AU4" s="47">
        <f t="shared" si="0"/>
        <v>1973</v>
      </c>
      <c r="AV4" s="47">
        <f t="shared" si="0"/>
        <v>1997</v>
      </c>
      <c r="AW4" s="47">
        <f t="shared" si="0"/>
        <v>1935</v>
      </c>
      <c r="AX4" s="47">
        <f t="shared" si="0"/>
        <v>1957</v>
      </c>
      <c r="AY4" s="47">
        <f t="shared" si="0"/>
        <v>2022</v>
      </c>
      <c r="AZ4" s="47">
        <f t="shared" si="0"/>
        <v>2022</v>
      </c>
      <c r="BA4" s="47">
        <f t="shared" si="0"/>
        <v>2022</v>
      </c>
      <c r="BB4" s="47">
        <f t="shared" si="0"/>
        <v>2022</v>
      </c>
      <c r="BC4" s="47">
        <f t="shared" si="0"/>
        <v>2022</v>
      </c>
      <c r="BD4" s="47">
        <f t="shared" si="0"/>
        <v>2022</v>
      </c>
      <c r="BE4" s="47">
        <f t="shared" si="0"/>
        <v>2022</v>
      </c>
      <c r="BF4" s="47">
        <f t="shared" si="0"/>
        <v>2022</v>
      </c>
      <c r="BG4" s="47">
        <f t="shared" si="0"/>
        <v>1977</v>
      </c>
      <c r="BH4" s="47">
        <f t="shared" si="0"/>
        <v>1900</v>
      </c>
      <c r="BI4" s="47">
        <f t="shared" si="0"/>
        <v>1900</v>
      </c>
      <c r="BJ4" s="47">
        <f t="shared" si="0"/>
        <v>1900</v>
      </c>
      <c r="BK4" s="47">
        <f t="shared" si="0"/>
        <v>1900</v>
      </c>
    </row>
    <row r="5" spans="1:63" x14ac:dyDescent="0.25">
      <c r="A5" s="89"/>
      <c r="B5" s="89"/>
      <c r="C5" s="130"/>
      <c r="D5" s="47" t="s">
        <v>519</v>
      </c>
      <c r="E5" s="47">
        <f>IF(ISNUMBER(E3),MONTH(E3),IF(LEFT(E3,1)="-",MID(E3,7,2),MID(E3,6,2)))</f>
        <v>10</v>
      </c>
      <c r="F5" s="47" t="str">
        <f t="shared" ref="F5:BK5" si="1">IF(ISNUMBER(F3),MONTH(F3),IF(LEFT(F3,1)="-",MID(F3,7,2),MID(F3,6,2)))</f>
        <v>01</v>
      </c>
      <c r="G5" s="47">
        <f t="shared" si="1"/>
        <v>1</v>
      </c>
      <c r="H5" s="47">
        <f t="shared" si="1"/>
        <v>1</v>
      </c>
      <c r="I5" s="47">
        <f t="shared" si="1"/>
        <v>1</v>
      </c>
      <c r="J5" s="47">
        <f t="shared" si="1"/>
        <v>6</v>
      </c>
      <c r="K5" s="47">
        <f t="shared" si="1"/>
        <v>1</v>
      </c>
      <c r="L5" s="47">
        <f t="shared" si="1"/>
        <v>6</v>
      </c>
      <c r="M5" s="47">
        <f t="shared" si="1"/>
        <v>1</v>
      </c>
      <c r="N5" s="47" t="str">
        <f t="shared" si="1"/>
        <v>01</v>
      </c>
      <c r="O5" s="47" t="str">
        <f t="shared" si="1"/>
        <v>12</v>
      </c>
      <c r="P5" s="47" t="str">
        <f t="shared" si="1"/>
        <v>04</v>
      </c>
      <c r="Q5" s="47" t="str">
        <f t="shared" si="1"/>
        <v>12</v>
      </c>
      <c r="R5" s="47" t="str">
        <f t="shared" si="1"/>
        <v>01</v>
      </c>
      <c r="S5" s="47" t="str">
        <f t="shared" si="1"/>
        <v>07</v>
      </c>
      <c r="T5" s="47" t="str">
        <f t="shared" si="1"/>
        <v>02</v>
      </c>
      <c r="U5" s="47" t="str">
        <f t="shared" si="1"/>
        <v>08</v>
      </c>
      <c r="V5" s="47" t="str">
        <f t="shared" si="1"/>
        <v>01</v>
      </c>
      <c r="W5" s="47">
        <f t="shared" si="1"/>
        <v>4</v>
      </c>
      <c r="X5" s="47">
        <f t="shared" si="1"/>
        <v>4</v>
      </c>
      <c r="Y5" s="47">
        <f t="shared" si="1"/>
        <v>2</v>
      </c>
      <c r="Z5" s="47">
        <f t="shared" si="1"/>
        <v>1</v>
      </c>
      <c r="AA5" s="47">
        <f t="shared" si="1"/>
        <v>1</v>
      </c>
      <c r="AB5" s="47">
        <f t="shared" si="1"/>
        <v>6</v>
      </c>
      <c r="AC5" s="47">
        <f t="shared" si="1"/>
        <v>11</v>
      </c>
      <c r="AD5" s="47">
        <f t="shared" si="1"/>
        <v>4</v>
      </c>
      <c r="AE5" s="47">
        <f t="shared" si="1"/>
        <v>2</v>
      </c>
      <c r="AF5" s="47">
        <f t="shared" si="1"/>
        <v>12</v>
      </c>
      <c r="AG5" s="47">
        <f t="shared" si="1"/>
        <v>10</v>
      </c>
      <c r="AH5" s="47">
        <f t="shared" si="1"/>
        <v>3</v>
      </c>
      <c r="AI5" s="47">
        <f t="shared" si="1"/>
        <v>4</v>
      </c>
      <c r="AJ5" s="47">
        <f t="shared" si="1"/>
        <v>5</v>
      </c>
      <c r="AK5" s="47" t="str">
        <f t="shared" si="1"/>
        <v>01</v>
      </c>
      <c r="AL5" s="47">
        <f t="shared" si="1"/>
        <v>9</v>
      </c>
      <c r="AM5" s="47" t="str">
        <f t="shared" si="1"/>
        <v>07</v>
      </c>
      <c r="AN5" s="47">
        <f t="shared" si="1"/>
        <v>4</v>
      </c>
      <c r="AO5" s="47" t="str">
        <f t="shared" si="1"/>
        <v>01</v>
      </c>
      <c r="AP5" s="47">
        <f t="shared" si="1"/>
        <v>9</v>
      </c>
      <c r="AQ5" s="47">
        <f t="shared" si="1"/>
        <v>10</v>
      </c>
      <c r="AR5" s="47">
        <f t="shared" si="1"/>
        <v>10</v>
      </c>
      <c r="AS5" s="47">
        <f t="shared" si="1"/>
        <v>10</v>
      </c>
      <c r="AT5" s="47">
        <f t="shared" si="1"/>
        <v>11</v>
      </c>
      <c r="AU5" s="47">
        <f t="shared" si="1"/>
        <v>6</v>
      </c>
      <c r="AV5" s="47">
        <f t="shared" si="1"/>
        <v>9</v>
      </c>
      <c r="AW5" s="47">
        <f t="shared" si="1"/>
        <v>1</v>
      </c>
      <c r="AX5" s="47">
        <f t="shared" si="1"/>
        <v>4</v>
      </c>
      <c r="AY5" s="47">
        <f t="shared" si="1"/>
        <v>12</v>
      </c>
      <c r="AZ5" s="47">
        <f t="shared" si="1"/>
        <v>12</v>
      </c>
      <c r="BA5" s="47">
        <f t="shared" si="1"/>
        <v>12</v>
      </c>
      <c r="BB5" s="47">
        <f t="shared" si="1"/>
        <v>12</v>
      </c>
      <c r="BC5" s="47">
        <f t="shared" si="1"/>
        <v>12</v>
      </c>
      <c r="BD5" s="47">
        <f t="shared" si="1"/>
        <v>12</v>
      </c>
      <c r="BE5" s="47">
        <f t="shared" si="1"/>
        <v>12</v>
      </c>
      <c r="BF5" s="47">
        <f t="shared" si="1"/>
        <v>12</v>
      </c>
      <c r="BG5" s="47">
        <f t="shared" si="1"/>
        <v>2</v>
      </c>
      <c r="BH5" s="47">
        <f t="shared" si="1"/>
        <v>1</v>
      </c>
      <c r="BI5" s="47">
        <f t="shared" si="1"/>
        <v>1</v>
      </c>
      <c r="BJ5" s="47">
        <f t="shared" si="1"/>
        <v>1</v>
      </c>
      <c r="BK5" s="47">
        <f t="shared" si="1"/>
        <v>1</v>
      </c>
    </row>
    <row r="6" spans="1:63" x14ac:dyDescent="0.25">
      <c r="A6" s="89"/>
      <c r="B6" s="89"/>
      <c r="C6" s="130"/>
      <c r="D6" s="47" t="s">
        <v>576</v>
      </c>
      <c r="E6" s="47">
        <f>'07JD'!E50</f>
        <v>277</v>
      </c>
      <c r="F6" s="47">
        <f>'07JD'!F50</f>
        <v>27</v>
      </c>
      <c r="G6" s="47">
        <f>'07JD'!G50</f>
        <v>1</v>
      </c>
      <c r="H6" s="47">
        <f>'07JD'!H50</f>
        <v>1</v>
      </c>
      <c r="I6" s="47">
        <f>'07JD'!I50</f>
        <v>27</v>
      </c>
      <c r="J6" s="47">
        <f>'07JD'!J50</f>
        <v>170</v>
      </c>
      <c r="K6" s="47">
        <f>'07JD'!K50</f>
        <v>27</v>
      </c>
      <c r="L6" s="47">
        <f>'07JD'!L50</f>
        <v>171</v>
      </c>
      <c r="M6" s="47">
        <f>'07JD'!M50</f>
        <v>1</v>
      </c>
      <c r="N6" s="47">
        <f>'07JD'!N50</f>
        <v>1</v>
      </c>
      <c r="O6" s="47">
        <f>'07JD'!O50</f>
        <v>366</v>
      </c>
      <c r="P6" s="47">
        <f>'07JD'!P50</f>
        <v>100</v>
      </c>
      <c r="Q6" s="47">
        <f>'07JD'!Q50</f>
        <v>365</v>
      </c>
      <c r="R6" s="47">
        <f>'07JD'!R50</f>
        <v>1</v>
      </c>
      <c r="S6" s="47">
        <f>'07JD'!S50</f>
        <v>194</v>
      </c>
      <c r="T6" s="47">
        <f>'07JD'!T50</f>
        <v>60</v>
      </c>
      <c r="U6" s="47">
        <f>'07JD'!U50</f>
        <v>229</v>
      </c>
      <c r="V6" s="47">
        <f>'07JD'!V50</f>
        <v>1</v>
      </c>
      <c r="W6" s="47">
        <f>'07JD'!W50</f>
        <v>100</v>
      </c>
      <c r="X6" s="47">
        <f>'07JD'!X50</f>
        <v>103</v>
      </c>
      <c r="Y6" s="47">
        <f>'07JD'!Y50</f>
        <v>46</v>
      </c>
      <c r="Z6" s="47">
        <f>'07JD'!Z50</f>
        <v>1</v>
      </c>
      <c r="AA6" s="47">
        <f>'07JD'!AA50</f>
        <v>1</v>
      </c>
      <c r="AB6" s="47">
        <f>'07JD'!AB50</f>
        <v>181</v>
      </c>
      <c r="AC6" s="47">
        <f>'07JD'!AC50</f>
        <v>318</v>
      </c>
      <c r="AD6" s="47">
        <f>'07JD'!AD50</f>
        <v>113</v>
      </c>
      <c r="AE6" s="47">
        <f>'07JD'!AE50</f>
        <v>49</v>
      </c>
      <c r="AF6" s="47">
        <f>'07JD'!AF50</f>
        <v>355</v>
      </c>
      <c r="AG6" s="47">
        <f>'07JD'!AG50</f>
        <v>287</v>
      </c>
      <c r="AH6" s="47">
        <f>'07JD'!AH50</f>
        <v>60</v>
      </c>
      <c r="AI6" s="47">
        <f>'07JD'!AI50</f>
        <v>92</v>
      </c>
      <c r="AJ6" s="47">
        <f>'07JD'!AJ50</f>
        <v>121</v>
      </c>
      <c r="AK6" s="47">
        <f>'07JD'!AK50</f>
        <v>1</v>
      </c>
      <c r="AL6" s="47">
        <f>'07JD'!AL50</f>
        <v>263</v>
      </c>
      <c r="AM6" s="47">
        <f>'07JD'!AM50</f>
        <v>197</v>
      </c>
      <c r="AN6" s="47">
        <f>'07JD'!AN50</f>
        <v>97</v>
      </c>
      <c r="AO6" s="47">
        <f>'07JD'!AO50</f>
        <v>3</v>
      </c>
      <c r="AP6" s="47">
        <f>'07JD'!AP50</f>
        <v>268</v>
      </c>
      <c r="AQ6" s="47">
        <f>'07JD'!AQ50</f>
        <v>275</v>
      </c>
      <c r="AR6" s="47">
        <f>'07JD'!AR50</f>
        <v>282</v>
      </c>
      <c r="AS6" s="47">
        <f>'07JD'!AS50</f>
        <v>290</v>
      </c>
      <c r="AT6" s="47">
        <f>'07JD'!AT50</f>
        <v>305</v>
      </c>
      <c r="AU6" s="47">
        <f>'07JD'!AU50</f>
        <v>152</v>
      </c>
      <c r="AV6" s="47">
        <f>'07JD'!AV50</f>
        <v>244</v>
      </c>
      <c r="AW6" s="47">
        <f>'07JD'!AW50</f>
        <v>5</v>
      </c>
      <c r="AX6" s="47">
        <f>'07JD'!AX50</f>
        <v>105</v>
      </c>
      <c r="AY6" s="47">
        <f>'07JD'!AY50</f>
        <v>335</v>
      </c>
      <c r="AZ6" s="47">
        <f>'07JD'!AZ50</f>
        <v>336</v>
      </c>
      <c r="BA6" s="47">
        <f>'07JD'!BA50</f>
        <v>337</v>
      </c>
      <c r="BB6" s="47">
        <f>'07JD'!BB50</f>
        <v>338</v>
      </c>
      <c r="BC6" s="47">
        <f>'07JD'!BC50</f>
        <v>339</v>
      </c>
      <c r="BD6" s="47">
        <f>'07JD'!BD50</f>
        <v>340</v>
      </c>
      <c r="BE6" s="47">
        <f>'07JD'!BE50</f>
        <v>341</v>
      </c>
      <c r="BF6" s="47">
        <f>'07JD'!BF50</f>
        <v>342</v>
      </c>
      <c r="BG6" s="47">
        <f>'07JD'!BG50</f>
        <v>49</v>
      </c>
      <c r="BH6" s="47">
        <f>'07JD'!BH50</f>
        <v>0</v>
      </c>
      <c r="BI6" s="47">
        <f>'07JD'!BI50</f>
        <v>0</v>
      </c>
      <c r="BJ6" s="47">
        <f>'07JD'!BJ50</f>
        <v>0</v>
      </c>
      <c r="BK6" s="47">
        <f>'07JD'!BK50</f>
        <v>0</v>
      </c>
    </row>
    <row r="7" spans="1:63" x14ac:dyDescent="0.25">
      <c r="A7" s="89"/>
      <c r="B7" s="89"/>
      <c r="C7" s="131"/>
      <c r="D7" s="132" t="s">
        <v>194</v>
      </c>
      <c r="E7" s="132">
        <f>IF(ISNUMBER(E3),DAY(E3),IF(LEFT(E3,1)="-",MID(E3,10,2),MID(E3,9,2)))</f>
        <v>4</v>
      </c>
      <c r="F7" s="132" t="str">
        <f t="shared" ref="F7:BK7" si="2">IF(ISNUMBER(F3),DAY(F3),IF(LEFT(F3,1)="-",MID(F3,10,2),MID(F3,9,2)))</f>
        <v>27</v>
      </c>
      <c r="G7" s="132">
        <f t="shared" si="2"/>
        <v>1</v>
      </c>
      <c r="H7" s="132">
        <f t="shared" si="2"/>
        <v>1</v>
      </c>
      <c r="I7" s="132">
        <f t="shared" si="2"/>
        <v>27</v>
      </c>
      <c r="J7" s="132">
        <f t="shared" si="2"/>
        <v>19</v>
      </c>
      <c r="K7" s="132">
        <f t="shared" si="2"/>
        <v>27</v>
      </c>
      <c r="L7" s="132">
        <f t="shared" si="2"/>
        <v>19</v>
      </c>
      <c r="M7" s="132">
        <f t="shared" si="2"/>
        <v>1</v>
      </c>
      <c r="N7" s="132" t="str">
        <f t="shared" si="2"/>
        <v>01</v>
      </c>
      <c r="O7" s="132" t="str">
        <f t="shared" si="2"/>
        <v>31</v>
      </c>
      <c r="P7" s="132" t="str">
        <f t="shared" si="2"/>
        <v>10</v>
      </c>
      <c r="Q7" s="132" t="str">
        <f t="shared" si="2"/>
        <v>31</v>
      </c>
      <c r="R7" s="132" t="str">
        <f t="shared" si="2"/>
        <v>01</v>
      </c>
      <c r="S7" s="132" t="str">
        <f t="shared" si="2"/>
        <v>12</v>
      </c>
      <c r="T7" s="132" t="str">
        <f t="shared" si="2"/>
        <v>29</v>
      </c>
      <c r="U7" s="132" t="str">
        <f t="shared" si="2"/>
        <v>17</v>
      </c>
      <c r="V7" s="132" t="str">
        <f t="shared" si="2"/>
        <v>01</v>
      </c>
      <c r="W7" s="132">
        <f t="shared" si="2"/>
        <v>10</v>
      </c>
      <c r="X7" s="132">
        <f t="shared" si="2"/>
        <v>12</v>
      </c>
      <c r="Y7" s="132">
        <f t="shared" si="2"/>
        <v>15</v>
      </c>
      <c r="Z7" s="132">
        <f t="shared" si="2"/>
        <v>1</v>
      </c>
      <c r="AA7" s="132">
        <f t="shared" si="2"/>
        <v>1</v>
      </c>
      <c r="AB7" s="132">
        <f t="shared" si="2"/>
        <v>30</v>
      </c>
      <c r="AC7" s="132">
        <f t="shared" si="2"/>
        <v>14</v>
      </c>
      <c r="AD7" s="132">
        <f t="shared" si="2"/>
        <v>22</v>
      </c>
      <c r="AE7" s="132">
        <f t="shared" si="2"/>
        <v>18</v>
      </c>
      <c r="AF7" s="132">
        <f t="shared" si="2"/>
        <v>20</v>
      </c>
      <c r="AG7" s="132">
        <f t="shared" si="2"/>
        <v>13</v>
      </c>
      <c r="AH7" s="132">
        <f t="shared" si="2"/>
        <v>1</v>
      </c>
      <c r="AI7" s="132">
        <f t="shared" si="2"/>
        <v>1</v>
      </c>
      <c r="AJ7" s="132">
        <f t="shared" si="2"/>
        <v>1</v>
      </c>
      <c r="AK7" s="132" t="str">
        <f t="shared" si="2"/>
        <v>01</v>
      </c>
      <c r="AL7" s="132">
        <f t="shared" si="2"/>
        <v>20</v>
      </c>
      <c r="AM7" s="132" t="str">
        <f t="shared" si="2"/>
        <v>16</v>
      </c>
      <c r="AN7" s="132">
        <f t="shared" si="2"/>
        <v>6</v>
      </c>
      <c r="AO7" s="132" t="str">
        <f t="shared" si="2"/>
        <v>03</v>
      </c>
      <c r="AP7" s="132">
        <f t="shared" si="2"/>
        <v>25</v>
      </c>
      <c r="AQ7" s="132">
        <f t="shared" si="2"/>
        <v>2</v>
      </c>
      <c r="AR7" s="132">
        <f t="shared" si="2"/>
        <v>9</v>
      </c>
      <c r="AS7" s="132">
        <f t="shared" si="2"/>
        <v>17</v>
      </c>
      <c r="AT7" s="132">
        <f t="shared" si="2"/>
        <v>1</v>
      </c>
      <c r="AU7" s="132">
        <f t="shared" si="2"/>
        <v>1</v>
      </c>
      <c r="AV7" s="132">
        <f t="shared" si="2"/>
        <v>1</v>
      </c>
      <c r="AW7" s="132">
        <f t="shared" si="2"/>
        <v>5</v>
      </c>
      <c r="AX7" s="132">
        <f t="shared" si="2"/>
        <v>15</v>
      </c>
      <c r="AY7" s="132">
        <f t="shared" si="2"/>
        <v>1</v>
      </c>
      <c r="AZ7" s="132">
        <f t="shared" si="2"/>
        <v>2</v>
      </c>
      <c r="BA7" s="132">
        <f t="shared" si="2"/>
        <v>3</v>
      </c>
      <c r="BB7" s="132">
        <f t="shared" si="2"/>
        <v>4</v>
      </c>
      <c r="BC7" s="132">
        <f t="shared" si="2"/>
        <v>5</v>
      </c>
      <c r="BD7" s="132">
        <f t="shared" si="2"/>
        <v>6</v>
      </c>
      <c r="BE7" s="132">
        <f t="shared" si="2"/>
        <v>7</v>
      </c>
      <c r="BF7" s="132">
        <f t="shared" si="2"/>
        <v>8</v>
      </c>
      <c r="BG7" s="132">
        <f t="shared" si="2"/>
        <v>18</v>
      </c>
      <c r="BH7" s="132">
        <f t="shared" si="2"/>
        <v>0</v>
      </c>
      <c r="BI7" s="132">
        <f t="shared" si="2"/>
        <v>0</v>
      </c>
      <c r="BJ7" s="132">
        <f t="shared" si="2"/>
        <v>0</v>
      </c>
      <c r="BK7" s="132">
        <f t="shared" si="2"/>
        <v>0</v>
      </c>
    </row>
    <row r="8" spans="1:63" x14ac:dyDescent="0.25">
      <c r="C8" t="s">
        <v>1150</v>
      </c>
    </row>
    <row r="9" spans="1:63" x14ac:dyDescent="0.25">
      <c r="C9" t="s">
        <v>1151</v>
      </c>
    </row>
    <row r="10" spans="1:63" x14ac:dyDescent="0.25">
      <c r="C10" t="s">
        <v>1152</v>
      </c>
      <c r="D10" s="7" t="s">
        <v>1131</v>
      </c>
      <c r="E10">
        <f>(E4-2000)/100</f>
        <v>-0.43</v>
      </c>
      <c r="F10">
        <f t="shared" ref="F10:BK10" si="3">(F4-2000)/100</f>
        <v>-16.670000000000002</v>
      </c>
      <c r="G10">
        <f t="shared" si="3"/>
        <v>0</v>
      </c>
      <c r="H10">
        <f t="shared" si="3"/>
        <v>-0.01</v>
      </c>
      <c r="I10">
        <f t="shared" si="3"/>
        <v>-0.13</v>
      </c>
      <c r="J10">
        <f t="shared" si="3"/>
        <v>-0.13</v>
      </c>
      <c r="K10">
        <f t="shared" si="3"/>
        <v>-0.12</v>
      </c>
      <c r="L10">
        <f t="shared" si="3"/>
        <v>-0.12</v>
      </c>
      <c r="M10">
        <f t="shared" si="3"/>
        <v>-1</v>
      </c>
      <c r="N10">
        <f t="shared" si="3"/>
        <v>-4</v>
      </c>
      <c r="O10">
        <f t="shared" si="3"/>
        <v>-4</v>
      </c>
      <c r="P10">
        <f t="shared" si="3"/>
        <v>-11.63</v>
      </c>
      <c r="Q10">
        <f t="shared" si="3"/>
        <v>-21.23</v>
      </c>
      <c r="R10">
        <f t="shared" si="3"/>
        <v>-21.22</v>
      </c>
      <c r="S10">
        <f t="shared" si="3"/>
        <v>-30</v>
      </c>
      <c r="T10">
        <f t="shared" si="3"/>
        <v>-30</v>
      </c>
      <c r="U10">
        <f t="shared" si="3"/>
        <v>-30.01</v>
      </c>
      <c r="V10">
        <f t="shared" si="3"/>
        <v>-67.12</v>
      </c>
      <c r="W10">
        <f t="shared" si="3"/>
        <v>-0.13</v>
      </c>
      <c r="X10">
        <f t="shared" si="3"/>
        <v>-0.08</v>
      </c>
      <c r="Y10">
        <f t="shared" si="3"/>
        <v>-0.23</v>
      </c>
      <c r="Z10">
        <f t="shared" si="3"/>
        <v>0.44</v>
      </c>
      <c r="AA10">
        <f t="shared" si="3"/>
        <v>0</v>
      </c>
      <c r="AB10">
        <f t="shared" si="3"/>
        <v>-0.46</v>
      </c>
      <c r="AC10">
        <f t="shared" si="3"/>
        <v>-0.22</v>
      </c>
      <c r="AD10">
        <f t="shared" si="3"/>
        <v>-0.12</v>
      </c>
      <c r="AE10">
        <f t="shared" si="3"/>
        <v>-0.23</v>
      </c>
      <c r="AF10">
        <f t="shared" si="3"/>
        <v>-0.08</v>
      </c>
      <c r="AG10">
        <f t="shared" si="3"/>
        <v>-0.08</v>
      </c>
      <c r="AH10">
        <f t="shared" si="3"/>
        <v>-0.09</v>
      </c>
      <c r="AI10">
        <f t="shared" si="3"/>
        <v>-0.08</v>
      </c>
      <c r="AJ10">
        <f t="shared" si="3"/>
        <v>-7.0000000000000007E-2</v>
      </c>
      <c r="AK10">
        <f t="shared" si="3"/>
        <v>-1.82</v>
      </c>
      <c r="AL10">
        <f t="shared" si="3"/>
        <v>-0.1</v>
      </c>
      <c r="AM10">
        <f t="shared" si="3"/>
        <v>-13.78</v>
      </c>
      <c r="AN10">
        <f t="shared" si="3"/>
        <v>0</v>
      </c>
      <c r="AO10">
        <f t="shared" si="3"/>
        <v>-19.989999999999998</v>
      </c>
      <c r="AP10">
        <f t="shared" si="3"/>
        <v>0.22</v>
      </c>
      <c r="AQ10">
        <f t="shared" si="3"/>
        <v>0.22</v>
      </c>
      <c r="AR10">
        <f t="shared" si="3"/>
        <v>0.22</v>
      </c>
      <c r="AS10">
        <f t="shared" si="3"/>
        <v>0.22</v>
      </c>
      <c r="AT10">
        <f t="shared" si="3"/>
        <v>0.22</v>
      </c>
      <c r="AU10">
        <f t="shared" si="3"/>
        <v>-0.27</v>
      </c>
      <c r="AV10">
        <f t="shared" si="3"/>
        <v>-0.03</v>
      </c>
      <c r="AW10">
        <f t="shared" si="3"/>
        <v>-0.65</v>
      </c>
      <c r="AX10">
        <f t="shared" si="3"/>
        <v>-0.43</v>
      </c>
      <c r="AY10">
        <f t="shared" si="3"/>
        <v>0.22</v>
      </c>
      <c r="AZ10">
        <f t="shared" si="3"/>
        <v>0.22</v>
      </c>
      <c r="BA10">
        <f t="shared" si="3"/>
        <v>0.22</v>
      </c>
      <c r="BB10">
        <f t="shared" si="3"/>
        <v>0.22</v>
      </c>
      <c r="BC10">
        <f t="shared" si="3"/>
        <v>0.22</v>
      </c>
      <c r="BD10">
        <f t="shared" si="3"/>
        <v>0.22</v>
      </c>
      <c r="BE10">
        <f t="shared" si="3"/>
        <v>0.22</v>
      </c>
      <c r="BF10">
        <f t="shared" si="3"/>
        <v>0.22</v>
      </c>
      <c r="BG10">
        <f t="shared" si="3"/>
        <v>-0.23</v>
      </c>
      <c r="BH10">
        <f t="shared" si="3"/>
        <v>-1</v>
      </c>
      <c r="BI10">
        <f t="shared" si="3"/>
        <v>-1</v>
      </c>
      <c r="BJ10">
        <f t="shared" si="3"/>
        <v>-1</v>
      </c>
      <c r="BK10">
        <f t="shared" si="3"/>
        <v>-1</v>
      </c>
    </row>
    <row r="11" spans="1:63" x14ac:dyDescent="0.25">
      <c r="A11">
        <v>10.1</v>
      </c>
      <c r="B11">
        <v>78</v>
      </c>
      <c r="C11" t="s">
        <v>1153</v>
      </c>
    </row>
    <row r="12" spans="1:63" x14ac:dyDescent="0.25">
      <c r="C12" t="s">
        <v>1154</v>
      </c>
      <c r="D12" s="7" t="s">
        <v>1155</v>
      </c>
      <c r="E12" s="11">
        <f>2177+497*E10+44.1*E10^2</f>
        <v>1971.44409</v>
      </c>
      <c r="F12" s="11">
        <f t="shared" ref="F12:BK12" si="4">2177+497*F10+44.1*F10^2</f>
        <v>6146.9104900000002</v>
      </c>
      <c r="G12" s="11">
        <f t="shared" si="4"/>
        <v>2177</v>
      </c>
      <c r="H12" s="11">
        <f t="shared" si="4"/>
        <v>2172.0344100000002</v>
      </c>
      <c r="I12" s="11">
        <f t="shared" si="4"/>
        <v>2113.1352899999997</v>
      </c>
      <c r="J12" s="11">
        <f t="shared" si="4"/>
        <v>2113.1352899999997</v>
      </c>
      <c r="K12" s="11">
        <f t="shared" si="4"/>
        <v>2117.9950400000002</v>
      </c>
      <c r="L12" s="11">
        <f t="shared" si="4"/>
        <v>2117.9950400000002</v>
      </c>
      <c r="M12" s="11">
        <f t="shared" si="4"/>
        <v>1724.1</v>
      </c>
      <c r="N12" s="11">
        <f t="shared" si="4"/>
        <v>894.6</v>
      </c>
      <c r="O12" s="11">
        <f t="shared" si="4"/>
        <v>894.6</v>
      </c>
      <c r="P12" s="11">
        <f t="shared" si="4"/>
        <v>2361.7192900000009</v>
      </c>
      <c r="Q12" s="11">
        <f t="shared" si="4"/>
        <v>11502.128890000002</v>
      </c>
      <c r="R12" s="11">
        <f t="shared" si="4"/>
        <v>11488.37844</v>
      </c>
      <c r="S12" s="11">
        <f t="shared" si="4"/>
        <v>26957</v>
      </c>
      <c r="T12" s="11">
        <f t="shared" si="4"/>
        <v>26957</v>
      </c>
      <c r="U12" s="11">
        <f t="shared" si="4"/>
        <v>26978.494410000007</v>
      </c>
      <c r="V12" s="11">
        <f t="shared" si="4"/>
        <v>167493.02304000006</v>
      </c>
      <c r="W12" s="11">
        <f t="shared" si="4"/>
        <v>2113.1352899999997</v>
      </c>
      <c r="X12" s="11">
        <f t="shared" si="4"/>
        <v>2137.5222399999998</v>
      </c>
      <c r="Y12" s="11">
        <f t="shared" si="4"/>
        <v>2065.0228900000002</v>
      </c>
      <c r="Z12" s="11">
        <f t="shared" si="4"/>
        <v>2404.21776</v>
      </c>
      <c r="AA12" s="11">
        <f t="shared" si="4"/>
        <v>2177</v>
      </c>
      <c r="AB12" s="11">
        <f t="shared" si="4"/>
        <v>1957.7115600000002</v>
      </c>
      <c r="AC12" s="11">
        <f t="shared" si="4"/>
        <v>2069.7944399999997</v>
      </c>
      <c r="AD12" s="11">
        <f t="shared" si="4"/>
        <v>2117.9950400000002</v>
      </c>
      <c r="AE12" s="11">
        <f t="shared" si="4"/>
        <v>2065.0228900000002</v>
      </c>
      <c r="AF12" s="11">
        <f t="shared" si="4"/>
        <v>2137.5222399999998</v>
      </c>
      <c r="AG12" s="11">
        <f t="shared" si="4"/>
        <v>2137.5222399999998</v>
      </c>
      <c r="AH12" s="11">
        <f t="shared" si="4"/>
        <v>2132.6272100000001</v>
      </c>
      <c r="AI12" s="11">
        <f t="shared" si="4"/>
        <v>2137.5222399999998</v>
      </c>
      <c r="AJ12" s="11">
        <f t="shared" si="4"/>
        <v>2142.4260899999999</v>
      </c>
      <c r="AK12" s="11">
        <f t="shared" si="4"/>
        <v>1418.53684</v>
      </c>
      <c r="AL12" s="11">
        <f t="shared" si="4"/>
        <v>2127.741</v>
      </c>
      <c r="AM12" s="11">
        <f t="shared" si="4"/>
        <v>3702.4184399999995</v>
      </c>
      <c r="AN12" s="11">
        <f t="shared" si="4"/>
        <v>2177</v>
      </c>
      <c r="AO12" s="11">
        <f t="shared" si="4"/>
        <v>9864.3344099999995</v>
      </c>
      <c r="AP12" s="11">
        <f t="shared" si="4"/>
        <v>2288.47444</v>
      </c>
      <c r="AQ12" s="11">
        <f t="shared" si="4"/>
        <v>2288.47444</v>
      </c>
      <c r="AR12" s="11">
        <f t="shared" si="4"/>
        <v>2288.47444</v>
      </c>
      <c r="AS12" s="11">
        <f t="shared" si="4"/>
        <v>2288.47444</v>
      </c>
      <c r="AT12" s="11">
        <f t="shared" si="4"/>
        <v>2288.47444</v>
      </c>
      <c r="AU12" s="11">
        <f t="shared" si="4"/>
        <v>2046.0248899999999</v>
      </c>
      <c r="AV12" s="11">
        <f t="shared" si="4"/>
        <v>2162.1296900000002</v>
      </c>
      <c r="AW12" s="11">
        <f t="shared" si="4"/>
        <v>1872.5822500000002</v>
      </c>
      <c r="AX12" s="11">
        <f t="shared" si="4"/>
        <v>1971.44409</v>
      </c>
      <c r="AY12" s="11">
        <f t="shared" si="4"/>
        <v>2288.47444</v>
      </c>
      <c r="AZ12" s="11">
        <f t="shared" si="4"/>
        <v>2288.47444</v>
      </c>
      <c r="BA12" s="11">
        <f t="shared" si="4"/>
        <v>2288.47444</v>
      </c>
      <c r="BB12" s="11">
        <f t="shared" si="4"/>
        <v>2288.47444</v>
      </c>
      <c r="BC12" s="11">
        <f t="shared" si="4"/>
        <v>2288.47444</v>
      </c>
      <c r="BD12" s="11">
        <f t="shared" si="4"/>
        <v>2288.47444</v>
      </c>
      <c r="BE12" s="11">
        <f t="shared" si="4"/>
        <v>2288.47444</v>
      </c>
      <c r="BF12" s="11">
        <f t="shared" si="4"/>
        <v>2288.47444</v>
      </c>
      <c r="BG12" s="11">
        <f t="shared" si="4"/>
        <v>2065.0228900000002</v>
      </c>
      <c r="BH12" s="11">
        <f t="shared" si="4"/>
        <v>1724.1</v>
      </c>
      <c r="BI12" s="11">
        <f t="shared" si="4"/>
        <v>1724.1</v>
      </c>
      <c r="BJ12" s="11">
        <f t="shared" si="4"/>
        <v>1724.1</v>
      </c>
      <c r="BK12" s="11">
        <f t="shared" si="4"/>
        <v>1724.1</v>
      </c>
    </row>
    <row r="13" spans="1:63" x14ac:dyDescent="0.25">
      <c r="A13">
        <v>10.199999999999999</v>
      </c>
      <c r="B13">
        <v>78</v>
      </c>
      <c r="C13" t="s">
        <v>1156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</row>
    <row r="14" spans="1:63" x14ac:dyDescent="0.25">
      <c r="C14" t="s">
        <v>1157</v>
      </c>
      <c r="D14" s="7" t="s">
        <v>1155</v>
      </c>
      <c r="E14" s="11">
        <f>102+102*E10+25.3*E10^2</f>
        <v>62.817970000000003</v>
      </c>
      <c r="F14" s="11">
        <f t="shared" ref="F14:BK14" si="5">102+102*F10+25.3*F10^2</f>
        <v>5432.249170000001</v>
      </c>
      <c r="G14" s="11">
        <f t="shared" si="5"/>
        <v>102</v>
      </c>
      <c r="H14" s="11">
        <f t="shared" si="5"/>
        <v>100.98253</v>
      </c>
      <c r="I14" s="11">
        <f t="shared" si="5"/>
        <v>89.167569999999998</v>
      </c>
      <c r="J14" s="11">
        <f t="shared" si="5"/>
        <v>89.167569999999998</v>
      </c>
      <c r="K14" s="11">
        <f t="shared" si="5"/>
        <v>90.124320000000012</v>
      </c>
      <c r="L14" s="11">
        <f t="shared" si="5"/>
        <v>90.124320000000012</v>
      </c>
      <c r="M14" s="11">
        <f t="shared" si="5"/>
        <v>25.3</v>
      </c>
      <c r="N14" s="11">
        <f t="shared" si="5"/>
        <v>98.800000000000011</v>
      </c>
      <c r="O14" s="11">
        <f t="shared" si="5"/>
        <v>98.800000000000011</v>
      </c>
      <c r="P14" s="11">
        <f t="shared" si="5"/>
        <v>2337.7395700000006</v>
      </c>
      <c r="Q14" s="11">
        <f t="shared" si="5"/>
        <v>9339.5763699999989</v>
      </c>
      <c r="R14" s="11">
        <f t="shared" si="5"/>
        <v>9329.8565199999994</v>
      </c>
      <c r="S14" s="11">
        <f t="shared" si="5"/>
        <v>19812</v>
      </c>
      <c r="T14" s="11">
        <f t="shared" si="5"/>
        <v>19812</v>
      </c>
      <c r="U14" s="11">
        <f t="shared" si="5"/>
        <v>19826.162530000001</v>
      </c>
      <c r="V14" s="11">
        <f t="shared" si="5"/>
        <v>107234.64832000002</v>
      </c>
      <c r="W14" s="11">
        <f t="shared" si="5"/>
        <v>89.167569999999998</v>
      </c>
      <c r="X14" s="11">
        <f t="shared" si="5"/>
        <v>94.001919999999998</v>
      </c>
      <c r="Y14" s="11">
        <f t="shared" si="5"/>
        <v>79.87836999999999</v>
      </c>
      <c r="Z14" s="11">
        <f t="shared" si="5"/>
        <v>151.77807999999999</v>
      </c>
      <c r="AA14" s="11">
        <f t="shared" si="5"/>
        <v>102</v>
      </c>
      <c r="AB14" s="11">
        <f t="shared" si="5"/>
        <v>60.433479999999996</v>
      </c>
      <c r="AC14" s="11">
        <f t="shared" si="5"/>
        <v>80.784520000000001</v>
      </c>
      <c r="AD14" s="11">
        <f t="shared" si="5"/>
        <v>90.124320000000012</v>
      </c>
      <c r="AE14" s="11">
        <f t="shared" si="5"/>
        <v>79.87836999999999</v>
      </c>
      <c r="AF14" s="11">
        <f t="shared" si="5"/>
        <v>94.001919999999998</v>
      </c>
      <c r="AG14" s="11">
        <f t="shared" si="5"/>
        <v>94.001919999999998</v>
      </c>
      <c r="AH14" s="11">
        <f t="shared" si="5"/>
        <v>93.024929999999998</v>
      </c>
      <c r="AI14" s="11">
        <f t="shared" si="5"/>
        <v>94.001919999999998</v>
      </c>
      <c r="AJ14" s="11">
        <f t="shared" si="5"/>
        <v>94.983969999999999</v>
      </c>
      <c r="AK14" s="11">
        <f t="shared" si="5"/>
        <v>0.16371999999999787</v>
      </c>
      <c r="AL14" s="11">
        <f t="shared" si="5"/>
        <v>92.052999999999997</v>
      </c>
      <c r="AM14" s="11">
        <f t="shared" si="5"/>
        <v>3500.61652</v>
      </c>
      <c r="AN14" s="11">
        <f t="shared" si="5"/>
        <v>102</v>
      </c>
      <c r="AO14" s="11">
        <f t="shared" si="5"/>
        <v>8172.9025299999994</v>
      </c>
      <c r="AP14" s="11">
        <f t="shared" si="5"/>
        <v>125.66452</v>
      </c>
      <c r="AQ14" s="11">
        <f t="shared" si="5"/>
        <v>125.66452</v>
      </c>
      <c r="AR14" s="11">
        <f t="shared" si="5"/>
        <v>125.66452</v>
      </c>
      <c r="AS14" s="11">
        <f t="shared" si="5"/>
        <v>125.66452</v>
      </c>
      <c r="AT14" s="11">
        <f t="shared" si="5"/>
        <v>125.66452</v>
      </c>
      <c r="AU14" s="11">
        <f t="shared" si="5"/>
        <v>76.304369999999992</v>
      </c>
      <c r="AV14" s="11">
        <f t="shared" si="5"/>
        <v>98.962769999999992</v>
      </c>
      <c r="AW14" s="11">
        <f t="shared" si="5"/>
        <v>46.389250000000004</v>
      </c>
      <c r="AX14" s="11">
        <f t="shared" si="5"/>
        <v>62.817970000000003</v>
      </c>
      <c r="AY14" s="11">
        <f t="shared" si="5"/>
        <v>125.66452</v>
      </c>
      <c r="AZ14" s="11">
        <f t="shared" si="5"/>
        <v>125.66452</v>
      </c>
      <c r="BA14" s="11">
        <f t="shared" si="5"/>
        <v>125.66452</v>
      </c>
      <c r="BB14" s="11">
        <f t="shared" si="5"/>
        <v>125.66452</v>
      </c>
      <c r="BC14" s="11">
        <f t="shared" si="5"/>
        <v>125.66452</v>
      </c>
      <c r="BD14" s="11">
        <f t="shared" si="5"/>
        <v>125.66452</v>
      </c>
      <c r="BE14" s="11">
        <f t="shared" si="5"/>
        <v>125.66452</v>
      </c>
      <c r="BF14" s="11">
        <f t="shared" si="5"/>
        <v>125.66452</v>
      </c>
      <c r="BG14" s="11">
        <f t="shared" si="5"/>
        <v>79.87836999999999</v>
      </c>
      <c r="BH14" s="11">
        <f t="shared" si="5"/>
        <v>25.3</v>
      </c>
      <c r="BI14" s="11">
        <f t="shared" si="5"/>
        <v>25.3</v>
      </c>
      <c r="BJ14" s="11">
        <f t="shared" si="5"/>
        <v>25.3</v>
      </c>
      <c r="BK14" s="11">
        <f t="shared" si="5"/>
        <v>25.3</v>
      </c>
    </row>
    <row r="15" spans="1:63" x14ac:dyDescent="0.25">
      <c r="C15" t="s">
        <v>1158</v>
      </c>
    </row>
    <row r="16" spans="1:63" x14ac:dyDescent="0.25">
      <c r="C16" t="s">
        <v>1159</v>
      </c>
      <c r="D16" s="7" t="s">
        <v>1155</v>
      </c>
      <c r="E16">
        <f>IF(E4&gt;1999,IF(E4&lt;2101,0.37*(E4-2100),0),0)</f>
        <v>0</v>
      </c>
      <c r="F16">
        <f t="shared" ref="F16:BK16" si="6">IF(F4&gt;1999,IF(F4&lt;2101,0.37*(F4-2100),0),0)</f>
        <v>0</v>
      </c>
      <c r="G16">
        <f t="shared" si="6"/>
        <v>-37</v>
      </c>
      <c r="H16">
        <f t="shared" si="6"/>
        <v>0</v>
      </c>
      <c r="I16">
        <f t="shared" si="6"/>
        <v>0</v>
      </c>
      <c r="J16">
        <f t="shared" si="6"/>
        <v>0</v>
      </c>
      <c r="K16">
        <f t="shared" si="6"/>
        <v>0</v>
      </c>
      <c r="L16">
        <f t="shared" si="6"/>
        <v>0</v>
      </c>
      <c r="M16">
        <f t="shared" si="6"/>
        <v>0</v>
      </c>
      <c r="N16">
        <f t="shared" si="6"/>
        <v>0</v>
      </c>
      <c r="O16">
        <f t="shared" si="6"/>
        <v>0</v>
      </c>
      <c r="P16">
        <f t="shared" si="6"/>
        <v>0</v>
      </c>
      <c r="Q16">
        <f t="shared" si="6"/>
        <v>0</v>
      </c>
      <c r="R16">
        <f t="shared" si="6"/>
        <v>0</v>
      </c>
      <c r="S16">
        <f t="shared" si="6"/>
        <v>0</v>
      </c>
      <c r="T16">
        <f t="shared" si="6"/>
        <v>0</v>
      </c>
      <c r="U16">
        <f t="shared" si="6"/>
        <v>0</v>
      </c>
      <c r="V16">
        <f t="shared" si="6"/>
        <v>0</v>
      </c>
      <c r="W16">
        <f t="shared" si="6"/>
        <v>0</v>
      </c>
      <c r="X16">
        <f t="shared" si="6"/>
        <v>0</v>
      </c>
      <c r="Y16">
        <f t="shared" si="6"/>
        <v>0</v>
      </c>
      <c r="Z16">
        <f t="shared" si="6"/>
        <v>-20.72</v>
      </c>
      <c r="AA16">
        <f t="shared" si="6"/>
        <v>-37</v>
      </c>
      <c r="AB16">
        <f t="shared" si="6"/>
        <v>0</v>
      </c>
      <c r="AC16">
        <f t="shared" si="6"/>
        <v>0</v>
      </c>
      <c r="AD16">
        <f t="shared" si="6"/>
        <v>0</v>
      </c>
      <c r="AE16">
        <f t="shared" si="6"/>
        <v>0</v>
      </c>
      <c r="AF16">
        <f t="shared" si="6"/>
        <v>0</v>
      </c>
      <c r="AG16">
        <f t="shared" si="6"/>
        <v>0</v>
      </c>
      <c r="AH16">
        <f t="shared" si="6"/>
        <v>0</v>
      </c>
      <c r="AI16">
        <f t="shared" si="6"/>
        <v>0</v>
      </c>
      <c r="AJ16">
        <f t="shared" si="6"/>
        <v>0</v>
      </c>
      <c r="AK16">
        <f t="shared" si="6"/>
        <v>0</v>
      </c>
      <c r="AL16">
        <f t="shared" si="6"/>
        <v>0</v>
      </c>
      <c r="AM16">
        <f t="shared" si="6"/>
        <v>0</v>
      </c>
      <c r="AN16">
        <f t="shared" si="6"/>
        <v>-37</v>
      </c>
      <c r="AO16">
        <f t="shared" si="6"/>
        <v>0</v>
      </c>
      <c r="AP16">
        <f t="shared" si="6"/>
        <v>-28.86</v>
      </c>
      <c r="AQ16">
        <f t="shared" si="6"/>
        <v>-28.86</v>
      </c>
      <c r="AR16">
        <f t="shared" si="6"/>
        <v>-28.86</v>
      </c>
      <c r="AS16">
        <f t="shared" si="6"/>
        <v>-28.86</v>
      </c>
      <c r="AT16">
        <f t="shared" si="6"/>
        <v>-28.86</v>
      </c>
      <c r="AU16">
        <f t="shared" si="6"/>
        <v>0</v>
      </c>
      <c r="AV16">
        <f t="shared" si="6"/>
        <v>0</v>
      </c>
      <c r="AW16">
        <f t="shared" si="6"/>
        <v>0</v>
      </c>
      <c r="AX16">
        <f t="shared" si="6"/>
        <v>0</v>
      </c>
      <c r="AY16">
        <f t="shared" si="6"/>
        <v>-28.86</v>
      </c>
      <c r="AZ16">
        <f t="shared" si="6"/>
        <v>-28.86</v>
      </c>
      <c r="BA16">
        <f t="shared" si="6"/>
        <v>-28.86</v>
      </c>
      <c r="BB16">
        <f t="shared" si="6"/>
        <v>-28.86</v>
      </c>
      <c r="BC16">
        <f t="shared" si="6"/>
        <v>-28.86</v>
      </c>
      <c r="BD16">
        <f t="shared" si="6"/>
        <v>-28.86</v>
      </c>
      <c r="BE16">
        <f t="shared" si="6"/>
        <v>-28.86</v>
      </c>
      <c r="BF16">
        <f t="shared" si="6"/>
        <v>-28.86</v>
      </c>
      <c r="BG16">
        <f t="shared" si="6"/>
        <v>0</v>
      </c>
      <c r="BH16">
        <f t="shared" si="6"/>
        <v>0</v>
      </c>
      <c r="BI16">
        <f t="shared" si="6"/>
        <v>0</v>
      </c>
      <c r="BJ16">
        <f t="shared" si="6"/>
        <v>0</v>
      </c>
      <c r="BK16">
        <f t="shared" si="6"/>
        <v>0</v>
      </c>
    </row>
    <row r="17" spans="3:63" x14ac:dyDescent="0.25">
      <c r="C17" t="s">
        <v>1160</v>
      </c>
      <c r="E17">
        <f>IF(E4&gt;=$D$26,IF(E4&lt;=$D$27,1,0),0)</f>
        <v>1</v>
      </c>
      <c r="F17">
        <f t="shared" ref="F17:BK17" si="7">IF(F4&gt;=$D$26,IF(F4&lt;=$D$27,1,0),0)</f>
        <v>0</v>
      </c>
      <c r="G17">
        <f t="shared" si="7"/>
        <v>0</v>
      </c>
      <c r="H17">
        <f t="shared" si="7"/>
        <v>0</v>
      </c>
      <c r="I17">
        <f t="shared" si="7"/>
        <v>1</v>
      </c>
      <c r="J17">
        <f t="shared" si="7"/>
        <v>1</v>
      </c>
      <c r="K17">
        <f t="shared" si="7"/>
        <v>1</v>
      </c>
      <c r="L17">
        <f t="shared" si="7"/>
        <v>1</v>
      </c>
      <c r="M17">
        <f t="shared" si="7"/>
        <v>1</v>
      </c>
      <c r="N17">
        <f t="shared" si="7"/>
        <v>0</v>
      </c>
      <c r="O17">
        <f t="shared" si="7"/>
        <v>0</v>
      </c>
      <c r="P17">
        <f t="shared" si="7"/>
        <v>0</v>
      </c>
      <c r="Q17">
        <f t="shared" si="7"/>
        <v>0</v>
      </c>
      <c r="R17">
        <f t="shared" si="7"/>
        <v>0</v>
      </c>
      <c r="S17">
        <f t="shared" si="7"/>
        <v>0</v>
      </c>
      <c r="T17">
        <f t="shared" si="7"/>
        <v>0</v>
      </c>
      <c r="U17">
        <f t="shared" si="7"/>
        <v>0</v>
      </c>
      <c r="V17">
        <f t="shared" si="7"/>
        <v>0</v>
      </c>
      <c r="W17">
        <f t="shared" si="7"/>
        <v>1</v>
      </c>
      <c r="X17">
        <f t="shared" si="7"/>
        <v>1</v>
      </c>
      <c r="Y17">
        <f t="shared" si="7"/>
        <v>1</v>
      </c>
      <c r="Z17">
        <f t="shared" si="7"/>
        <v>0</v>
      </c>
      <c r="AA17">
        <f t="shared" si="7"/>
        <v>0</v>
      </c>
      <c r="AB17">
        <f t="shared" si="7"/>
        <v>1</v>
      </c>
      <c r="AC17">
        <f t="shared" si="7"/>
        <v>1</v>
      </c>
      <c r="AD17">
        <f t="shared" si="7"/>
        <v>1</v>
      </c>
      <c r="AE17">
        <f t="shared" si="7"/>
        <v>1</v>
      </c>
      <c r="AF17">
        <f t="shared" si="7"/>
        <v>1</v>
      </c>
      <c r="AG17">
        <f t="shared" si="7"/>
        <v>1</v>
      </c>
      <c r="AH17">
        <f t="shared" si="7"/>
        <v>1</v>
      </c>
      <c r="AI17">
        <f t="shared" si="7"/>
        <v>1</v>
      </c>
      <c r="AJ17">
        <f t="shared" si="7"/>
        <v>1</v>
      </c>
      <c r="AK17">
        <f t="shared" si="7"/>
        <v>0</v>
      </c>
      <c r="AL17">
        <f t="shared" si="7"/>
        <v>1</v>
      </c>
      <c r="AM17">
        <f t="shared" si="7"/>
        <v>0</v>
      </c>
      <c r="AN17">
        <f t="shared" si="7"/>
        <v>0</v>
      </c>
      <c r="AO17">
        <f t="shared" si="7"/>
        <v>0</v>
      </c>
      <c r="AP17">
        <f t="shared" si="7"/>
        <v>0</v>
      </c>
      <c r="AQ17">
        <f t="shared" si="7"/>
        <v>0</v>
      </c>
      <c r="AR17">
        <f t="shared" si="7"/>
        <v>0</v>
      </c>
      <c r="AS17">
        <f t="shared" si="7"/>
        <v>0</v>
      </c>
      <c r="AT17">
        <f t="shared" si="7"/>
        <v>0</v>
      </c>
      <c r="AU17">
        <f t="shared" si="7"/>
        <v>1</v>
      </c>
      <c r="AV17">
        <f t="shared" si="7"/>
        <v>1</v>
      </c>
      <c r="AW17">
        <f t="shared" si="7"/>
        <v>1</v>
      </c>
      <c r="AX17">
        <f t="shared" si="7"/>
        <v>1</v>
      </c>
      <c r="AY17">
        <f t="shared" si="7"/>
        <v>0</v>
      </c>
      <c r="AZ17">
        <f t="shared" si="7"/>
        <v>0</v>
      </c>
      <c r="BA17">
        <f t="shared" si="7"/>
        <v>0</v>
      </c>
      <c r="BB17">
        <f t="shared" si="7"/>
        <v>0</v>
      </c>
      <c r="BC17">
        <f t="shared" si="7"/>
        <v>0</v>
      </c>
      <c r="BD17">
        <f t="shared" si="7"/>
        <v>0</v>
      </c>
      <c r="BE17">
        <f t="shared" si="7"/>
        <v>0</v>
      </c>
      <c r="BF17">
        <f t="shared" si="7"/>
        <v>0</v>
      </c>
      <c r="BG17">
        <f t="shared" si="7"/>
        <v>1</v>
      </c>
      <c r="BH17">
        <f t="shared" si="7"/>
        <v>1</v>
      </c>
      <c r="BI17">
        <f t="shared" si="7"/>
        <v>1</v>
      </c>
      <c r="BJ17">
        <f t="shared" si="7"/>
        <v>1</v>
      </c>
      <c r="BK17">
        <f t="shared" si="7"/>
        <v>1</v>
      </c>
    </row>
    <row r="18" spans="3:63" x14ac:dyDescent="0.25">
      <c r="C18" t="s">
        <v>1161</v>
      </c>
      <c r="E18">
        <f>IF(E17=1,IF(MOD(E4,2)&lt;&gt;0,E4-1,E4),0)</f>
        <v>1956</v>
      </c>
      <c r="F18">
        <f t="shared" ref="F18:BK18" si="8">IF(F17=1,IF(MOD(F4,2)&lt;&gt;0,F4-1,F4),0)</f>
        <v>0</v>
      </c>
      <c r="G18">
        <f t="shared" si="8"/>
        <v>0</v>
      </c>
      <c r="H18">
        <f t="shared" si="8"/>
        <v>0</v>
      </c>
      <c r="I18">
        <f t="shared" si="8"/>
        <v>1986</v>
      </c>
      <c r="J18">
        <f t="shared" si="8"/>
        <v>1986</v>
      </c>
      <c r="K18">
        <f t="shared" si="8"/>
        <v>1988</v>
      </c>
      <c r="L18">
        <f t="shared" si="8"/>
        <v>1988</v>
      </c>
      <c r="M18">
        <f t="shared" si="8"/>
        <v>1900</v>
      </c>
      <c r="N18">
        <f t="shared" si="8"/>
        <v>0</v>
      </c>
      <c r="O18">
        <f t="shared" si="8"/>
        <v>0</v>
      </c>
      <c r="P18">
        <f t="shared" si="8"/>
        <v>0</v>
      </c>
      <c r="Q18">
        <f t="shared" si="8"/>
        <v>0</v>
      </c>
      <c r="R18">
        <f t="shared" si="8"/>
        <v>0</v>
      </c>
      <c r="S18">
        <f t="shared" si="8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8"/>
        <v>1986</v>
      </c>
      <c r="X18">
        <f t="shared" si="8"/>
        <v>1992</v>
      </c>
      <c r="Y18">
        <f t="shared" si="8"/>
        <v>1976</v>
      </c>
      <c r="Z18">
        <f t="shared" si="8"/>
        <v>0</v>
      </c>
      <c r="AA18">
        <f t="shared" si="8"/>
        <v>0</v>
      </c>
      <c r="AB18">
        <f t="shared" si="8"/>
        <v>1954</v>
      </c>
      <c r="AC18">
        <f t="shared" si="8"/>
        <v>1978</v>
      </c>
      <c r="AD18">
        <f t="shared" si="8"/>
        <v>1988</v>
      </c>
      <c r="AE18">
        <f t="shared" si="8"/>
        <v>1976</v>
      </c>
      <c r="AF18">
        <f t="shared" si="8"/>
        <v>1992</v>
      </c>
      <c r="AG18">
        <f t="shared" si="8"/>
        <v>1992</v>
      </c>
      <c r="AH18">
        <f t="shared" si="8"/>
        <v>1990</v>
      </c>
      <c r="AI18">
        <f t="shared" si="8"/>
        <v>1992</v>
      </c>
      <c r="AJ18">
        <f t="shared" si="8"/>
        <v>1992</v>
      </c>
      <c r="AK18">
        <f t="shared" si="8"/>
        <v>0</v>
      </c>
      <c r="AL18">
        <f t="shared" si="8"/>
        <v>1990</v>
      </c>
      <c r="AM18">
        <f t="shared" si="8"/>
        <v>0</v>
      </c>
      <c r="AN18">
        <f t="shared" si="8"/>
        <v>0</v>
      </c>
      <c r="AO18">
        <f t="shared" si="8"/>
        <v>0</v>
      </c>
      <c r="AP18">
        <f t="shared" si="8"/>
        <v>0</v>
      </c>
      <c r="AQ18">
        <f t="shared" si="8"/>
        <v>0</v>
      </c>
      <c r="AR18">
        <f t="shared" si="8"/>
        <v>0</v>
      </c>
      <c r="AS18">
        <f t="shared" si="8"/>
        <v>0</v>
      </c>
      <c r="AT18">
        <f t="shared" si="8"/>
        <v>0</v>
      </c>
      <c r="AU18">
        <f t="shared" si="8"/>
        <v>1972</v>
      </c>
      <c r="AV18">
        <f t="shared" si="8"/>
        <v>1996</v>
      </c>
      <c r="AW18">
        <f t="shared" si="8"/>
        <v>1934</v>
      </c>
      <c r="AX18">
        <f t="shared" si="8"/>
        <v>1956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C18">
        <f t="shared" si="8"/>
        <v>0</v>
      </c>
      <c r="BD18">
        <f t="shared" si="8"/>
        <v>0</v>
      </c>
      <c r="BE18">
        <f t="shared" si="8"/>
        <v>0</v>
      </c>
      <c r="BF18">
        <f t="shared" si="8"/>
        <v>0</v>
      </c>
      <c r="BG18">
        <f t="shared" si="8"/>
        <v>1976</v>
      </c>
      <c r="BH18">
        <f t="shared" si="8"/>
        <v>1900</v>
      </c>
      <c r="BI18">
        <f t="shared" si="8"/>
        <v>1900</v>
      </c>
      <c r="BJ18">
        <f t="shared" si="8"/>
        <v>1900</v>
      </c>
      <c r="BK18">
        <f t="shared" si="8"/>
        <v>1900</v>
      </c>
    </row>
    <row r="19" spans="3:63" x14ac:dyDescent="0.25">
      <c r="C19" t="s">
        <v>1162</v>
      </c>
      <c r="E19">
        <f>IF(E17=1,IF(MOD(E4,2)=0,E4,E4+1),0)</f>
        <v>1958</v>
      </c>
      <c r="F19">
        <f t="shared" ref="F19:BK19" si="9">IF(F17=1,IF(MOD(F4,2)=0,F4,F4+1),0)</f>
        <v>0</v>
      </c>
      <c r="G19">
        <f t="shared" si="9"/>
        <v>0</v>
      </c>
      <c r="H19">
        <f t="shared" si="9"/>
        <v>0</v>
      </c>
      <c r="I19">
        <f t="shared" si="9"/>
        <v>1988</v>
      </c>
      <c r="J19">
        <f t="shared" si="9"/>
        <v>1988</v>
      </c>
      <c r="K19">
        <f t="shared" si="9"/>
        <v>1988</v>
      </c>
      <c r="L19">
        <f t="shared" si="9"/>
        <v>1988</v>
      </c>
      <c r="M19">
        <f t="shared" si="9"/>
        <v>1900</v>
      </c>
      <c r="N19">
        <f t="shared" si="9"/>
        <v>0</v>
      </c>
      <c r="O19">
        <f t="shared" si="9"/>
        <v>0</v>
      </c>
      <c r="P19">
        <f t="shared" si="9"/>
        <v>0</v>
      </c>
      <c r="Q19">
        <f t="shared" si="9"/>
        <v>0</v>
      </c>
      <c r="R19">
        <f t="shared" si="9"/>
        <v>0</v>
      </c>
      <c r="S19">
        <f t="shared" si="9"/>
        <v>0</v>
      </c>
      <c r="T19">
        <f t="shared" si="9"/>
        <v>0</v>
      </c>
      <c r="U19">
        <f t="shared" si="9"/>
        <v>0</v>
      </c>
      <c r="V19">
        <f t="shared" si="9"/>
        <v>0</v>
      </c>
      <c r="W19">
        <f t="shared" si="9"/>
        <v>1988</v>
      </c>
      <c r="X19">
        <f t="shared" si="9"/>
        <v>1992</v>
      </c>
      <c r="Y19">
        <f t="shared" si="9"/>
        <v>1978</v>
      </c>
      <c r="Z19">
        <f t="shared" si="9"/>
        <v>0</v>
      </c>
      <c r="AA19">
        <f t="shared" si="9"/>
        <v>0</v>
      </c>
      <c r="AB19">
        <f t="shared" si="9"/>
        <v>1954</v>
      </c>
      <c r="AC19">
        <f t="shared" si="9"/>
        <v>1978</v>
      </c>
      <c r="AD19">
        <f t="shared" si="9"/>
        <v>1988</v>
      </c>
      <c r="AE19">
        <f t="shared" si="9"/>
        <v>1978</v>
      </c>
      <c r="AF19">
        <f t="shared" si="9"/>
        <v>1992</v>
      </c>
      <c r="AG19">
        <f t="shared" si="9"/>
        <v>1992</v>
      </c>
      <c r="AH19">
        <f t="shared" si="9"/>
        <v>1992</v>
      </c>
      <c r="AI19">
        <f t="shared" si="9"/>
        <v>1992</v>
      </c>
      <c r="AJ19">
        <f t="shared" si="9"/>
        <v>1994</v>
      </c>
      <c r="AK19">
        <f t="shared" si="9"/>
        <v>0</v>
      </c>
      <c r="AL19">
        <f t="shared" si="9"/>
        <v>1990</v>
      </c>
      <c r="AM19">
        <f t="shared" si="9"/>
        <v>0</v>
      </c>
      <c r="AN19">
        <f t="shared" si="9"/>
        <v>0</v>
      </c>
      <c r="AO19">
        <f t="shared" si="9"/>
        <v>0</v>
      </c>
      <c r="AP19">
        <f t="shared" si="9"/>
        <v>0</v>
      </c>
      <c r="AQ19">
        <f t="shared" si="9"/>
        <v>0</v>
      </c>
      <c r="AR19">
        <f t="shared" si="9"/>
        <v>0</v>
      </c>
      <c r="AS19">
        <f t="shared" si="9"/>
        <v>0</v>
      </c>
      <c r="AT19">
        <f t="shared" si="9"/>
        <v>0</v>
      </c>
      <c r="AU19">
        <f t="shared" si="9"/>
        <v>1974</v>
      </c>
      <c r="AV19">
        <f t="shared" si="9"/>
        <v>1998</v>
      </c>
      <c r="AW19">
        <f t="shared" si="9"/>
        <v>1936</v>
      </c>
      <c r="AX19">
        <f t="shared" si="9"/>
        <v>1958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C19">
        <f t="shared" si="9"/>
        <v>0</v>
      </c>
      <c r="BD19">
        <f t="shared" si="9"/>
        <v>0</v>
      </c>
      <c r="BE19">
        <f t="shared" si="9"/>
        <v>0</v>
      </c>
      <c r="BF19">
        <f t="shared" si="9"/>
        <v>0</v>
      </c>
      <c r="BG19">
        <f t="shared" si="9"/>
        <v>1978</v>
      </c>
      <c r="BH19">
        <f t="shared" si="9"/>
        <v>1900</v>
      </c>
      <c r="BI19">
        <f t="shared" si="9"/>
        <v>1900</v>
      </c>
      <c r="BJ19">
        <f t="shared" si="9"/>
        <v>1900</v>
      </c>
      <c r="BK19">
        <f t="shared" si="9"/>
        <v>1900</v>
      </c>
    </row>
    <row r="20" spans="3:63" x14ac:dyDescent="0.25">
      <c r="D20" s="7" t="s">
        <v>1163</v>
      </c>
      <c r="E20">
        <f>_xlfn.IFNA(VLOOKUP(E18,'10a'!$A:$B,2,FALSE),0)</f>
        <v>31.4</v>
      </c>
      <c r="F20">
        <f>_xlfn.IFNA(VLOOKUP(F18,'10a'!$A:$B,2,FALSE),0)</f>
        <v>0</v>
      </c>
      <c r="G20">
        <f>_xlfn.IFNA(VLOOKUP(G18,'10a'!$A:$B,2,FALSE),0)</f>
        <v>0</v>
      </c>
      <c r="H20">
        <f>_xlfn.IFNA(VLOOKUP(H18,'10a'!$A:$B,2,FALSE),0)</f>
        <v>0</v>
      </c>
      <c r="I20">
        <f>_xlfn.IFNA(VLOOKUP(I18,'10a'!$A:$B,2,FALSE),0)</f>
        <v>54.9</v>
      </c>
      <c r="J20">
        <f>_xlfn.IFNA(VLOOKUP(J18,'10a'!$A:$B,2,FALSE),0)</f>
        <v>54.9</v>
      </c>
      <c r="K20">
        <f>_xlfn.IFNA(VLOOKUP(K18,'10a'!$A:$B,2,FALSE),0)</f>
        <v>55.8</v>
      </c>
      <c r="L20">
        <f>_xlfn.IFNA(VLOOKUP(L18,'10a'!$A:$B,2,FALSE),0)</f>
        <v>55.8</v>
      </c>
      <c r="M20">
        <f>_xlfn.IFNA(VLOOKUP(M18,'10a'!$A:$B,2,FALSE),0)</f>
        <v>-2.8</v>
      </c>
      <c r="N20">
        <f>_xlfn.IFNA(VLOOKUP(N18,'10a'!$A:$B,2,FALSE),0)</f>
        <v>0</v>
      </c>
      <c r="O20">
        <f>_xlfn.IFNA(VLOOKUP(O18,'10a'!$A:$B,2,FALSE),0)</f>
        <v>0</v>
      </c>
      <c r="P20">
        <f>_xlfn.IFNA(VLOOKUP(P18,'10a'!$A:$B,2,FALSE),0)</f>
        <v>0</v>
      </c>
      <c r="Q20">
        <f>_xlfn.IFNA(VLOOKUP(Q18,'10a'!$A:$B,2,FALSE),0)</f>
        <v>0</v>
      </c>
      <c r="R20">
        <f>_xlfn.IFNA(VLOOKUP(R18,'10a'!$A:$B,2,FALSE),0)</f>
        <v>0</v>
      </c>
      <c r="S20">
        <f>_xlfn.IFNA(VLOOKUP(S18,'10a'!$A:$B,2,FALSE),0)</f>
        <v>0</v>
      </c>
      <c r="T20">
        <f>_xlfn.IFNA(VLOOKUP(T18,'10a'!$A:$B,2,FALSE),0)</f>
        <v>0</v>
      </c>
      <c r="U20">
        <f>_xlfn.IFNA(VLOOKUP(U18,'10a'!$A:$B,2,FALSE),0)</f>
        <v>0</v>
      </c>
      <c r="V20">
        <f>_xlfn.IFNA(VLOOKUP(V18,'10a'!$A:$B,2,FALSE),0)</f>
        <v>0</v>
      </c>
      <c r="W20">
        <f>_xlfn.IFNA(VLOOKUP(W18,'10a'!$A:$B,2,FALSE),0)</f>
        <v>54.9</v>
      </c>
      <c r="X20">
        <f>_xlfn.IFNA(VLOOKUP(X18,'10a'!$A:$B,2,FALSE),0)</f>
        <v>58.3</v>
      </c>
      <c r="Y20">
        <f>_xlfn.IFNA(VLOOKUP(Y18,'10a'!$A:$B,2,FALSE),0)</f>
        <v>46.5</v>
      </c>
      <c r="Z20">
        <f>_xlfn.IFNA(VLOOKUP(Z18,'10a'!$A:$B,2,FALSE),0)</f>
        <v>0</v>
      </c>
      <c r="AA20">
        <f>_xlfn.IFNA(VLOOKUP(AA18,'10a'!$A:$B,2,FALSE),0)</f>
        <v>0</v>
      </c>
      <c r="AB20">
        <f>_xlfn.IFNA(VLOOKUP(AB18,'10a'!$A:$B,2,FALSE),0)</f>
        <v>30.7</v>
      </c>
      <c r="AC20">
        <f>_xlfn.IFNA(VLOOKUP(AC18,'10a'!$A:$B,2,FALSE),0)</f>
        <v>48.5</v>
      </c>
      <c r="AD20">
        <f>_xlfn.IFNA(VLOOKUP(AD18,'10a'!$A:$B,2,FALSE),0)</f>
        <v>55.8</v>
      </c>
      <c r="AE20">
        <f>_xlfn.IFNA(VLOOKUP(AE18,'10a'!$A:$B,2,FALSE),0)</f>
        <v>46.5</v>
      </c>
      <c r="AF20">
        <f>_xlfn.IFNA(VLOOKUP(AF18,'10a'!$A:$B,2,FALSE),0)</f>
        <v>58.3</v>
      </c>
      <c r="AG20">
        <f>_xlfn.IFNA(VLOOKUP(AG18,'10a'!$A:$B,2,FALSE),0)</f>
        <v>58.3</v>
      </c>
      <c r="AH20">
        <f>_xlfn.IFNA(VLOOKUP(AH18,'10a'!$A:$B,2,FALSE),0)</f>
        <v>56.9</v>
      </c>
      <c r="AI20">
        <f>_xlfn.IFNA(VLOOKUP(AI18,'10a'!$A:$B,2,FALSE),0)</f>
        <v>58.3</v>
      </c>
      <c r="AJ20">
        <f>_xlfn.IFNA(VLOOKUP(AJ18,'10a'!$A:$B,2,FALSE),0)</f>
        <v>58.3</v>
      </c>
      <c r="AK20">
        <f>_xlfn.IFNA(VLOOKUP(AK18,'10a'!$A:$B,2,FALSE),0)</f>
        <v>0</v>
      </c>
      <c r="AL20">
        <f>_xlfn.IFNA(VLOOKUP(AL18,'10a'!$A:$B,2,FALSE),0)</f>
        <v>56.9</v>
      </c>
      <c r="AM20">
        <f>_xlfn.IFNA(VLOOKUP(AM18,'10a'!$A:$B,2,FALSE),0)</f>
        <v>0</v>
      </c>
      <c r="AN20">
        <f>_xlfn.IFNA(VLOOKUP(AN18,'10a'!$A:$B,2,FALSE),0)</f>
        <v>0</v>
      </c>
      <c r="AO20">
        <f>_xlfn.IFNA(VLOOKUP(AO18,'10a'!$A:$B,2,FALSE),0)</f>
        <v>0</v>
      </c>
      <c r="AP20">
        <f>_xlfn.IFNA(VLOOKUP(AP18,'10a'!$A:$B,2,FALSE),0)</f>
        <v>0</v>
      </c>
      <c r="AQ20">
        <f>_xlfn.IFNA(VLOOKUP(AQ18,'10a'!$A:$B,2,FALSE),0)</f>
        <v>0</v>
      </c>
      <c r="AR20">
        <f>_xlfn.IFNA(VLOOKUP(AR18,'10a'!$A:$B,2,FALSE),0)</f>
        <v>0</v>
      </c>
      <c r="AS20">
        <f>_xlfn.IFNA(VLOOKUP(AS18,'10a'!$A:$B,2,FALSE),0)</f>
        <v>0</v>
      </c>
      <c r="AT20">
        <f>_xlfn.IFNA(VLOOKUP(AT18,'10a'!$A:$B,2,FALSE),0)</f>
        <v>0</v>
      </c>
      <c r="AU20">
        <f>_xlfn.IFNA(VLOOKUP(AU18,'10a'!$A:$B,2,FALSE),0)</f>
        <v>42.2</v>
      </c>
      <c r="AV20">
        <f>_xlfn.IFNA(VLOOKUP(AV18,'10a'!$A:$B,2,FALSE),0)</f>
        <v>61.6</v>
      </c>
      <c r="AW20">
        <f>_xlfn.IFNA(VLOOKUP(AW18,'10a'!$A:$B,2,FALSE),0)</f>
        <v>23.9</v>
      </c>
      <c r="AX20">
        <f>_xlfn.IFNA(VLOOKUP(AX18,'10a'!$A:$B,2,FALSE),0)</f>
        <v>31.4</v>
      </c>
      <c r="AY20">
        <f>_xlfn.IFNA(VLOOKUP(AY18,'10a'!$A:$B,2,FALSE),0)</f>
        <v>0</v>
      </c>
      <c r="AZ20">
        <f>_xlfn.IFNA(VLOOKUP(AZ18,'10a'!$A:$B,2,FALSE),0)</f>
        <v>0</v>
      </c>
      <c r="BA20">
        <f>_xlfn.IFNA(VLOOKUP(BA18,'10a'!$A:$B,2,FALSE),0)</f>
        <v>0</v>
      </c>
      <c r="BB20">
        <f>_xlfn.IFNA(VLOOKUP(BB18,'10a'!$A:$B,2,FALSE),0)</f>
        <v>0</v>
      </c>
      <c r="BC20">
        <f>_xlfn.IFNA(VLOOKUP(BC18,'10a'!$A:$B,2,FALSE),0)</f>
        <v>0</v>
      </c>
      <c r="BD20">
        <f>_xlfn.IFNA(VLOOKUP(BD18,'10a'!$A:$B,2,FALSE),0)</f>
        <v>0</v>
      </c>
      <c r="BE20">
        <f>_xlfn.IFNA(VLOOKUP(BE18,'10a'!$A:$B,2,FALSE),0)</f>
        <v>0</v>
      </c>
      <c r="BF20">
        <f>_xlfn.IFNA(VLOOKUP(BF18,'10a'!$A:$B,2,FALSE),0)</f>
        <v>0</v>
      </c>
      <c r="BG20">
        <f>_xlfn.IFNA(VLOOKUP(BG18,'10a'!$A:$B,2,FALSE),0)</f>
        <v>46.5</v>
      </c>
      <c r="BH20">
        <f>_xlfn.IFNA(VLOOKUP(BH18,'10a'!$A:$B,2,FALSE),0)</f>
        <v>-2.8</v>
      </c>
      <c r="BI20">
        <f>_xlfn.IFNA(VLOOKUP(BI18,'10a'!$A:$B,2,FALSE),0)</f>
        <v>-2.8</v>
      </c>
      <c r="BJ20">
        <f>_xlfn.IFNA(VLOOKUP(BJ18,'10a'!$A:$B,2,FALSE),0)</f>
        <v>-2.8</v>
      </c>
      <c r="BK20">
        <f>_xlfn.IFNA(VLOOKUP(BK18,'10a'!$A:$B,2,FALSE),0)</f>
        <v>-2.8</v>
      </c>
    </row>
    <row r="21" spans="3:63" x14ac:dyDescent="0.25">
      <c r="D21" s="7" t="s">
        <v>1164</v>
      </c>
      <c r="E21">
        <f>_xlfn.IFNA(VLOOKUP(E19,'10a'!$A:$B,2,FALSE),0)</f>
        <v>32.200000000000003</v>
      </c>
      <c r="F21">
        <f>_xlfn.IFNA(VLOOKUP(F19,'10a'!$A:$B,2,FALSE),0)</f>
        <v>0</v>
      </c>
      <c r="G21">
        <f>_xlfn.IFNA(VLOOKUP(G19,'10a'!$A:$B,2,FALSE),0)</f>
        <v>0</v>
      </c>
      <c r="H21">
        <f>_xlfn.IFNA(VLOOKUP(H19,'10a'!$A:$B,2,FALSE),0)</f>
        <v>0</v>
      </c>
      <c r="I21">
        <f>_xlfn.IFNA(VLOOKUP(I19,'10a'!$A:$B,2,FALSE),0)</f>
        <v>55.8</v>
      </c>
      <c r="J21">
        <f>_xlfn.IFNA(VLOOKUP(J19,'10a'!$A:$B,2,FALSE),0)</f>
        <v>55.8</v>
      </c>
      <c r="K21">
        <f>_xlfn.IFNA(VLOOKUP(K19,'10a'!$A:$B,2,FALSE),0)</f>
        <v>55.8</v>
      </c>
      <c r="L21">
        <f>_xlfn.IFNA(VLOOKUP(L19,'10a'!$A:$B,2,FALSE),0)</f>
        <v>55.8</v>
      </c>
      <c r="M21">
        <f>_xlfn.IFNA(VLOOKUP(M19,'10a'!$A:$B,2,FALSE),0)</f>
        <v>-2.8</v>
      </c>
      <c r="N21">
        <f>_xlfn.IFNA(VLOOKUP(N19,'10a'!$A:$B,2,FALSE),0)</f>
        <v>0</v>
      </c>
      <c r="O21">
        <f>_xlfn.IFNA(VLOOKUP(O19,'10a'!$A:$B,2,FALSE),0)</f>
        <v>0</v>
      </c>
      <c r="P21">
        <f>_xlfn.IFNA(VLOOKUP(P19,'10a'!$A:$B,2,FALSE),0)</f>
        <v>0</v>
      </c>
      <c r="Q21">
        <f>_xlfn.IFNA(VLOOKUP(Q19,'10a'!$A:$B,2,FALSE),0)</f>
        <v>0</v>
      </c>
      <c r="R21">
        <f>_xlfn.IFNA(VLOOKUP(R19,'10a'!$A:$B,2,FALSE),0)</f>
        <v>0</v>
      </c>
      <c r="S21">
        <f>_xlfn.IFNA(VLOOKUP(S19,'10a'!$A:$B,2,FALSE),0)</f>
        <v>0</v>
      </c>
      <c r="T21">
        <f>_xlfn.IFNA(VLOOKUP(T19,'10a'!$A:$B,2,FALSE),0)</f>
        <v>0</v>
      </c>
      <c r="U21">
        <f>_xlfn.IFNA(VLOOKUP(U19,'10a'!$A:$B,2,FALSE),0)</f>
        <v>0</v>
      </c>
      <c r="V21">
        <f>_xlfn.IFNA(VLOOKUP(V19,'10a'!$A:$B,2,FALSE),0)</f>
        <v>0</v>
      </c>
      <c r="W21">
        <f>_xlfn.IFNA(VLOOKUP(W19,'10a'!$A:$B,2,FALSE),0)</f>
        <v>55.8</v>
      </c>
      <c r="X21">
        <f>_xlfn.IFNA(VLOOKUP(X19,'10a'!$A:$B,2,FALSE),0)</f>
        <v>58.3</v>
      </c>
      <c r="Y21">
        <f>_xlfn.IFNA(VLOOKUP(Y19,'10a'!$A:$B,2,FALSE),0)</f>
        <v>48.5</v>
      </c>
      <c r="Z21">
        <f>_xlfn.IFNA(VLOOKUP(Z19,'10a'!$A:$B,2,FALSE),0)</f>
        <v>0</v>
      </c>
      <c r="AA21">
        <f>_xlfn.IFNA(VLOOKUP(AA19,'10a'!$A:$B,2,FALSE),0)</f>
        <v>0</v>
      </c>
      <c r="AB21">
        <f>_xlfn.IFNA(VLOOKUP(AB19,'10a'!$A:$B,2,FALSE),0)</f>
        <v>30.7</v>
      </c>
      <c r="AC21">
        <f>_xlfn.IFNA(VLOOKUP(AC19,'10a'!$A:$B,2,FALSE),0)</f>
        <v>48.5</v>
      </c>
      <c r="AD21">
        <f>_xlfn.IFNA(VLOOKUP(AD19,'10a'!$A:$B,2,FALSE),0)</f>
        <v>55.8</v>
      </c>
      <c r="AE21">
        <f>_xlfn.IFNA(VLOOKUP(AE19,'10a'!$A:$B,2,FALSE),0)</f>
        <v>48.5</v>
      </c>
      <c r="AF21">
        <f>_xlfn.IFNA(VLOOKUP(AF19,'10a'!$A:$B,2,FALSE),0)</f>
        <v>58.3</v>
      </c>
      <c r="AG21">
        <f>_xlfn.IFNA(VLOOKUP(AG19,'10a'!$A:$B,2,FALSE),0)</f>
        <v>58.3</v>
      </c>
      <c r="AH21">
        <f>_xlfn.IFNA(VLOOKUP(AH19,'10a'!$A:$B,2,FALSE),0)</f>
        <v>58.3</v>
      </c>
      <c r="AI21">
        <f>_xlfn.IFNA(VLOOKUP(AI19,'10a'!$A:$B,2,FALSE),0)</f>
        <v>58.3</v>
      </c>
      <c r="AJ21">
        <f>_xlfn.IFNA(VLOOKUP(AJ19,'10a'!$A:$B,2,FALSE),0)</f>
        <v>60</v>
      </c>
      <c r="AK21">
        <f>_xlfn.IFNA(VLOOKUP(AK19,'10a'!$A:$B,2,FALSE),0)</f>
        <v>0</v>
      </c>
      <c r="AL21">
        <f>_xlfn.IFNA(VLOOKUP(AL19,'10a'!$A:$B,2,FALSE),0)</f>
        <v>56.9</v>
      </c>
      <c r="AM21">
        <f>_xlfn.IFNA(VLOOKUP(AM19,'10a'!$A:$B,2,FALSE),0)</f>
        <v>0</v>
      </c>
      <c r="AN21">
        <f>_xlfn.IFNA(VLOOKUP(AN19,'10a'!$A:$B,2,FALSE),0)</f>
        <v>0</v>
      </c>
      <c r="AO21">
        <f>_xlfn.IFNA(VLOOKUP(AO19,'10a'!$A:$B,2,FALSE),0)</f>
        <v>0</v>
      </c>
      <c r="AP21">
        <f>_xlfn.IFNA(VLOOKUP(AP19,'10a'!$A:$B,2,FALSE),0)</f>
        <v>0</v>
      </c>
      <c r="AQ21">
        <f>_xlfn.IFNA(VLOOKUP(AQ19,'10a'!$A:$B,2,FALSE),0)</f>
        <v>0</v>
      </c>
      <c r="AR21">
        <f>_xlfn.IFNA(VLOOKUP(AR19,'10a'!$A:$B,2,FALSE),0)</f>
        <v>0</v>
      </c>
      <c r="AS21">
        <f>_xlfn.IFNA(VLOOKUP(AS19,'10a'!$A:$B,2,FALSE),0)</f>
        <v>0</v>
      </c>
      <c r="AT21">
        <f>_xlfn.IFNA(VLOOKUP(AT19,'10a'!$A:$B,2,FALSE),0)</f>
        <v>0</v>
      </c>
      <c r="AU21">
        <f>_xlfn.IFNA(VLOOKUP(AU19,'10a'!$A:$B,2,FALSE),0)</f>
        <v>44.5</v>
      </c>
      <c r="AV21">
        <f>_xlfn.IFNA(VLOOKUP(AV19,'10a'!$A:$B,2,FALSE),0)</f>
        <v>63</v>
      </c>
      <c r="AW21">
        <f>_xlfn.IFNA(VLOOKUP(AW19,'10a'!$A:$B,2,FALSE),0)</f>
        <v>23.7</v>
      </c>
      <c r="AX21">
        <f>_xlfn.IFNA(VLOOKUP(AX19,'10a'!$A:$B,2,FALSE),0)</f>
        <v>32.200000000000003</v>
      </c>
      <c r="AY21">
        <f>_xlfn.IFNA(VLOOKUP(AY19,'10a'!$A:$B,2,FALSE),0)</f>
        <v>0</v>
      </c>
      <c r="AZ21">
        <f>_xlfn.IFNA(VLOOKUP(AZ19,'10a'!$A:$B,2,FALSE),0)</f>
        <v>0</v>
      </c>
      <c r="BA21">
        <f>_xlfn.IFNA(VLOOKUP(BA19,'10a'!$A:$B,2,FALSE),0)</f>
        <v>0</v>
      </c>
      <c r="BB21">
        <f>_xlfn.IFNA(VLOOKUP(BB19,'10a'!$A:$B,2,FALSE),0)</f>
        <v>0</v>
      </c>
      <c r="BC21">
        <f>_xlfn.IFNA(VLOOKUP(BC19,'10a'!$A:$B,2,FALSE),0)</f>
        <v>0</v>
      </c>
      <c r="BD21">
        <f>_xlfn.IFNA(VLOOKUP(BD19,'10a'!$A:$B,2,FALSE),0)</f>
        <v>0</v>
      </c>
      <c r="BE21">
        <f>_xlfn.IFNA(VLOOKUP(BE19,'10a'!$A:$B,2,FALSE),0)</f>
        <v>0</v>
      </c>
      <c r="BF21">
        <f>_xlfn.IFNA(VLOOKUP(BF19,'10a'!$A:$B,2,FALSE),0)</f>
        <v>0</v>
      </c>
      <c r="BG21">
        <f>_xlfn.IFNA(VLOOKUP(BG19,'10a'!$A:$B,2,FALSE),0)</f>
        <v>48.5</v>
      </c>
      <c r="BH21">
        <f>_xlfn.IFNA(VLOOKUP(BH19,'10a'!$A:$B,2,FALSE),0)</f>
        <v>-2.8</v>
      </c>
      <c r="BI21">
        <f>_xlfn.IFNA(VLOOKUP(BI19,'10a'!$A:$B,2,FALSE),0)</f>
        <v>-2.8</v>
      </c>
      <c r="BJ21">
        <f>_xlfn.IFNA(VLOOKUP(BJ19,'10a'!$A:$B,2,FALSE),0)</f>
        <v>-2.8</v>
      </c>
      <c r="BK21">
        <f>_xlfn.IFNA(VLOOKUP(BK19,'10a'!$A:$B,2,FALSE),0)</f>
        <v>-2.8</v>
      </c>
    </row>
    <row r="23" spans="3:63" x14ac:dyDescent="0.25">
      <c r="D23" s="328" t="s">
        <v>1155</v>
      </c>
      <c r="E23" s="50">
        <f>IF(E17=1,_xlfn.IFNA(VLOOKUP(E4,'10a'!$A:$B,2,FALSE),MAX(E20,E21)),IF(E4&lt;948,E12,E14+E16))</f>
        <v>32.200000000000003</v>
      </c>
      <c r="F23" s="50">
        <f>IF(F17=1,_xlfn.IFNA(VLOOKUP(F4,'10a'!$A:$B,2,FALSE),MAX(F20,F21)),IF(F4&lt;948,F12,F14+F16))</f>
        <v>5432.249170000001</v>
      </c>
      <c r="G23" s="50">
        <f>IF(G17=1,_xlfn.IFNA(VLOOKUP(G4,'10a'!$A:$B,2,FALSE),MAX(G20,G21)),IF(G4&lt;948,G12,G14+G16))</f>
        <v>65</v>
      </c>
      <c r="H23" s="50">
        <f>IF(H17=1,_xlfn.IFNA(VLOOKUP(H4,'10a'!$A:$B,2,FALSE),MAX(H20,H21)),IF(H4&lt;948,H12,H14+H16))</f>
        <v>100.98253</v>
      </c>
      <c r="I23" s="50">
        <f>IF(I17=1,_xlfn.IFNA(VLOOKUP(I4,'10a'!$A:$B,2,FALSE),MAX(I20,I21)),IF(I4&lt;948,I12,I14+I16))</f>
        <v>55.8</v>
      </c>
      <c r="J23" s="50">
        <f>IF(J17=1,_xlfn.IFNA(VLOOKUP(J4,'10a'!$A:$B,2,FALSE),MAX(J20,J21)),IF(J4&lt;948,J12,J14+J16))</f>
        <v>55.8</v>
      </c>
      <c r="K23" s="50">
        <f>IF(K17=1,_xlfn.IFNA(VLOOKUP(K4,'10a'!$A:$B,2,FALSE),MAX(K20,K21)),IF(K4&lt;948,K12,K14+K16))</f>
        <v>55.8</v>
      </c>
      <c r="L23" s="50">
        <f>IF(L17=1,_xlfn.IFNA(VLOOKUP(L4,'10a'!$A:$B,2,FALSE),MAX(L20,L21)),IF(L4&lt;948,L12,L14+L16))</f>
        <v>55.8</v>
      </c>
      <c r="M23" s="50">
        <f>IF(M17=1,_xlfn.IFNA(VLOOKUP(M4,'10a'!$A:$B,2,FALSE),MAX(M20,M21)),IF(M4&lt;948,M12,M14+M16))</f>
        <v>-2.8</v>
      </c>
      <c r="N23" s="50">
        <f>IF(N17=1,_xlfn.IFNA(VLOOKUP(N4,'10a'!$A:$B,2,FALSE),MAX(N20,N21)),IF(N4&lt;948,N12,N14+N16))</f>
        <v>98.800000000000011</v>
      </c>
      <c r="O23" s="50">
        <f>IF(O17=1,_xlfn.IFNA(VLOOKUP(O4,'10a'!$A:$B,2,FALSE),MAX(O20,O21)),IF(O4&lt;948,O12,O14+O16))</f>
        <v>98.800000000000011</v>
      </c>
      <c r="P23" s="50">
        <f>IF(P17=1,_xlfn.IFNA(VLOOKUP(P4,'10a'!$A:$B,2,FALSE),MAX(P20,P21)),IF(P4&lt;948,P12,P14+P16))</f>
        <v>2337.7395700000006</v>
      </c>
      <c r="Q23" s="50">
        <f>IF(Q17=1,_xlfn.IFNA(VLOOKUP(Q4,'10a'!$A:$B,2,FALSE),MAX(Q20,Q21)),IF(Q4&lt;948,Q12,Q14+Q16))</f>
        <v>9339.5763699999989</v>
      </c>
      <c r="R23" s="50">
        <f>IF(R17=1,_xlfn.IFNA(VLOOKUP(R4,'10a'!$A:$B,2,FALSE),MAX(R20,R21)),IF(R4&lt;948,R12,R14+R16))</f>
        <v>9329.8565199999994</v>
      </c>
      <c r="S23" s="50">
        <f>IF(S17=1,_xlfn.IFNA(VLOOKUP(S4,'10a'!$A:$B,2,FALSE),MAX(S20,S21)),IF(S4&lt;948,S12,S14+S16))</f>
        <v>19812</v>
      </c>
      <c r="T23" s="50">
        <f>IF(T17=1,_xlfn.IFNA(VLOOKUP(T4,'10a'!$A:$B,2,FALSE),MAX(T20,T21)),IF(T4&lt;948,T12,T14+T16))</f>
        <v>19812</v>
      </c>
      <c r="U23" s="50">
        <f>IF(U17=1,_xlfn.IFNA(VLOOKUP(U4,'10a'!$A:$B,2,FALSE),MAX(U20,U21)),IF(U4&lt;948,U12,U14+U16))</f>
        <v>19826.162530000001</v>
      </c>
      <c r="V23" s="50">
        <f>IF(V17=1,_xlfn.IFNA(VLOOKUP(V4,'10a'!$A:$B,2,FALSE),MAX(V20,V21)),IF(V4&lt;948,V12,V14+V16))</f>
        <v>107234.64832000002</v>
      </c>
      <c r="W23" s="50">
        <f>IF(W17=1,_xlfn.IFNA(VLOOKUP(W4,'10a'!$A:$B,2,FALSE),MAX(W20,W21)),IF(W4&lt;948,W12,W14+W16))</f>
        <v>55.8</v>
      </c>
      <c r="X23" s="50">
        <f>IF(X17=1,_xlfn.IFNA(VLOOKUP(X4,'10a'!$A:$B,2,FALSE),MAX(X20,X21)),IF(X4&lt;948,X12,X14+X16))</f>
        <v>58.3</v>
      </c>
      <c r="Y23" s="50">
        <f>IF(Y17=1,_xlfn.IFNA(VLOOKUP(Y4,'10a'!$A:$B,2,FALSE),MAX(Y20,Y21)),IF(Y4&lt;948,Y12,Y14+Y16))</f>
        <v>48</v>
      </c>
      <c r="Z23" s="50">
        <f>IF(Z17=1,_xlfn.IFNA(VLOOKUP(Z4,'10a'!$A:$B,2,FALSE),MAX(Z20,Z21)),IF(Z4&lt;948,Z12,Z14+Z16))</f>
        <v>131.05807999999999</v>
      </c>
      <c r="AA23" s="50">
        <f>IF(AA17=1,_xlfn.IFNA(VLOOKUP(AA4,'10a'!$A:$B,2,FALSE),MAX(AA20,AA21)),IF(AA4&lt;948,AA12,AA14+AA16))</f>
        <v>65</v>
      </c>
      <c r="AB23" s="50">
        <f>IF(AB17=1,_xlfn.IFNA(VLOOKUP(AB4,'10a'!$A:$B,2,FALSE),MAX(AB20,AB21)),IF(AB4&lt;948,AB12,AB14+AB16))</f>
        <v>30.7</v>
      </c>
      <c r="AC23" s="50">
        <f>IF(AC17=1,_xlfn.IFNA(VLOOKUP(AC4,'10a'!$A:$B,2,FALSE),MAX(AC20,AC21)),IF(AC4&lt;948,AC12,AC14+AC16))</f>
        <v>48.5</v>
      </c>
      <c r="AD23" s="50">
        <f>IF(AD17=1,_xlfn.IFNA(VLOOKUP(AD4,'10a'!$A:$B,2,FALSE),MAX(AD20,AD21)),IF(AD4&lt;948,AD12,AD14+AD16))</f>
        <v>55.8</v>
      </c>
      <c r="AE23" s="50">
        <f>IF(AE17=1,_xlfn.IFNA(VLOOKUP(AE4,'10a'!$A:$B,2,FALSE),MAX(AE20,AE21)),IF(AE4&lt;948,AE12,AE14+AE16))</f>
        <v>48</v>
      </c>
      <c r="AF23" s="50">
        <f>IF(AF17=1,_xlfn.IFNA(VLOOKUP(AF4,'10a'!$A:$B,2,FALSE),MAX(AF20,AF21)),IF(AF4&lt;948,AF12,AF14+AF16))</f>
        <v>58.3</v>
      </c>
      <c r="AG23" s="50">
        <f>IF(AG17=1,_xlfn.IFNA(VLOOKUP(AG4,'10a'!$A:$B,2,FALSE),MAX(AG20,AG21)),IF(AG4&lt;948,AG12,AG14+AG16))</f>
        <v>58.3</v>
      </c>
      <c r="AH23" s="50">
        <f>IF(AH17=1,_xlfn.IFNA(VLOOKUP(AH4,'10a'!$A:$B,2,FALSE),MAX(AH20,AH21)),IF(AH4&lt;948,AH12,AH14+AH16))</f>
        <v>58.3</v>
      </c>
      <c r="AI23" s="50">
        <f>IF(AI17=1,_xlfn.IFNA(VLOOKUP(AI4,'10a'!$A:$B,2,FALSE),MAX(AI20,AI21)),IF(AI4&lt;948,AI12,AI14+AI16))</f>
        <v>58.3</v>
      </c>
      <c r="AJ23" s="50">
        <f>IF(AJ17=1,_xlfn.IFNA(VLOOKUP(AJ4,'10a'!$A:$B,2,FALSE),MAX(AJ20,AJ21)),IF(AJ4&lt;948,AJ12,AJ14+AJ16))</f>
        <v>60</v>
      </c>
      <c r="AK23" s="50">
        <f>IF(AK17=1,_xlfn.IFNA(VLOOKUP(AK4,'10a'!$A:$B,2,FALSE),MAX(AK20,AK21)),IF(AK4&lt;948,AK12,AK14+AK16))</f>
        <v>0.16371999999999787</v>
      </c>
      <c r="AL23" s="50">
        <f>IF(AL17=1,_xlfn.IFNA(VLOOKUP(AL4,'10a'!$A:$B,2,FALSE),MAX(AL20,AL21)),IF(AL4&lt;948,AL12,AL14+AL16))</f>
        <v>56.9</v>
      </c>
      <c r="AM23" s="50">
        <f>IF(AM17=1,_xlfn.IFNA(VLOOKUP(AM4,'10a'!$A:$B,2,FALSE),MAX(AM20,AM21)),IF(AM4&lt;948,AM12,AM14+AM16))</f>
        <v>3500.61652</v>
      </c>
      <c r="AN23" s="50">
        <f>IF(AN17=1,_xlfn.IFNA(VLOOKUP(AN4,'10a'!$A:$B,2,FALSE),MAX(AN20,AN21)),IF(AN4&lt;948,AN12,AN14+AN16))</f>
        <v>65</v>
      </c>
      <c r="AO23" s="50">
        <f>IF(AO17=1,_xlfn.IFNA(VLOOKUP(AO4,'10a'!$A:$B,2,FALSE),MAX(AO20,AO21)),IF(AO4&lt;948,AO12,AO14+AO16))</f>
        <v>8172.9025299999994</v>
      </c>
      <c r="AP23" s="50">
        <f>IF(AP17=1,_xlfn.IFNA(VLOOKUP(AP4,'10a'!$A:$B,2,FALSE),MAX(AP20,AP21)),IF(AP4&lt;948,AP12,AP14+AP16))</f>
        <v>96.804519999999997</v>
      </c>
      <c r="AQ23" s="50">
        <f>IF(AQ17=1,_xlfn.IFNA(VLOOKUP(AQ4,'10a'!$A:$B,2,FALSE),MAX(AQ20,AQ21)),IF(AQ4&lt;948,AQ12,AQ14+AQ16))</f>
        <v>96.804519999999997</v>
      </c>
      <c r="AR23" s="50">
        <f>IF(AR17=1,_xlfn.IFNA(VLOOKUP(AR4,'10a'!$A:$B,2,FALSE),MAX(AR20,AR21)),IF(AR4&lt;948,AR12,AR14+AR16))</f>
        <v>96.804519999999997</v>
      </c>
      <c r="AS23" s="50">
        <f>IF(AS17=1,_xlfn.IFNA(VLOOKUP(AS4,'10a'!$A:$B,2,FALSE),MAX(AS20,AS21)),IF(AS4&lt;948,AS12,AS14+AS16))</f>
        <v>96.804519999999997</v>
      </c>
      <c r="AT23" s="50">
        <f>IF(AT17=1,_xlfn.IFNA(VLOOKUP(AT4,'10a'!$A:$B,2,FALSE),MAX(AT20,AT21)),IF(AT4&lt;948,AT12,AT14+AT16))</f>
        <v>96.804519999999997</v>
      </c>
      <c r="AU23" s="50">
        <f>IF(AU17=1,_xlfn.IFNA(VLOOKUP(AU4,'10a'!$A:$B,2,FALSE),MAX(AU20,AU21)),IF(AU4&lt;948,AU12,AU14+AU16))</f>
        <v>44.5</v>
      </c>
      <c r="AV23" s="50">
        <f>IF(AV17=1,_xlfn.IFNA(VLOOKUP(AV4,'10a'!$A:$B,2,FALSE),MAX(AV20,AV21)),IF(AV4&lt;948,AV12,AV14+AV16))</f>
        <v>63</v>
      </c>
      <c r="AW23" s="50">
        <f>IF(AW17=1,_xlfn.IFNA(VLOOKUP(AW4,'10a'!$A:$B,2,FALSE),MAX(AW20,AW21)),IF(AW4&lt;948,AW12,AW14+AW16))</f>
        <v>23.9</v>
      </c>
      <c r="AX23" s="50">
        <f>IF(AX17=1,_xlfn.IFNA(VLOOKUP(AX4,'10a'!$A:$B,2,FALSE),MAX(AX20,AX21)),IF(AX4&lt;948,AX12,AX14+AX16))</f>
        <v>32.200000000000003</v>
      </c>
      <c r="AY23" s="50">
        <f>IF(AY17=1,_xlfn.IFNA(VLOOKUP(AY4,'10a'!$A:$B,2,FALSE),MAX(AY20,AY21)),IF(AY4&lt;948,AY12,AY14+AY16))</f>
        <v>96.804519999999997</v>
      </c>
      <c r="AZ23" s="50">
        <f>IF(AZ17=1,_xlfn.IFNA(VLOOKUP(AZ4,'10a'!$A:$B,2,FALSE),MAX(AZ20,AZ21)),IF(AZ4&lt;948,AZ12,AZ14+AZ16))</f>
        <v>96.804519999999997</v>
      </c>
      <c r="BA23" s="50">
        <f>IF(BA17=1,_xlfn.IFNA(VLOOKUP(BA4,'10a'!$A:$B,2,FALSE),MAX(BA20,BA21)),IF(BA4&lt;948,BA12,BA14+BA16))</f>
        <v>96.804519999999997</v>
      </c>
      <c r="BB23" s="50">
        <f>IF(BB17=1,_xlfn.IFNA(VLOOKUP(BB4,'10a'!$A:$B,2,FALSE),MAX(BB20,BB21)),IF(BB4&lt;948,BB12,BB14+BB16))</f>
        <v>96.804519999999997</v>
      </c>
      <c r="BC23" s="50">
        <f>IF(BC17=1,_xlfn.IFNA(VLOOKUP(BC4,'10a'!$A:$B,2,FALSE),MAX(BC20,BC21)),IF(BC4&lt;948,BC12,BC14+BC16))</f>
        <v>96.804519999999997</v>
      </c>
      <c r="BD23" s="50">
        <f>IF(BD17=1,_xlfn.IFNA(VLOOKUP(BD4,'10a'!$A:$B,2,FALSE),MAX(BD20,BD21)),IF(BD4&lt;948,BD12,BD14+BD16))</f>
        <v>96.804519999999997</v>
      </c>
      <c r="BE23" s="50">
        <f>IF(BE17=1,_xlfn.IFNA(VLOOKUP(BE4,'10a'!$A:$B,2,FALSE),MAX(BE20,BE21)),IF(BE4&lt;948,BE12,BE14+BE16))</f>
        <v>96.804519999999997</v>
      </c>
      <c r="BF23" s="50">
        <f>IF(BF17=1,_xlfn.IFNA(VLOOKUP(BF4,'10a'!$A:$B,2,FALSE),MAX(BF20,BF21)),IF(BF4&lt;948,BF12,BF14+BF16))</f>
        <v>96.804519999999997</v>
      </c>
      <c r="BG23" s="50">
        <f>IF(BG17=1,_xlfn.IFNA(VLOOKUP(BG4,'10a'!$A:$B,2,FALSE),MAX(BG20,BG21)),IF(BG4&lt;948,BG12,BG14+BG16))</f>
        <v>48</v>
      </c>
      <c r="BH23" s="50">
        <f>IF(BH17=1,_xlfn.IFNA(VLOOKUP(BH4,'10a'!$A:$B,2,FALSE),MAX(BH20,BH21)),IF(BH4&lt;948,BH12,BH14+BH16))</f>
        <v>-2.8</v>
      </c>
      <c r="BI23" s="50">
        <f>IF(BI17=1,_xlfn.IFNA(VLOOKUP(BI4,'10a'!$A:$B,2,FALSE),MAX(BI20,BI21)),IF(BI4&lt;948,BI12,BI14+BI16))</f>
        <v>-2.8</v>
      </c>
      <c r="BJ23" s="50">
        <f>IF(BJ17=1,_xlfn.IFNA(VLOOKUP(BJ4,'10a'!$A:$B,2,FALSE),MAX(BJ20,BJ21)),IF(BJ4&lt;948,BJ12,BJ14+BJ16))</f>
        <v>-2.8</v>
      </c>
      <c r="BK23" s="50">
        <f>IF(BK17=1,_xlfn.IFNA(VLOOKUP(BK4,'10a'!$A:$B,2,FALSE),MAX(BK20,BK21)),IF(BK4&lt;948,BK12,BK14+BK16))</f>
        <v>-2.8</v>
      </c>
    </row>
    <row r="26" spans="3:63" x14ac:dyDescent="0.25">
      <c r="C26" t="s">
        <v>1165</v>
      </c>
      <c r="D26" s="7">
        <f>MIN('[1]10a'!A:A)</f>
        <v>1620</v>
      </c>
    </row>
    <row r="27" spans="3:63" x14ac:dyDescent="0.25">
      <c r="C27" t="s">
        <v>1166</v>
      </c>
      <c r="D27" s="7">
        <f>MAX('[1]10a'!A:A)</f>
        <v>1998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F067-0CB6-41EB-8715-2AD71F9BF047}">
  <dimension ref="A1:BG55"/>
  <sheetViews>
    <sheetView workbookViewId="0">
      <selection activeCell="D18" sqref="D18:D19"/>
    </sheetView>
  </sheetViews>
  <sheetFormatPr defaultRowHeight="15" x14ac:dyDescent="0.25"/>
  <cols>
    <col min="1" max="1" width="5.7109375" style="7" bestFit="1" customWidth="1"/>
    <col min="2" max="2" width="4" style="7" bestFit="1" customWidth="1"/>
    <col min="3" max="3" width="60.28515625" bestFit="1" customWidth="1"/>
    <col min="4" max="4" width="7.5703125" bestFit="1" customWidth="1"/>
    <col min="5" max="5" width="12.42578125" bestFit="1" customWidth="1"/>
    <col min="6" max="7" width="11.5703125" bestFit="1" customWidth="1"/>
    <col min="8" max="8" width="10.5703125" bestFit="1" customWidth="1"/>
    <col min="9" max="9" width="11.5703125" bestFit="1" customWidth="1"/>
    <col min="10" max="11" width="10.5703125" bestFit="1" customWidth="1"/>
    <col min="12" max="15" width="11.5703125" bestFit="1" customWidth="1"/>
    <col min="16" max="16" width="10.5703125" bestFit="1" customWidth="1"/>
    <col min="17" max="17" width="11.5703125" bestFit="1" customWidth="1"/>
    <col min="18" max="18" width="10.5703125" bestFit="1" customWidth="1"/>
    <col min="19" max="27" width="11.5703125" bestFit="1" customWidth="1"/>
    <col min="28" max="59" width="10.5703125" bestFit="1" customWidth="1"/>
  </cols>
  <sheetData>
    <row r="1" spans="1:59" ht="15.75" x14ac:dyDescent="0.25">
      <c r="A1" s="338" t="s">
        <v>700</v>
      </c>
      <c r="B1" s="338"/>
      <c r="C1" s="338"/>
      <c r="D1" s="338"/>
    </row>
    <row r="2" spans="1:59" x14ac:dyDescent="0.25">
      <c r="A2" s="7" t="s">
        <v>287</v>
      </c>
      <c r="B2" s="7" t="s">
        <v>91</v>
      </c>
      <c r="C2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C3">
        <v>47</v>
      </c>
      <c r="D3" s="7" t="s">
        <v>701</v>
      </c>
      <c r="E3" s="229">
        <f>'47MoonPos'!E74</f>
        <v>326.60967264206727</v>
      </c>
      <c r="F3" s="229">
        <f>'47MoonPos'!F74</f>
        <v>239.16740141444279</v>
      </c>
      <c r="G3" s="229">
        <f>'47MoonPos'!G74</f>
        <v>223.31484313801616</v>
      </c>
      <c r="H3" s="229">
        <f>'47MoonPos'!H74</f>
        <v>84.954410339894935</v>
      </c>
      <c r="I3" s="229">
        <f>'47MoonPos'!I74</f>
        <v>270.17655529964469</v>
      </c>
      <c r="J3" s="229">
        <f>'47MoonPos'!J74</f>
        <v>10.538673272236043</v>
      </c>
      <c r="K3" s="229">
        <f>'47MoonPos'!K74</f>
        <v>49.341813022701551</v>
      </c>
      <c r="L3" s="229">
        <f>'47MoonPos'!L74</f>
        <v>146.51468115290044</v>
      </c>
      <c r="M3" s="229">
        <f>'47MoonPos'!M74</f>
        <v>272.41727608895445</v>
      </c>
      <c r="N3" s="229">
        <f>'47MoonPos'!N74</f>
        <v>104.77121925079707</v>
      </c>
      <c r="O3" s="229">
        <f>'47MoonPos'!O74</f>
        <v>229.69173964258948</v>
      </c>
      <c r="P3" s="229">
        <f>'47MoonPos'!P74</f>
        <v>40.596408278579595</v>
      </c>
      <c r="Q3" s="229">
        <f>'47MoonPos'!Q74</f>
        <v>346.83337294181649</v>
      </c>
      <c r="R3" s="229">
        <f>'47MoonPos'!R74</f>
        <v>-1.1646929306665572</v>
      </c>
      <c r="S3" s="229">
        <f>'47MoonPos'!S74</f>
        <v>181.74555272911306</v>
      </c>
      <c r="T3" s="229">
        <f>'47MoonPos'!T74</f>
        <v>204.99575494740861</v>
      </c>
      <c r="U3" s="229">
        <f>'47MoonPos'!U74</f>
        <v>156.39363399662244</v>
      </c>
      <c r="V3" s="229">
        <f>'47MoonPos'!V74</f>
        <v>117.30411740530674</v>
      </c>
      <c r="W3" s="229">
        <f>'47MoonPos'!W74</f>
        <v>150.26893638713057</v>
      </c>
      <c r="X3" s="229">
        <f>'47MoonPos'!X74</f>
        <v>133.1672625555054</v>
      </c>
      <c r="Y3" s="229">
        <f>'47MoonPos'!Y74</f>
        <v>286.23013101134359</v>
      </c>
      <c r="Z3" s="229">
        <f>'47MoonPos'!Z74</f>
        <v>286.70487596639623</v>
      </c>
      <c r="AA3" s="229">
        <f>'47MoonPos'!AA74</f>
        <v>217.28444726617184</v>
      </c>
      <c r="AB3" s="229">
        <f>'47MoonPos'!AB74</f>
        <v>90.831682061303979</v>
      </c>
      <c r="AC3" s="229">
        <f>'47MoonPos'!AC74</f>
        <v>41.229184373771716</v>
      </c>
      <c r="AD3" s="229">
        <f>'47MoonPos'!AD74</f>
        <v>100.40437339850675</v>
      </c>
      <c r="AE3" s="229">
        <f>'47MoonPos'!AE74</f>
        <v>329.37298672921543</v>
      </c>
      <c r="AF3" s="229">
        <f>'47MoonPos'!AF74</f>
        <v>219.46955441130601</v>
      </c>
      <c r="AG3" s="229">
        <f>'47MoonPos'!AG74</f>
        <v>34.294651123965366</v>
      </c>
      <c r="AH3" s="229">
        <f>'47MoonPos'!AH74</f>
        <v>162.88402268242601</v>
      </c>
      <c r="AI3" s="229">
        <f>'47MoonPos'!AI74</f>
        <v>345.99776055718331</v>
      </c>
      <c r="AJ3" s="229">
        <f>'47MoonPos'!AJ74</f>
        <v>149.99203755537764</v>
      </c>
      <c r="AK3" s="229">
        <f>'47MoonPos'!AK74</f>
        <v>198.80657079008418</v>
      </c>
      <c r="AL3" s="229">
        <f>'47MoonPos'!AL74</f>
        <v>188.16585358007742</v>
      </c>
      <c r="AM3" s="229">
        <f>'47MoonPos'!AM74</f>
        <v>137.00861646960379</v>
      </c>
      <c r="AN3" s="229">
        <f>'47MoonPos'!AN74</f>
        <v>32.64786750329322</v>
      </c>
      <c r="AO3" s="229">
        <f>'47MoonPos'!AO74</f>
        <v>160.40752177592231</v>
      </c>
      <c r="AP3" s="229">
        <f>'47MoonPos'!AP74</f>
        <v>178.47348772267927</v>
      </c>
      <c r="AQ3" s="229">
        <f>'47MoonPos'!AQ74</f>
        <v>274.46179641737223</v>
      </c>
      <c r="AR3" s="229">
        <f>'47MoonPos'!AR74</f>
        <v>11.996737559650928</v>
      </c>
      <c r="AS3" s="229">
        <f>'47MoonPos'!AS74</f>
        <v>109.85209133449776</v>
      </c>
      <c r="AT3" s="229">
        <f>'47MoonPos'!AT74</f>
        <v>304.89583987843713</v>
      </c>
      <c r="AU3" s="229">
        <f>'47MoonPos'!AU74</f>
        <v>67.647368857429228</v>
      </c>
      <c r="AV3" s="229">
        <f>'47MoonPos'!AV74</f>
        <v>147.79608493749282</v>
      </c>
      <c r="AW3" s="229">
        <f>'47MoonPos'!AW74</f>
        <v>280.63629961923675</v>
      </c>
      <c r="AX3" s="229">
        <f>'47MoonPos'!AX74</f>
        <v>211.32642965959243</v>
      </c>
      <c r="AY3" s="229">
        <f>'47MoonPos'!AY74</f>
        <v>343.75793652100202</v>
      </c>
      <c r="AZ3" s="229">
        <f>'47MoonPos'!AZ74</f>
        <v>357.36919880940928</v>
      </c>
      <c r="BA3" s="229">
        <f>'47MoonPos'!BA74</f>
        <v>10.690253538332538</v>
      </c>
      <c r="BB3" s="229">
        <f>'47MoonPos'!BB74</f>
        <v>23.747973664232415</v>
      </c>
      <c r="BC3" s="229">
        <f>'47MoonPos'!BC74</f>
        <v>36.572772492542406</v>
      </c>
      <c r="BD3" s="229">
        <f>'47MoonPos'!BD74</f>
        <v>49.193502912500165</v>
      </c>
      <c r="BE3" s="229">
        <f>'47MoonPos'!BE74</f>
        <v>61.635085090383726</v>
      </c>
      <c r="BF3" s="229">
        <f>'47MoonPos'!BF74</f>
        <v>73.918648678471556</v>
      </c>
      <c r="BG3" s="229">
        <f>'47MoonPos'!BG74</f>
        <v>327.35755923709297</v>
      </c>
    </row>
    <row r="4" spans="1:59" x14ac:dyDescent="0.25">
      <c r="B4" s="7">
        <v>343</v>
      </c>
      <c r="C4">
        <v>22</v>
      </c>
      <c r="D4" s="7" t="s">
        <v>346</v>
      </c>
      <c r="E4" s="229">
        <f>'22Nutation'!E43</f>
        <v>23.443043119473113</v>
      </c>
      <c r="F4" s="229">
        <f>'22Nutation'!F43</f>
        <v>23.655717030923601</v>
      </c>
      <c r="G4" s="229">
        <f>'22Nutation'!G43</f>
        <v>23.437687247318291</v>
      </c>
      <c r="H4" s="229">
        <f>'22Nutation'!H43</f>
        <v>23.437158333391135</v>
      </c>
      <c r="I4" s="229">
        <f>'22Nutation'!I43</f>
        <v>23.443337644201826</v>
      </c>
      <c r="J4" s="229">
        <f>'22Nutation'!J43</f>
        <v>23.443308308838667</v>
      </c>
      <c r="K4" s="229">
        <f>'22Nutation'!K43</f>
        <v>23.443315172361388</v>
      </c>
      <c r="L4" s="229">
        <f>'22Nutation'!L43</f>
        <v>23.443126572341065</v>
      </c>
      <c r="M4" s="229">
        <f>'22Nutation'!M43</f>
        <v>23.45165761740795</v>
      </c>
      <c r="N4" s="229">
        <f>'22Nutation'!N43</f>
        <v>23.49244046236787</v>
      </c>
      <c r="O4" s="229">
        <f>'22Nutation'!O43</f>
        <v>23.491541691654835</v>
      </c>
      <c r="P4" s="229">
        <f>'22Nutation'!P43</f>
        <v>23.590811213098522</v>
      </c>
      <c r="Q4" s="229">
        <f>'22Nutation'!Q43</f>
        <v>23.708655145231432</v>
      </c>
      <c r="R4" s="229">
        <f>'22Nutation'!R43</f>
        <v>23.708662142657886</v>
      </c>
      <c r="S4" s="229">
        <f>'22Nutation'!S43</f>
        <v>23.812899068141359</v>
      </c>
      <c r="T4" s="229">
        <f>'22Nutation'!T43</f>
        <v>23.813188782024959</v>
      </c>
      <c r="U4" s="229">
        <f>'22Nutation'!U43</f>
        <v>23.813268661988246</v>
      </c>
      <c r="V4" s="229">
        <f>'22Nutation'!V43</f>
        <v>24.161474221642671</v>
      </c>
      <c r="W4" s="229">
        <f>'22Nutation'!W43</f>
        <v>23.443569413074961</v>
      </c>
      <c r="X4" s="229">
        <f>'22Nutation'!X43</f>
        <v>23.440635013964791</v>
      </c>
      <c r="Y4" s="229">
        <f>'22Nutation'!Y43</f>
        <v>23.440026762552865</v>
      </c>
      <c r="Z4" s="229">
        <f>'22Nutation'!Z43</f>
        <v>23.43591441649545</v>
      </c>
      <c r="AA4" s="229">
        <f>'22Nutation'!AA43</f>
        <v>23.437690141391833</v>
      </c>
      <c r="AB4" s="229">
        <f>'22Nutation'!AB43</f>
        <v>23.445717858790978</v>
      </c>
      <c r="AC4" s="229">
        <f>'22Nutation'!AC43</f>
        <v>23.43944105464222</v>
      </c>
      <c r="AD4" s="229">
        <f>'22Nutation'!AD43</f>
        <v>23.443353796383867</v>
      </c>
      <c r="AE4" s="229">
        <f>'22Nutation'!AE43</f>
        <v>23.440069236114311</v>
      </c>
      <c r="AF4" s="229">
        <f>'22Nutation'!AF43</f>
        <v>23.439668707560312</v>
      </c>
      <c r="AG4" s="229">
        <f>'22Nutation'!AG43</f>
        <v>23.440144328354034</v>
      </c>
      <c r="AH4" s="229">
        <f>'22Nutation'!AH43</f>
        <v>23.441725592332503</v>
      </c>
      <c r="AI4" s="229">
        <f>'22Nutation'!AI43</f>
        <v>23.440720169380132</v>
      </c>
      <c r="AJ4" s="229">
        <f>'22Nutation'!AJ43</f>
        <v>23.43952478757906</v>
      </c>
      <c r="AK4" s="229">
        <f>'22Nutation'!AK43</f>
        <v>23.464635053498736</v>
      </c>
      <c r="AL4" s="229">
        <f>'22Nutation'!AL43</f>
        <v>23.44214134975962</v>
      </c>
      <c r="AM4" s="229">
        <f>'22Nutation'!AM43</f>
        <v>23.615440758222871</v>
      </c>
      <c r="AN4" s="229">
        <f>'22Nutation'!AN43</f>
        <v>23.438139860602295</v>
      </c>
      <c r="AO4" s="229">
        <f>'22Nutation'!AO43</f>
        <v>23.694977970087983</v>
      </c>
      <c r="AP4" s="229">
        <f>'22Nutation'!AP43</f>
        <v>23.438318064424823</v>
      </c>
      <c r="AQ4" s="229">
        <f>'22Nutation'!AQ43</f>
        <v>23.438255471534546</v>
      </c>
      <c r="AR4" s="229">
        <f>'22Nutation'!AR43</f>
        <v>23.438313915068321</v>
      </c>
      <c r="AS4" s="229">
        <f>'22Nutation'!AS43</f>
        <v>23.438239250597245</v>
      </c>
      <c r="AT4" s="229">
        <f>'22Nutation'!AT43</f>
        <v>23.438195562079979</v>
      </c>
      <c r="AU4" s="229">
        <f>'22Nutation'!AU43</f>
        <v>23.443036350590067</v>
      </c>
      <c r="AV4" s="229">
        <f>'22Nutation'!AV43</f>
        <v>23.437178550742651</v>
      </c>
      <c r="AW4" s="229">
        <f>'22Nutation'!AW43</f>
        <v>23.448937361252447</v>
      </c>
      <c r="AX4" s="229">
        <f>'22Nutation'!AX43</f>
        <v>23.443362294195751</v>
      </c>
      <c r="AY4" s="229">
        <f>'22Nutation'!AY43</f>
        <v>23.438120178554648</v>
      </c>
      <c r="AZ4" s="229">
        <f>'22Nutation'!AZ43</f>
        <v>23.438124485965716</v>
      </c>
      <c r="BA4" s="229">
        <f>'22Nutation'!BA43</f>
        <v>23.438121872273811</v>
      </c>
      <c r="BB4" s="229">
        <f>'22Nutation'!BB43</f>
        <v>23.438112991814261</v>
      </c>
      <c r="BC4" s="229">
        <f>'22Nutation'!BC43</f>
        <v>23.438099685238441</v>
      </c>
      <c r="BD4" s="229">
        <f>'22Nutation'!BD43</f>
        <v>23.438084437844793</v>
      </c>
      <c r="BE4" s="229">
        <f>'22Nutation'!BE43</f>
        <v>23.438069837320658</v>
      </c>
      <c r="BF4" s="229">
        <f>'22Nutation'!BF43</f>
        <v>23.438058122225598</v>
      </c>
      <c r="BG4" s="229">
        <f>'22Nutation'!BG43</f>
        <v>23.440067370916868</v>
      </c>
    </row>
    <row r="5" spans="1:59" x14ac:dyDescent="0.25">
      <c r="C5">
        <v>47</v>
      </c>
      <c r="D5" s="7" t="s">
        <v>717</v>
      </c>
      <c r="E5" s="229">
        <f>'47MoonPos'!E66</f>
        <v>5.0152988725682075</v>
      </c>
      <c r="F5" s="229">
        <f>'47MoonPos'!F66</f>
        <v>-5.2561556599668542</v>
      </c>
      <c r="G5" s="229">
        <f>'47MoonPos'!G66</f>
        <v>5.1713808559877306</v>
      </c>
      <c r="H5" s="229">
        <f>'47MoonPos'!H66</f>
        <v>-4.3606851238325586</v>
      </c>
      <c r="I5" s="229">
        <f>'47MoonPos'!I66</f>
        <v>-4.8913529510156124</v>
      </c>
      <c r="J5" s="229">
        <f>'47MoonPos'!J66</f>
        <v>0.21374030169495151</v>
      </c>
      <c r="K5" s="229">
        <f>'47MoonPos'!K66</f>
        <v>4.2111944217517649</v>
      </c>
      <c r="L5" s="229">
        <f>'47MoonPos'!L66</f>
        <v>1.7961809312660444</v>
      </c>
      <c r="M5" s="229">
        <f>'47MoonPos'!M66</f>
        <v>1.1084714917040712</v>
      </c>
      <c r="N5" s="229">
        <f>'47MoonPos'!N66</f>
        <v>1.4167630657767896</v>
      </c>
      <c r="O5" s="229">
        <f>'47MoonPos'!O66</f>
        <v>-4.1861989692901789</v>
      </c>
      <c r="P5" s="229">
        <f>'47MoonPos'!P66</f>
        <v>4.7771042381611544</v>
      </c>
      <c r="Q5" s="229">
        <f>'47MoonPos'!Q66</f>
        <v>-3.4108800192407176</v>
      </c>
      <c r="R5" s="229">
        <f>'47MoonPos'!R66</f>
        <v>-4.1659733181194474</v>
      </c>
      <c r="S5" s="229">
        <f>'47MoonPos'!S66</f>
        <v>0.17467624521521272</v>
      </c>
      <c r="T5" s="229">
        <f>'47MoonPos'!T66</f>
        <v>1.7349396590472825</v>
      </c>
      <c r="U5" s="229">
        <f>'47MoonPos'!U66</f>
        <v>-3.2581024937155236</v>
      </c>
      <c r="V5" s="229">
        <f>'47MoonPos'!V66</f>
        <v>4.1391831368729548</v>
      </c>
      <c r="W5" s="229">
        <f>'47MoonPos'!W66</f>
        <v>3.4857532529171582</v>
      </c>
      <c r="X5" s="229">
        <f>'47MoonPos'!X66</f>
        <v>-3.2289993449833134</v>
      </c>
      <c r="Y5" s="229">
        <f>'47MoonPos'!Y66</f>
        <v>4.9964440723642216</v>
      </c>
      <c r="Z5" s="229">
        <f>'47MoonPos'!Z66</f>
        <v>-4.5880906823519227</v>
      </c>
      <c r="AA5" s="229">
        <f>'47MoonPos'!AA66</f>
        <v>5.2318303102243799</v>
      </c>
      <c r="AB5" s="229">
        <f>'47MoonPos'!AB66</f>
        <v>1.2714429387792177</v>
      </c>
      <c r="AC5" s="229">
        <f>'47MoonPos'!AC66</f>
        <v>-3.653009912465214</v>
      </c>
      <c r="AD5" s="229">
        <f>'47MoonPos'!AD66</f>
        <v>4.9268279794055845</v>
      </c>
      <c r="AE5" s="229">
        <f>'47MoonPos'!AE66</f>
        <v>4.2397825680505346</v>
      </c>
      <c r="AF5" s="229">
        <f>'47MoonPos'!AF66</f>
        <v>-3.5453673824690504</v>
      </c>
      <c r="AG5" s="229">
        <f>'47MoonPos'!AG66</f>
        <v>3.8243191266290903</v>
      </c>
      <c r="AH5" s="229">
        <f>'47MoonPos'!AH66</f>
        <v>-3.6807648101889394</v>
      </c>
      <c r="AI5" s="229">
        <f>'47MoonPos'!AI66</f>
        <v>4.7440781676071522</v>
      </c>
      <c r="AJ5" s="229">
        <f>'47MoonPos'!AJ66</f>
        <v>-5.0801838648735105</v>
      </c>
      <c r="AK5" s="229">
        <f>'47MoonPos'!AK66</f>
        <v>2.3883933271147426</v>
      </c>
      <c r="AL5" s="229">
        <f>'47MoonPos'!AL66</f>
        <v>-4.5056436258044963</v>
      </c>
      <c r="AM5" s="229">
        <f>'47MoonPos'!AM66</f>
        <v>0.9821666477825467</v>
      </c>
      <c r="AN5" s="229">
        <f>'47MoonPos'!AN66</f>
        <v>-5.0169964202752908</v>
      </c>
      <c r="AO5" s="229">
        <f>'47MoonPos'!AO66</f>
        <v>-5.0147790038385134</v>
      </c>
      <c r="AP5" s="229">
        <f>'47MoonPos'!AP66</f>
        <v>3.6767444487022445</v>
      </c>
      <c r="AQ5" s="229">
        <f>'47MoonPos'!AQ66</f>
        <v>-4.0236081814530609</v>
      </c>
      <c r="AR5" s="229">
        <f>'47MoonPos'!AR66</f>
        <v>-2.7323015521435332</v>
      </c>
      <c r="AS5" s="229">
        <f>'47MoonPos'!AS66</f>
        <v>4.8150604541075168</v>
      </c>
      <c r="AT5" s="229">
        <f>'47MoonPos'!AT66</f>
        <v>-5.2244857160265026</v>
      </c>
      <c r="AU5" s="229">
        <f>'47MoonPos'!AU66</f>
        <v>2.6346267165058199</v>
      </c>
      <c r="AV5" s="229">
        <f>'47MoonPos'!AV66</f>
        <v>-1.9777676255265724</v>
      </c>
      <c r="AW5" s="229">
        <f>'47MoonPos'!AW66</f>
        <v>-1.849291297998239</v>
      </c>
      <c r="AX5" s="229">
        <f>'47MoonPos'!AX66</f>
        <v>-1.6568234535405888</v>
      </c>
      <c r="AY5" s="229">
        <f>'47MoonPos'!AY66</f>
        <v>-4.5118404873533278</v>
      </c>
      <c r="AZ5" s="229">
        <f>'47MoonPos'!AZ66</f>
        <v>-3.7597037551083026</v>
      </c>
      <c r="BA5" s="229">
        <f>'47MoonPos'!BA66</f>
        <v>-2.8183710115681921</v>
      </c>
      <c r="BB5" s="229">
        <f>'47MoonPos'!BB66</f>
        <v>-1.7477225552335223</v>
      </c>
      <c r="BC5" s="229">
        <f>'47MoonPos'!BC66</f>
        <v>-0.60821780548910431</v>
      </c>
      <c r="BD5" s="229">
        <f>'47MoonPos'!BD66</f>
        <v>0.54159288640556846</v>
      </c>
      <c r="BE5" s="229">
        <f>'47MoonPos'!BE66</f>
        <v>1.6471239243703371</v>
      </c>
      <c r="BF5" s="229">
        <f>'47MoonPos'!BF66</f>
        <v>2.6595130355326457</v>
      </c>
      <c r="BG5" s="229">
        <f>'47MoonPos'!BG66</f>
        <v>4.3357317513616103</v>
      </c>
    </row>
    <row r="6" spans="1:59" x14ac:dyDescent="0.25">
      <c r="D6" s="225"/>
      <c r="E6" s="38"/>
    </row>
    <row r="7" spans="1:59" x14ac:dyDescent="0.25">
      <c r="A7" s="7">
        <v>13.3</v>
      </c>
      <c r="B7" s="7">
        <v>93</v>
      </c>
      <c r="C7" t="s">
        <v>196</v>
      </c>
      <c r="D7" s="237" t="s">
        <v>281</v>
      </c>
      <c r="E7" s="237">
        <f t="shared" ref="E7:AJ7" si="0">(ATAN2((COS(E3*Deg2Rad)), (SIN(E3*Deg2Rad) * COS(E4*Deg2Rad) - TAN(E5*Deg2Rad) * SIN(E4*Deg2Rad))))*Rad2Deg</f>
        <v>-32.884440823446667</v>
      </c>
      <c r="F7" s="237">
        <f t="shared" si="0"/>
        <v>-124.3618050158738</v>
      </c>
      <c r="G7" s="237">
        <f t="shared" si="0"/>
        <v>-137.55627488549146</v>
      </c>
      <c r="H7" s="237">
        <f t="shared" si="0"/>
        <v>84.678888544074837</v>
      </c>
      <c r="I7" s="237">
        <f t="shared" si="0"/>
        <v>-89.800142966644898</v>
      </c>
      <c r="J7" s="237">
        <f t="shared" si="0"/>
        <v>9.6018795865886144</v>
      </c>
      <c r="K7" s="237">
        <f t="shared" si="0"/>
        <v>45.658496257626503</v>
      </c>
      <c r="L7" s="237">
        <f t="shared" si="0"/>
        <v>149.37643165566527</v>
      </c>
      <c r="M7" s="237">
        <f t="shared" si="0"/>
        <v>-87.387281755454723</v>
      </c>
      <c r="N7" s="237">
        <f t="shared" si="0"/>
        <v>106.21109235118109</v>
      </c>
      <c r="O7" s="237">
        <f t="shared" si="0"/>
        <v>-133.98667148534923</v>
      </c>
      <c r="P7" s="237">
        <f t="shared" si="0"/>
        <v>36.550537190593957</v>
      </c>
      <c r="Q7" s="237">
        <f t="shared" si="0"/>
        <v>-10.734626917202812</v>
      </c>
      <c r="R7" s="237">
        <f t="shared" si="0"/>
        <v>0.61182018990294862</v>
      </c>
      <c r="S7" s="237">
        <f t="shared" si="0"/>
        <v>-178.33246628853377</v>
      </c>
      <c r="T7" s="237">
        <f t="shared" si="0"/>
        <v>-156.24953135569945</v>
      </c>
      <c r="U7" s="237">
        <f t="shared" si="0"/>
        <v>156.97938270224694</v>
      </c>
      <c r="V7" s="237">
        <f t="shared" si="0"/>
        <v>120.42364681052496</v>
      </c>
      <c r="W7" s="237">
        <f t="shared" si="0"/>
        <v>153.61595153619675</v>
      </c>
      <c r="X7" s="214">
        <f t="shared" si="0"/>
        <v>134.68850352593375</v>
      </c>
      <c r="Y7" s="237">
        <f t="shared" si="0"/>
        <v>-73.026233126464902</v>
      </c>
      <c r="Z7" s="237">
        <f t="shared" si="0"/>
        <v>-71.251878435567562</v>
      </c>
      <c r="AA7" s="237">
        <f t="shared" si="0"/>
        <v>-143.3387723147126</v>
      </c>
      <c r="AB7" s="237">
        <f t="shared" si="0"/>
        <v>90.915325172713224</v>
      </c>
      <c r="AC7" s="237">
        <f t="shared" si="0"/>
        <v>39.955839204597019</v>
      </c>
      <c r="AD7" s="237">
        <f t="shared" si="0"/>
        <v>101.75218674688479</v>
      </c>
      <c r="AE7" s="237">
        <f t="shared" si="0"/>
        <v>-30.004215367715023</v>
      </c>
      <c r="AF7" s="237">
        <f t="shared" si="0"/>
        <v>-144.11173099495053</v>
      </c>
      <c r="AG7" s="237">
        <f t="shared" si="0"/>
        <v>30.691159721370664</v>
      </c>
      <c r="AH7" s="237">
        <f t="shared" si="0"/>
        <v>162.81281294959356</v>
      </c>
      <c r="AI7" s="237">
        <f t="shared" si="0"/>
        <v>-14.725123447023297</v>
      </c>
      <c r="AJ7" s="237">
        <f t="shared" si="0"/>
        <v>150.28600171415681</v>
      </c>
      <c r="AK7" s="237">
        <f t="shared" ref="AK7:BG7" si="1">(ATAN2((COS(AK3*Deg2Rad)), (SIN(AK3*Deg2Rad) * COS(AK4*Deg2Rad) - TAN(AK5*Deg2Rad) * SIN(AK4*Deg2Rad))))*Rad2Deg</f>
        <v>-161.7402870307404</v>
      </c>
      <c r="AL7" s="237">
        <f t="shared" si="1"/>
        <v>-174.29051937771285</v>
      </c>
      <c r="AM7" s="237">
        <f t="shared" si="1"/>
        <v>139.80971996687757</v>
      </c>
      <c r="AN7" s="237">
        <f t="shared" si="1"/>
        <v>32.182638120656499</v>
      </c>
      <c r="AO7" s="237">
        <f t="shared" si="1"/>
        <v>160.03086200548685</v>
      </c>
      <c r="AP7" s="237">
        <f t="shared" si="1"/>
        <v>-179.93589109973755</v>
      </c>
      <c r="AQ7" s="237">
        <f t="shared" si="1"/>
        <v>-84.986178958305345</v>
      </c>
      <c r="AR7" s="237">
        <f t="shared" si="1"/>
        <v>12.099386769793449</v>
      </c>
      <c r="AS7" s="237">
        <f t="shared" si="1"/>
        <v>112.26494236994778</v>
      </c>
      <c r="AT7" s="237">
        <f t="shared" si="1"/>
        <v>-51.380831064148111</v>
      </c>
      <c r="AU7" s="237">
        <f t="shared" si="1"/>
        <v>65.38830921862818</v>
      </c>
      <c r="AV7" s="237">
        <f t="shared" si="1"/>
        <v>149.28552602728317</v>
      </c>
      <c r="AW7" s="237">
        <f t="shared" si="1"/>
        <v>-78.26838611048241</v>
      </c>
      <c r="AX7" s="237">
        <f t="shared" si="1"/>
        <v>-151.41275436742586</v>
      </c>
      <c r="AY7" s="237">
        <f t="shared" si="1"/>
        <v>-13.202524869996836</v>
      </c>
      <c r="AZ7" s="237">
        <f t="shared" si="1"/>
        <v>-0.9161696030564046</v>
      </c>
      <c r="BA7" s="237">
        <f t="shared" si="1"/>
        <v>10.930803055533122</v>
      </c>
      <c r="BB7" s="237">
        <f t="shared" si="1"/>
        <v>22.632532708257486</v>
      </c>
      <c r="BC7" s="237">
        <f t="shared" si="1"/>
        <v>34.448953229962129</v>
      </c>
      <c r="BD7" s="237">
        <f t="shared" si="1"/>
        <v>46.585265530615729</v>
      </c>
      <c r="BE7" s="237">
        <f t="shared" si="1"/>
        <v>59.166299098984247</v>
      </c>
      <c r="BF7" s="237">
        <f t="shared" si="1"/>
        <v>72.206812562684561</v>
      </c>
      <c r="BG7" s="237">
        <f t="shared" si="1"/>
        <v>-31.944586297889145</v>
      </c>
    </row>
    <row r="8" spans="1:59" x14ac:dyDescent="0.25">
      <c r="E8" s="7" t="s">
        <v>765</v>
      </c>
      <c r="F8">
        <f t="shared" ref="F8:U8" si="2">INT(F7/15)</f>
        <v>-9</v>
      </c>
      <c r="G8">
        <f t="shared" si="2"/>
        <v>-10</v>
      </c>
      <c r="H8">
        <f t="shared" si="2"/>
        <v>5</v>
      </c>
      <c r="I8">
        <f t="shared" si="2"/>
        <v>-6</v>
      </c>
      <c r="J8">
        <f t="shared" si="2"/>
        <v>0</v>
      </c>
      <c r="K8">
        <f t="shared" si="2"/>
        <v>3</v>
      </c>
      <c r="L8">
        <f t="shared" si="2"/>
        <v>9</v>
      </c>
      <c r="M8">
        <f t="shared" si="2"/>
        <v>-6</v>
      </c>
      <c r="N8">
        <f t="shared" si="2"/>
        <v>7</v>
      </c>
      <c r="O8">
        <f t="shared" si="2"/>
        <v>-9</v>
      </c>
      <c r="P8">
        <f t="shared" si="2"/>
        <v>2</v>
      </c>
      <c r="Q8">
        <f t="shared" si="2"/>
        <v>-1</v>
      </c>
      <c r="R8">
        <f t="shared" si="2"/>
        <v>0</v>
      </c>
      <c r="S8">
        <f t="shared" si="2"/>
        <v>-12</v>
      </c>
      <c r="T8">
        <f t="shared" si="2"/>
        <v>-11</v>
      </c>
      <c r="U8">
        <f t="shared" si="2"/>
        <v>10</v>
      </c>
      <c r="V8">
        <f>INT(V7/15)</f>
        <v>8</v>
      </c>
      <c r="W8" s="142" t="s">
        <v>764</v>
      </c>
      <c r="X8">
        <f>INT(X7/15)</f>
        <v>8</v>
      </c>
      <c r="Y8" s="142">
        <v>8</v>
      </c>
      <c r="Z8" s="7" t="s">
        <v>765</v>
      </c>
    </row>
    <row r="9" spans="1:59" x14ac:dyDescent="0.25">
      <c r="E9" s="7" t="s">
        <v>167</v>
      </c>
      <c r="F9">
        <f t="shared" ref="F9:U9" si="3">INT((F7/15-INT(F7/15))*60)</f>
        <v>42</v>
      </c>
      <c r="G9">
        <f t="shared" si="3"/>
        <v>49</v>
      </c>
      <c r="H9">
        <f t="shared" si="3"/>
        <v>38</v>
      </c>
      <c r="I9">
        <f t="shared" si="3"/>
        <v>0</v>
      </c>
      <c r="J9">
        <f t="shared" si="3"/>
        <v>38</v>
      </c>
      <c r="K9">
        <f t="shared" si="3"/>
        <v>2</v>
      </c>
      <c r="L9">
        <f t="shared" si="3"/>
        <v>57</v>
      </c>
      <c r="M9">
        <f t="shared" si="3"/>
        <v>10</v>
      </c>
      <c r="N9">
        <f t="shared" si="3"/>
        <v>4</v>
      </c>
      <c r="O9">
        <f t="shared" si="3"/>
        <v>4</v>
      </c>
      <c r="P9">
        <f t="shared" si="3"/>
        <v>26</v>
      </c>
      <c r="Q9">
        <f t="shared" si="3"/>
        <v>17</v>
      </c>
      <c r="R9">
        <f t="shared" si="3"/>
        <v>2</v>
      </c>
      <c r="S9">
        <f t="shared" si="3"/>
        <v>6</v>
      </c>
      <c r="T9">
        <f t="shared" si="3"/>
        <v>35</v>
      </c>
      <c r="U9">
        <f t="shared" si="3"/>
        <v>27</v>
      </c>
      <c r="V9">
        <f>INT((V7/15-INT(V7/15))*60)</f>
        <v>1</v>
      </c>
      <c r="W9" s="142"/>
      <c r="X9">
        <f>INT((X7/15-INT(X7/15))*60)</f>
        <v>58</v>
      </c>
      <c r="Y9" s="142">
        <v>58</v>
      </c>
      <c r="Z9" s="7" t="s">
        <v>167</v>
      </c>
    </row>
    <row r="10" spans="1:59" x14ac:dyDescent="0.25">
      <c r="C10" t="s">
        <v>706</v>
      </c>
      <c r="E10" s="7" t="s">
        <v>295</v>
      </c>
      <c r="F10" s="9">
        <f t="shared" ref="F10:U10" si="4">(((F7/15-INT(F7/15))*60) - INT((F7/15-INT(F7/15))*60))*60</f>
        <v>33.166796190286192</v>
      </c>
      <c r="G10" s="9">
        <f t="shared" si="4"/>
        <v>46.494027482046221</v>
      </c>
      <c r="H10" s="9">
        <f t="shared" si="4"/>
        <v>42.933250577960962</v>
      </c>
      <c r="I10" s="9">
        <f t="shared" si="4"/>
        <v>47.965688005222873</v>
      </c>
      <c r="J10" s="9">
        <f t="shared" si="4"/>
        <v>24.451100781267456</v>
      </c>
      <c r="K10" s="9">
        <f t="shared" si="4"/>
        <v>38.039101830359918</v>
      </c>
      <c r="L10" s="9">
        <f t="shared" si="4"/>
        <v>30.343597359667314</v>
      </c>
      <c r="M10" s="9">
        <f t="shared" si="4"/>
        <v>27.052378690865098</v>
      </c>
      <c r="N10" s="9">
        <f t="shared" si="4"/>
        <v>50.662164283462943</v>
      </c>
      <c r="O10" s="9">
        <f t="shared" si="4"/>
        <v>3.1988435161834161</v>
      </c>
      <c r="P10" s="9">
        <f t="shared" si="4"/>
        <v>12.128925742550081</v>
      </c>
      <c r="Q10" s="9">
        <f t="shared" si="4"/>
        <v>3.689539871324925</v>
      </c>
      <c r="R10" s="9">
        <f t="shared" si="4"/>
        <v>26.836845576707667</v>
      </c>
      <c r="S10" s="9">
        <f t="shared" si="4"/>
        <v>40.208090751898737</v>
      </c>
      <c r="T10" s="9">
        <f t="shared" si="4"/>
        <v>0.11247463213166498</v>
      </c>
      <c r="U10" s="9">
        <f t="shared" si="4"/>
        <v>55.051848539263233</v>
      </c>
      <c r="V10" s="9">
        <f>(((V7/15-INT(V7/15))*60) - INT((V7/15-INT(V7/15))*60))*60</f>
        <v>41.675234525988856</v>
      </c>
      <c r="W10" s="142"/>
      <c r="X10" s="9">
        <f>(((X7/15-INT(X7/15))*60) - INT((X7/15-INT(X7/15))*60))*60</f>
        <v>45.240846224101432</v>
      </c>
      <c r="Y10" s="142">
        <v>45.2</v>
      </c>
      <c r="Z10" s="7" t="s">
        <v>295</v>
      </c>
    </row>
    <row r="11" spans="1:59" x14ac:dyDescent="0.25">
      <c r="D11" s="225"/>
      <c r="E11" s="38"/>
    </row>
    <row r="12" spans="1:59" x14ac:dyDescent="0.25">
      <c r="A12" s="7">
        <v>13.4</v>
      </c>
      <c r="B12" s="7">
        <v>93</v>
      </c>
      <c r="C12" t="s">
        <v>581</v>
      </c>
      <c r="D12" s="237" t="s">
        <v>348</v>
      </c>
      <c r="E12" s="237">
        <f t="shared" ref="E12:AJ12" si="5">ASIN(SIN(E5*Deg2Rad) * COS(E4*Deg2Rad) + COS(E5*Deg2Rad) * SIN(E4*Deg2Rad) * SIN(E3*Deg2Rad))*Rad2Deg</f>
        <v>-7.9264508755744298</v>
      </c>
      <c r="F12" s="237">
        <f t="shared" si="5"/>
        <v>-25.276965526261527</v>
      </c>
      <c r="G12" s="237">
        <f t="shared" si="5"/>
        <v>-10.897419183103345</v>
      </c>
      <c r="H12" s="237">
        <f t="shared" si="5"/>
        <v>18.983331939717392</v>
      </c>
      <c r="I12" s="237">
        <f t="shared" si="5"/>
        <v>-28.334568089077017</v>
      </c>
      <c r="J12" s="237">
        <f t="shared" si="5"/>
        <v>4.3694215073708786</v>
      </c>
      <c r="K12" s="237">
        <f t="shared" si="5"/>
        <v>21.614709435758236</v>
      </c>
      <c r="L12" s="237">
        <f t="shared" si="5"/>
        <v>14.367817737268341</v>
      </c>
      <c r="M12" s="237">
        <f t="shared" si="5"/>
        <v>-22.321254530294112</v>
      </c>
      <c r="N12" s="237">
        <f t="shared" si="5"/>
        <v>24.079981926991021</v>
      </c>
      <c r="O12" s="237">
        <f t="shared" si="5"/>
        <v>-21.722383247760924</v>
      </c>
      <c r="P12" s="237">
        <f t="shared" si="5"/>
        <v>19.623454731641072</v>
      </c>
      <c r="Q12" s="237">
        <f t="shared" si="5"/>
        <v>-8.3894586878008823</v>
      </c>
      <c r="R12" s="237">
        <f t="shared" si="5"/>
        <v>-4.2820351628684126</v>
      </c>
      <c r="S12" s="237">
        <f t="shared" si="5"/>
        <v>-0.54485945657357127</v>
      </c>
      <c r="T12" s="237">
        <f t="shared" si="5"/>
        <v>-8.2116966061230823</v>
      </c>
      <c r="U12" s="237">
        <f t="shared" si="5"/>
        <v>6.2823478885031694</v>
      </c>
      <c r="V12" s="237">
        <f t="shared" si="5"/>
        <v>25.37961606894762</v>
      </c>
      <c r="W12" s="237">
        <f t="shared" si="5"/>
        <v>14.638515478538457</v>
      </c>
      <c r="X12" s="237">
        <f t="shared" si="5"/>
        <v>13.768489183654491</v>
      </c>
      <c r="Y12" s="237">
        <f t="shared" si="5"/>
        <v>-17.492311109873427</v>
      </c>
      <c r="Z12" s="237">
        <f t="shared" si="5"/>
        <v>-26.943428761863931</v>
      </c>
      <c r="AA12" s="237">
        <f t="shared" si="5"/>
        <v>-8.9910820052464633</v>
      </c>
      <c r="AB12" s="237">
        <f t="shared" si="5"/>
        <v>24.714517621728071</v>
      </c>
      <c r="AC12" s="237">
        <f t="shared" si="5"/>
        <v>11.722785013016239</v>
      </c>
      <c r="AD12" s="237">
        <f t="shared" si="5"/>
        <v>27.946640848118044</v>
      </c>
      <c r="AE12" s="237">
        <f t="shared" si="5"/>
        <v>-7.7163267224344025</v>
      </c>
      <c r="AF12" s="237">
        <f t="shared" si="5"/>
        <v>-18.005605510795402</v>
      </c>
      <c r="AG12" s="237">
        <f t="shared" si="5"/>
        <v>16.548627313306259</v>
      </c>
      <c r="AH12" s="237">
        <f t="shared" si="5"/>
        <v>3.3215620932845775</v>
      </c>
      <c r="AI12" s="237">
        <f t="shared" si="5"/>
        <v>-1.1484075203363013</v>
      </c>
      <c r="AJ12" s="237">
        <f t="shared" si="5"/>
        <v>6.7140413879652723</v>
      </c>
      <c r="AK12" s="237">
        <f t="shared" ref="AK12:BG12" si="6">ASIN(SIN(AK5*Deg2Rad) * COS(AK4*Deg2Rad) + COS(AK5*Deg2Rad) * SIN(AK4*Deg2Rad) * SIN(AK3*Deg2Rad))*Rad2Deg</f>
        <v>-5.1650622242557054</v>
      </c>
      <c r="AL12" s="237">
        <f t="shared" si="6"/>
        <v>-7.3774382663922289</v>
      </c>
      <c r="AM12" s="237">
        <f t="shared" si="6"/>
        <v>16.787761683181049</v>
      </c>
      <c r="AN12" s="237">
        <f t="shared" si="6"/>
        <v>7.6732149307423825</v>
      </c>
      <c r="AO12" s="237">
        <f t="shared" si="6"/>
        <v>3.1068356094323266</v>
      </c>
      <c r="AP12" s="237">
        <f t="shared" si="6"/>
        <v>3.980123930038487</v>
      </c>
      <c r="AQ12" s="237">
        <f t="shared" si="6"/>
        <v>-27.384245133557311</v>
      </c>
      <c r="AR12" s="237">
        <f t="shared" si="6"/>
        <v>2.2263184358951804</v>
      </c>
      <c r="AS12" s="237">
        <f t="shared" si="6"/>
        <v>26.731871848808527</v>
      </c>
      <c r="AT12" s="237">
        <f t="shared" si="6"/>
        <v>-24.10621068535815</v>
      </c>
      <c r="AU12" s="237">
        <f t="shared" si="6"/>
        <v>24.187715291825235</v>
      </c>
      <c r="AV12" s="237">
        <f t="shared" si="6"/>
        <v>10.380263922752588</v>
      </c>
      <c r="AW12" s="237">
        <f t="shared" si="6"/>
        <v>-24.865934759646802</v>
      </c>
      <c r="AX12" s="237">
        <f t="shared" si="6"/>
        <v>-13.490453816442308</v>
      </c>
      <c r="AY12" s="237">
        <f t="shared" si="6"/>
        <v>-10.549280213232207</v>
      </c>
      <c r="AZ12" s="237">
        <f t="shared" si="6"/>
        <v>-4.4954316280187872</v>
      </c>
      <c r="BA12" s="237">
        <f t="shared" si="6"/>
        <v>1.6378348846126063</v>
      </c>
      <c r="BB12" s="237">
        <f t="shared" si="6"/>
        <v>7.5924692201143573</v>
      </c>
      <c r="BC12" s="237">
        <f t="shared" si="6"/>
        <v>13.135150170393679</v>
      </c>
      <c r="BD12" s="237">
        <f t="shared" si="6"/>
        <v>18.04297851643188</v>
      </c>
      <c r="BE12" s="237">
        <f t="shared" si="6"/>
        <v>22.100367836704763</v>
      </c>
      <c r="BF12" s="237">
        <f t="shared" si="6"/>
        <v>25.109740369613952</v>
      </c>
      <c r="BG12" s="237">
        <f t="shared" si="6"/>
        <v>-8.3135234046900823</v>
      </c>
    </row>
    <row r="13" spans="1:59" x14ac:dyDescent="0.25">
      <c r="E13" s="7" t="s">
        <v>674</v>
      </c>
      <c r="F13">
        <f t="shared" ref="F13:U13" si="7">_xlfn.FLOOR.MATH(F12)</f>
        <v>-26</v>
      </c>
      <c r="G13">
        <f t="shared" si="7"/>
        <v>-11</v>
      </c>
      <c r="H13">
        <f t="shared" si="7"/>
        <v>18</v>
      </c>
      <c r="I13">
        <f t="shared" si="7"/>
        <v>-29</v>
      </c>
      <c r="J13">
        <f t="shared" si="7"/>
        <v>4</v>
      </c>
      <c r="K13">
        <f t="shared" si="7"/>
        <v>21</v>
      </c>
      <c r="L13">
        <f t="shared" si="7"/>
        <v>14</v>
      </c>
      <c r="M13">
        <f t="shared" si="7"/>
        <v>-23</v>
      </c>
      <c r="N13">
        <f t="shared" si="7"/>
        <v>24</v>
      </c>
      <c r="O13">
        <f t="shared" si="7"/>
        <v>-22</v>
      </c>
      <c r="P13">
        <f t="shared" si="7"/>
        <v>19</v>
      </c>
      <c r="Q13">
        <f t="shared" si="7"/>
        <v>-9</v>
      </c>
      <c r="R13">
        <f t="shared" si="7"/>
        <v>-5</v>
      </c>
      <c r="S13">
        <f t="shared" si="7"/>
        <v>-1</v>
      </c>
      <c r="T13">
        <f t="shared" si="7"/>
        <v>-9</v>
      </c>
      <c r="U13">
        <f t="shared" si="7"/>
        <v>6</v>
      </c>
      <c r="V13">
        <f>_xlfn.FLOOR.MATH(V12)</f>
        <v>25</v>
      </c>
      <c r="W13" s="142" t="s">
        <v>763</v>
      </c>
      <c r="X13" s="8">
        <f>_xlfn.FLOOR.MATH(X12)</f>
        <v>13</v>
      </c>
      <c r="Y13" s="142">
        <v>13</v>
      </c>
      <c r="Z13" s="7" t="s">
        <v>674</v>
      </c>
    </row>
    <row r="14" spans="1:59" x14ac:dyDescent="0.25">
      <c r="E14" s="232" t="s">
        <v>675</v>
      </c>
      <c r="F14">
        <f t="shared" ref="F14:U14" si="8">_xlfn.FLOOR.MATH((F12-F13)*60)</f>
        <v>43</v>
      </c>
      <c r="G14">
        <f t="shared" si="8"/>
        <v>6</v>
      </c>
      <c r="H14">
        <f t="shared" si="8"/>
        <v>58</v>
      </c>
      <c r="I14">
        <f t="shared" si="8"/>
        <v>39</v>
      </c>
      <c r="J14">
        <f t="shared" si="8"/>
        <v>22</v>
      </c>
      <c r="K14">
        <f t="shared" si="8"/>
        <v>36</v>
      </c>
      <c r="L14">
        <f t="shared" si="8"/>
        <v>22</v>
      </c>
      <c r="M14">
        <f t="shared" si="8"/>
        <v>40</v>
      </c>
      <c r="N14">
        <f t="shared" si="8"/>
        <v>4</v>
      </c>
      <c r="O14">
        <f t="shared" si="8"/>
        <v>16</v>
      </c>
      <c r="P14">
        <f t="shared" si="8"/>
        <v>37</v>
      </c>
      <c r="Q14">
        <f t="shared" si="8"/>
        <v>36</v>
      </c>
      <c r="R14">
        <f t="shared" si="8"/>
        <v>43</v>
      </c>
      <c r="S14">
        <f t="shared" si="8"/>
        <v>27</v>
      </c>
      <c r="T14">
        <f t="shared" si="8"/>
        <v>47</v>
      </c>
      <c r="U14">
        <f t="shared" si="8"/>
        <v>16</v>
      </c>
      <c r="V14">
        <f>_xlfn.FLOOR.MATH((V12-V13)*60)</f>
        <v>22</v>
      </c>
      <c r="X14" s="8">
        <f>_xlfn.FLOOR.MATH((X12-X13)*60)</f>
        <v>46</v>
      </c>
      <c r="Y14" s="142">
        <v>46</v>
      </c>
      <c r="Z14" s="232" t="s">
        <v>675</v>
      </c>
    </row>
    <row r="15" spans="1:59" x14ac:dyDescent="0.25">
      <c r="E15" s="7" t="s">
        <v>676</v>
      </c>
      <c r="F15" s="9">
        <f t="shared" ref="F15:U15" si="9">((F12-F13)*60-F14)*60</f>
        <v>22.924105458501458</v>
      </c>
      <c r="G15" s="9">
        <f t="shared" si="9"/>
        <v>9.29094082795757</v>
      </c>
      <c r="H15" s="9">
        <f t="shared" si="9"/>
        <v>59.994982982609883</v>
      </c>
      <c r="I15" s="9">
        <f t="shared" si="9"/>
        <v>55.554879322739339</v>
      </c>
      <c r="J15" s="9">
        <f t="shared" si="9"/>
        <v>9.9174265351631163</v>
      </c>
      <c r="K15" s="9">
        <f t="shared" si="9"/>
        <v>52.953968729650001</v>
      </c>
      <c r="L15" s="9">
        <f t="shared" si="9"/>
        <v>4.1438541660279782</v>
      </c>
      <c r="M15" s="9">
        <f t="shared" si="9"/>
        <v>43.483690941195619</v>
      </c>
      <c r="N15" s="9">
        <f t="shared" si="9"/>
        <v>47.934937167675287</v>
      </c>
      <c r="O15" s="9">
        <f t="shared" si="9"/>
        <v>39.420308060675211</v>
      </c>
      <c r="P15" s="9">
        <f t="shared" si="9"/>
        <v>24.437033907858847</v>
      </c>
      <c r="Q15" s="9">
        <f t="shared" si="9"/>
        <v>37.94872391682361</v>
      </c>
      <c r="R15" s="9">
        <f t="shared" si="9"/>
        <v>4.673413673714748</v>
      </c>
      <c r="S15" s="9">
        <f t="shared" si="9"/>
        <v>18.505956335143523</v>
      </c>
      <c r="T15" s="9">
        <f t="shared" si="9"/>
        <v>17.892217956903806</v>
      </c>
      <c r="U15" s="9">
        <f t="shared" si="9"/>
        <v>56.452398611409791</v>
      </c>
      <c r="V15" s="9">
        <f>((V12-V13)*60-V14)*60</f>
        <v>46.617848211430442</v>
      </c>
      <c r="X15" s="12">
        <f>((X12-X13)*60-X14)*60</f>
        <v>6.5610611561689325</v>
      </c>
      <c r="Y15" s="142">
        <v>6</v>
      </c>
      <c r="Z15" s="7" t="s">
        <v>676</v>
      </c>
    </row>
    <row r="16" spans="1:59" x14ac:dyDescent="0.25">
      <c r="D16" s="225"/>
      <c r="E16" s="38"/>
    </row>
    <row r="18" spans="1:19" x14ac:dyDescent="0.25">
      <c r="C18" t="s">
        <v>735</v>
      </c>
      <c r="G18" t="s">
        <v>707</v>
      </c>
      <c r="H18" s="340" t="s">
        <v>709</v>
      </c>
      <c r="I18" s="340"/>
      <c r="J18" s="340"/>
      <c r="K18" s="340"/>
      <c r="L18" s="340"/>
      <c r="M18" s="340"/>
      <c r="N18" s="340"/>
      <c r="O18" s="340"/>
      <c r="P18" s="340"/>
    </row>
    <row r="19" spans="1:19" x14ac:dyDescent="0.25">
      <c r="C19" t="s">
        <v>736</v>
      </c>
      <c r="G19" t="s">
        <v>708</v>
      </c>
      <c r="H19" s="340" t="s">
        <v>710</v>
      </c>
      <c r="I19" s="340"/>
      <c r="J19" s="340"/>
      <c r="K19" s="340"/>
      <c r="L19" s="340"/>
      <c r="M19" s="340"/>
      <c r="N19" s="340"/>
      <c r="O19" s="340"/>
      <c r="P19" s="340"/>
    </row>
    <row r="20" spans="1:19" x14ac:dyDescent="0.25">
      <c r="C20" t="s">
        <v>737</v>
      </c>
      <c r="G20" t="s">
        <v>711</v>
      </c>
      <c r="H20" s="340" t="s">
        <v>714</v>
      </c>
      <c r="I20" s="340"/>
      <c r="J20" s="340"/>
      <c r="K20" s="340"/>
      <c r="L20" s="340"/>
      <c r="M20" s="340"/>
      <c r="N20" s="340"/>
      <c r="O20" s="340"/>
      <c r="P20" s="340"/>
    </row>
    <row r="21" spans="1:19" x14ac:dyDescent="0.25">
      <c r="C21" t="s">
        <v>738</v>
      </c>
      <c r="G21" t="s">
        <v>712</v>
      </c>
      <c r="H21" s="340" t="s">
        <v>713</v>
      </c>
      <c r="I21" s="340"/>
      <c r="J21" s="340"/>
      <c r="K21" s="340"/>
      <c r="L21" s="340"/>
      <c r="M21" s="340"/>
      <c r="N21" s="340"/>
      <c r="O21" s="340"/>
      <c r="P21" s="340"/>
    </row>
    <row r="22" spans="1:19" x14ac:dyDescent="0.25">
      <c r="B22" s="7">
        <v>92</v>
      </c>
      <c r="C22" t="s">
        <v>739</v>
      </c>
      <c r="F22" t="s">
        <v>715</v>
      </c>
      <c r="G22" t="s">
        <v>701</v>
      </c>
      <c r="H22" s="340" t="s">
        <v>702</v>
      </c>
      <c r="I22" s="340"/>
      <c r="J22" s="340"/>
      <c r="K22" s="340"/>
      <c r="L22" s="340"/>
      <c r="M22" s="340"/>
      <c r="N22" s="340"/>
      <c r="O22" s="340"/>
      <c r="P22" s="340"/>
    </row>
    <row r="23" spans="1:19" x14ac:dyDescent="0.25">
      <c r="B23" s="7">
        <v>92</v>
      </c>
      <c r="C23" t="s">
        <v>740</v>
      </c>
      <c r="F23" t="s">
        <v>716</v>
      </c>
      <c r="G23" t="s">
        <v>717</v>
      </c>
      <c r="H23" s="340" t="s">
        <v>718</v>
      </c>
      <c r="I23" s="340"/>
      <c r="J23" s="340"/>
      <c r="K23" s="340"/>
      <c r="L23" s="340"/>
      <c r="M23" s="340"/>
      <c r="N23" s="340"/>
      <c r="O23" s="340"/>
      <c r="P23" s="340"/>
    </row>
    <row r="24" spans="1:19" x14ac:dyDescent="0.25">
      <c r="G24" t="s">
        <v>720</v>
      </c>
      <c r="H24" s="340" t="s">
        <v>719</v>
      </c>
      <c r="I24" s="340"/>
      <c r="J24" s="340"/>
      <c r="K24" s="340"/>
      <c r="L24" s="340"/>
      <c r="M24" s="340"/>
      <c r="N24" s="340"/>
      <c r="O24" s="340"/>
      <c r="P24" s="340"/>
    </row>
    <row r="25" spans="1:19" x14ac:dyDescent="0.25">
      <c r="C25" t="s">
        <v>704</v>
      </c>
      <c r="G25" t="s">
        <v>721</v>
      </c>
      <c r="H25" s="340" t="s">
        <v>722</v>
      </c>
      <c r="I25" s="340"/>
      <c r="J25" s="340"/>
      <c r="K25" s="340"/>
      <c r="L25" s="340"/>
      <c r="M25" s="340"/>
      <c r="N25" s="340"/>
      <c r="O25" s="340"/>
      <c r="P25" s="340"/>
    </row>
    <row r="26" spans="1:19" x14ac:dyDescent="0.25">
      <c r="A26" s="7">
        <v>13.1</v>
      </c>
      <c r="B26" s="7">
        <v>93</v>
      </c>
      <c r="C26" t="s">
        <v>703</v>
      </c>
      <c r="D26" t="s">
        <v>701</v>
      </c>
      <c r="G26" t="s">
        <v>724</v>
      </c>
      <c r="H26" s="340" t="s">
        <v>725</v>
      </c>
      <c r="I26" s="340"/>
      <c r="J26" s="340"/>
      <c r="K26" s="340"/>
      <c r="L26" s="340"/>
      <c r="M26" s="340"/>
      <c r="N26" s="340"/>
      <c r="O26" s="340"/>
      <c r="P26" s="340"/>
    </row>
    <row r="27" spans="1:19" x14ac:dyDescent="0.25">
      <c r="G27" t="s">
        <v>110</v>
      </c>
      <c r="H27" s="340" t="s">
        <v>726</v>
      </c>
      <c r="I27" s="340"/>
      <c r="J27" s="340"/>
      <c r="K27" s="340"/>
      <c r="L27" s="340"/>
      <c r="M27" s="340"/>
      <c r="N27" s="340"/>
      <c r="O27" s="340"/>
      <c r="P27" s="340"/>
    </row>
    <row r="28" spans="1:19" x14ac:dyDescent="0.25">
      <c r="A28" s="7">
        <v>13.2</v>
      </c>
      <c r="B28" s="7">
        <v>93</v>
      </c>
      <c r="C28" t="s">
        <v>741</v>
      </c>
      <c r="D28" t="s">
        <v>717</v>
      </c>
      <c r="F28" t="s">
        <v>728</v>
      </c>
      <c r="G28" t="s">
        <v>346</v>
      </c>
      <c r="H28" s="340" t="s">
        <v>727</v>
      </c>
      <c r="I28" s="340"/>
      <c r="J28" s="340"/>
      <c r="K28" s="340"/>
      <c r="L28" s="340"/>
      <c r="M28" s="340"/>
      <c r="N28" s="340"/>
      <c r="O28" s="340"/>
      <c r="P28" s="340"/>
    </row>
    <row r="29" spans="1:19" x14ac:dyDescent="0.25">
      <c r="G29" t="s">
        <v>729</v>
      </c>
      <c r="H29" s="340" t="s">
        <v>730</v>
      </c>
      <c r="I29" s="340"/>
      <c r="J29" s="340"/>
      <c r="K29" s="340"/>
      <c r="L29" s="340"/>
      <c r="M29" s="340"/>
      <c r="N29" s="340"/>
      <c r="O29" s="340"/>
      <c r="P29" s="340"/>
    </row>
    <row r="30" spans="1:19" x14ac:dyDescent="0.25">
      <c r="C30" t="s">
        <v>705</v>
      </c>
      <c r="F30" t="s">
        <v>731</v>
      </c>
      <c r="G30" t="s">
        <v>732</v>
      </c>
      <c r="H30" s="340" t="s">
        <v>733</v>
      </c>
      <c r="I30" s="340"/>
      <c r="J30" s="340"/>
      <c r="K30" s="340"/>
      <c r="L30" s="340"/>
      <c r="M30" s="340"/>
      <c r="N30" s="340"/>
      <c r="O30" s="340"/>
      <c r="P30" s="340"/>
    </row>
    <row r="31" spans="1:19" x14ac:dyDescent="0.25">
      <c r="C31" t="s">
        <v>742</v>
      </c>
      <c r="G31" t="s">
        <v>723</v>
      </c>
      <c r="H31" s="340" t="s">
        <v>734</v>
      </c>
      <c r="I31" s="340"/>
      <c r="J31" s="340"/>
      <c r="K31" s="340"/>
      <c r="L31" s="340"/>
      <c r="M31" s="340"/>
      <c r="N31" s="340"/>
      <c r="O31" s="340"/>
      <c r="P31" s="340"/>
      <c r="Q31" s="15"/>
      <c r="S31" s="7"/>
    </row>
    <row r="33" spans="1:24" x14ac:dyDescent="0.25">
      <c r="C33" t="s">
        <v>743</v>
      </c>
    </row>
    <row r="34" spans="1:24" x14ac:dyDescent="0.25">
      <c r="A34" s="7">
        <v>13.5</v>
      </c>
      <c r="B34" s="7">
        <v>93</v>
      </c>
      <c r="C34" t="s">
        <v>744</v>
      </c>
      <c r="D34" t="s">
        <v>110</v>
      </c>
    </row>
    <row r="35" spans="1:24" x14ac:dyDescent="0.25">
      <c r="X35" s="35"/>
    </row>
    <row r="36" spans="1:24" x14ac:dyDescent="0.25">
      <c r="A36" s="7">
        <v>13.6</v>
      </c>
      <c r="B36" s="7">
        <v>93</v>
      </c>
      <c r="C36" t="s">
        <v>745</v>
      </c>
      <c r="D36" t="s">
        <v>724</v>
      </c>
    </row>
    <row r="38" spans="1:24" x14ac:dyDescent="0.25">
      <c r="C38" t="s">
        <v>746</v>
      </c>
    </row>
    <row r="40" spans="1:24" x14ac:dyDescent="0.25">
      <c r="C40" t="s">
        <v>747</v>
      </c>
    </row>
    <row r="41" spans="1:24" x14ac:dyDescent="0.25">
      <c r="B41" s="7">
        <v>94</v>
      </c>
      <c r="C41" t="s">
        <v>748</v>
      </c>
      <c r="D41" t="s">
        <v>723</v>
      </c>
    </row>
    <row r="43" spans="1:24" x14ac:dyDescent="0.25">
      <c r="B43" s="7">
        <v>94</v>
      </c>
      <c r="C43" t="s">
        <v>749</v>
      </c>
      <c r="D43" t="s">
        <v>348</v>
      </c>
      <c r="F43" t="s">
        <v>651</v>
      </c>
      <c r="G43" t="s">
        <v>650</v>
      </c>
    </row>
    <row r="44" spans="1:24" x14ac:dyDescent="0.25">
      <c r="E44">
        <v>192.25</v>
      </c>
      <c r="F44">
        <v>12</v>
      </c>
      <c r="G44">
        <v>49</v>
      </c>
    </row>
    <row r="45" spans="1:24" x14ac:dyDescent="0.25">
      <c r="C45" t="s">
        <v>750</v>
      </c>
      <c r="E45">
        <v>27.4</v>
      </c>
    </row>
    <row r="46" spans="1:24" x14ac:dyDescent="0.25">
      <c r="C46" t="s">
        <v>707</v>
      </c>
      <c r="D46" t="s">
        <v>751</v>
      </c>
    </row>
    <row r="47" spans="1:24" x14ac:dyDescent="0.25">
      <c r="C47" t="s">
        <v>708</v>
      </c>
      <c r="D47" t="s">
        <v>752</v>
      </c>
    </row>
    <row r="49" spans="1:3" x14ac:dyDescent="0.25">
      <c r="A49" s="7">
        <v>13.7</v>
      </c>
      <c r="B49" s="7">
        <v>94</v>
      </c>
      <c r="C49" t="s">
        <v>755</v>
      </c>
    </row>
    <row r="50" spans="1:3" x14ac:dyDescent="0.25">
      <c r="C50" t="s">
        <v>753</v>
      </c>
    </row>
    <row r="51" spans="1:3" x14ac:dyDescent="0.25">
      <c r="C51" t="s">
        <v>754</v>
      </c>
    </row>
    <row r="53" spans="1:3" x14ac:dyDescent="0.25">
      <c r="C53" t="s">
        <v>756</v>
      </c>
    </row>
    <row r="54" spans="1:3" x14ac:dyDescent="0.25">
      <c r="C54" t="s">
        <v>757</v>
      </c>
    </row>
    <row r="55" spans="1:3" x14ac:dyDescent="0.25">
      <c r="C55" t="s">
        <v>758</v>
      </c>
    </row>
  </sheetData>
  <mergeCells count="15">
    <mergeCell ref="H27:P27"/>
    <mergeCell ref="H28:P28"/>
    <mergeCell ref="H29:P29"/>
    <mergeCell ref="H30:P30"/>
    <mergeCell ref="H31:P31"/>
    <mergeCell ref="H26:P26"/>
    <mergeCell ref="A1:D1"/>
    <mergeCell ref="H18:P18"/>
    <mergeCell ref="H19:P19"/>
    <mergeCell ref="H20:P20"/>
    <mergeCell ref="H21:P21"/>
    <mergeCell ref="H22:P22"/>
    <mergeCell ref="H23:P23"/>
    <mergeCell ref="H24:P24"/>
    <mergeCell ref="H25:P2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1079A-16F8-4C0F-AF31-12B36536DA54}">
  <dimension ref="A1:BG46"/>
  <sheetViews>
    <sheetView workbookViewId="0">
      <selection activeCell="C17" sqref="C17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60.5703125" bestFit="1" customWidth="1"/>
    <col min="4" max="4" width="6.140625" style="7" bestFit="1" customWidth="1"/>
    <col min="5" max="5" width="14.140625" bestFit="1" customWidth="1"/>
    <col min="6" max="6" width="14.42578125" customWidth="1"/>
    <col min="7" max="7" width="12.5703125" customWidth="1"/>
    <col min="8" max="15" width="13.42578125" customWidth="1"/>
    <col min="16" max="22" width="14.42578125" customWidth="1"/>
    <col min="23" max="23" width="16.7109375" bestFit="1" customWidth="1"/>
    <col min="24" max="59" width="14.42578125" bestFit="1" customWidth="1"/>
  </cols>
  <sheetData>
    <row r="1" spans="1:59" ht="15.75" x14ac:dyDescent="0.25">
      <c r="A1" s="338" t="s">
        <v>331</v>
      </c>
      <c r="B1" s="338"/>
      <c r="C1" s="338"/>
      <c r="D1" s="338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52" t="s">
        <v>291</v>
      </c>
      <c r="D3" s="53" t="s">
        <v>298</v>
      </c>
      <c r="E3" s="63">
        <f>Examples!E4</f>
        <v>2436116.31</v>
      </c>
      <c r="F3" s="63">
        <f>Examples!F4</f>
        <v>1842713</v>
      </c>
      <c r="G3" s="63">
        <f>Examples!G4</f>
        <v>2451545</v>
      </c>
      <c r="H3" s="63">
        <f>Examples!H4</f>
        <v>2451179.5</v>
      </c>
      <c r="I3" s="63">
        <f>Examples!I4</f>
        <v>2446822.5</v>
      </c>
      <c r="J3" s="63">
        <f>Examples!J4</f>
        <v>2446966</v>
      </c>
      <c r="K3" s="63">
        <f>Examples!K4</f>
        <v>2447187.5</v>
      </c>
      <c r="L3" s="63">
        <f>Examples!L4</f>
        <v>2447332</v>
      </c>
      <c r="M3" s="63">
        <f>Examples!M4</f>
        <v>2415020.500011574</v>
      </c>
      <c r="N3" s="63">
        <f>Examples!N4</f>
        <v>2305447.5</v>
      </c>
      <c r="O3" s="63">
        <f>Examples!O4</f>
        <v>2305812.5</v>
      </c>
      <c r="P3" s="63">
        <f>Examples!P4</f>
        <v>2026871.8</v>
      </c>
      <c r="Q3" s="63">
        <f>Examples!Q4</f>
        <v>1676496.5</v>
      </c>
      <c r="R3" s="63">
        <f>Examples!R4</f>
        <v>1676497.5</v>
      </c>
      <c r="S3" s="63">
        <f>Examples!S4</f>
        <v>1356001</v>
      </c>
      <c r="T3" s="63">
        <f>Examples!T4</f>
        <v>1355866.5</v>
      </c>
      <c r="U3" s="63">
        <f>Examples!U4</f>
        <v>1355671.4</v>
      </c>
      <c r="V3" s="63">
        <f>Examples!V4</f>
        <v>0</v>
      </c>
      <c r="W3" s="189">
        <f>Examples!W4</f>
        <v>2446895.5</v>
      </c>
      <c r="X3" s="63">
        <f>Examples!X4</f>
        <v>2448724.5</v>
      </c>
      <c r="Y3" s="63">
        <f>Examples!Y4</f>
        <v>2443189.5</v>
      </c>
      <c r="Z3" s="63">
        <f>Examples!Z4</f>
        <v>2467615.5</v>
      </c>
      <c r="AA3" s="63">
        <f>Examples!AA4</f>
        <v>2451544.5</v>
      </c>
      <c r="AB3" s="63">
        <f>Examples!AB4</f>
        <v>2434923.5</v>
      </c>
      <c r="AC3" s="63">
        <f>Examples!AC4</f>
        <v>2443826.5</v>
      </c>
      <c r="AD3" s="63">
        <f>Examples!AD4</f>
        <v>2447273.5</v>
      </c>
      <c r="AE3" s="63">
        <f>Examples!AE4</f>
        <v>2443192.6511574076</v>
      </c>
      <c r="AF3" s="63">
        <f>Examples!AF4</f>
        <v>2448976.5</v>
      </c>
      <c r="AG3" s="63">
        <f>Examples!AG4</f>
        <v>2448908.5</v>
      </c>
      <c r="AH3" s="63">
        <f>Examples!AH4</f>
        <v>2448316.5</v>
      </c>
      <c r="AI3" s="63">
        <f>Examples!AI4</f>
        <v>2448713.5</v>
      </c>
      <c r="AJ3" s="63">
        <f>Examples!AJ4</f>
        <v>2449108.5</v>
      </c>
      <c r="AK3" s="63">
        <f>Examples!AK4</f>
        <v>2385070.5</v>
      </c>
      <c r="AL3" s="63">
        <f>Examples!AL4</f>
        <v>2448154.5</v>
      </c>
      <c r="AM3" s="63">
        <f>Examples!AM4</f>
        <v>1948439.5</v>
      </c>
      <c r="AN3" s="63">
        <f>Examples!AN4</f>
        <v>2451640.5</v>
      </c>
      <c r="AO3" s="63">
        <f>Examples!AO4</f>
        <v>1721425.5</v>
      </c>
      <c r="AP3" s="63">
        <f>Examples!AP4</f>
        <v>2459848.0791666666</v>
      </c>
      <c r="AQ3" s="63">
        <f>Examples!AQ4</f>
        <v>2459855.1347222221</v>
      </c>
      <c r="AR3" s="63">
        <f>Examples!AR4</f>
        <v>2459862.0375000001</v>
      </c>
      <c r="AS3" s="63">
        <f>Examples!AS4</f>
        <v>2459869.84375</v>
      </c>
      <c r="AT3" s="63">
        <f>Examples!AT4</f>
        <v>2459884.5</v>
      </c>
      <c r="AU3" s="63">
        <f>Examples!AU4</f>
        <v>2441834.5</v>
      </c>
      <c r="AV3" s="63">
        <f>Examples!AV4</f>
        <v>2450692.5</v>
      </c>
      <c r="AW3" s="63">
        <f>Examples!AW4</f>
        <v>2427807.5</v>
      </c>
      <c r="AX3" s="63">
        <f>Examples!AX4</f>
        <v>2435943.5</v>
      </c>
      <c r="AY3" s="63">
        <f>Examples!AY4</f>
        <v>2459914.5</v>
      </c>
      <c r="AZ3" s="63">
        <f>Examples!AZ4</f>
        <v>2459915.5</v>
      </c>
      <c r="BA3" s="63">
        <f>Examples!BA4</f>
        <v>2459916.5</v>
      </c>
      <c r="BB3" s="63">
        <f>Examples!BB4</f>
        <v>2459917.5</v>
      </c>
      <c r="BC3" s="63">
        <f>Examples!BC4</f>
        <v>2459918.5</v>
      </c>
      <c r="BD3" s="63">
        <f>Examples!BD4</f>
        <v>2459919.5</v>
      </c>
      <c r="BE3" s="63">
        <f>Examples!BE4</f>
        <v>2459920.5</v>
      </c>
      <c r="BF3" s="63">
        <f>Examples!BF4</f>
        <v>2459921.5</v>
      </c>
      <c r="BG3" s="63">
        <f>Examples!BG4</f>
        <v>2443192.5</v>
      </c>
    </row>
    <row r="4" spans="1:59" x14ac:dyDescent="0.25">
      <c r="A4">
        <v>22.1</v>
      </c>
      <c r="B4">
        <v>143</v>
      </c>
      <c r="C4" s="5" t="s">
        <v>653</v>
      </c>
      <c r="D4" s="47"/>
      <c r="E4" s="4"/>
      <c r="F4" s="4"/>
      <c r="G4" s="4"/>
      <c r="H4" s="4"/>
    </row>
    <row r="5" spans="1:59" x14ac:dyDescent="0.25">
      <c r="C5" t="s">
        <v>1026</v>
      </c>
      <c r="D5" s="55" t="s">
        <v>2</v>
      </c>
      <c r="E5" s="62">
        <f>(E3 - Lookups!$N$7) / 36525</f>
        <v>-0.42241451060917029</v>
      </c>
      <c r="F5" s="62">
        <f>(F3 - Lookups!$N$7) / 36525</f>
        <v>-16.668911704312116</v>
      </c>
      <c r="G5" s="62">
        <f>(G3 - Lookups!$N$7) / 36525</f>
        <v>0</v>
      </c>
      <c r="H5" s="62">
        <f>(H3 - Lookups!$N$7) / 36525</f>
        <v>-1.0006844626967831E-2</v>
      </c>
      <c r="I5" s="62">
        <f>(I3 - Lookups!$N$7) / 36525</f>
        <v>-0.12929500342231348</v>
      </c>
      <c r="J5" s="62">
        <f>(J3 - Lookups!$N$7) / 36525</f>
        <v>-0.12536618754277892</v>
      </c>
      <c r="K5" s="62">
        <f>(K3 - Lookups!$N$7) / 36525</f>
        <v>-0.11930184804928132</v>
      </c>
      <c r="L5" s="62">
        <f>(L3 - Lookups!$N$7) / 36525</f>
        <v>-0.11534565366187542</v>
      </c>
      <c r="M5" s="62">
        <f>(M3 - Lookups!$N$7) / 36525</f>
        <v>-0.99998631042918518</v>
      </c>
      <c r="N5" s="62">
        <f>(N3 - Lookups!$N$7) / 36525</f>
        <v>-3.9999315537303217</v>
      </c>
      <c r="O5" s="62">
        <f>(O3 - Lookups!$N$7) / 36525</f>
        <v>-3.9899383983572894</v>
      </c>
      <c r="P5" s="62">
        <f>(P3 - Lookups!$N$7) / 36525</f>
        <v>-11.626918548939081</v>
      </c>
      <c r="Q5" s="62">
        <f>(Q3 - Lookups!$N$7) / 36525</f>
        <v>-21.219671457905545</v>
      </c>
      <c r="R5" s="62">
        <f>(R3 - Lookups!$N$7) / 36525</f>
        <v>-21.219644079397671</v>
      </c>
      <c r="S5" s="62">
        <f>(S3 - Lookups!$N$7) / 36525</f>
        <v>-29.994360027378509</v>
      </c>
      <c r="T5" s="62">
        <f>(T3 - Lookups!$N$7) / 36525</f>
        <v>-29.9980424366872</v>
      </c>
      <c r="U5" s="62">
        <f>(U3 - Lookups!$N$7) / 36525</f>
        <v>-30.003383983572899</v>
      </c>
      <c r="V5" s="62">
        <f>(V3 - Lookups!$N$7) / 36525</f>
        <v>-67.119644079397673</v>
      </c>
      <c r="W5" s="62">
        <f>(W3 - Lookups!$N$7) / 36525</f>
        <v>-0.12729637234770705</v>
      </c>
      <c r="X5" s="62">
        <f>(X3 - Lookups!$N$7) / 36525</f>
        <v>-7.7221081451060922E-2</v>
      </c>
      <c r="Y5" s="62">
        <f>(Y3 - Lookups!$N$7) / 36525</f>
        <v>-0.22876112251882272</v>
      </c>
      <c r="Z5" s="62">
        <f>(Z3 - Lookups!$N$7) / 36525</f>
        <v>0.43998631074606431</v>
      </c>
      <c r="AA5" s="62">
        <f>(AA3 - Lookups!$N$7) / 36525</f>
        <v>-1.3689253935660506E-5</v>
      </c>
      <c r="AB5" s="62">
        <f>(AB3 - Lookups!$N$7) / 36525</f>
        <v>-0.45507186858316223</v>
      </c>
      <c r="AC5" s="62">
        <f>(AC3 - Lookups!$N$7) / 36525</f>
        <v>-0.21132101300479125</v>
      </c>
      <c r="AD5" s="62">
        <f>(AD3 - Lookups!$N$7) / 36525</f>
        <v>-0.1169472963723477</v>
      </c>
      <c r="AE5" s="62">
        <f>(AE3 - Lookups!$N$7) / 36525</f>
        <v>-0.2286748485309362</v>
      </c>
      <c r="AF5" s="62">
        <f>(AF3 - Lookups!$N$7) / 36525</f>
        <v>-7.0321697467488023E-2</v>
      </c>
      <c r="AG5" s="62">
        <f>(AG3 - Lookups!$N$7) / 36525</f>
        <v>-7.2183436002737855E-2</v>
      </c>
      <c r="AH5" s="62">
        <f>(AH3 - Lookups!$N$7) / 36525</f>
        <v>-8.8391512662559887E-2</v>
      </c>
      <c r="AI5" s="62">
        <f>(AI3 - Lookups!$N$7) / 36525</f>
        <v>-7.7522245037645446E-2</v>
      </c>
      <c r="AJ5" s="62">
        <f>(AJ3 - Lookups!$N$7) / 36525</f>
        <v>-6.670773442847365E-2</v>
      </c>
      <c r="AK5" s="62">
        <f>(AK3 - Lookups!$N$7) / 36525</f>
        <v>-1.8199726214921286</v>
      </c>
      <c r="AL5" s="62">
        <f>(AL3 - Lookups!$N$7) / 36525</f>
        <v>-9.2826830937713892E-2</v>
      </c>
      <c r="AM5" s="62">
        <f>(AM3 - Lookups!$N$7) / 36525</f>
        <v>-13.774277891854894</v>
      </c>
      <c r="AN5" s="62">
        <f>(AN3 - Lookups!$N$7) / 36525</f>
        <v>2.6146475017111569E-3</v>
      </c>
      <c r="AO5" s="62">
        <f>(AO3 - Lookups!$N$7) / 36525</f>
        <v>-19.989582477754961</v>
      </c>
      <c r="AP5" s="62">
        <f>(AP3 - Lookups!$N$7) / 36525</f>
        <v>0.22732591832078314</v>
      </c>
      <c r="AQ5" s="62">
        <f>(AQ3 - Lookups!$N$7) / 36525</f>
        <v>0.22751908890409606</v>
      </c>
      <c r="AR5" s="62">
        <f>(AR3 - Lookups!$N$7) / 36525</f>
        <v>0.22770807665982459</v>
      </c>
      <c r="AS5" s="62">
        <f>(AS3 - Lookups!$N$7) / 36525</f>
        <v>0.22792180013689253</v>
      </c>
      <c r="AT5" s="62">
        <f>(AT3 - Lookups!$N$7) / 36525</f>
        <v>0.22832306639288158</v>
      </c>
      <c r="AU5" s="62">
        <f>(AU3 - Lookups!$N$7) / 36525</f>
        <v>-0.26585900068446272</v>
      </c>
      <c r="AV5" s="62">
        <f>(AV3 - Lookups!$N$7) / 36525</f>
        <v>-2.3340177960301165E-2</v>
      </c>
      <c r="AW5" s="62">
        <f>(AW3 - Lookups!$N$7) / 36525</f>
        <v>-0.64989733059548249</v>
      </c>
      <c r="AX5" s="62">
        <f>(AX3 - Lookups!$N$7) / 36525</f>
        <v>-0.42714579055441476</v>
      </c>
      <c r="AY5" s="62">
        <f>(AY3 - Lookups!$N$7) / 36525</f>
        <v>0.22914442162902121</v>
      </c>
      <c r="AZ5" s="62">
        <f>(AZ3 - Lookups!$N$7) / 36525</f>
        <v>0.22917180013689253</v>
      </c>
      <c r="BA5" s="62">
        <f>(BA3 - Lookups!$N$7) / 36525</f>
        <v>0.22919917864476386</v>
      </c>
      <c r="BB5" s="62">
        <f>(BB3 - Lookups!$N$7) / 36525</f>
        <v>0.22922655715263518</v>
      </c>
      <c r="BC5" s="62">
        <f>(BC3 - Lookups!$N$7) / 36525</f>
        <v>0.2292539356605065</v>
      </c>
      <c r="BD5" s="62">
        <f>(BD3 - Lookups!$N$7) / 36525</f>
        <v>0.22928131416837783</v>
      </c>
      <c r="BE5" s="62">
        <f>(BE3 - Lookups!$N$7) / 36525</f>
        <v>0.22930869267624915</v>
      </c>
      <c r="BF5" s="62">
        <f>(BF3 - Lookups!$N$7) / 36525</f>
        <v>0.22933607118412047</v>
      </c>
      <c r="BG5" s="62">
        <f>(BG3 - Lookups!$N$7) / 36525</f>
        <v>-0.22867898699520875</v>
      </c>
    </row>
    <row r="6" spans="1:59" x14ac:dyDescent="0.25">
      <c r="C6" s="6" t="s">
        <v>652</v>
      </c>
      <c r="D6" s="19"/>
      <c r="E6" s="11"/>
      <c r="W6" s="65">
        <v>-0.12729637234800001</v>
      </c>
    </row>
    <row r="7" spans="1:59" x14ac:dyDescent="0.25">
      <c r="B7" s="7">
        <v>144</v>
      </c>
      <c r="C7" s="6" t="s">
        <v>263</v>
      </c>
      <c r="D7" s="19" t="s">
        <v>162</v>
      </c>
      <c r="E7" s="11">
        <f xml:space="preserve"> 297.85036 + 445267.11148 * E5    - 0.0019142 *E5^2 +E5^3 / 189474</f>
        <v>-187789.43896813926</v>
      </c>
      <c r="F7" s="11">
        <f t="shared" ref="F7:AL7" si="0" xml:space="preserve"> 297.85036 + 445267.11148 * F5    - 0.0019142 *F5^2 +F5^3 / 189474</f>
        <v>-7421820.8720436916</v>
      </c>
      <c r="G7" s="11">
        <f t="shared" si="0"/>
        <v>297.85036000000002</v>
      </c>
      <c r="H7" s="11">
        <f t="shared" si="0"/>
        <v>-4157.868442270812</v>
      </c>
      <c r="I7" s="11">
        <f t="shared" si="0"/>
        <v>-57272.962374661714</v>
      </c>
      <c r="J7" s="11">
        <f t="shared" si="0"/>
        <v>-55523.589874528399</v>
      </c>
      <c r="K7" s="11">
        <f t="shared" si="0"/>
        <v>-52823.338942383016</v>
      </c>
      <c r="L7" s="11">
        <f t="shared" si="0"/>
        <v>-51061.775693271557</v>
      </c>
      <c r="M7" s="11">
        <f t="shared" si="0"/>
        <v>-444963.16752377106</v>
      </c>
      <c r="N7" s="11">
        <f t="shared" si="0"/>
        <v>-1780740.1496511206</v>
      </c>
      <c r="O7" s="11">
        <f t="shared" si="0"/>
        <v>-1776290.5260682369</v>
      </c>
      <c r="P7" s="11">
        <f t="shared" si="0"/>
        <v>-5176786.8544064471</v>
      </c>
      <c r="Q7" s="11">
        <f t="shared" si="0"/>
        <v>-9448124.8785989396</v>
      </c>
      <c r="R7" s="11">
        <f t="shared" si="0"/>
        <v>-9448112.6878474038</v>
      </c>
      <c r="S7" s="11">
        <f t="shared" si="0"/>
        <v>-13355206.064273711</v>
      </c>
      <c r="T7" s="11">
        <f t="shared" si="0"/>
        <v>-13356845.720505217</v>
      </c>
      <c r="U7" s="11">
        <f t="shared" si="0"/>
        <v>-13359224.136347469</v>
      </c>
      <c r="V7" s="11">
        <f t="shared" si="0"/>
        <v>-29885882.411875948</v>
      </c>
      <c r="W7" s="79">
        <f t="shared" si="0"/>
        <v>-56383.037688175355</v>
      </c>
      <c r="X7" s="11">
        <f t="shared" si="0"/>
        <v>-34086.157534492697</v>
      </c>
      <c r="Y7" s="11">
        <f t="shared" si="0"/>
        <v>-101561.95398311502</v>
      </c>
      <c r="Z7" s="11">
        <f t="shared" si="0"/>
        <v>196209.28366652524</v>
      </c>
      <c r="AA7" s="11">
        <f t="shared" si="0"/>
        <v>291.7549854417519</v>
      </c>
      <c r="AB7" s="11">
        <f t="shared" si="0"/>
        <v>-202330.68647674064</v>
      </c>
      <c r="AC7" s="11">
        <f t="shared" si="0"/>
        <v>-93796.446781202336</v>
      </c>
      <c r="AD7" s="11">
        <f t="shared" si="0"/>
        <v>-51774.934517299072</v>
      </c>
      <c r="AE7" s="11">
        <f t="shared" si="0"/>
        <v>-101523.53901365731</v>
      </c>
      <c r="AF7" s="11">
        <f t="shared" si="0"/>
        <v>-31014.088755186647</v>
      </c>
      <c r="AG7" s="11">
        <f t="shared" si="0"/>
        <v>-31843.05969561635</v>
      </c>
      <c r="AH7" s="11">
        <f t="shared" si="0"/>
        <v>-39059.983177565293</v>
      </c>
      <c r="AI7" s="11">
        <f t="shared" si="0"/>
        <v>-34220.255774863377</v>
      </c>
      <c r="AJ7" s="11">
        <f t="shared" si="0"/>
        <v>-29404.909870861018</v>
      </c>
      <c r="AK7" s="11">
        <f t="shared" si="0"/>
        <v>-810076.10815670469</v>
      </c>
      <c r="AL7" s="11">
        <f t="shared" si="0"/>
        <v>-41034.884535976707</v>
      </c>
      <c r="AM7" s="11">
        <f t="shared" ref="AM7:BG7" si="1" xml:space="preserve"> 297.85036 + 445267.11148 * AM5    - 0.0019142 *AM5^2 +AM5^3 / 189474</f>
        <v>-6132935.4562445609</v>
      </c>
      <c r="AN7" s="11">
        <f t="shared" si="1"/>
        <v>1462.0669006122389</v>
      </c>
      <c r="AO7" s="11">
        <f t="shared" si="1"/>
        <v>-8900406.606239941</v>
      </c>
      <c r="AP7" s="11">
        <f t="shared" si="1"/>
        <v>101518.60527637528</v>
      </c>
      <c r="AQ7" s="11">
        <f t="shared" si="1"/>
        <v>101604.61778386189</v>
      </c>
      <c r="AR7" s="11">
        <f t="shared" si="1"/>
        <v>101688.76781579568</v>
      </c>
      <c r="AS7" s="11">
        <f t="shared" si="1"/>
        <v>101783.93185089897</v>
      </c>
      <c r="AT7" s="11">
        <f t="shared" si="1"/>
        <v>101962.60251728751</v>
      </c>
      <c r="AU7" s="11">
        <f t="shared" si="1"/>
        <v>-118080.41907112682</v>
      </c>
      <c r="AV7" s="11">
        <f t="shared" si="1"/>
        <v>-10094.763262855313</v>
      </c>
      <c r="AW7" s="11">
        <f t="shared" si="1"/>
        <v>-289080.0576027559</v>
      </c>
      <c r="AX7" s="11">
        <f t="shared" si="1"/>
        <v>-189896.1223306692</v>
      </c>
      <c r="AY7" s="11">
        <f t="shared" si="1"/>
        <v>102328.3249900638</v>
      </c>
      <c r="AZ7" s="11">
        <f t="shared" si="1"/>
        <v>102340.5157391563</v>
      </c>
      <c r="BA7" s="11">
        <f t="shared" si="1"/>
        <v>102352.7064882488</v>
      </c>
      <c r="BB7" s="11">
        <f t="shared" si="1"/>
        <v>102364.89723734128</v>
      </c>
      <c r="BC7" s="11">
        <f t="shared" si="1"/>
        <v>102377.08798643378</v>
      </c>
      <c r="BD7" s="11">
        <f t="shared" si="1"/>
        <v>102389.27873552627</v>
      </c>
      <c r="BE7" s="11">
        <f t="shared" si="1"/>
        <v>102401.46948461875</v>
      </c>
      <c r="BF7" s="11">
        <f t="shared" si="1"/>
        <v>102413.66023371124</v>
      </c>
      <c r="BG7" s="11">
        <f t="shared" si="1"/>
        <v>-101525.38173569353</v>
      </c>
    </row>
    <row r="8" spans="1:59" x14ac:dyDescent="0.25">
      <c r="C8" t="s">
        <v>265</v>
      </c>
      <c r="D8" s="1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204">
        <v>-56383.037700000001</v>
      </c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</row>
    <row r="9" spans="1:59" x14ac:dyDescent="0.25">
      <c r="B9" s="7">
        <v>144</v>
      </c>
      <c r="C9" s="6" t="s">
        <v>264</v>
      </c>
      <c r="D9" s="7" t="s">
        <v>5</v>
      </c>
      <c r="E9" s="11">
        <f xml:space="preserve"> 357.52772 + 35999.05034 * E5 - 0.0001603 * E5^2 -E5^3 / 300000</f>
        <v>-14848.993540117715</v>
      </c>
      <c r="F9" s="11">
        <f t="shared" ref="F9:AL9" si="2" xml:space="preserve"> 357.52772 + 35999.05034 * F5 - 0.0001603 * F5^2 -F5^3 / 300000</f>
        <v>-599707.49293798581</v>
      </c>
      <c r="G9" s="11">
        <f t="shared" si="2"/>
        <v>357.52771999999999</v>
      </c>
      <c r="H9" s="11">
        <f t="shared" si="2"/>
        <v>-2.7091834868221074</v>
      </c>
      <c r="I9" s="11">
        <f t="shared" si="2"/>
        <v>-4296.9696195828974</v>
      </c>
      <c r="J9" s="11">
        <f t="shared" si="2"/>
        <v>-4155.5359787991956</v>
      </c>
      <c r="K9" s="11">
        <f t="shared" si="2"/>
        <v>-3937.2255158569878</v>
      </c>
      <c r="L9" s="11">
        <f t="shared" si="2"/>
        <v>-3794.8062748016741</v>
      </c>
      <c r="M9" s="11">
        <f t="shared" si="2"/>
        <v>-35641.029965413523</v>
      </c>
      <c r="N9" s="11">
        <f t="shared" si="2"/>
        <v>-143636.21199068212</v>
      </c>
      <c r="O9" s="11">
        <f t="shared" si="2"/>
        <v>-143276.46787614873</v>
      </c>
      <c r="P9" s="11">
        <f t="shared" si="2"/>
        <v>-418200.51485323854</v>
      </c>
      <c r="Q9" s="11">
        <f t="shared" si="2"/>
        <v>-763530.53362147824</v>
      </c>
      <c r="R9" s="11">
        <f t="shared" si="2"/>
        <v>-763529.54802113213</v>
      </c>
      <c r="S9" s="11">
        <f t="shared" si="2"/>
        <v>-1079411.003088193</v>
      </c>
      <c r="T9" s="11">
        <f t="shared" si="2"/>
        <v>-1079543.5663285484</v>
      </c>
      <c r="U9" s="11">
        <f t="shared" si="2"/>
        <v>-1079735.8569470805</v>
      </c>
      <c r="V9" s="11">
        <f t="shared" si="2"/>
        <v>-2415885.6325323409</v>
      </c>
      <c r="W9" s="79">
        <f t="shared" si="2"/>
        <v>-4225.020798835174</v>
      </c>
      <c r="X9" s="11">
        <f t="shared" si="2"/>
        <v>-2422.3578794203322</v>
      </c>
      <c r="Y9" s="11">
        <f t="shared" si="2"/>
        <v>-7877.6554537388647</v>
      </c>
      <c r="Z9" s="11">
        <f t="shared" si="2"/>
        <v>16196.617038142384</v>
      </c>
      <c r="AA9" s="11">
        <f t="shared" si="2"/>
        <v>357.03491985845307</v>
      </c>
      <c r="AB9" s="11">
        <f t="shared" si="2"/>
        <v>-16024.627418325577</v>
      </c>
      <c r="AC9" s="11">
        <f t="shared" si="2"/>
        <v>-7249.8280721862666</v>
      </c>
      <c r="AD9" s="11">
        <f t="shared" si="2"/>
        <v>-3852.4638914220827</v>
      </c>
      <c r="AE9" s="11">
        <f t="shared" si="2"/>
        <v>-7874.5496720996243</v>
      </c>
      <c r="AF9" s="11">
        <f t="shared" si="2"/>
        <v>-2173.9866079178987</v>
      </c>
      <c r="AG9" s="11">
        <f t="shared" si="2"/>
        <v>-2241.0074272107095</v>
      </c>
      <c r="AH9" s="11">
        <f t="shared" si="2"/>
        <v>-2824.4827952183723</v>
      </c>
      <c r="AI9" s="11">
        <f t="shared" si="2"/>
        <v>-2433.1994825418151</v>
      </c>
      <c r="AJ9" s="11">
        <f t="shared" si="2"/>
        <v>-2043.8873704703071</v>
      </c>
      <c r="AK9" s="11">
        <f t="shared" si="2"/>
        <v>-65159.758809384337</v>
      </c>
      <c r="AL9" s="11">
        <f t="shared" si="2"/>
        <v>-2984.1500412080422</v>
      </c>
      <c r="AM9" s="11">
        <f t="shared" ref="AM9:BG9" si="3" xml:space="preserve"> 357.52772 + 35999.05034 * AM5 - 0.0001603 * AM5^2 -AM5^3 / 300000</f>
        <v>-495503.41720852355</v>
      </c>
      <c r="AN9" s="11">
        <f t="shared" si="3"/>
        <v>451.65254703435926</v>
      </c>
      <c r="AO9" s="11">
        <f t="shared" si="3"/>
        <v>-719248.49560048466</v>
      </c>
      <c r="AP9" s="11">
        <f t="shared" si="3"/>
        <v>8541.0448888936062</v>
      </c>
      <c r="AQ9" s="11">
        <f t="shared" si="3"/>
        <v>8547.9988464323123</v>
      </c>
      <c r="AR9" s="11">
        <f t="shared" si="3"/>
        <v>8554.8022261505394</v>
      </c>
      <c r="AS9" s="11">
        <f t="shared" si="3"/>
        <v>8562.4960683446261</v>
      </c>
      <c r="AT9" s="11">
        <f t="shared" si="3"/>
        <v>8576.9412724641643</v>
      </c>
      <c r="AU9" s="11">
        <f t="shared" si="3"/>
        <v>-9213.1438402495969</v>
      </c>
      <c r="AV9" s="11">
        <f t="shared" si="3"/>
        <v>-482.69652142472341</v>
      </c>
      <c r="AW9" s="11">
        <f t="shared" si="3"/>
        <v>-23038.159066728771</v>
      </c>
      <c r="AX9" s="11">
        <f t="shared" si="3"/>
        <v>-15019.315125674993</v>
      </c>
      <c r="AY9" s="11">
        <f t="shared" si="3"/>
        <v>8606.5092808963163</v>
      </c>
      <c r="AZ9" s="11">
        <f t="shared" si="3"/>
        <v>8607.4948811773829</v>
      </c>
      <c r="BA9" s="11">
        <f t="shared" si="3"/>
        <v>8608.4804814584513</v>
      </c>
      <c r="BB9" s="11">
        <f t="shared" si="3"/>
        <v>8609.4660817395179</v>
      </c>
      <c r="BC9" s="11">
        <f t="shared" si="3"/>
        <v>8610.4516820205863</v>
      </c>
      <c r="BD9" s="11">
        <f t="shared" si="3"/>
        <v>8611.4372823016529</v>
      </c>
      <c r="BE9" s="11">
        <f t="shared" si="3"/>
        <v>8612.4228825827195</v>
      </c>
      <c r="BF9" s="11">
        <f t="shared" si="3"/>
        <v>8613.408482863786</v>
      </c>
      <c r="BG9" s="11">
        <f t="shared" si="3"/>
        <v>-7874.6986528836042</v>
      </c>
    </row>
    <row r="10" spans="1:59" x14ac:dyDescent="0.25">
      <c r="B10" s="7"/>
      <c r="C10" t="s">
        <v>266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204">
        <v>-4225.0208000000002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</row>
    <row r="11" spans="1:59" x14ac:dyDescent="0.25">
      <c r="B11" s="7">
        <v>144</v>
      </c>
      <c r="C11" s="6" t="s">
        <v>267</v>
      </c>
      <c r="D11" s="7" t="s">
        <v>6</v>
      </c>
      <c r="E11" s="11">
        <f xml:space="preserve"> 134.96298 + 477198.867398 * E5 + 0.0086972 *E5^2 + E5^3 / 56250</f>
        <v>-201440.76150464013</v>
      </c>
      <c r="F11" s="11">
        <f t="shared" ref="F11:AL11" si="4" xml:space="preserve"> 134.96298 + 477198.867398 * F5 + 0.0086972 *F5^2 + F5^3 / 56250</f>
        <v>-7954248.4888730133</v>
      </c>
      <c r="G11" s="11">
        <f t="shared" si="4"/>
        <v>134.96297999999999</v>
      </c>
      <c r="H11" s="11">
        <f t="shared" si="4"/>
        <v>-4640.2919413459176</v>
      </c>
      <c r="I11" s="11">
        <f t="shared" si="4"/>
        <v>-61564.466067994137</v>
      </c>
      <c r="J11" s="11">
        <f t="shared" si="4"/>
        <v>-59689.639588763268</v>
      </c>
      <c r="K11" s="11">
        <f t="shared" si="4"/>
        <v>-56795.74366384888</v>
      </c>
      <c r="L11" s="11">
        <f t="shared" si="4"/>
        <v>-54907.852191043268</v>
      </c>
      <c r="M11" s="11">
        <f t="shared" si="4"/>
        <v>-477057.36309112713</v>
      </c>
      <c r="N11" s="11">
        <f t="shared" si="4"/>
        <v>-1908627.7061169134</v>
      </c>
      <c r="O11" s="11">
        <f t="shared" si="4"/>
        <v>-1903858.9843770836</v>
      </c>
      <c r="P11" s="11">
        <f t="shared" si="4"/>
        <v>-5548216.2521123942</v>
      </c>
      <c r="Q11" s="11">
        <f t="shared" si="4"/>
        <v>-10125864.477024093</v>
      </c>
      <c r="R11" s="11">
        <f t="shared" si="4"/>
        <v>-10125851.412040593</v>
      </c>
      <c r="S11" s="11">
        <f t="shared" si="4"/>
        <v>-14313132.325605042</v>
      </c>
      <c r="T11" s="11">
        <f t="shared" si="4"/>
        <v>-14314889.565411801</v>
      </c>
      <c r="U11" s="11">
        <f t="shared" si="4"/>
        <v>-14317438.543004759</v>
      </c>
      <c r="V11" s="11">
        <f t="shared" si="4"/>
        <v>-32029249.366167314</v>
      </c>
      <c r="W11" s="79">
        <f t="shared" si="4"/>
        <v>-60610.721587303946</v>
      </c>
      <c r="X11" s="11">
        <f t="shared" si="4"/>
        <v>-36714.849575840934</v>
      </c>
      <c r="Y11" s="11">
        <f t="shared" si="4"/>
        <v>-109029.58513575129</v>
      </c>
      <c r="Z11" s="11">
        <f t="shared" si="4"/>
        <v>210095.93382383377</v>
      </c>
      <c r="AA11" s="11">
        <f t="shared" si="4"/>
        <v>128.43048352638081</v>
      </c>
      <c r="AB11" s="11">
        <f t="shared" si="4"/>
        <v>-217024.8154931452</v>
      </c>
      <c r="AC11" s="11">
        <f t="shared" si="4"/>
        <v>-100707.18469506505</v>
      </c>
      <c r="AD11" s="11">
        <f t="shared" si="4"/>
        <v>-55672.154275222252</v>
      </c>
      <c r="AE11" s="11">
        <f t="shared" si="4"/>
        <v>-108988.41528678894</v>
      </c>
      <c r="AF11" s="11">
        <f t="shared" si="4"/>
        <v>-33422.471361987395</v>
      </c>
      <c r="AG11" s="11">
        <f t="shared" si="4"/>
        <v>-34310.890880092891</v>
      </c>
      <c r="AH11" s="11">
        <f t="shared" si="4"/>
        <v>-42045.366682230087</v>
      </c>
      <c r="AI11" s="11">
        <f t="shared" si="4"/>
        <v>-36858.564497855368</v>
      </c>
      <c r="AJ11" s="11">
        <f t="shared" si="4"/>
        <v>-31697.892297257615</v>
      </c>
      <c r="AK11" s="11">
        <f t="shared" si="4"/>
        <v>-868353.88199084392</v>
      </c>
      <c r="AL11" s="11">
        <f t="shared" si="4"/>
        <v>-44161.895532694703</v>
      </c>
      <c r="AM11" s="11">
        <f t="shared" ref="AM11:BG11" si="5" xml:space="preserve"> 134.96298 + 477198.867398 * AM5 + 0.0086972 *AM5^2 + AM5^3 / 56250</f>
        <v>-6572933.2425728608</v>
      </c>
      <c r="AN11" s="11">
        <f t="shared" si="5"/>
        <v>1382.6698065210319</v>
      </c>
      <c r="AO11" s="11">
        <f t="shared" si="5"/>
        <v>-9538867.8219068572</v>
      </c>
      <c r="AP11" s="11">
        <f t="shared" si="5"/>
        <v>108614.63418254265</v>
      </c>
      <c r="AQ11" s="11">
        <f t="shared" si="5"/>
        <v>108706.81496687888</v>
      </c>
      <c r="AR11" s="11">
        <f t="shared" si="5"/>
        <v>108796.99971061338</v>
      </c>
      <c r="AS11" s="11">
        <f t="shared" si="5"/>
        <v>108898.98831265408</v>
      </c>
      <c r="AT11" s="11">
        <f t="shared" si="5"/>
        <v>109090.47211713046</v>
      </c>
      <c r="AU11" s="11">
        <f t="shared" si="5"/>
        <v>-126732.65041979692</v>
      </c>
      <c r="AV11" s="11">
        <f t="shared" si="5"/>
        <v>-11002.943502785783</v>
      </c>
      <c r="AW11" s="11">
        <f t="shared" si="5"/>
        <v>-309995.30343662144</v>
      </c>
      <c r="AX11" s="11">
        <f t="shared" si="5"/>
        <v>-203698.5229009407</v>
      </c>
      <c r="AY11" s="11">
        <f t="shared" si="5"/>
        <v>109482.42190881791</v>
      </c>
      <c r="AZ11" s="11">
        <f t="shared" si="5"/>
        <v>109495.48690187436</v>
      </c>
      <c r="BA11" s="11">
        <f t="shared" si="5"/>
        <v>109508.55189493082</v>
      </c>
      <c r="BB11" s="11">
        <f t="shared" si="5"/>
        <v>109521.6168879873</v>
      </c>
      <c r="BC11" s="11">
        <f t="shared" si="5"/>
        <v>109534.6818810438</v>
      </c>
      <c r="BD11" s="11">
        <f t="shared" si="5"/>
        <v>109547.7468741003</v>
      </c>
      <c r="BE11" s="11">
        <f t="shared" si="5"/>
        <v>109560.81186715682</v>
      </c>
      <c r="BF11" s="11">
        <f t="shared" si="5"/>
        <v>109573.87686021335</v>
      </c>
      <c r="BG11" s="11">
        <f t="shared" si="5"/>
        <v>-108990.39015723612</v>
      </c>
    </row>
    <row r="12" spans="1:59" x14ac:dyDescent="0.25">
      <c r="B12" s="7"/>
      <c r="C12" t="s">
        <v>135</v>
      </c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205">
        <v>-60610.721599999997</v>
      </c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  <c r="AN12" s="176"/>
      <c r="AO12" s="176"/>
      <c r="AP12" s="176"/>
      <c r="AQ12" s="176"/>
      <c r="AR12" s="176"/>
      <c r="AS12" s="176"/>
      <c r="AT12" s="176"/>
      <c r="AU12" s="176"/>
      <c r="AV12" s="176"/>
      <c r="AW12" s="176"/>
      <c r="AX12" s="176"/>
      <c r="AY12" s="176"/>
      <c r="AZ12" s="176"/>
      <c r="BA12" s="176"/>
      <c r="BB12" s="176"/>
      <c r="BC12" s="176"/>
      <c r="BD12" s="176"/>
      <c r="BE12" s="176"/>
      <c r="BF12" s="176"/>
      <c r="BG12" s="176"/>
    </row>
    <row r="13" spans="1:59" x14ac:dyDescent="0.25">
      <c r="B13" s="7">
        <v>144</v>
      </c>
      <c r="C13" s="6" t="s">
        <v>268</v>
      </c>
      <c r="D13" s="7" t="s">
        <v>7</v>
      </c>
      <c r="E13" s="71">
        <f xml:space="preserve"> 93.27191 + 483202.017538 * E5 - 0.0036825 * E5^2 + E5^3 / 327270</f>
        <v>-204018.27251099155</v>
      </c>
      <c r="F13" s="71">
        <f t="shared" ref="F13:AL13" si="6" xml:space="preserve"> 93.27191 + 483202.017538 * F5 - 0.0036825 * F5^2 + F5^3 / 327270</f>
        <v>-8054359.5311205862</v>
      </c>
      <c r="G13" s="71">
        <f t="shared" si="6"/>
        <v>93.271910000000005</v>
      </c>
      <c r="H13" s="71">
        <f t="shared" si="6"/>
        <v>-4742.0556033089078</v>
      </c>
      <c r="I13" s="71">
        <f t="shared" si="6"/>
        <v>-62382.33466281218</v>
      </c>
      <c r="J13" s="71">
        <f t="shared" si="6"/>
        <v>-60483.922899600751</v>
      </c>
      <c r="K13" s="71">
        <f t="shared" si="6"/>
        <v>-57553.621815842598</v>
      </c>
      <c r="L13" s="71">
        <f t="shared" si="6"/>
        <v>-55641.980702656547</v>
      </c>
      <c r="M13" s="71">
        <f t="shared" si="6"/>
        <v>-483102.13448521768</v>
      </c>
      <c r="N13" s="71">
        <f t="shared" si="6"/>
        <v>-1932681.7839799295</v>
      </c>
      <c r="O13" s="71">
        <f t="shared" si="6"/>
        <v>-1927853.0708466219</v>
      </c>
      <c r="P13" s="71">
        <f t="shared" si="6"/>
        <v>-5618057.7313097119</v>
      </c>
      <c r="Q13" s="71">
        <f t="shared" si="6"/>
        <v>-10253296.475374248</v>
      </c>
      <c r="R13" s="71">
        <f t="shared" si="6"/>
        <v>-10253283.246019613</v>
      </c>
      <c r="S13" s="71">
        <f t="shared" si="6"/>
        <v>-14493245.403538566</v>
      </c>
      <c r="T13" s="71">
        <f t="shared" si="6"/>
        <v>-14495024.751989825</v>
      </c>
      <c r="U13" s="71">
        <f t="shared" si="6"/>
        <v>-14497605.79944608</v>
      </c>
      <c r="V13" s="71">
        <f t="shared" si="6"/>
        <v>-32432271.677459422</v>
      </c>
      <c r="W13" s="190">
        <f t="shared" si="6"/>
        <v>-61416.592093359402</v>
      </c>
      <c r="X13" s="71">
        <f t="shared" si="6"/>
        <v>-37220.110465579368</v>
      </c>
      <c r="Y13" s="71">
        <f t="shared" si="6"/>
        <v>-110444.56421810064</v>
      </c>
      <c r="Z13" s="71">
        <f t="shared" si="6"/>
        <v>212695.54423897233</v>
      </c>
      <c r="AA13" s="71">
        <f t="shared" si="6"/>
        <v>86.657234879698152</v>
      </c>
      <c r="AB13" s="71">
        <f t="shared" si="6"/>
        <v>-219798.37387706994</v>
      </c>
      <c r="AC13" s="71">
        <f t="shared" si="6"/>
        <v>-102017.46808656574</v>
      </c>
      <c r="AD13" s="71">
        <f t="shared" si="6"/>
        <v>-56415.897693102066</v>
      </c>
      <c r="AE13" s="71">
        <f t="shared" si="6"/>
        <v>-110402.87645294744</v>
      </c>
      <c r="AF13" s="71">
        <f t="shared" si="6"/>
        <v>-33886.31420119862</v>
      </c>
      <c r="AG13" s="71">
        <f t="shared" si="6"/>
        <v>-34785.910018536662</v>
      </c>
      <c r="AH13" s="71">
        <f t="shared" si="6"/>
        <v>-42617.685370558305</v>
      </c>
      <c r="AI13" s="71">
        <f t="shared" si="6"/>
        <v>-37365.633318397624</v>
      </c>
      <c r="AJ13" s="71">
        <f t="shared" si="6"/>
        <v>-32140.039967615314</v>
      </c>
      <c r="AK13" s="71">
        <f t="shared" si="6"/>
        <v>-879321.18287488527</v>
      </c>
      <c r="AL13" s="71">
        <f t="shared" si="6"/>
        <v>-44760.840112496073</v>
      </c>
      <c r="AM13" s="71">
        <f t="shared" ref="AM13:BG13" si="7" xml:space="preserve"> 93.27191 + 483202.017538 * AM5 - 0.0036825 * AM5^2 + AM5^3 / 327270</f>
        <v>-6655666.3022322403</v>
      </c>
      <c r="AN13" s="71">
        <f t="shared" si="7"/>
        <v>1356.6748579523473</v>
      </c>
      <c r="AO13" s="71">
        <f t="shared" si="7"/>
        <v>-9658914.8069558199</v>
      </c>
      <c r="AP13" s="71">
        <f t="shared" si="7"/>
        <v>109937.61409101609</v>
      </c>
      <c r="AQ13" s="71">
        <f t="shared" si="7"/>
        <v>110030.95450627842</v>
      </c>
      <c r="AR13" s="71">
        <f t="shared" si="7"/>
        <v>110122.27377081969</v>
      </c>
      <c r="AS13" s="71">
        <f t="shared" si="7"/>
        <v>110225.54538577567</v>
      </c>
      <c r="AT13" s="71">
        <f t="shared" si="7"/>
        <v>110419.43804956551</v>
      </c>
      <c r="AU13" s="71">
        <f t="shared" si="7"/>
        <v>-128370.33386170915</v>
      </c>
      <c r="AV13" s="71">
        <f t="shared" si="7"/>
        <v>-11184.749172119617</v>
      </c>
      <c r="AW13" s="71">
        <f t="shared" si="7"/>
        <v>-313938.43098250125</v>
      </c>
      <c r="AX13" s="71">
        <f t="shared" si="7"/>
        <v>-206304.43654088044</v>
      </c>
      <c r="AY13" s="71">
        <f t="shared" si="7"/>
        <v>110816.31855540028</v>
      </c>
      <c r="AZ13" s="71">
        <f t="shared" si="7"/>
        <v>110829.54790559471</v>
      </c>
      <c r="BA13" s="71">
        <f t="shared" si="7"/>
        <v>110842.7772557891</v>
      </c>
      <c r="BB13" s="71">
        <f t="shared" si="7"/>
        <v>110856.00660598351</v>
      </c>
      <c r="BC13" s="71">
        <f t="shared" si="7"/>
        <v>110869.23595617789</v>
      </c>
      <c r="BD13" s="71">
        <f t="shared" si="7"/>
        <v>110882.46530637228</v>
      </c>
      <c r="BE13" s="71">
        <f t="shared" si="7"/>
        <v>110895.69465656666</v>
      </c>
      <c r="BF13" s="71">
        <f t="shared" si="7"/>
        <v>110908.92400676105</v>
      </c>
      <c r="BG13" s="71">
        <f t="shared" si="7"/>
        <v>-110404.87616724042</v>
      </c>
    </row>
    <row r="14" spans="1:59" x14ac:dyDescent="0.25">
      <c r="B14" s="7"/>
      <c r="C14" t="s">
        <v>270</v>
      </c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206">
        <v>-61416.592100000002</v>
      </c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</row>
    <row r="15" spans="1:59" x14ac:dyDescent="0.25">
      <c r="B15" s="7">
        <v>144</v>
      </c>
      <c r="C15" s="6" t="s">
        <v>269</v>
      </c>
      <c r="D15" s="7" t="s">
        <v>9</v>
      </c>
      <c r="E15" s="176">
        <f xml:space="preserve"> 125.04452 - 1934.136261 * E5 + 0.0020708 * E5^2 + E5^3 / 450000</f>
        <v>942.05211147543582</v>
      </c>
      <c r="F15" s="176">
        <f t="shared" ref="F15:AL15" si="8" xml:space="preserve"> 125.04452 - 1934.136261 * F5 + 0.0020708 * F5^2 + F5^3 / 450000</f>
        <v>32365.556163693622</v>
      </c>
      <c r="G15" s="176">
        <f t="shared" si="8"/>
        <v>125.04452000000001</v>
      </c>
      <c r="H15" s="176">
        <f t="shared" si="8"/>
        <v>144.39912125857285</v>
      </c>
      <c r="I15" s="176">
        <f t="shared" si="8"/>
        <v>375.11870909838581</v>
      </c>
      <c r="J15" s="176">
        <f t="shared" si="8"/>
        <v>367.51984177153963</v>
      </c>
      <c r="K15" s="176">
        <f t="shared" si="8"/>
        <v>355.79057978620716</v>
      </c>
      <c r="L15" s="176">
        <f t="shared" si="8"/>
        <v>348.13875884397714</v>
      </c>
      <c r="M15" s="176">
        <f t="shared" si="8"/>
        <v>2059.1563720258623</v>
      </c>
      <c r="N15" s="176">
        <f t="shared" si="8"/>
        <v>7861.4901690390652</v>
      </c>
      <c r="O15" s="176">
        <f t="shared" si="8"/>
        <v>7842.1618805925364</v>
      </c>
      <c r="P15" s="176">
        <f t="shared" si="8"/>
        <v>22613.365737919514</v>
      </c>
      <c r="Q15" s="176">
        <f t="shared" si="8"/>
        <v>41167.691728973543</v>
      </c>
      <c r="R15" s="176">
        <f t="shared" si="8"/>
        <v>41167.638772884762</v>
      </c>
      <c r="S15" s="176">
        <f t="shared" si="8"/>
        <v>58140.026927585757</v>
      </c>
      <c r="T15" s="176">
        <f t="shared" si="8"/>
        <v>58147.149644342739</v>
      </c>
      <c r="U15" s="176">
        <f t="shared" si="8"/>
        <v>58157.481555505692</v>
      </c>
      <c r="V15" s="176">
        <f t="shared" si="8"/>
        <v>129952.23906075206</v>
      </c>
      <c r="W15" s="190">
        <f t="shared" si="8"/>
        <v>371.25308320287598</v>
      </c>
      <c r="X15" s="176">
        <f t="shared" si="8"/>
        <v>274.40062609548613</v>
      </c>
      <c r="Y15" s="176">
        <f t="shared" si="8"/>
        <v>567.49981051249881</v>
      </c>
      <c r="Z15" s="176">
        <f t="shared" si="8"/>
        <v>-725.94855688636244</v>
      </c>
      <c r="AA15" s="176">
        <f t="shared" si="8"/>
        <v>125.07099688242339</v>
      </c>
      <c r="AB15" s="176">
        <f t="shared" si="8"/>
        <v>1005.2159510211083</v>
      </c>
      <c r="AC15" s="176">
        <f t="shared" si="8"/>
        <v>533.76824641767485</v>
      </c>
      <c r="AD15" s="176">
        <f t="shared" si="8"/>
        <v>351.23655485776567</v>
      </c>
      <c r="AE15" s="176">
        <f t="shared" si="8"/>
        <v>567.33294478245261</v>
      </c>
      <c r="AF15" s="176">
        <f t="shared" si="8"/>
        <v>261.05627524656592</v>
      </c>
      <c r="AG15" s="176">
        <f t="shared" si="8"/>
        <v>264.657131805429</v>
      </c>
      <c r="AH15" s="176">
        <f t="shared" si="8"/>
        <v>296.00576598304673</v>
      </c>
      <c r="AI15" s="176">
        <f t="shared" si="8"/>
        <v>274.98311760528571</v>
      </c>
      <c r="AJ15" s="176">
        <f t="shared" si="8"/>
        <v>254.06637726150748</v>
      </c>
      <c r="AK15" s="176">
        <f t="shared" si="8"/>
        <v>3645.1264069704907</v>
      </c>
      <c r="AL15" s="176">
        <f t="shared" si="8"/>
        <v>304.5842775522836</v>
      </c>
      <c r="AM15" s="176">
        <f t="shared" ref="AM15:BG15" si="9" xml:space="preserve"> 125.04452 - 1934.136261 * AM5 + 0.0020708 * AM5^2 + AM5^3 / 450000</f>
        <v>26766.761946561812</v>
      </c>
      <c r="AN15" s="176">
        <f t="shared" si="9"/>
        <v>119.98743547136422</v>
      </c>
      <c r="AO15" s="176">
        <f t="shared" si="9"/>
        <v>38788.430539784444</v>
      </c>
      <c r="AP15" s="176">
        <f t="shared" si="9"/>
        <v>-314.63467465036223</v>
      </c>
      <c r="AQ15" s="176">
        <f t="shared" si="9"/>
        <v>-315.00829269809361</v>
      </c>
      <c r="AR15" s="176">
        <f t="shared" si="9"/>
        <v>-315.37382059111218</v>
      </c>
      <c r="AS15" s="176">
        <f t="shared" si="9"/>
        <v>-315.78719071621026</v>
      </c>
      <c r="AT15" s="176">
        <f t="shared" si="9"/>
        <v>-316.56329395298201</v>
      </c>
      <c r="AU15" s="176">
        <f t="shared" si="9"/>
        <v>639.25219986151694</v>
      </c>
      <c r="AV15" s="176">
        <f t="shared" si="9"/>
        <v>170.18760565928036</v>
      </c>
      <c r="AW15" s="176">
        <f t="shared" si="9"/>
        <v>1382.0353870584704</v>
      </c>
      <c r="AX15" s="176">
        <f t="shared" si="9"/>
        <v>951.20305989638018</v>
      </c>
      <c r="AY15" s="176">
        <f t="shared" si="9"/>
        <v>-318.15190611998622</v>
      </c>
      <c r="AZ15" s="176">
        <f t="shared" si="9"/>
        <v>-318.20485985883818</v>
      </c>
      <c r="BA15" s="176">
        <f t="shared" si="9"/>
        <v>-318.25781359768712</v>
      </c>
      <c r="BB15" s="176">
        <f t="shared" si="9"/>
        <v>-318.31076733653282</v>
      </c>
      <c r="BC15" s="176">
        <f t="shared" si="9"/>
        <v>-318.36372107537551</v>
      </c>
      <c r="BD15" s="176">
        <f t="shared" si="9"/>
        <v>-318.41667481421501</v>
      </c>
      <c r="BE15" s="176">
        <f t="shared" si="9"/>
        <v>-318.46962855305151</v>
      </c>
      <c r="BF15" s="176">
        <f t="shared" si="9"/>
        <v>-318.52258229188482</v>
      </c>
      <c r="BG15" s="176">
        <f t="shared" si="9"/>
        <v>567.3409491401851</v>
      </c>
    </row>
    <row r="16" spans="1:59" x14ac:dyDescent="0.25">
      <c r="C16" t="s">
        <v>274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206">
        <v>371.25310000000002</v>
      </c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</row>
    <row r="17" spans="1:59" x14ac:dyDescent="0.25">
      <c r="B17" s="7">
        <v>144</v>
      </c>
      <c r="C17" s="6" t="s">
        <v>272</v>
      </c>
      <c r="D17" s="7" t="s">
        <v>271</v>
      </c>
      <c r="E17" s="176">
        <f xml:space="preserve"> 280.4665 + 36000.7698 * E5</f>
        <v>-14926.781056620397</v>
      </c>
      <c r="F17" s="176">
        <f t="shared" ref="F17:AL17" si="10" xml:space="preserve"> 280.4665 + 36000.7698 * F5</f>
        <v>-599813.18658346625</v>
      </c>
      <c r="G17" s="176">
        <f t="shared" si="10"/>
        <v>280.4665</v>
      </c>
      <c r="H17" s="176">
        <f t="shared" si="10"/>
        <v>-79.787609839835795</v>
      </c>
      <c r="I17" s="176">
        <f t="shared" si="10"/>
        <v>-4374.2531544969206</v>
      </c>
      <c r="J17" s="176">
        <f t="shared" si="10"/>
        <v>-4232.8127584312115</v>
      </c>
      <c r="K17" s="176">
        <f t="shared" si="10"/>
        <v>-4014.4918683367564</v>
      </c>
      <c r="L17" s="176">
        <f t="shared" si="10"/>
        <v>-3872.0658249117046</v>
      </c>
      <c r="M17" s="176">
        <f t="shared" si="10"/>
        <v>-35719.810464912436</v>
      </c>
      <c r="N17" s="176">
        <f t="shared" si="10"/>
        <v>-143720.14858160165</v>
      </c>
      <c r="O17" s="176">
        <f t="shared" si="10"/>
        <v>-143360.38729544147</v>
      </c>
      <c r="P17" s="176">
        <f t="shared" si="10"/>
        <v>-418297.5516637059</v>
      </c>
      <c r="Q17" s="176">
        <f t="shared" si="10"/>
        <v>-763644.04088768794</v>
      </c>
      <c r="R17" s="176">
        <f t="shared" si="10"/>
        <v>-763643.05524032854</v>
      </c>
      <c r="S17" s="176">
        <f t="shared" si="10"/>
        <v>-1079539.5841439753</v>
      </c>
      <c r="T17" s="176">
        <f t="shared" si="10"/>
        <v>-1079672.153713807</v>
      </c>
      <c r="U17" s="176">
        <f t="shared" si="10"/>
        <v>-1079864.4535136148</v>
      </c>
      <c r="V17" s="176">
        <f t="shared" si="10"/>
        <v>-2416078.3890603287</v>
      </c>
      <c r="W17" s="176">
        <f t="shared" si="10"/>
        <v>-4302.3008972648877</v>
      </c>
      <c r="X17" s="176">
        <f t="shared" si="10"/>
        <v>-2499.5518770266945</v>
      </c>
      <c r="Y17" s="176">
        <f t="shared" si="10"/>
        <v>-7955.1100109897325</v>
      </c>
      <c r="Z17" s="176">
        <f t="shared" si="10"/>
        <v>16120.312388320328</v>
      </c>
      <c r="AA17" s="176">
        <f t="shared" si="10"/>
        <v>279.97367632032854</v>
      </c>
      <c r="AB17" s="176">
        <f t="shared" si="10"/>
        <v>-16102.471083318276</v>
      </c>
      <c r="AC17" s="176">
        <f t="shared" si="10"/>
        <v>-7327.2526430882972</v>
      </c>
      <c r="AD17" s="176">
        <f t="shared" si="10"/>
        <v>-3929.7261954332648</v>
      </c>
      <c r="AE17" s="176">
        <f t="shared" si="10"/>
        <v>-7952.0040810121027</v>
      </c>
      <c r="AF17" s="176">
        <f t="shared" si="10"/>
        <v>-2251.1687424722795</v>
      </c>
      <c r="AG17" s="176">
        <f t="shared" si="10"/>
        <v>-2318.1927629075976</v>
      </c>
      <c r="AH17" s="176">
        <f t="shared" si="10"/>
        <v>-2901.6959996386036</v>
      </c>
      <c r="AI17" s="176">
        <f t="shared" si="10"/>
        <v>-2510.3939979794663</v>
      </c>
      <c r="AJ17" s="176">
        <f t="shared" si="10"/>
        <v>-2121.0632910390145</v>
      </c>
      <c r="AK17" s="176">
        <f t="shared" si="10"/>
        <v>-65239.948888640654</v>
      </c>
      <c r="AL17" s="176">
        <f t="shared" si="10"/>
        <v>-3061.3708718521561</v>
      </c>
      <c r="AM17" s="176">
        <f t="shared" ref="AM17:BG17" si="11" xml:space="preserve"> 280.4665 + 36000.7698 * AM5</f>
        <v>-495604.14104589738</v>
      </c>
      <c r="AN17" s="176">
        <f t="shared" si="11"/>
        <v>374.59582281724846</v>
      </c>
      <c r="AO17" s="176">
        <f t="shared" si="11"/>
        <v>-719359.89067977003</v>
      </c>
      <c r="AP17" s="176">
        <f t="shared" si="11"/>
        <v>8464.3745550401163</v>
      </c>
      <c r="AQ17" s="176">
        <f t="shared" si="11"/>
        <v>8471.3288447420964</v>
      </c>
      <c r="AR17" s="176">
        <f t="shared" si="11"/>
        <v>8478.1325494310986</v>
      </c>
      <c r="AS17" s="176">
        <f t="shared" si="11"/>
        <v>8485.8267591298772</v>
      </c>
      <c r="AT17" s="176">
        <f t="shared" si="11"/>
        <v>8500.2726532402467</v>
      </c>
      <c r="AU17" s="176">
        <f t="shared" si="11"/>
        <v>-9290.6621828993848</v>
      </c>
      <c r="AV17" s="176">
        <f t="shared" si="11"/>
        <v>-559.7978738398358</v>
      </c>
      <c r="AW17" s="176">
        <f t="shared" si="11"/>
        <v>-23116.337692402463</v>
      </c>
      <c r="AX17" s="176">
        <f t="shared" si="11"/>
        <v>-15097.110776788501</v>
      </c>
      <c r="AY17" s="176">
        <f t="shared" si="11"/>
        <v>8529.8420740205347</v>
      </c>
      <c r="AZ17" s="176">
        <f t="shared" si="11"/>
        <v>8530.8277213798774</v>
      </c>
      <c r="BA17" s="176">
        <f t="shared" si="11"/>
        <v>8531.8133687392201</v>
      </c>
      <c r="BB17" s="176">
        <f t="shared" si="11"/>
        <v>8532.7990160985628</v>
      </c>
      <c r="BC17" s="176">
        <f t="shared" si="11"/>
        <v>8533.7846634579073</v>
      </c>
      <c r="BD17" s="176">
        <f t="shared" si="11"/>
        <v>8534.77031081725</v>
      </c>
      <c r="BE17" s="176">
        <f t="shared" si="11"/>
        <v>8535.7559581765927</v>
      </c>
      <c r="BF17" s="176">
        <f t="shared" si="11"/>
        <v>8536.7416055359354</v>
      </c>
      <c r="BG17" s="176">
        <f t="shared" si="11"/>
        <v>-7952.1530689117044</v>
      </c>
    </row>
    <row r="18" spans="1:59" x14ac:dyDescent="0.25">
      <c r="C18" t="s">
        <v>275</v>
      </c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76"/>
      <c r="BB18" s="176"/>
      <c r="BC18" s="176"/>
      <c r="BD18" s="176"/>
      <c r="BE18" s="176"/>
      <c r="BF18" s="176"/>
      <c r="BG18" s="176"/>
    </row>
    <row r="19" spans="1:59" x14ac:dyDescent="0.25">
      <c r="B19" s="7">
        <v>144</v>
      </c>
      <c r="C19" s="6" t="s">
        <v>273</v>
      </c>
      <c r="D19" s="7" t="s">
        <v>202</v>
      </c>
      <c r="E19" s="176">
        <f xml:space="preserve"> 218.3165 + 481267.8813 * E5</f>
        <v>-203076.22005125179</v>
      </c>
      <c r="F19" s="176">
        <f t="shared" ref="F19:AL19" si="12" xml:space="preserve"> 218.3165 + 481267.8813 * F5</f>
        <v>-8021993.5030110646</v>
      </c>
      <c r="G19" s="176">
        <f t="shared" si="12"/>
        <v>218.31649999999999</v>
      </c>
      <c r="H19" s="176">
        <f t="shared" si="12"/>
        <v>-4597.6564121190968</v>
      </c>
      <c r="I19" s="176">
        <f t="shared" si="12"/>
        <v>-62007.215859733056</v>
      </c>
      <c r="J19" s="176">
        <f t="shared" si="12"/>
        <v>-60116.402965371664</v>
      </c>
      <c r="K19" s="176">
        <f t="shared" si="12"/>
        <v>-57197.831145852157</v>
      </c>
      <c r="L19" s="176">
        <f t="shared" si="12"/>
        <v>-55293.841855014369</v>
      </c>
      <c r="M19" s="176">
        <f t="shared" si="12"/>
        <v>-481042.97644925804</v>
      </c>
      <c r="N19" s="176">
        <f t="shared" si="12"/>
        <v>-1924820.2677088091</v>
      </c>
      <c r="O19" s="176">
        <f t="shared" si="12"/>
        <v>-1920010.8829949282</v>
      </c>
      <c r="P19" s="176">
        <f t="shared" si="12"/>
        <v>-5595444.1395955821</v>
      </c>
      <c r="Q19" s="176">
        <f t="shared" si="12"/>
        <v>-10212128.007928284</v>
      </c>
      <c r="R19" s="176">
        <f t="shared" si="12"/>
        <v>-10212114.831531806</v>
      </c>
      <c r="S19" s="176">
        <f t="shared" si="12"/>
        <v>-14435103.784825865</v>
      </c>
      <c r="T19" s="176">
        <f t="shared" si="12"/>
        <v>-14436876.010151938</v>
      </c>
      <c r="U19" s="176">
        <f t="shared" si="12"/>
        <v>-14439446.725104483</v>
      </c>
      <c r="V19" s="176">
        <f t="shared" si="12"/>
        <v>-32302310.583201807</v>
      </c>
      <c r="W19" s="176">
        <f t="shared" si="12"/>
        <v>-61045.338916956876</v>
      </c>
      <c r="X19" s="176">
        <f t="shared" si="12"/>
        <v>-36945.709761646816</v>
      </c>
      <c r="Y19" s="176">
        <f t="shared" si="12"/>
        <v>-109877.06425844353</v>
      </c>
      <c r="Z19" s="176">
        <f t="shared" si="12"/>
        <v>211969.59607376179</v>
      </c>
      <c r="AA19" s="176">
        <f t="shared" si="12"/>
        <v>211.72830176180696</v>
      </c>
      <c r="AB19" s="176">
        <f t="shared" si="12"/>
        <v>-218793.15753225054</v>
      </c>
      <c r="AC19" s="176">
        <f t="shared" si="12"/>
        <v>-101483.69970298563</v>
      </c>
      <c r="AD19" s="176">
        <f t="shared" si="12"/>
        <v>-56064.661048882954</v>
      </c>
      <c r="AE19" s="176">
        <f t="shared" si="12"/>
        <v>-109835.54335908208</v>
      </c>
      <c r="AF19" s="176">
        <f t="shared" si="12"/>
        <v>-33625.257849597539</v>
      </c>
      <c r="AG19" s="176">
        <f t="shared" si="12"/>
        <v>-34521.252809991791</v>
      </c>
      <c r="AH19" s="176">
        <f t="shared" si="12"/>
        <v>-42321.679524012317</v>
      </c>
      <c r="AI19" s="176">
        <f t="shared" si="12"/>
        <v>-37090.650122887062</v>
      </c>
      <c r="AJ19" s="176">
        <f t="shared" si="12"/>
        <v>-31885.97351471458</v>
      </c>
      <c r="AK19" s="176">
        <f t="shared" si="12"/>
        <v>-875676.05106952367</v>
      </c>
      <c r="AL19" s="176">
        <f t="shared" si="12"/>
        <v>-44456.255753186859</v>
      </c>
      <c r="AM19" s="176">
        <f t="shared" ref="AM19:BG19" si="13" xml:space="preserve"> 218.3165 + 481267.8813 * AM5</f>
        <v>-6628899.2209504358</v>
      </c>
      <c r="AN19" s="176">
        <f t="shared" si="13"/>
        <v>1476.6623634948664</v>
      </c>
      <c r="AO19" s="176">
        <f t="shared" si="13"/>
        <v>-9620125.6906407345</v>
      </c>
      <c r="AP19" s="176">
        <f t="shared" si="13"/>
        <v>109622.97957482016</v>
      </c>
      <c r="AQ19" s="176">
        <f t="shared" si="13"/>
        <v>109715.94637218065</v>
      </c>
      <c r="AR19" s="176">
        <f t="shared" si="13"/>
        <v>109806.90010897176</v>
      </c>
      <c r="AS19" s="176">
        <f t="shared" si="13"/>
        <v>109909.75835396432</v>
      </c>
      <c r="AT19" s="176">
        <f t="shared" si="13"/>
        <v>110102.87491482135</v>
      </c>
      <c r="AU19" s="176">
        <f t="shared" si="13"/>
        <v>-127731.08148394662</v>
      </c>
      <c r="AV19" s="176">
        <f t="shared" si="13"/>
        <v>-11014.561496119097</v>
      </c>
      <c r="AW19" s="176">
        <f t="shared" si="13"/>
        <v>-312556.39485821349</v>
      </c>
      <c r="AX19" s="176">
        <f t="shared" si="13"/>
        <v>-205353.23312633677</v>
      </c>
      <c r="AY19" s="176">
        <f t="shared" si="13"/>
        <v>110498.16680911294</v>
      </c>
      <c r="AZ19" s="176">
        <f t="shared" si="13"/>
        <v>110511.34320558932</v>
      </c>
      <c r="BA19" s="176">
        <f t="shared" si="13"/>
        <v>110524.5196020657</v>
      </c>
      <c r="BB19" s="176">
        <f t="shared" si="13"/>
        <v>110537.6959985421</v>
      </c>
      <c r="BC19" s="176">
        <f t="shared" si="13"/>
        <v>110550.87239501848</v>
      </c>
      <c r="BD19" s="176">
        <f t="shared" si="13"/>
        <v>110564.04879149488</v>
      </c>
      <c r="BE19" s="176">
        <f t="shared" si="13"/>
        <v>110577.22518797126</v>
      </c>
      <c r="BF19" s="176">
        <f t="shared" si="13"/>
        <v>110590.40158444764</v>
      </c>
      <c r="BG19" s="176">
        <f t="shared" si="13"/>
        <v>-109837.53506901437</v>
      </c>
    </row>
    <row r="20" spans="1:59" x14ac:dyDescent="0.25">
      <c r="B20" s="7"/>
      <c r="C20" s="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</row>
    <row r="21" spans="1:59" x14ac:dyDescent="0.25">
      <c r="A21" t="s">
        <v>663</v>
      </c>
      <c r="B21">
        <v>145</v>
      </c>
      <c r="C21" t="s">
        <v>688</v>
      </c>
      <c r="D21" s="90" t="s">
        <v>654</v>
      </c>
      <c r="E21">
        <f>'22a'!K14</f>
        <v>11.259614617650428</v>
      </c>
      <c r="F21">
        <f>'22a'!L14</f>
        <v>10.467451038082624</v>
      </c>
      <c r="G21">
        <f>'22a'!M14</f>
        <v>-13.924401472956106</v>
      </c>
      <c r="H21">
        <f>'22a'!N14</f>
        <v>-9.7765225209920441</v>
      </c>
      <c r="I21">
        <f>'22a'!O14</f>
        <v>-3.078495589539314</v>
      </c>
      <c r="J21">
        <f>'22a'!P14</f>
        <v>-2.2601184140617816</v>
      </c>
      <c r="K21">
        <f>'22a'!Q14</f>
        <v>2.389749691379369</v>
      </c>
      <c r="L21">
        <f>'22a'!R14</f>
        <v>3.6326988521229171</v>
      </c>
      <c r="M21">
        <f>'22a'!S14</f>
        <v>17.424516297550877</v>
      </c>
      <c r="N21">
        <f>'22a'!T14</f>
        <v>15.09574660883542</v>
      </c>
      <c r="O21">
        <f>'22a'!U14</f>
        <v>16.916366672843161</v>
      </c>
      <c r="P21">
        <f>'22a'!V14</f>
        <v>14.43700362685388</v>
      </c>
      <c r="Q21">
        <f>'22a'!W14</f>
        <v>-13.050344270400224</v>
      </c>
      <c r="R21">
        <f>'22a'!X14</f>
        <v>-13.098867157865884</v>
      </c>
      <c r="S21">
        <f>'22a'!Y14</f>
        <v>0.37932330786311713</v>
      </c>
      <c r="T21">
        <f>'22a'!Z14</f>
        <v>3.3076161310027823</v>
      </c>
      <c r="U21">
        <f>'22a'!AA14</f>
        <v>6.4671376488589036</v>
      </c>
      <c r="V21">
        <f>'22a'!AB14</f>
        <v>1.4362502705658975</v>
      </c>
      <c r="W21" s="191">
        <f>'22a'!AC14</f>
        <v>-3.7821802025769422</v>
      </c>
      <c r="X21">
        <f>'22a'!AD14</f>
        <v>16.588333246930265</v>
      </c>
      <c r="Y21">
        <f>'22a'!AE14</f>
        <v>9.6126883794207583</v>
      </c>
      <c r="Z21">
        <f>'22a'!AF14</f>
        <v>2.3113576253118198</v>
      </c>
      <c r="AA21">
        <f>'22a'!AG14</f>
        <v>-13.925231493587223</v>
      </c>
      <c r="AB21">
        <f>'22a'!AH14</f>
        <v>16.917691273951629</v>
      </c>
      <c r="AC21">
        <f>'22a'!AI14</f>
        <v>-3.48021220327775</v>
      </c>
      <c r="AD21">
        <f>'22a'!AJ14</f>
        <v>1.6904612853027707</v>
      </c>
      <c r="AE21">
        <f>'22a'!AK14</f>
        <v>9.5697001401415331</v>
      </c>
      <c r="AF21">
        <f>'22a'!AL14</f>
        <v>16.754828335774228</v>
      </c>
      <c r="AG21">
        <f>'22a'!AM14</f>
        <v>15.910522713112291</v>
      </c>
      <c r="AH21">
        <f>'22a'!AN14</f>
        <v>16.467532958429334</v>
      </c>
      <c r="AI21">
        <f>'22a'!AO14</f>
        <v>16.785384307925618</v>
      </c>
      <c r="AJ21">
        <f>'22a'!AP14</f>
        <v>15.62481509273834</v>
      </c>
      <c r="AK21">
        <f>'22a'!AQ14</f>
        <v>-11.693850325886723</v>
      </c>
      <c r="AL21">
        <f>'22a'!AR14</f>
        <v>13.924064628425876</v>
      </c>
      <c r="AM21">
        <f>'22a'!AS14</f>
        <v>-12.693698671657693</v>
      </c>
      <c r="AN21">
        <f>'22a'!AT14</f>
        <v>-15.875235473074611</v>
      </c>
      <c r="AO21">
        <f>'22a'!AU14</f>
        <v>17.63431857497104</v>
      </c>
      <c r="AP21">
        <f>'22a'!AV14</f>
        <v>-12.333012950702944</v>
      </c>
      <c r="AQ21">
        <f>'22a'!AW14</f>
        <v>-12.546170429905317</v>
      </c>
      <c r="AR21">
        <f>'22a'!AX14</f>
        <v>-12.757464471895197</v>
      </c>
      <c r="AS21">
        <f>'22a'!AY14</f>
        <v>-12.793145985155183</v>
      </c>
      <c r="AT21">
        <f>'22a'!AZ14</f>
        <v>-12.781652178942119</v>
      </c>
      <c r="AU21">
        <f>'22a'!BA14</f>
        <v>15.975331180806034</v>
      </c>
      <c r="AV21">
        <f>'22a'!BB14</f>
        <v>-2.0521732410281621</v>
      </c>
      <c r="AW21">
        <f>'22a'!BC14</f>
        <v>15.094466116773198</v>
      </c>
      <c r="AX21">
        <f>'22a'!BD14</f>
        <v>12.604208061826506</v>
      </c>
      <c r="AY21">
        <f>'22a'!BE14</f>
        <v>-12.004966537636584</v>
      </c>
      <c r="AZ21">
        <f>'22a'!BF14</f>
        <v>-12.063107633428542</v>
      </c>
      <c r="BA21">
        <f>'22a'!BG14</f>
        <v>-12.131294342760018</v>
      </c>
      <c r="BB21">
        <f>'22a'!BH14</f>
        <v>-12.184376290479923</v>
      </c>
      <c r="BC21">
        <f>'22a'!BI14</f>
        <v>-12.203303998852519</v>
      </c>
      <c r="BD21">
        <f>'22a'!BJ14</f>
        <v>-12.177509271061377</v>
      </c>
      <c r="BE21">
        <f>'22a'!BK14</f>
        <v>-12.105781174228065</v>
      </c>
      <c r="BF21">
        <f>'22a'!BL14</f>
        <v>-11.995522645818578</v>
      </c>
      <c r="BG21">
        <f>'22a'!BM14</f>
        <v>9.5820608532544309</v>
      </c>
    </row>
    <row r="22" spans="1:59" x14ac:dyDescent="0.25">
      <c r="A22" t="s">
        <v>663</v>
      </c>
      <c r="C22" t="s">
        <v>688</v>
      </c>
      <c r="D22" s="90" t="s">
        <v>262</v>
      </c>
      <c r="E22">
        <f>'22a'!K15</f>
        <v>-6.2678632834385501</v>
      </c>
      <c r="F22">
        <f>'22a'!L15</f>
        <v>7.3390537849940394</v>
      </c>
      <c r="G22">
        <f>'22a'!M15</f>
        <v>-5.7739096541535915</v>
      </c>
      <c r="H22">
        <f>'22a'!N15</f>
        <v>-8.1464701622400728</v>
      </c>
      <c r="I22">
        <f>'22a'!O15</f>
        <v>8.514587323213334</v>
      </c>
      <c r="J22">
        <f>'22a'!P15</f>
        <v>8.5929065944563696</v>
      </c>
      <c r="K22">
        <f>'22a'!Q15</f>
        <v>8.9015159604937093</v>
      </c>
      <c r="L22">
        <f>'22a'!R15</f>
        <v>8.4077642836591249</v>
      </c>
      <c r="M22">
        <f>'22a'!S15</f>
        <v>-2.2925335447369486</v>
      </c>
      <c r="N22">
        <f>'22a'!T15</f>
        <v>4.2063345570158557</v>
      </c>
      <c r="O22">
        <f>'22a'!U15</f>
        <v>1.4376750070962796</v>
      </c>
      <c r="P22">
        <f>'22a'!V15</f>
        <v>4.0875857032963889</v>
      </c>
      <c r="Q22">
        <f>'22a'!W15</f>
        <v>-6.1001068808551775</v>
      </c>
      <c r="R22">
        <f>'22a'!X15</f>
        <v>-6.073702157364183</v>
      </c>
      <c r="S22">
        <f>'22a'!Y15</f>
        <v>-9.7431220490717969</v>
      </c>
      <c r="T22">
        <f>'22a'!Z15</f>
        <v>-8.854392522046961</v>
      </c>
      <c r="U22">
        <f>'22a'!AA15</f>
        <v>-8.7905514269197447</v>
      </c>
      <c r="V22">
        <f>'22a'!AB15</f>
        <v>8.5207668928201681</v>
      </c>
      <c r="W22" s="199">
        <f>'22a'!AC15</f>
        <v>9.4425206987573969</v>
      </c>
      <c r="X22">
        <f>'22a'!AD15</f>
        <v>1.2229496981802637</v>
      </c>
      <c r="Y22">
        <f>'22a'!AE15</f>
        <v>-8.0610541804948515</v>
      </c>
      <c r="Z22">
        <f>'22a'!AF15</f>
        <v>8.4418183139342613</v>
      </c>
      <c r="AA22">
        <f>'22a'!AG15</f>
        <v>-5.7641318518317988</v>
      </c>
      <c r="AB22">
        <f>'22a'!AH15</f>
        <v>1.8323951621052423</v>
      </c>
      <c r="AC22">
        <f>'22a'!AI15</f>
        <v>-9.3531530554015845</v>
      </c>
      <c r="AD22">
        <f>'22a'!AJ15</f>
        <v>9.1507902712757652</v>
      </c>
      <c r="AE22">
        <f>'22a'!AK15</f>
        <v>-7.9041104903881001</v>
      </c>
      <c r="AF22">
        <f>'22a'!AL15</f>
        <v>-1.932759501713206</v>
      </c>
      <c r="AG22">
        <f>'22a'!AM15</f>
        <v>-0.30768172589525666</v>
      </c>
      <c r="AH22">
        <f>'22a'!AN15</f>
        <v>4.626089593478282</v>
      </c>
      <c r="AI22">
        <f>'22a'!AO15</f>
        <v>1.5154102574118042</v>
      </c>
      <c r="AJ22">
        <f>'22a'!AP15</f>
        <v>-2.28168413901134</v>
      </c>
      <c r="AK22">
        <f>'22a'!AQ15</f>
        <v>6.0490578780394992</v>
      </c>
      <c r="AL22">
        <f>'22a'!AR15</f>
        <v>5.9151775783654106</v>
      </c>
      <c r="AM22">
        <f>'22a'!AS15</f>
        <v>-5.8540476485318012</v>
      </c>
      <c r="AN22">
        <f>'22a'!AT15</f>
        <v>-4.0220971049629197</v>
      </c>
      <c r="AO22">
        <f>'22a'!AU15</f>
        <v>-0.62250972698535778</v>
      </c>
      <c r="AP22">
        <f>'22a'!AV15</f>
        <v>7.1393039867292671</v>
      </c>
      <c r="AQ22">
        <f>'22a'!AW15</f>
        <v>6.9230128601031327</v>
      </c>
      <c r="AR22">
        <f>'22a'!AX15</f>
        <v>7.142257040968139</v>
      </c>
      <c r="AS22">
        <f>'22a'!AY15</f>
        <v>6.8834704068167429</v>
      </c>
      <c r="AT22">
        <f>'22a'!AZ15</f>
        <v>6.7449770188558853</v>
      </c>
      <c r="AU22">
        <f>'22a'!BA15</f>
        <v>1.0367487774143136</v>
      </c>
      <c r="AV22">
        <f>'22a'!BB15</f>
        <v>-8.6978874132137598</v>
      </c>
      <c r="AW22">
        <f>'22a'!BC15</f>
        <v>4.3023038324817504</v>
      </c>
      <c r="AX22">
        <f>'22a'!BD15</f>
        <v>-5.3403221377035699</v>
      </c>
      <c r="AY22">
        <f>'22a'!BE15</f>
        <v>6.5120480610092386</v>
      </c>
      <c r="AZ22">
        <f>'22a'!BF15</f>
        <v>6.5288364652694932</v>
      </c>
      <c r="BA22">
        <f>'22a'!BG15</f>
        <v>6.5207088988541768</v>
      </c>
      <c r="BB22">
        <f>'22a'!BH15</f>
        <v>6.4900209689028943</v>
      </c>
      <c r="BC22">
        <f>'22a'!BI15</f>
        <v>6.4433990203641018</v>
      </c>
      <c r="BD22">
        <f>'22a'!BJ15</f>
        <v>6.3897901276715228</v>
      </c>
      <c r="BE22">
        <f>'22a'!BK15</f>
        <v>6.3385099652036985</v>
      </c>
      <c r="BF22">
        <f>'22a'!BL15</f>
        <v>6.2976173474306432</v>
      </c>
      <c r="BG22">
        <f>'22a'!BM15</f>
        <v>-7.9110189410841762</v>
      </c>
    </row>
    <row r="23" spans="1:59" x14ac:dyDescent="0.25">
      <c r="W23" s="208">
        <v>-3.7879999999999998</v>
      </c>
    </row>
    <row r="24" spans="1:59" x14ac:dyDescent="0.25">
      <c r="C24" s="8" t="s">
        <v>659</v>
      </c>
      <c r="W24" s="208">
        <v>9.4429999999999996</v>
      </c>
    </row>
    <row r="25" spans="1:59" x14ac:dyDescent="0.25">
      <c r="B25">
        <v>144</v>
      </c>
      <c r="C25" s="6" t="s">
        <v>276</v>
      </c>
      <c r="D25" s="47" t="s">
        <v>654</v>
      </c>
      <c r="E25" s="39">
        <f t="shared" ref="E25:AJ25" si="14">17.2*SIN(E15* Deg2Rad)--1.32*SIN(2*E17* Deg2Rad)-0.23*SIN(2*E19* Deg2Rad)+0.21*SIN(2*E15* Deg2Rad)</f>
        <v>-10.504795407738294</v>
      </c>
      <c r="F25" s="39">
        <f t="shared" si="14"/>
        <v>-11.358888362019584</v>
      </c>
      <c r="G25" s="39">
        <f t="shared" si="14"/>
        <v>13.188924932439472</v>
      </c>
      <c r="H25" s="39">
        <f t="shared" si="14"/>
        <v>9.2925405505737171</v>
      </c>
      <c r="I25" s="39">
        <f t="shared" si="14"/>
        <v>3.3624287389593923</v>
      </c>
      <c r="J25" s="39">
        <f t="shared" si="14"/>
        <v>2.4060397762864016</v>
      </c>
      <c r="K25" s="39">
        <f t="shared" si="14"/>
        <v>-2.7703472619646408</v>
      </c>
      <c r="L25" s="39">
        <f t="shared" si="14"/>
        <v>-3.311933117876261</v>
      </c>
      <c r="M25" s="39">
        <f t="shared" si="14"/>
        <v>-17.219115916127588</v>
      </c>
      <c r="N25" s="39">
        <f t="shared" si="14"/>
        <v>-15.222416990270283</v>
      </c>
      <c r="O25" s="39">
        <f t="shared" si="14"/>
        <v>-17.562751073326957</v>
      </c>
      <c r="P25" s="39">
        <f t="shared" si="14"/>
        <v>-15.229070826253601</v>
      </c>
      <c r="Q25" s="39">
        <f t="shared" si="14"/>
        <v>13.198216795421803</v>
      </c>
      <c r="R25" s="39">
        <f t="shared" si="14"/>
        <v>13.059034631204508</v>
      </c>
      <c r="S25" s="39">
        <f t="shared" si="14"/>
        <v>-0.44701206664112159</v>
      </c>
      <c r="T25" s="39">
        <f t="shared" si="14"/>
        <v>-3.4492307480688043</v>
      </c>
      <c r="U25" s="39">
        <f t="shared" si="14"/>
        <v>-6.1815102230814878</v>
      </c>
      <c r="V25" s="39">
        <f t="shared" si="14"/>
        <v>-1.0489885667310646</v>
      </c>
      <c r="W25" s="39">
        <f t="shared" si="14"/>
        <v>4.379390041151936</v>
      </c>
      <c r="X25" s="39">
        <f t="shared" si="14"/>
        <v>-16.087302563778568</v>
      </c>
      <c r="Y25" s="39">
        <f t="shared" si="14"/>
        <v>-8.9117619258621605</v>
      </c>
      <c r="Z25" s="39">
        <f t="shared" si="14"/>
        <v>-2.1454458591461534</v>
      </c>
      <c r="AA25" s="39">
        <f t="shared" si="14"/>
        <v>13.223583103664296</v>
      </c>
      <c r="AB25" s="39">
        <f t="shared" si="14"/>
        <v>-17.071622457693294</v>
      </c>
      <c r="AC25" s="39">
        <f t="shared" si="14"/>
        <v>2.8742922187341988</v>
      </c>
      <c r="AD25" s="39">
        <f t="shared" si="14"/>
        <v>-1.4917282047997928</v>
      </c>
      <c r="AE25" s="39">
        <f t="shared" si="14"/>
        <v>-8.6951509640810407</v>
      </c>
      <c r="AF25" s="39">
        <f t="shared" si="14"/>
        <v>-17.0879485711501</v>
      </c>
      <c r="AG25" s="39">
        <f t="shared" si="14"/>
        <v>-16.400336636133794</v>
      </c>
      <c r="AH25" s="39">
        <f t="shared" si="14"/>
        <v>-16.37291794231092</v>
      </c>
      <c r="AI25" s="39">
        <f t="shared" si="14"/>
        <v>-16.653420171911648</v>
      </c>
      <c r="AJ25" s="39">
        <f t="shared" si="14"/>
        <v>-14.95665553053195</v>
      </c>
      <c r="AK25" s="39">
        <f t="shared" ref="AK25:BG25" si="15">17.2*SIN(AK15* Deg2Rad)--1.32*SIN(2*AK17* Deg2Rad)-0.23*SIN(2*AK19* Deg2Rad)+0.21*SIN(2*AK15* Deg2Rad)</f>
        <v>11.774709942492663</v>
      </c>
      <c r="AL25" s="39">
        <f t="shared" si="15"/>
        <v>-14.450013931004717</v>
      </c>
      <c r="AM25" s="39">
        <f t="shared" si="15"/>
        <v>12.767218102357189</v>
      </c>
      <c r="AN25" s="39">
        <f t="shared" si="15"/>
        <v>15.13918228999349</v>
      </c>
      <c r="AO25" s="39">
        <f t="shared" si="15"/>
        <v>-17.458542339928751</v>
      </c>
      <c r="AP25" s="39">
        <f t="shared" si="15"/>
        <v>12.6264239642075</v>
      </c>
      <c r="AQ25" s="39">
        <f t="shared" si="15"/>
        <v>12.92637124236329</v>
      </c>
      <c r="AR25" s="39">
        <f t="shared" si="15"/>
        <v>13.018554851900808</v>
      </c>
      <c r="AS25" s="39">
        <f t="shared" si="15"/>
        <v>13.385507440916841</v>
      </c>
      <c r="AT25" s="39">
        <f t="shared" si="15"/>
        <v>13.547370168234526</v>
      </c>
      <c r="AU25" s="39">
        <f t="shared" si="15"/>
        <v>-16.325642344147763</v>
      </c>
      <c r="AV25" s="39">
        <f t="shared" si="15"/>
        <v>2.2343151069572071</v>
      </c>
      <c r="AW25" s="39">
        <f t="shared" si="15"/>
        <v>-15.270407466744864</v>
      </c>
      <c r="AX25" s="39">
        <f t="shared" si="15"/>
        <v>-12.439084071886654</v>
      </c>
      <c r="AY25" s="39">
        <f t="shared" si="15"/>
        <v>12.696693981057102</v>
      </c>
      <c r="AZ25" s="39">
        <f t="shared" si="15"/>
        <v>12.559320118767564</v>
      </c>
      <c r="BA25" s="39">
        <f t="shared" si="15"/>
        <v>12.406739867112945</v>
      </c>
      <c r="BB25" s="39">
        <f t="shared" si="15"/>
        <v>12.260733088878737</v>
      </c>
      <c r="BC25" s="39">
        <f t="shared" si="15"/>
        <v>12.141519721637447</v>
      </c>
      <c r="BD25" s="39">
        <f t="shared" si="15"/>
        <v>12.063566235283183</v>
      </c>
      <c r="BE25" s="39">
        <f t="shared" si="15"/>
        <v>12.032588131541432</v>
      </c>
      <c r="BF25" s="39">
        <f t="shared" si="15"/>
        <v>12.044371488175047</v>
      </c>
      <c r="BG25" s="39">
        <f t="shared" si="15"/>
        <v>-8.6955907017024554</v>
      </c>
    </row>
    <row r="26" spans="1:59" x14ac:dyDescent="0.25">
      <c r="B26">
        <v>144</v>
      </c>
      <c r="C26" s="6" t="s">
        <v>277</v>
      </c>
      <c r="D26" s="47" t="s">
        <v>262</v>
      </c>
      <c r="E26" s="39">
        <f t="shared" ref="E26:AJ26" si="16" xml:space="preserve"> 9.2* COS(E15* Deg2Rad) + 0.57* COS(2*E17* Deg2Rad) + 0.1* COS(2*E19* Deg2Rad) - 0.09* COS(2*E15* Deg2Rad)</f>
        <v>-6.3000170409721497</v>
      </c>
      <c r="F26" s="39">
        <f t="shared" si="16"/>
        <v>7.3257768138396759</v>
      </c>
      <c r="G26" s="39">
        <f t="shared" si="16"/>
        <v>-5.7613676431408711</v>
      </c>
      <c r="H26" s="39">
        <f t="shared" si="16"/>
        <v>-8.1400607484997742</v>
      </c>
      <c r="I26" s="39">
        <f t="shared" si="16"/>
        <v>8.5233586915502162</v>
      </c>
      <c r="J26" s="39">
        <f t="shared" si="16"/>
        <v>8.5659171280452373</v>
      </c>
      <c r="K26" s="39">
        <f t="shared" si="16"/>
        <v>8.9105977272063441</v>
      </c>
      <c r="L26" s="39">
        <f t="shared" si="16"/>
        <v>8.3906217583476899</v>
      </c>
      <c r="M26" s="39">
        <f t="shared" si="16"/>
        <v>-2.2784924643558861</v>
      </c>
      <c r="N26" s="39">
        <f t="shared" si="16"/>
        <v>4.2156139799007235</v>
      </c>
      <c r="O26" s="39">
        <f t="shared" si="16"/>
        <v>1.4676830252253792</v>
      </c>
      <c r="P26" s="39">
        <f t="shared" si="16"/>
        <v>4.1455404339523048</v>
      </c>
      <c r="Q26" s="39">
        <f t="shared" si="16"/>
        <v>-6.0638806852990221</v>
      </c>
      <c r="R26" s="39">
        <f t="shared" si="16"/>
        <v>-6.0503509843135932</v>
      </c>
      <c r="S26" s="39">
        <f t="shared" si="16"/>
        <v>-9.7236089223482498</v>
      </c>
      <c r="T26" s="39">
        <f t="shared" si="16"/>
        <v>-8.9016183315438155</v>
      </c>
      <c r="U26" s="39">
        <f t="shared" si="16"/>
        <v>-8.778418220324772</v>
      </c>
      <c r="V26" s="39">
        <f t="shared" si="16"/>
        <v>8.6973526115162443</v>
      </c>
      <c r="W26" s="39">
        <f t="shared" si="16"/>
        <v>9.467983737634496</v>
      </c>
      <c r="X26" s="39">
        <f t="shared" si="16"/>
        <v>1.2232391950182147</v>
      </c>
      <c r="Y26" s="39">
        <f t="shared" si="16"/>
        <v>-8.1092203959690963</v>
      </c>
      <c r="Z26" s="39">
        <f t="shared" si="16"/>
        <v>8.4514241645178583</v>
      </c>
      <c r="AA26" s="39">
        <f t="shared" si="16"/>
        <v>-5.746781510446306</v>
      </c>
      <c r="AB26" s="39">
        <f t="shared" si="16"/>
        <v>1.8423911318566979</v>
      </c>
      <c r="AC26" s="39">
        <f t="shared" si="16"/>
        <v>-9.355887946942179</v>
      </c>
      <c r="AD26" s="39">
        <f t="shared" si="16"/>
        <v>9.1887760832731118</v>
      </c>
      <c r="AE26" s="39">
        <f t="shared" si="16"/>
        <v>-7.9426896180758275</v>
      </c>
      <c r="AF26" s="39">
        <f t="shared" si="16"/>
        <v>-1.879101264798088</v>
      </c>
      <c r="AG26" s="39">
        <f t="shared" si="16"/>
        <v>-0.33389160337563067</v>
      </c>
      <c r="AH26" s="39">
        <f t="shared" si="16"/>
        <v>4.576150736360546</v>
      </c>
      <c r="AI26" s="39">
        <f t="shared" si="16"/>
        <v>1.5191984078606113</v>
      </c>
      <c r="AJ26" s="39">
        <f t="shared" si="16"/>
        <v>-2.2678018961968127</v>
      </c>
      <c r="AK26" s="39">
        <f t="shared" ref="AK26:BG26" si="17" xml:space="preserve"> 9.2* COS(AK15* Deg2Rad) + 0.57* COS(2*AK17* Deg2Rad) + 0.1* COS(2*AK19* Deg2Rad) - 0.09* COS(2*AK15* Deg2Rad)</f>
        <v>6.0231807014804195</v>
      </c>
      <c r="AL26" s="39">
        <f t="shared" si="17"/>
        <v>5.9225846190229676</v>
      </c>
      <c r="AM26" s="39">
        <f t="shared" si="17"/>
        <v>-5.8136958953451447</v>
      </c>
      <c r="AN26" s="39">
        <f t="shared" si="17"/>
        <v>-4.0269176730816678</v>
      </c>
      <c r="AO26" s="39">
        <f t="shared" si="17"/>
        <v>-0.63457566955076006</v>
      </c>
      <c r="AP26" s="39">
        <f t="shared" si="17"/>
        <v>7.1277459619659869</v>
      </c>
      <c r="AQ26" s="39">
        <f t="shared" si="17"/>
        <v>6.9344533168200231</v>
      </c>
      <c r="AR26" s="39">
        <f t="shared" si="17"/>
        <v>7.1032109109579684</v>
      </c>
      <c r="AS26" s="39">
        <f t="shared" si="17"/>
        <v>6.8681637016449786</v>
      </c>
      <c r="AT26" s="39">
        <f t="shared" si="17"/>
        <v>6.7280875853547313</v>
      </c>
      <c r="AU26" s="39">
        <f t="shared" si="17"/>
        <v>1.0623427848711906</v>
      </c>
      <c r="AV26" s="39">
        <f t="shared" si="17"/>
        <v>-8.675329989415534</v>
      </c>
      <c r="AW26" s="39">
        <f t="shared" si="17"/>
        <v>4.3240955632480587</v>
      </c>
      <c r="AX26" s="39">
        <f t="shared" si="17"/>
        <v>-5.2880638536440285</v>
      </c>
      <c r="AY26" s="39">
        <f t="shared" si="17"/>
        <v>6.4810657867610884</v>
      </c>
      <c r="AZ26" s="39">
        <f t="shared" si="17"/>
        <v>6.497273283311225</v>
      </c>
      <c r="BA26" s="39">
        <f t="shared" si="17"/>
        <v>6.4941613911012963</v>
      </c>
      <c r="BB26" s="39">
        <f t="shared" si="17"/>
        <v>6.4710605731382138</v>
      </c>
      <c r="BC26" s="39">
        <f t="shared" si="17"/>
        <v>6.4315669300813481</v>
      </c>
      <c r="BD26" s="39">
        <f t="shared" si="17"/>
        <v>6.3827975478413004</v>
      </c>
      <c r="BE26" s="39">
        <f t="shared" si="17"/>
        <v>6.333913891942653</v>
      </c>
      <c r="BF26" s="39">
        <f t="shared" si="17"/>
        <v>6.2942201497381163</v>
      </c>
      <c r="BG26" s="39">
        <f t="shared" si="17"/>
        <v>-7.9513968247600442</v>
      </c>
    </row>
    <row r="28" spans="1:59" x14ac:dyDescent="0.25">
      <c r="B28">
        <v>147</v>
      </c>
      <c r="C28" t="s">
        <v>667</v>
      </c>
    </row>
    <row r="29" spans="1:59" x14ac:dyDescent="0.25">
      <c r="C29" t="s">
        <v>668</v>
      </c>
      <c r="D29" s="7" t="s">
        <v>669</v>
      </c>
      <c r="E29">
        <f>E5/100</f>
        <v>-4.2241451060917026E-3</v>
      </c>
      <c r="F29">
        <f t="shared" ref="F29:AL29" si="18">F5/100</f>
        <v>-0.16668911704312117</v>
      </c>
      <c r="G29">
        <f t="shared" si="18"/>
        <v>0</v>
      </c>
      <c r="H29">
        <f t="shared" si="18"/>
        <v>-1.0006844626967831E-4</v>
      </c>
      <c r="I29">
        <f t="shared" si="18"/>
        <v>-1.2929500342231349E-3</v>
      </c>
      <c r="J29">
        <f t="shared" si="18"/>
        <v>-1.2536618754277892E-3</v>
      </c>
      <c r="K29">
        <f t="shared" si="18"/>
        <v>-1.1930184804928132E-3</v>
      </c>
      <c r="L29">
        <f t="shared" si="18"/>
        <v>-1.1534565366187542E-3</v>
      </c>
      <c r="M29">
        <f t="shared" si="18"/>
        <v>-9.9998631042918524E-3</v>
      </c>
      <c r="N29">
        <f t="shared" si="18"/>
        <v>-3.9999315537303216E-2</v>
      </c>
      <c r="O29">
        <f t="shared" si="18"/>
        <v>-3.9899383983572893E-2</v>
      </c>
      <c r="P29">
        <f t="shared" si="18"/>
        <v>-0.1162691854893908</v>
      </c>
      <c r="Q29">
        <f t="shared" si="18"/>
        <v>-0.21219671457905545</v>
      </c>
      <c r="R29">
        <f t="shared" si="18"/>
        <v>-0.2121964407939767</v>
      </c>
      <c r="S29">
        <f t="shared" si="18"/>
        <v>-0.29994360027378508</v>
      </c>
      <c r="T29">
        <f t="shared" si="18"/>
        <v>-0.299980424366872</v>
      </c>
      <c r="U29">
        <f t="shared" si="18"/>
        <v>-0.30003383983572901</v>
      </c>
      <c r="V29">
        <f t="shared" si="18"/>
        <v>-0.67119644079397678</v>
      </c>
      <c r="W29">
        <f t="shared" si="18"/>
        <v>-1.2729637234770706E-3</v>
      </c>
      <c r="X29">
        <f t="shared" si="18"/>
        <v>-7.722108145106092E-4</v>
      </c>
      <c r="Y29">
        <f t="shared" si="18"/>
        <v>-2.2876112251882272E-3</v>
      </c>
      <c r="Z29">
        <f t="shared" si="18"/>
        <v>4.3998631074606432E-3</v>
      </c>
      <c r="AA29">
        <f t="shared" si="18"/>
        <v>-1.3689253935660506E-7</v>
      </c>
      <c r="AB29">
        <f t="shared" si="18"/>
        <v>-4.550718685831622E-3</v>
      </c>
      <c r="AC29">
        <f t="shared" si="18"/>
        <v>-2.1132101300479125E-3</v>
      </c>
      <c r="AD29">
        <f t="shared" si="18"/>
        <v>-1.1694729637234771E-3</v>
      </c>
      <c r="AE29">
        <f t="shared" si="18"/>
        <v>-2.286748485309362E-3</v>
      </c>
      <c r="AF29">
        <f t="shared" si="18"/>
        <v>-7.0321697467488019E-4</v>
      </c>
      <c r="AG29">
        <f t="shared" si="18"/>
        <v>-7.2183436002737854E-4</v>
      </c>
      <c r="AH29">
        <f t="shared" si="18"/>
        <v>-8.8391512662559888E-4</v>
      </c>
      <c r="AI29">
        <f t="shared" si="18"/>
        <v>-7.7522245037645445E-4</v>
      </c>
      <c r="AJ29">
        <f t="shared" si="18"/>
        <v>-6.6707734428473654E-4</v>
      </c>
      <c r="AK29">
        <f t="shared" si="18"/>
        <v>-1.8199726214921285E-2</v>
      </c>
      <c r="AL29">
        <f t="shared" si="18"/>
        <v>-9.2826830937713892E-4</v>
      </c>
      <c r="AM29">
        <f t="shared" ref="AM29:BG29" si="19">AM5/100</f>
        <v>-0.13774277891854894</v>
      </c>
      <c r="AN29">
        <f t="shared" si="19"/>
        <v>2.6146475017111569E-5</v>
      </c>
      <c r="AO29">
        <f t="shared" si="19"/>
        <v>-0.19989582477754961</v>
      </c>
      <c r="AP29">
        <f t="shared" si="19"/>
        <v>2.2732591832078314E-3</v>
      </c>
      <c r="AQ29">
        <f t="shared" si="19"/>
        <v>2.2751908890409605E-3</v>
      </c>
      <c r="AR29">
        <f t="shared" si="19"/>
        <v>2.2770807665982457E-3</v>
      </c>
      <c r="AS29">
        <f t="shared" si="19"/>
        <v>2.2792180013689253E-3</v>
      </c>
      <c r="AT29">
        <f t="shared" si="19"/>
        <v>2.2832306639288158E-3</v>
      </c>
      <c r="AU29">
        <f t="shared" si="19"/>
        <v>-2.658590006844627E-3</v>
      </c>
      <c r="AV29">
        <f t="shared" si="19"/>
        <v>-2.3340177960301165E-4</v>
      </c>
      <c r="AW29">
        <f t="shared" si="19"/>
        <v>-6.4989733059548247E-3</v>
      </c>
      <c r="AX29">
        <f t="shared" si="19"/>
        <v>-4.2714579055441477E-3</v>
      </c>
      <c r="AY29">
        <f t="shared" si="19"/>
        <v>2.291444216290212E-3</v>
      </c>
      <c r="AZ29">
        <f t="shared" si="19"/>
        <v>2.2917180013689253E-3</v>
      </c>
      <c r="BA29">
        <f t="shared" si="19"/>
        <v>2.2919917864476385E-3</v>
      </c>
      <c r="BB29">
        <f t="shared" si="19"/>
        <v>2.2922655715263518E-3</v>
      </c>
      <c r="BC29">
        <f t="shared" si="19"/>
        <v>2.292539356605065E-3</v>
      </c>
      <c r="BD29">
        <f t="shared" si="19"/>
        <v>2.2928131416837783E-3</v>
      </c>
      <c r="BE29">
        <f t="shared" si="19"/>
        <v>2.2930869267624916E-3</v>
      </c>
      <c r="BF29">
        <f t="shared" si="19"/>
        <v>2.2933607118412048E-3</v>
      </c>
      <c r="BG29">
        <f t="shared" si="19"/>
        <v>-2.2867898699520874E-3</v>
      </c>
    </row>
    <row r="30" spans="1:59" x14ac:dyDescent="0.25">
      <c r="E30" s="341" t="s">
        <v>683</v>
      </c>
      <c r="F30" s="341"/>
      <c r="G30" s="341"/>
      <c r="H30" s="341"/>
    </row>
    <row r="31" spans="1:59" x14ac:dyDescent="0.25">
      <c r="C31" t="s">
        <v>665</v>
      </c>
      <c r="D31" s="47" t="s">
        <v>686</v>
      </c>
      <c r="E31">
        <f>Lookups!$R$3-Lookups!$R$5*E5-Lookups!$R$6*E5^2+Lookups!$R$7*E5^3</f>
        <v>23.444784192607401</v>
      </c>
      <c r="F31">
        <f>Lookups!$R$3-Lookups!$R$5*F5-Lookups!$R$6*F5^2+Lookups!$R$7*F5^3</f>
        <v>23.653678404872213</v>
      </c>
      <c r="G31">
        <f>Lookups!$R$3-Lookups!$R$5*G5-Lookups!$R$6*G5^2+Lookups!$R$7*G5^3</f>
        <v>23.43929111111111</v>
      </c>
      <c r="H31">
        <f>Lookups!$R$3-Lookups!$R$5*H5-Lookups!$R$6*H5^2+Lookups!$R$7*H5^3</f>
        <v>23.439421241769534</v>
      </c>
      <c r="I31">
        <f>Lookups!$R$3-Lookups!$R$5*I5-Lookups!$R$6*I5^2+Lookups!$R$7*I5^3</f>
        <v>23.440972481056487</v>
      </c>
      <c r="J31">
        <f>Lookups!$R$3-Lookups!$R$5*J5-Lookups!$R$6*J5^2+Lookups!$R$7*J5^3</f>
        <v>23.440921390340208</v>
      </c>
      <c r="K31">
        <f>Lookups!$R$3-Lookups!$R$5*K5-Lookups!$R$6*K5^2+Lookups!$R$7*K5^3</f>
        <v>23.440842529039028</v>
      </c>
      <c r="L31">
        <f>Lookups!$R$3-Lookups!$R$5*L5-Lookups!$R$6*L5^2+Lookups!$R$7*L5^3</f>
        <v>23.440791082262269</v>
      </c>
      <c r="M31">
        <f>Lookups!$R$3-Lookups!$R$5*M5-Lookups!$R$6*M5^2+Lookups!$R$7*M5^3</f>
        <v>23.452294432281487</v>
      </c>
      <c r="N31">
        <f>Lookups!$R$3-Lookups!$R$5*N5-Lookups!$R$6*N5^2+Lookups!$R$7*N5^3</f>
        <v>23.491272036102032</v>
      </c>
      <c r="O31">
        <f>Lookups!$R$3-Lookups!$R$5*O5-Lookups!$R$6*O5^2+Lookups!$R$7*O5^3</f>
        <v>23.491142337486195</v>
      </c>
      <c r="P31">
        <f>Lookups!$R$3-Lookups!$R$5*P5-Lookups!$R$6*P5^2+Lookups!$R$7*P5^3</f>
        <v>23.589675772625384</v>
      </c>
      <c r="Q31">
        <f>Lookups!$R$3-Lookups!$R$5*Q5-Lookups!$R$6*Q5^2+Lookups!$R$7*Q5^3</f>
        <v>23.710349619365005</v>
      </c>
      <c r="R31">
        <f>Lookups!$R$3-Lookups!$R$5*R5-Lookups!$R$6*R5^2+Lookups!$R$7*R5^3</f>
        <v>23.710349282146044</v>
      </c>
      <c r="S31">
        <f>Lookups!$R$3-Lookups!$R$5*S5-Lookups!$R$6*S5^2+Lookups!$R$7*S5^3</f>
        <v>23.815605490932768</v>
      </c>
      <c r="T31">
        <f>Lookups!$R$3-Lookups!$R$5*T5-Lookups!$R$6*T5^2+Lookups!$R$7*T5^3</f>
        <v>23.815648335503305</v>
      </c>
      <c r="U31">
        <f>Lookups!$R$3-Lookups!$R$5*U5-Lookups!$R$6*U5^2+Lookups!$R$7*U5^3</f>
        <v>23.815710481829058</v>
      </c>
      <c r="V31">
        <f>Lookups!$R$3-Lookups!$R$5*V5-Lookups!$R$6*V5^2+Lookups!$R$7*V5^3</f>
        <v>24.159107341950222</v>
      </c>
      <c r="W31" s="8">
        <f>Lookups!$R$3-Lookups!$R$5*W5-Lookups!$R$6*W5^2+Lookups!$R$7*W5^3</f>
        <v>23.440946490658639</v>
      </c>
      <c r="X31">
        <f>Lookups!$R$3-Lookups!$R$5*X5-Lookups!$R$6*X5^2+Lookups!$R$7*X5^3</f>
        <v>23.440295305715296</v>
      </c>
      <c r="Y31">
        <f>Lookups!$R$3-Lookups!$R$5*Y5-Lookups!$R$6*Y5^2+Lookups!$R$7*Y5^3</f>
        <v>23.442265944269668</v>
      </c>
      <c r="Z31">
        <f>Lookups!$R$3-Lookups!$R$5*Z5-Lookups!$R$6*Z5^2+Lookups!$R$7*Z5^3</f>
        <v>23.433569466963803</v>
      </c>
      <c r="AA31">
        <f>Lookups!$R$3-Lookups!$R$5*AA5-Lookups!$R$6*AA5^2+Lookups!$R$7*AA5^3</f>
        <v>23.439291289128452</v>
      </c>
      <c r="AB31">
        <f>Lookups!$R$3-Lookups!$R$5*AB5-Lookups!$R$6*AB5^2+Lookups!$R$7*AB5^3</f>
        <v>23.445208860134837</v>
      </c>
      <c r="AC31">
        <f>Lookups!$R$3-Lookups!$R$5*AC5-Lookups!$R$6*AC5^2+Lookups!$R$7*AC5^3</f>
        <v>23.442039152713164</v>
      </c>
      <c r="AD31">
        <f>Lookups!$R$3-Lookups!$R$5*AD5-Lookups!$R$6*AD5^2+Lookups!$R$7*AD5^3</f>
        <v>23.4408119101974</v>
      </c>
      <c r="AE31">
        <f>Lookups!$R$3-Lookups!$R$5*AE5-Lookups!$R$6*AE5^2+Lookups!$R$7*AE5^3</f>
        <v>23.44226482236164</v>
      </c>
      <c r="AF31">
        <f>Lookups!$R$3-Lookups!$R$5*AF5-Lookups!$R$6*AF5^2+Lookups!$R$7*AF5^3</f>
        <v>23.440205585199678</v>
      </c>
      <c r="AG31">
        <f>Lookups!$R$3-Lookups!$R$5*AG5-Lookups!$R$6*AG5^2+Lookups!$R$7*AG5^3</f>
        <v>23.440229795500116</v>
      </c>
      <c r="AH31">
        <f>Lookups!$R$3-Lookups!$R$5*AH5-Lookups!$R$6*AH5^2+Lookups!$R$7*AH5^3</f>
        <v>23.440440567445425</v>
      </c>
      <c r="AI31">
        <f>Lookups!$R$3-Lookups!$R$5*AI5-Lookups!$R$6*AI5^2+Lookups!$R$7*AI5^3</f>
        <v>23.440299222086406</v>
      </c>
      <c r="AJ31">
        <f>Lookups!$R$3-Lookups!$R$5*AJ5-Lookups!$R$6*AJ5^2+Lookups!$R$7*AJ5^3</f>
        <v>23.440158588728785</v>
      </c>
      <c r="AK31">
        <f>Lookups!$R$3-Lookups!$R$5*AK5-Lookups!$R$6*AK5^2+Lookups!$R$7*AK5^3</f>
        <v>23.462954759643726</v>
      </c>
      <c r="AL31">
        <f>Lookups!$R$3-Lookups!$R$5*AL5-Lookups!$R$6*AL5^2+Lookups!$R$7*AL5^3</f>
        <v>23.440498244876739</v>
      </c>
      <c r="AM31">
        <f>Lookups!$R$3-Lookups!$R$5*AM5-Lookups!$R$6*AM5^2+Lookups!$R$7*AM5^3</f>
        <v>23.617066882569684</v>
      </c>
      <c r="AN31">
        <f>Lookups!$R$3-Lookups!$R$5*AN5-Lookups!$R$6*AN5^2+Lookups!$R$7*AN5^3</f>
        <v>23.439257109798117</v>
      </c>
      <c r="AO31">
        <f>Lookups!$R$3-Lookups!$R$5*AO5-Lookups!$R$6*AO5^2+Lookups!$R$7*AO5^3</f>
        <v>23.695150889456588</v>
      </c>
      <c r="AP31">
        <f>Lookups!$R$3-Lookups!$R$5*AP5-Lookups!$R$6*AP5^2+Lookups!$R$7*AP5^3</f>
        <v>23.436334924428511</v>
      </c>
      <c r="AQ31">
        <f>Lookups!$R$3-Lookups!$R$5*AQ5-Lookups!$R$6*AQ5^2+Lookups!$R$7*AQ5^3</f>
        <v>23.436332412406738</v>
      </c>
      <c r="AR31">
        <f>Lookups!$R$3-Lookups!$R$5*AR5-Lookups!$R$6*AR5^2+Lookups!$R$7*AR5^3</f>
        <v>23.436329954779161</v>
      </c>
      <c r="AS31">
        <f>Lookups!$R$3-Lookups!$R$5*AS5-Lookups!$R$6*AS5^2+Lookups!$R$7*AS5^3</f>
        <v>23.436327175484241</v>
      </c>
      <c r="AT31">
        <f>Lookups!$R$3-Lookups!$R$5*AT5-Lookups!$R$6*AT5^2+Lookups!$R$7*AT5^3</f>
        <v>23.436321957352519</v>
      </c>
      <c r="AU31">
        <f>Lookups!$R$3-Lookups!$R$5*AU5-Lookups!$R$6*AU5^2+Lookups!$R$7*AU5^3</f>
        <v>23.442748364818563</v>
      </c>
      <c r="AV31">
        <f>Lookups!$R$3-Lookups!$R$5*AV5-Lookups!$R$6*AV5^2+Lookups!$R$7*AV5^3</f>
        <v>23.439594630579656</v>
      </c>
      <c r="AW31">
        <f>Lookups!$R$3-Lookups!$R$5*AW5-Lookups!$R$6*AW5^2+Lookups!$R$7*AW5^3</f>
        <v>23.447742276854537</v>
      </c>
      <c r="AX31">
        <f>Lookups!$R$3-Lookups!$R$5*AX5-Lookups!$R$6*AX5^2+Lookups!$R$7*AX5^3</f>
        <v>23.444845717011781</v>
      </c>
      <c r="AY31">
        <f>Lookups!$R$3-Lookups!$R$5*AY5-Lookups!$R$6*AY5^2+Lookups!$R$7*AY5^3</f>
        <v>23.436311276315479</v>
      </c>
      <c r="AZ31">
        <f>Lookups!$R$3-Lookups!$R$5*AZ5-Lookups!$R$6*AZ5^2+Lookups!$R$7*AZ5^3</f>
        <v>23.436310920280917</v>
      </c>
      <c r="BA31">
        <f>Lookups!$R$3-Lookups!$R$5*BA5-Lookups!$R$6*BA5^2+Lookups!$R$7*BA5^3</f>
        <v>23.436310564246352</v>
      </c>
      <c r="BB31">
        <f>Lookups!$R$3-Lookups!$R$5*BB5-Lookups!$R$6*BB5^2+Lookups!$R$7*BB5^3</f>
        <v>23.43631020821179</v>
      </c>
      <c r="BC31">
        <f>Lookups!$R$3-Lookups!$R$5*BC5-Lookups!$R$6*BC5^2+Lookups!$R$7*BC5^3</f>
        <v>23.436309852177228</v>
      </c>
      <c r="BD31">
        <f>Lookups!$R$3-Lookups!$R$5*BD5-Lookups!$R$6*BD5^2+Lookups!$R$7*BD5^3</f>
        <v>23.436309496142663</v>
      </c>
      <c r="BE31">
        <f>Lookups!$R$3-Lookups!$R$5*BE5-Lookups!$R$6*BE5^2+Lookups!$R$7*BE5^3</f>
        <v>23.436309140108101</v>
      </c>
      <c r="BF31">
        <f>Lookups!$R$3-Lookups!$R$5*BF5-Lookups!$R$6*BF5^2+Lookups!$R$7*BF5^3</f>
        <v>23.436308784073535</v>
      </c>
      <c r="BG31">
        <f>Lookups!$R$3-Lookups!$R$5*BG5-Lookups!$R$6*BG5^2+Lookups!$R$7*BG5^3</f>
        <v>23.442264876178282</v>
      </c>
    </row>
    <row r="32" spans="1:59" x14ac:dyDescent="0.25">
      <c r="A32">
        <v>22.2</v>
      </c>
      <c r="B32">
        <v>147</v>
      </c>
      <c r="C32" s="4" t="s">
        <v>682</v>
      </c>
      <c r="D32" s="7" t="s">
        <v>674</v>
      </c>
      <c r="E32">
        <f t="shared" ref="E32" si="20">INT(E31)</f>
        <v>23</v>
      </c>
      <c r="F32">
        <f t="shared" ref="F32" si="21">INT(F31)</f>
        <v>23</v>
      </c>
      <c r="G32">
        <f t="shared" ref="G32" si="22">INT(G31)</f>
        <v>23</v>
      </c>
      <c r="H32">
        <f t="shared" ref="H32" si="23">INT(H31)</f>
        <v>23</v>
      </c>
      <c r="I32">
        <f t="shared" ref="I32" si="24">INT(I31)</f>
        <v>23</v>
      </c>
      <c r="J32">
        <f t="shared" ref="J32:V32" si="25">INT(J31)</f>
        <v>23</v>
      </c>
      <c r="K32">
        <f t="shared" si="25"/>
        <v>23</v>
      </c>
      <c r="L32">
        <f t="shared" si="25"/>
        <v>23</v>
      </c>
      <c r="M32">
        <f t="shared" si="25"/>
        <v>23</v>
      </c>
      <c r="N32">
        <f t="shared" si="25"/>
        <v>23</v>
      </c>
      <c r="O32">
        <f t="shared" si="25"/>
        <v>23</v>
      </c>
      <c r="P32">
        <f t="shared" si="25"/>
        <v>23</v>
      </c>
      <c r="Q32">
        <f t="shared" si="25"/>
        <v>23</v>
      </c>
      <c r="R32">
        <f t="shared" si="25"/>
        <v>23</v>
      </c>
      <c r="S32">
        <f t="shared" si="25"/>
        <v>23</v>
      </c>
      <c r="T32">
        <f t="shared" si="25"/>
        <v>23</v>
      </c>
      <c r="U32">
        <f t="shared" si="25"/>
        <v>23</v>
      </c>
      <c r="V32">
        <f t="shared" si="25"/>
        <v>24</v>
      </c>
      <c r="W32" s="8">
        <f>INT(W31)</f>
        <v>23</v>
      </c>
      <c r="X32">
        <f t="shared" ref="X32" si="26">INT(X31)</f>
        <v>23</v>
      </c>
      <c r="Y32">
        <f t="shared" ref="Y32" si="27">INT(Y31)</f>
        <v>23</v>
      </c>
      <c r="Z32">
        <f t="shared" ref="Z32" si="28">INT(Z31)</f>
        <v>23</v>
      </c>
      <c r="AA32">
        <f t="shared" ref="AA32" si="29">INT(AA31)</f>
        <v>23</v>
      </c>
      <c r="AB32">
        <f t="shared" ref="AB32" si="30">INT(AB31)</f>
        <v>23</v>
      </c>
      <c r="AC32">
        <f t="shared" ref="AC32" si="31">INT(AC31)</f>
        <v>23</v>
      </c>
      <c r="AD32">
        <f t="shared" ref="AD32" si="32">INT(AD31)</f>
        <v>23</v>
      </c>
      <c r="AE32">
        <f t="shared" ref="AE32" si="33">INT(AE31)</f>
        <v>23</v>
      </c>
      <c r="AF32">
        <f t="shared" ref="AF32" si="34">INT(AF31)</f>
        <v>23</v>
      </c>
      <c r="AG32">
        <f t="shared" ref="AG32" si="35">INT(AG31)</f>
        <v>23</v>
      </c>
      <c r="AH32">
        <f t="shared" ref="AH32" si="36">INT(AH31)</f>
        <v>23</v>
      </c>
      <c r="AI32">
        <f t="shared" ref="AI32" si="37">INT(AI31)</f>
        <v>23</v>
      </c>
      <c r="AJ32">
        <f t="shared" ref="AJ32" si="38">INT(AJ31)</f>
        <v>23</v>
      </c>
      <c r="AK32">
        <f t="shared" ref="AK32" si="39">INT(AK31)</f>
        <v>23</v>
      </c>
      <c r="AL32">
        <f t="shared" ref="AL32" si="40">INT(AL31)</f>
        <v>23</v>
      </c>
      <c r="AM32">
        <f t="shared" ref="AM32" si="41">INT(AM31)</f>
        <v>23</v>
      </c>
      <c r="AN32">
        <f t="shared" ref="AN32" si="42">INT(AN31)</f>
        <v>23</v>
      </c>
      <c r="AO32">
        <f t="shared" ref="AO32" si="43">INT(AO31)</f>
        <v>23</v>
      </c>
      <c r="AP32">
        <f t="shared" ref="AP32" si="44">INT(AP31)</f>
        <v>23</v>
      </c>
      <c r="AQ32">
        <f t="shared" ref="AQ32" si="45">INT(AQ31)</f>
        <v>23</v>
      </c>
      <c r="AR32">
        <f t="shared" ref="AR32" si="46">INT(AR31)</f>
        <v>23</v>
      </c>
      <c r="AS32">
        <f t="shared" ref="AS32" si="47">INT(AS31)</f>
        <v>23</v>
      </c>
      <c r="AT32">
        <f t="shared" ref="AT32" si="48">INT(AT31)</f>
        <v>23</v>
      </c>
      <c r="AU32">
        <f t="shared" ref="AU32" si="49">INT(AU31)</f>
        <v>23</v>
      </c>
      <c r="AV32">
        <f t="shared" ref="AV32" si="50">INT(AV31)</f>
        <v>23</v>
      </c>
      <c r="AW32">
        <f t="shared" ref="AW32" si="51">INT(AW31)</f>
        <v>23</v>
      </c>
      <c r="AX32">
        <f t="shared" ref="AX32" si="52">INT(AX31)</f>
        <v>23</v>
      </c>
      <c r="AY32">
        <f t="shared" ref="AY32" si="53">INT(AY31)</f>
        <v>23</v>
      </c>
      <c r="AZ32">
        <f t="shared" ref="AZ32" si="54">INT(AZ31)</f>
        <v>23</v>
      </c>
      <c r="BA32">
        <f t="shared" ref="BA32" si="55">INT(BA31)</f>
        <v>23</v>
      </c>
      <c r="BB32">
        <f t="shared" ref="BB32" si="56">INT(BB31)</f>
        <v>23</v>
      </c>
      <c r="BC32">
        <f t="shared" ref="BC32" si="57">INT(BC31)</f>
        <v>23</v>
      </c>
      <c r="BD32">
        <f t="shared" ref="BD32" si="58">INT(BD31)</f>
        <v>23</v>
      </c>
      <c r="BE32">
        <f t="shared" ref="BE32" si="59">INT(BE31)</f>
        <v>23</v>
      </c>
      <c r="BF32">
        <f t="shared" ref="BF32" si="60">INT(BF31)</f>
        <v>23</v>
      </c>
      <c r="BG32">
        <f t="shared" ref="BG32" si="61">INT(BG31)</f>
        <v>23</v>
      </c>
    </row>
    <row r="33" spans="1:59" x14ac:dyDescent="0.25">
      <c r="D33" s="7" t="s">
        <v>675</v>
      </c>
      <c r="E33">
        <f t="shared" ref="E33" si="62">INT((E31-E32)*60)</f>
        <v>26</v>
      </c>
      <c r="F33">
        <f t="shared" ref="F33" si="63">INT((F31-F32)*60)</f>
        <v>39</v>
      </c>
      <c r="G33">
        <f t="shared" ref="G33" si="64">INT((G31-G32)*60)</f>
        <v>26</v>
      </c>
      <c r="H33">
        <f t="shared" ref="H33" si="65">INT((H31-H32)*60)</f>
        <v>26</v>
      </c>
      <c r="I33">
        <f t="shared" ref="I33" si="66">INT((I31-I32)*60)</f>
        <v>26</v>
      </c>
      <c r="J33">
        <f t="shared" ref="J33:V33" si="67">INT((J31-J32)*60)</f>
        <v>26</v>
      </c>
      <c r="K33">
        <f t="shared" si="67"/>
        <v>26</v>
      </c>
      <c r="L33">
        <f t="shared" si="67"/>
        <v>26</v>
      </c>
      <c r="M33">
        <f t="shared" si="67"/>
        <v>27</v>
      </c>
      <c r="N33">
        <f t="shared" si="67"/>
        <v>29</v>
      </c>
      <c r="O33">
        <f t="shared" si="67"/>
        <v>29</v>
      </c>
      <c r="P33">
        <f t="shared" si="67"/>
        <v>35</v>
      </c>
      <c r="Q33">
        <f t="shared" si="67"/>
        <v>42</v>
      </c>
      <c r="R33">
        <f t="shared" si="67"/>
        <v>42</v>
      </c>
      <c r="S33">
        <f t="shared" si="67"/>
        <v>48</v>
      </c>
      <c r="T33">
        <f t="shared" si="67"/>
        <v>48</v>
      </c>
      <c r="U33">
        <f t="shared" si="67"/>
        <v>48</v>
      </c>
      <c r="V33">
        <f t="shared" si="67"/>
        <v>9</v>
      </c>
      <c r="W33" s="8">
        <f>INT((W31-W32)*60)</f>
        <v>26</v>
      </c>
      <c r="X33">
        <f t="shared" ref="X33" si="68">INT((X31-X32)*60)</f>
        <v>26</v>
      </c>
      <c r="Y33">
        <f t="shared" ref="Y33" si="69">INT((Y31-Y32)*60)</f>
        <v>26</v>
      </c>
      <c r="Z33">
        <f t="shared" ref="Z33" si="70">INT((Z31-Z32)*60)</f>
        <v>26</v>
      </c>
      <c r="AA33">
        <f t="shared" ref="AA33" si="71">INT((AA31-AA32)*60)</f>
        <v>26</v>
      </c>
      <c r="AB33">
        <f t="shared" ref="AB33" si="72">INT((AB31-AB32)*60)</f>
        <v>26</v>
      </c>
      <c r="AC33">
        <f t="shared" ref="AC33" si="73">INT((AC31-AC32)*60)</f>
        <v>26</v>
      </c>
      <c r="AD33">
        <f t="shared" ref="AD33" si="74">INT((AD31-AD32)*60)</f>
        <v>26</v>
      </c>
      <c r="AE33">
        <f t="shared" ref="AE33" si="75">INT((AE31-AE32)*60)</f>
        <v>26</v>
      </c>
      <c r="AF33">
        <f t="shared" ref="AF33" si="76">INT((AF31-AF32)*60)</f>
        <v>26</v>
      </c>
      <c r="AG33">
        <f t="shared" ref="AG33" si="77">INT((AG31-AG32)*60)</f>
        <v>26</v>
      </c>
      <c r="AH33">
        <f t="shared" ref="AH33" si="78">INT((AH31-AH32)*60)</f>
        <v>26</v>
      </c>
      <c r="AI33">
        <f t="shared" ref="AI33" si="79">INT((AI31-AI32)*60)</f>
        <v>26</v>
      </c>
      <c r="AJ33">
        <f t="shared" ref="AJ33" si="80">INT((AJ31-AJ32)*60)</f>
        <v>26</v>
      </c>
      <c r="AK33">
        <f t="shared" ref="AK33" si="81">INT((AK31-AK32)*60)</f>
        <v>27</v>
      </c>
      <c r="AL33">
        <f t="shared" ref="AL33" si="82">INT((AL31-AL32)*60)</f>
        <v>26</v>
      </c>
      <c r="AM33">
        <f t="shared" ref="AM33" si="83">INT((AM31-AM32)*60)</f>
        <v>37</v>
      </c>
      <c r="AN33">
        <f t="shared" ref="AN33" si="84">INT((AN31-AN32)*60)</f>
        <v>26</v>
      </c>
      <c r="AO33">
        <f t="shared" ref="AO33" si="85">INT((AO31-AO32)*60)</f>
        <v>41</v>
      </c>
      <c r="AP33">
        <f t="shared" ref="AP33" si="86">INT((AP31-AP32)*60)</f>
        <v>26</v>
      </c>
      <c r="AQ33">
        <f t="shared" ref="AQ33" si="87">INT((AQ31-AQ32)*60)</f>
        <v>26</v>
      </c>
      <c r="AR33">
        <f t="shared" ref="AR33" si="88">INT((AR31-AR32)*60)</f>
        <v>26</v>
      </c>
      <c r="AS33">
        <f t="shared" ref="AS33" si="89">INT((AS31-AS32)*60)</f>
        <v>26</v>
      </c>
      <c r="AT33">
        <f t="shared" ref="AT33" si="90">INT((AT31-AT32)*60)</f>
        <v>26</v>
      </c>
      <c r="AU33">
        <f t="shared" ref="AU33" si="91">INT((AU31-AU32)*60)</f>
        <v>26</v>
      </c>
      <c r="AV33">
        <f t="shared" ref="AV33" si="92">INT((AV31-AV32)*60)</f>
        <v>26</v>
      </c>
      <c r="AW33">
        <f t="shared" ref="AW33" si="93">INT((AW31-AW32)*60)</f>
        <v>26</v>
      </c>
      <c r="AX33">
        <f t="shared" ref="AX33" si="94">INT((AX31-AX32)*60)</f>
        <v>26</v>
      </c>
      <c r="AY33">
        <f t="shared" ref="AY33" si="95">INT((AY31-AY32)*60)</f>
        <v>26</v>
      </c>
      <c r="AZ33">
        <f t="shared" ref="AZ33" si="96">INT((AZ31-AZ32)*60)</f>
        <v>26</v>
      </c>
      <c r="BA33">
        <f t="shared" ref="BA33" si="97">INT((BA31-BA32)*60)</f>
        <v>26</v>
      </c>
      <c r="BB33">
        <f t="shared" ref="BB33" si="98">INT((BB31-BB32)*60)</f>
        <v>26</v>
      </c>
      <c r="BC33">
        <f t="shared" ref="BC33" si="99">INT((BC31-BC32)*60)</f>
        <v>26</v>
      </c>
      <c r="BD33">
        <f t="shared" ref="BD33" si="100">INT((BD31-BD32)*60)</f>
        <v>26</v>
      </c>
      <c r="BE33">
        <f t="shared" ref="BE33" si="101">INT((BE31-BE32)*60)</f>
        <v>26</v>
      </c>
      <c r="BF33">
        <f t="shared" ref="BF33" si="102">INT((BF31-BF32)*60)</f>
        <v>26</v>
      </c>
      <c r="BG33">
        <f t="shared" ref="BG33" si="103">INT((BG31-BG32)*60)</f>
        <v>26</v>
      </c>
    </row>
    <row r="34" spans="1:59" x14ac:dyDescent="0.25">
      <c r="A34">
        <v>22.3</v>
      </c>
      <c r="B34">
        <v>147</v>
      </c>
      <c r="C34" t="s">
        <v>665</v>
      </c>
      <c r="D34" s="7" t="s">
        <v>676</v>
      </c>
      <c r="E34" s="38">
        <f t="shared" ref="E34" si="104">(E31-E32-E33/60)*3600</f>
        <v>41.223093386641892</v>
      </c>
      <c r="F34" s="38">
        <f t="shared" ref="F34" si="105">(F31-F32-F33/60)*3600</f>
        <v>13.242257539967772</v>
      </c>
      <c r="G34" s="38">
        <f t="shared" ref="G34" si="106">(G31-G32-G33/60)*3600</f>
        <v>21.447999999997425</v>
      </c>
      <c r="H34" s="38">
        <f t="shared" ref="H34" si="107">(H31-H32-H33/60)*3600</f>
        <v>21.916470370320784</v>
      </c>
      <c r="I34" s="38">
        <f t="shared" ref="I34" si="108">(I31-I32-I33/60)*3600</f>
        <v>27.500931803354778</v>
      </c>
      <c r="J34" s="38">
        <f t="shared" ref="J34:V34" si="109">(J31-J32-J33/60)*3600</f>
        <v>27.317005224747337</v>
      </c>
      <c r="K34" s="38">
        <f t="shared" si="109"/>
        <v>27.033104540499497</v>
      </c>
      <c r="L34" s="38">
        <f t="shared" si="109"/>
        <v>26.847896144168093</v>
      </c>
      <c r="M34" s="38">
        <f t="shared" si="109"/>
        <v>8.2599562133540481</v>
      </c>
      <c r="N34" s="38">
        <f t="shared" si="109"/>
        <v>28.579329967315047</v>
      </c>
      <c r="O34" s="38">
        <f t="shared" si="109"/>
        <v>28.112414950303432</v>
      </c>
      <c r="P34" s="38">
        <f t="shared" si="109"/>
        <v>22.832781451381699</v>
      </c>
      <c r="Q34" s="38">
        <f t="shared" si="109"/>
        <v>37.258629714016408</v>
      </c>
      <c r="R34" s="38">
        <f t="shared" si="109"/>
        <v>37.257415725759287</v>
      </c>
      <c r="S34" s="38">
        <f t="shared" si="109"/>
        <v>56.179767357964309</v>
      </c>
      <c r="T34" s="38">
        <f t="shared" si="109"/>
        <v>56.334007811896484</v>
      </c>
      <c r="U34" s="38">
        <f t="shared" si="109"/>
        <v>56.557734584607559</v>
      </c>
      <c r="V34" s="38">
        <f t="shared" si="109"/>
        <v>32.786431020797714</v>
      </c>
      <c r="W34" s="12">
        <f>(W31-W32-W33/60)*3600</f>
        <v>27.407366371101549</v>
      </c>
      <c r="X34" s="38">
        <f t="shared" ref="X34" si="110">(X31-X32-X33/60)*3600</f>
        <v>25.063100575064201</v>
      </c>
      <c r="Y34" s="38">
        <f t="shared" ref="Y34" si="111">(Y31-Y32-Y33/60)*3600</f>
        <v>32.15739937080366</v>
      </c>
      <c r="Z34" s="38">
        <f t="shared" ref="Z34" si="112">(Z31-Z32-Z33/60)*3600</f>
        <v>0.85008106969093333</v>
      </c>
      <c r="AA34" s="38">
        <f t="shared" ref="AA34" si="113">(AA31-AA32-AA33/60)*3600</f>
        <v>21.448640862426149</v>
      </c>
      <c r="AB34" s="38">
        <f t="shared" ref="AB34" si="114">(AB31-AB32-AB33/60)*3600</f>
        <v>42.751896485413795</v>
      </c>
      <c r="AC34" s="38">
        <f t="shared" ref="AC34" si="115">(AC31-AC32-AC33/60)*3600</f>
        <v>31.340949767391013</v>
      </c>
      <c r="AD34" s="38">
        <f t="shared" ref="AD34" si="116">(AD31-AD32-AD33/60)*3600</f>
        <v>26.922876710640598</v>
      </c>
      <c r="AE34" s="38">
        <f t="shared" ref="AE34" si="117">(AE31-AE32-AE33/60)*3600</f>
        <v>32.153360501903535</v>
      </c>
      <c r="AF34" s="38">
        <f t="shared" ref="AF34" si="118">(AF31-AF32-AF33/60)*3600</f>
        <v>24.740106718839971</v>
      </c>
      <c r="AG34" s="38">
        <f t="shared" ref="AG34" si="119">(AG31-AG32-AG33/60)*3600</f>
        <v>24.827263800417487</v>
      </c>
      <c r="AH34" s="38">
        <f t="shared" ref="AH34" si="120">(AH31-AH32-AH33/60)*3600</f>
        <v>25.586042803528475</v>
      </c>
      <c r="AI34" s="38">
        <f t="shared" ref="AI34" si="121">(AI31-AI32-AI33/60)*3600</f>
        <v>25.077199511060488</v>
      </c>
      <c r="AJ34" s="38">
        <f t="shared" ref="AJ34" si="122">(AJ31-AJ32-AJ33/60)*3600</f>
        <v>24.570919423626325</v>
      </c>
      <c r="AK34" s="38">
        <f t="shared" ref="AK34" si="123">(AK31-AK32-AK33/60)*3600</f>
        <v>46.637134717411996</v>
      </c>
      <c r="AL34" s="38">
        <f t="shared" ref="AL34" si="124">(AL31-AL32-AL33/60)*3600</f>
        <v>25.793681556260939</v>
      </c>
      <c r="AM34" s="38">
        <f t="shared" ref="AM34" si="125">(AM31-AM32-AM33/60)*3600</f>
        <v>1.4407772508635119</v>
      </c>
      <c r="AN34" s="38">
        <f t="shared" ref="AN34" si="126">(AN31-AN32-AN33/60)*3600</f>
        <v>21.325595273220532</v>
      </c>
      <c r="AO34" s="38">
        <f t="shared" ref="AO34" si="127">(AO31-AO32-AO33/60)*3600</f>
        <v>42.543202043717883</v>
      </c>
      <c r="AP34" s="38">
        <f t="shared" ref="AP34" si="128">(AP31-AP32-AP33/60)*3600</f>
        <v>10.805727942639809</v>
      </c>
      <c r="AQ34" s="38">
        <f t="shared" ref="AQ34" si="129">(AQ31-AQ32-AQ33/60)*3600</f>
        <v>10.796684664257672</v>
      </c>
      <c r="AR34" s="38">
        <f t="shared" ref="AR34" si="130">(AR31-AR32-AR33/60)*3600</f>
        <v>10.787837204980466</v>
      </c>
      <c r="AS34" s="38">
        <f t="shared" ref="AS34" si="131">(AS31-AS32-AS33/60)*3600</f>
        <v>10.777831743266919</v>
      </c>
      <c r="AT34" s="38">
        <f t="shared" ref="AT34" si="132">(AT31-AT32-AT33/60)*3600</f>
        <v>10.759046469066735</v>
      </c>
      <c r="AU34" s="38">
        <f t="shared" ref="AU34" si="133">(AU31-AU32-AU33/60)*3600</f>
        <v>33.894113346826146</v>
      </c>
      <c r="AV34" s="38">
        <f t="shared" ref="AV34" si="134">(AV31-AV32-AV33/60)*3600</f>
        <v>22.540670086760262</v>
      </c>
      <c r="AW34" s="38">
        <f t="shared" ref="AW34" si="135">(AW31-AW32-AW33/60)*3600</f>
        <v>51.872196676334511</v>
      </c>
      <c r="AX34" s="38">
        <f t="shared" ref="AX34" si="136">(AX31-AX32-AX33/60)*3600</f>
        <v>41.444581242409924</v>
      </c>
      <c r="AY34" s="38">
        <f t="shared" ref="AY34" si="137">(AY31-AY32-AY33/60)*3600</f>
        <v>10.720594735723754</v>
      </c>
      <c r="AZ34" s="38">
        <f t="shared" ref="AZ34" si="138">(AZ31-AZ32-AZ33/60)*3600</f>
        <v>10.719313011301157</v>
      </c>
      <c r="BA34" s="38">
        <f t="shared" ref="BA34" si="139">(BA31-BA32-BA33/60)*3600</f>
        <v>10.71803128686577</v>
      </c>
      <c r="BB34" s="38">
        <f t="shared" ref="BB34" si="140">(BB31-BB32-BB33/60)*3600</f>
        <v>10.716749562443173</v>
      </c>
      <c r="BC34" s="38">
        <f t="shared" ref="BC34" si="141">(BC31-BC32-BC33/60)*3600</f>
        <v>10.715467838020576</v>
      </c>
      <c r="BD34" s="38">
        <f t="shared" ref="BD34" si="142">(BD31-BD32-BD33/60)*3600</f>
        <v>10.714186113585189</v>
      </c>
      <c r="BE34" s="38">
        <f t="shared" ref="BE34" si="143">(BE31-BE32-BE33/60)*3600</f>
        <v>10.712904389162592</v>
      </c>
      <c r="BF34" s="38">
        <f t="shared" ref="BF34" si="144">(BF31-BF32-BF33/60)*3600</f>
        <v>10.711622664727205</v>
      </c>
      <c r="BG34" s="38">
        <f t="shared" ref="BG34" si="145">(BG31-BG32-BG33/60)*3600</f>
        <v>32.153554241814049</v>
      </c>
    </row>
    <row r="35" spans="1:59" x14ac:dyDescent="0.25">
      <c r="C35" s="4" t="s">
        <v>666</v>
      </c>
      <c r="E35" s="341" t="s">
        <v>685</v>
      </c>
      <c r="F35" s="341"/>
      <c r="G35" s="341"/>
      <c r="H35" s="341"/>
      <c r="I35" s="341"/>
      <c r="V35" s="8" t="s">
        <v>677</v>
      </c>
      <c r="W35" s="19" t="s">
        <v>674</v>
      </c>
      <c r="X35" s="207" t="s">
        <v>675</v>
      </c>
      <c r="Y35" s="19" t="s">
        <v>676</v>
      </c>
    </row>
    <row r="36" spans="1:59" x14ac:dyDescent="0.25">
      <c r="C36" t="s">
        <v>670</v>
      </c>
      <c r="E36" s="341" t="s">
        <v>684</v>
      </c>
      <c r="F36" s="341"/>
      <c r="G36" s="341"/>
      <c r="H36" s="341"/>
      <c r="I36" s="341"/>
      <c r="V36" s="209">
        <f>W36+X36/60+Y36/3600</f>
        <v>23.440946388888889</v>
      </c>
      <c r="W36" s="208">
        <v>23</v>
      </c>
      <c r="X36" s="208">
        <v>26</v>
      </c>
      <c r="Y36" s="208">
        <v>27.407</v>
      </c>
    </row>
    <row r="37" spans="1:59" x14ac:dyDescent="0.25">
      <c r="C37" t="s">
        <v>671</v>
      </c>
      <c r="D37" s="90" t="s">
        <v>686</v>
      </c>
      <c r="E37">
        <f>Lookups!$R$3-Lookups!$R$4*E29-1.55*E29^2+ 1999.25 *E29^3 - 51.38 *E29^4    - 249.67 *E29^5 - 39.05 *E29^6    + 7.12 *E29^7 + 27.87 *E29^8  + 5.79 *E29^9 + 2.45 *E29^10</f>
        <v>23.444605227982855</v>
      </c>
      <c r="F37">
        <f>Lookups!$R$3-Lookups!$R$4*F29-1.55*F29^2+ 1999.25 *F29^3 - 51.38 *F29^4    - 249.67 *F29^5 - 39.05 *F29^6    + 7.12 *F29^7 + 27.87 *F29^8  + 5.79 *F29^9 + 2.45 *F29^10</f>
        <v>14.345050937095378</v>
      </c>
      <c r="G37">
        <f>Lookups!$R$3-Lookups!$R$4*G29-1.55*G29^2+ 1999.25 *G29^3 - 51.38 *G29^4    - 249.67 *G29^5 - 39.05 *G29^6    + 7.12 *G29^7 + 27.87 *G29^8  + 5.79 *G29^9 + 2.45 *G29^10</f>
        <v>23.43929111111111</v>
      </c>
      <c r="H37">
        <f>Lookups!$R$3-Lookups!$R$4*H29-1.55*H29^2+ 1999.25 *H29^3 - 51.38 *H29^4    - 249.67 *H29^5 - 39.05 *H29^6    + 7.12 *H29^7 + 27.87 *H29^8  + 5.79 *H29^9 + 2.45 *H29^10</f>
        <v>23.439421208417688</v>
      </c>
      <c r="I37">
        <f>Lookups!$R$3-Lookups!$R$4*I29-1.55*I29^2+ 1999.25 *I29^3 - 51.38 *I29^4    - 249.67 *I29^5 - 39.05 *I29^6    + 7.12 *I29^7 + 27.87 *I29^8  + 5.79 *I29^9 + 2.45 *I29^10</f>
        <v>23.440965367580095</v>
      </c>
      <c r="J37">
        <f>Lookups!$R$3-Lookups!$R$4*J29-1.55*J29^2+ 1999.25 *J29^3 - 51.38 *J29^4    - 249.67 *J29^5 - 39.05 *J29^6    + 7.12 *J29^7 + 27.87 *J29^8  + 5.79 *J29^9 + 2.45 *J29^10</f>
        <v>23.440914819997129</v>
      </c>
      <c r="K37">
        <f>Lookups!$R$3-Lookups!$R$4*K29-1.55*K29^2+ 1999.25 *K29^3 - 51.38 *K29^4    - 249.67 *K29^5 - 39.05 *K29^6    + 7.12 *K29^7 + 27.87 *K29^8  + 5.79 *K29^9 + 2.45 *K29^10</f>
        <v>23.440836742367996</v>
      </c>
      <c r="L37">
        <f>Lookups!$R$3-Lookups!$R$4*L29-1.55*L29^2+ 1999.25 *L29^3 - 51.38 *L29^4    - 249.67 *L29^5 - 39.05 *L29^6    + 7.12 *L29^7 + 27.87 *L29^8  + 5.79 *L29^9 + 2.45 *L29^10</f>
        <v>23.440785772169306</v>
      </c>
      <c r="M37">
        <f>Lookups!$R$3-Lookups!$R$4*M29-1.55*M29^2+ 1999.25 *M29^3 - 51.38 *M29^4    - 249.67 *M29^5 - 39.05 *M29^6    + 7.12 *M29^7 + 27.87 *M29^8  + 5.79 *M29^9 + 2.45 *M29^10</f>
        <v>23.450138863948208</v>
      </c>
      <c r="N37">
        <f>Lookups!$R$3-Lookups!$R$4*N29-1.55*N29^2+ 1999.25 *N29^3 - 51.38 *N29^4    - 249.67 *N29^5 - 39.05 *N29^6    + 7.12 *N29^7 + 27.87 *N29^8  + 5.79 *N29^9 + 2.45 *N29^10</f>
        <v>23.360769086909929</v>
      </c>
      <c r="O37">
        <f>Lookups!$R$3-Lookups!$R$4*O29-1.55*O29^2+ 1999.25 *O29^3 - 51.38 *O29^4    - 249.67 *O29^5 - 39.05 *O29^6    + 7.12 *O29^7 + 27.87 *O29^8  + 5.79 *O29^9 + 2.45 *O29^10</f>
        <v>23.36160907655519</v>
      </c>
      <c r="P37">
        <f>Lookups!$R$3-Lookups!$R$4*P29-1.55*P29^2+ 1999.25 *P29^3 - 51.38 *P29^4    - 249.67 *P29^5 - 39.05 *P29^6    + 7.12 *P29^7 + 27.87 *P29^8  + 5.79 *P29^9 + 2.45 *P29^10</f>
        <v>20.422938507801511</v>
      </c>
      <c r="Q37">
        <f>Lookups!$R$3-Lookups!$R$4*Q29-1.55*Q29^2+ 1999.25 *Q29^3 - 51.38 *Q29^4    - 249.67 *Q29^5 - 39.05 *Q29^6    + 7.12 *Q29^7 + 27.87 *Q29^8  + 5.79 *Q29^9 + 2.45 *Q29^10</f>
        <v>4.5428723768051116</v>
      </c>
      <c r="R37">
        <f>Lookups!$R$3-Lookups!$R$4*R29-1.55*R29^2+ 1999.25 *R29^3 - 51.38 *R29^4    - 249.67 *R29^5 - 39.05 *R29^6    + 7.12 *R29^7 + 27.87 *R29^8  + 5.79 *R29^9 + 2.45 *R29^10</f>
        <v>4.5429460125274872</v>
      </c>
      <c r="S37">
        <f>Lookups!$R$3-Lookups!$R$4*S29-1.55*S29^2+ 1999.25 *S29^3 - 51.38 *S29^4    - 249.67 *S29^5 - 39.05 *S29^6    + 7.12 *S29^7 + 27.87 *S29^8  + 5.79 *S29^9 + 2.45 *S29^10</f>
        <v>-30.097464650807513</v>
      </c>
      <c r="T37">
        <f>Lookups!$R$3-Lookups!$R$4*T29-1.55*T29^2+ 1999.25 *T29^3 - 51.38 *T29^4    - 249.67 *T29^5 - 39.05 *T29^6    + 7.12 *T29^7 + 27.87 *T29^8  + 5.79 *T29^9 + 2.45 *T29^10</f>
        <v>-30.117176232733527</v>
      </c>
      <c r="U37">
        <f>Lookups!$R$3-Lookups!$R$4*U29-1.55*U29^2+ 1999.25 *U29^3 - 51.38 *U29^4    - 249.67 *U29^5 - 39.05 *U29^6    + 7.12 *U29^7 + 27.87 *U29^8  + 5.79 *U29^9 + 2.45 *U29^10</f>
        <v>-30.145777529162469</v>
      </c>
      <c r="V37">
        <f>Lookups!$R$3-Lookups!$R$4*V29-1.55*V29^2+ 1999.25 *V29^3 - 51.38 *V29^4    - 249.67 *V29^5 - 39.05 *V29^6    + 7.12 *V29^7 + 27.87 *V29^8  + 5.79 *V29^9 + 2.45 *V29^10</f>
        <v>-560.30490307645698</v>
      </c>
      <c r="W37" s="8">
        <f>Lookups!$R$3-Lookups!$R$4*W29-1.55*W29^2+ 1999.25 *W29^3 - 51.38 *W29^4    - 249.67 *W29^5 - 39.05 *W29^6    + 7.12 *W29^7 + 27.87 *W29^8  + 5.79 *W29^9 + 2.45 *W29^10</f>
        <v>23.440939657022668</v>
      </c>
      <c r="X37">
        <f>Lookups!$R$3-Lookups!$R$4*X29-1.55*X29^2+ 1999.25 *X29^3 - 51.38 *X29^4    - 249.67 *X29^5 - 39.05 *X29^6    + 7.12 *X29^7 + 27.87 *X29^8  + 5.79 *X29^9 + 2.45 *X29^10</f>
        <v>23.440293339751779</v>
      </c>
      <c r="Y37">
        <f>Lookups!$R$3-Lookups!$R$4*Y29-1.55*Y29^2+ 1999.25 *Y29^3 - 51.38 *Y29^4    - 249.67 *Y29^5 - 39.05 *Y29^6    + 7.12 *Y29^7 + 27.87 *Y29^8  + 5.79 *Y29^9 + 2.45 *Y29^10</f>
        <v>23.442233549956747</v>
      </c>
      <c r="Z37">
        <f>Lookups!$R$3-Lookups!$R$4*Z29-1.55*Z29^2+ 1999.25 *Z29^3 - 51.38 *Z29^4    - 249.67 *Z29^5 - 39.05 *Z29^6    + 7.12 *Z29^7 + 27.87 *Z29^8  + 5.79 *Z29^9 + 2.45 *Z29^10</f>
        <v>23.433710414857028</v>
      </c>
      <c r="AA37">
        <f>Lookups!$R$3-Lookups!$R$4*AA29-1.55*AA29^2+ 1999.25 *AA29^3 - 51.38 *AA29^4    - 249.67 *AA29^5 - 39.05 *AA29^6    + 7.12 *AA29^7 + 27.87 *AA29^8  + 5.79 *AA29^9 + 2.45 *AA29^10</f>
        <v>23.439291289106748</v>
      </c>
      <c r="AB37">
        <f>Lookups!$R$3-Lookups!$R$4*AB29-1.55*AB29^2+ 1999.25 *AB29^3 - 51.38 *AB29^4    - 249.67 *AB29^5 - 39.05 *AB29^6    + 7.12 *AB29^7 + 27.87 *AB29^8  + 5.79 *AB29^9 + 2.45 *AB29^10</f>
        <v>23.444987689089125</v>
      </c>
      <c r="AC37">
        <f>Lookups!$R$3-Lookups!$R$4*AC29-1.55*AC29^2+ 1999.25 *AC29^3 - 51.38 *AC29^4    - 249.67 *AC29^5 - 39.05 *AC29^6    + 7.12 *AC29^7 + 27.87 *AC29^8  + 5.79 *AC29^9 + 2.45 *AC29^10</f>
        <v>23.442013040744456</v>
      </c>
      <c r="AD37">
        <f>Lookups!$R$3-Lookups!$R$4*AD29-1.55*AD29^2+ 1999.25 *AD29^3 - 51.38 *AD29^4    - 249.67 *AD29^5 - 39.05 *AD29^6    + 7.12 *AD29^7 + 27.87 *AD29^8  + 5.79 *AD29^9 + 2.45 *AD29^10</f>
        <v>23.440806410398768</v>
      </c>
      <c r="AE37">
        <f>Lookups!$R$3-Lookups!$R$4*AE29-1.55*AE29^2+ 1999.25 *AE29^3 - 51.38 *AE29^4    - 249.67 *AE29^5 - 39.05 *AE29^6    + 7.12 *AE29^7 + 27.87 *AE29^8  + 5.79 *AE29^9 + 2.45 *AE29^10</f>
        <v>23.442232461359964</v>
      </c>
      <c r="AF37">
        <f>Lookups!$R$3-Lookups!$R$4*AF29-1.55*AF29^2+ 1999.25 *AF29^3 - 51.38 *AF29^4    - 249.67 *AF29^5 - 39.05 *AF29^6    + 7.12 *AF29^7 + 27.87 *AF29^8  + 5.79 *AF29^9 + 2.45 *AF29^10</f>
        <v>23.440204013092547</v>
      </c>
      <c r="AG37">
        <f>Lookups!$R$3-Lookups!$R$4*AG29-1.55*AG29^2+ 1999.25 *AG29^3 - 51.38 *AG29^4    - 249.67 *AG29^5 - 39.05 *AG29^6    + 7.12 *AG29^7 + 27.87 *AG29^8  + 5.79 *AG29^9 + 2.45 *AG29^10</f>
        <v>23.440228122685557</v>
      </c>
      <c r="AH37">
        <f>Lookups!$R$3-Lookups!$R$4*AH29-1.55*AH29^2+ 1999.25 *AH29^3 - 51.38 *AH29^4    - 249.67 *AH29^5 - 39.05 *AH29^6    + 7.12 *AH29^7 + 27.87 *AH29^8  + 5.79 *AH29^9 + 2.45 *AH29^10</f>
        <v>23.440437837366673</v>
      </c>
      <c r="AI37">
        <f>Lookups!$R$3-Lookups!$R$4*AI29-1.55*AI29^2+ 1999.25 *AI29^3 - 51.38 *AI29^4    - 249.67 *AI29^5 - 39.05 *AI29^6    + 7.12 *AI29^7 + 27.87 *AI29^8  + 5.79 *AI29^9 + 2.45 *AI29^10</f>
        <v>23.440297237619429</v>
      </c>
      <c r="AJ37">
        <f>Lookups!$R$3-Lookups!$R$4*AJ29-1.55*AJ29^2+ 1999.25 *AJ29^3 - 51.38 *AJ29^4    - 249.67 *AJ29^5 - 39.05 *AJ29^6    + 7.12 *AJ29^7 + 27.87 *AJ29^8  + 5.79 *AJ29^9 + 2.45 *AJ29^10</f>
        <v>23.440157200773193</v>
      </c>
      <c r="AK37">
        <f>Lookups!$R$3-Lookups!$R$4*AK29-1.55*AK29^2+ 1999.25 *AK29^3 - 51.38 *AK29^4    - 249.67 *AK29^5 - 39.05 *AK29^6    + 7.12 *AK29^7 + 27.87 *AK29^8  + 5.79 *AK29^9 + 2.45 *AK29^10</f>
        <v>23.450384839613061</v>
      </c>
      <c r="AL37">
        <f>Lookups!$R$3-Lookups!$R$4*AL29-1.55*AL29^2+ 1999.25 *AL29^3 - 51.38 *AL29^4    - 249.67 *AL29^5 - 39.05 *AL29^6    + 7.12 *AL29^7 + 27.87 *AL29^8  + 5.79 *AL29^9 + 2.45 *AL29^10</f>
        <v>23.4404951649264</v>
      </c>
      <c r="AM37">
        <f>Lookups!$R$3-Lookups!$R$4*AM29-1.55*AM29^2+ 1999.25 *AM29^3 - 51.38 *AM29^4    - 249.67 *AM29^5 - 39.05 *AM29^6    + 7.12 *AM29^7 + 27.87 *AM29^8  + 5.79 *AM29^9 + 2.45 *AM29^10</f>
        <v>18.357750635309117</v>
      </c>
      <c r="AN37">
        <f>Lookups!$R$3-Lookups!$R$4*AN29-1.55*AN29^2+ 1999.25 *AN29^3 - 51.38 *AN29^4    - 249.67 *AN29^5 - 39.05 *AN29^6    + 7.12 *AN29^7 + 27.87 *AN29^8  + 5.79 *AN29^9 + 2.45 *AN29^10</f>
        <v>23.439257112915179</v>
      </c>
      <c r="AO37">
        <f>Lookups!$R$3-Lookups!$R$4*AO29-1.55*AO29^2+ 1999.25 *AO29^3 - 51.38 *AO29^4    - 249.67 *AO29^5 - 39.05 *AO29^6    + 7.12 *AO29^7 + 27.87 *AO29^8  + 5.79 *AO29^9 + 2.45 *AO29^10</f>
        <v>7.6633873905211045</v>
      </c>
      <c r="AP37">
        <f>Lookups!$R$3-Lookups!$R$4*AP29-1.55*AP29^2+ 1999.25 *AP29^3 - 51.38 *AP29^4    - 249.67 *AP29^5 - 39.05 *AP29^6    + 7.12 *AP29^7 + 27.87 *AP29^8  + 5.79 *AP29^9 + 2.45 *AP29^10</f>
        <v>23.436350761846263</v>
      </c>
      <c r="AQ37">
        <f>Lookups!$R$3-Lookups!$R$4*AQ29-1.55*AQ29^2+ 1999.25 *AQ29^3 - 51.38 *AQ29^4    - 249.67 *AQ29^5 - 39.05 *AQ29^6    + 7.12 *AQ29^7 + 27.87 *AQ29^8  + 5.79 *AQ29^9 + 2.45 *AQ29^10</f>
        <v>23.436348296429586</v>
      </c>
      <c r="AR37">
        <f>Lookups!$R$3-Lookups!$R$4*AR29-1.55*AR29^2+ 1999.25 *AR29^3 - 51.38 *AR29^4    - 249.67 *AR29^5 - 39.05 *AR29^6    + 7.12 *AR29^7 + 27.87 *AR29^8  + 5.79 *AR29^9 + 2.45 *AR29^10</f>
        <v>23.436345884485256</v>
      </c>
      <c r="AS37">
        <f>Lookups!$R$3-Lookups!$R$4*AS29-1.55*AS29^2+ 1999.25 *AS29^3 - 51.38 *AS29^4    - 249.67 *AS29^5 - 39.05 *AS29^6    + 7.12 *AS29^7 + 27.87 *AS29^8  + 5.79 *AS29^9 + 2.45 *AS29^10</f>
        <v>23.436343156957037</v>
      </c>
      <c r="AT37">
        <f>Lookups!$R$3-Lookups!$R$4*AT29-1.55*AT29^2+ 1999.25 *AT29^3 - 51.38 *AT29^4    - 249.67 *AT29^5 - 39.05 *AT29^6    + 7.12 *AT29^7 + 27.87 *AT29^8  + 5.79 *AT29^9 + 2.45 *AT29^10</f>
        <v>23.436338036316499</v>
      </c>
      <c r="AU37">
        <f>Lookups!$R$3-Lookups!$R$4*AU29-1.55*AU29^2+ 1999.25 *AU29^3 - 51.38 *AU29^4    - 249.67 *AU29^5 - 39.05 *AU29^6    + 7.12 *AU29^7 + 27.87 *AU29^8  + 5.79 *AU29^9 + 2.45 *AU29^10</f>
        <v>23.442699438561398</v>
      </c>
      <c r="AV37">
        <f>Lookups!$R$3-Lookups!$R$4*AV29-1.55*AV29^2+ 1999.25 *AV29^3 - 51.38 *AV29^4    - 249.67 *AV29^5 - 39.05 *AV29^6    + 7.12 *AV29^7 + 27.87 *AV29^8  + 5.79 *AV29^9 + 2.45 *AV29^10</f>
        <v>23.43959448386126</v>
      </c>
      <c r="AW37">
        <f>Lookups!$R$3-Lookups!$R$4*AW29-1.55*AW29^2+ 1999.25 *AW29^3 - 51.38 *AW29^4    - 249.67 *AW29^5 - 39.05 *AW29^6    + 7.12 *AW29^7 + 27.87 *AW29^8  + 5.79 *AW29^9 + 2.45 *AW29^10</f>
        <v>23.447127115826625</v>
      </c>
      <c r="AX37">
        <f>Lookups!$R$3-Lookups!$R$4*AX29-1.55*AX29^2+ 1999.25 *AX29^3 - 51.38 *AX29^4    - 249.67 *AX29^5 - 39.05 *AX29^6    + 7.12 *AX29^7 + 27.87 *AX29^8  + 5.79 *AX29^9 + 2.45 *AX29^10</f>
        <v>23.444661002741583</v>
      </c>
      <c r="AY37">
        <f>Lookups!$R$3-Lookups!$R$4*AY29-1.55*AY29^2+ 1999.25 *AY29^3 - 51.38 *AY29^4    - 249.67 *AY29^5 - 39.05 *AY29^6    + 7.12 *AY29^7 + 27.87 *AY29^8  + 5.79 *AY29^9 + 2.45 *AY29^10</f>
        <v>23.436327556055016</v>
      </c>
      <c r="AZ37">
        <f>Lookups!$R$3-Lookups!$R$4*AZ29-1.55*AZ29^2+ 1999.25 *AZ29^3 - 51.38 *AZ29^4    - 249.67 *AZ29^5 - 39.05 *AZ29^6    + 7.12 *AZ29^7 + 27.87 *AZ29^8  + 5.79 *AZ29^9 + 2.45 *AZ29^10</f>
        <v>23.436327206741261</v>
      </c>
      <c r="BA37">
        <f>Lookups!$R$3-Lookups!$R$4*BA29-1.55*BA29^2+ 1999.25 *BA29^3 - 51.38 *BA29^4    - 249.67 *BA29^5 - 39.05 *BA29^6    + 7.12 *BA29^7 + 27.87 *BA29^8  + 5.79 *BA29^9 + 2.45 *BA29^10</f>
        <v>23.436326857429332</v>
      </c>
      <c r="BB37">
        <f>Lookups!$R$3-Lookups!$R$4*BB29-1.55*BB29^2+ 1999.25 *BB29^3 - 51.38 *BB29^4    - 249.67 *BB29^5 - 39.05 *BB29^6    + 7.12 *BB29^7 + 27.87 *BB29^8  + 5.79 *BB29^9 + 2.45 *BB29^10</f>
        <v>23.43632650811923</v>
      </c>
      <c r="BC37">
        <f>Lookups!$R$3-Lookups!$R$4*BC29-1.55*BC29^2+ 1999.25 *BC29^3 - 51.38 *BC29^4    - 249.67 *BC29^5 - 39.05 *BC29^6    + 7.12 *BC29^7 + 27.87 *BC29^8  + 5.79 *BC29^9 + 2.45 *BC29^10</f>
        <v>23.43632615881096</v>
      </c>
      <c r="BD37">
        <f>Lookups!$R$3-Lookups!$R$4*BD29-1.55*BD29^2+ 1999.25 *BD29^3 - 51.38 *BD29^4    - 249.67 *BD29^5 - 39.05 *BD29^6    + 7.12 *BD29^7 + 27.87 *BD29^8  + 5.79 *BD29^9 + 2.45 *BD29^10</f>
        <v>23.436325809504524</v>
      </c>
      <c r="BE37">
        <f>Lookups!$R$3-Lookups!$R$4*BE29-1.55*BE29^2+ 1999.25 *BE29^3 - 51.38 *BE29^4    - 249.67 *BE29^5 - 39.05 *BE29^6    + 7.12 *BE29^7 + 27.87 *BE29^8  + 5.79 *BE29^9 + 2.45 *BE29^10</f>
        <v>23.436325460199903</v>
      </c>
      <c r="BF37">
        <f>Lookups!$R$3-Lookups!$R$4*BF29-1.55*BF29^2+ 1999.25 *BF29^3 - 51.38 *BF29^4    - 249.67 *BF29^5 - 39.05 *BF29^6    + 7.12 *BF29^7 + 27.87 *BF29^8  + 5.79 *BF29^9 + 2.45 *BF29^10</f>
        <v>23.436325110897123</v>
      </c>
      <c r="BG37">
        <f>Lookups!$R$3-Lookups!$R$4*BG29-1.55*BG29^2+ 1999.25 *BG29^3 - 51.38 *BG29^4    - 249.67 *BG29^5 - 39.05 *BG29^6    + 7.12 *BG29^7 + 27.87 *BG29^8  + 5.79 *BG29^9 + 2.45 *BG29^10</f>
        <v>23.442232513579221</v>
      </c>
    </row>
    <row r="38" spans="1:59" x14ac:dyDescent="0.25">
      <c r="C38" t="s">
        <v>672</v>
      </c>
      <c r="D38" s="19" t="s">
        <v>674</v>
      </c>
      <c r="E38">
        <f t="shared" ref="E38" si="146">INT(E37)</f>
        <v>23</v>
      </c>
      <c r="F38">
        <f t="shared" ref="F38" si="147">INT(F37)</f>
        <v>14</v>
      </c>
      <c r="G38">
        <f t="shared" ref="G38" si="148">INT(G37)</f>
        <v>23</v>
      </c>
      <c r="H38">
        <f t="shared" ref="H38" si="149">INT(H37)</f>
        <v>23</v>
      </c>
      <c r="I38">
        <f t="shared" ref="I38" si="150">INT(I37)</f>
        <v>23</v>
      </c>
      <c r="J38">
        <f t="shared" ref="J38:V38" si="151">INT(J37)</f>
        <v>23</v>
      </c>
      <c r="K38">
        <f t="shared" si="151"/>
        <v>23</v>
      </c>
      <c r="L38">
        <f t="shared" si="151"/>
        <v>23</v>
      </c>
      <c r="M38">
        <f t="shared" si="151"/>
        <v>23</v>
      </c>
      <c r="N38">
        <f t="shared" si="151"/>
        <v>23</v>
      </c>
      <c r="O38">
        <f t="shared" si="151"/>
        <v>23</v>
      </c>
      <c r="P38">
        <f t="shared" si="151"/>
        <v>20</v>
      </c>
      <c r="Q38">
        <f t="shared" si="151"/>
        <v>4</v>
      </c>
      <c r="R38">
        <f t="shared" si="151"/>
        <v>4</v>
      </c>
      <c r="S38">
        <f t="shared" si="151"/>
        <v>-31</v>
      </c>
      <c r="T38">
        <f t="shared" si="151"/>
        <v>-31</v>
      </c>
      <c r="U38">
        <f t="shared" si="151"/>
        <v>-31</v>
      </c>
      <c r="V38">
        <f t="shared" si="151"/>
        <v>-561</v>
      </c>
      <c r="W38" s="8">
        <f>INT(W37)</f>
        <v>23</v>
      </c>
      <c r="X38">
        <f t="shared" ref="X38" si="152">INT(X37)</f>
        <v>23</v>
      </c>
      <c r="Y38">
        <f t="shared" ref="Y38" si="153">INT(Y37)</f>
        <v>23</v>
      </c>
      <c r="Z38">
        <f t="shared" ref="Z38" si="154">INT(Z37)</f>
        <v>23</v>
      </c>
      <c r="AA38">
        <f t="shared" ref="AA38" si="155">INT(AA37)</f>
        <v>23</v>
      </c>
      <c r="AB38">
        <f t="shared" ref="AB38" si="156">INT(AB37)</f>
        <v>23</v>
      </c>
      <c r="AC38">
        <f t="shared" ref="AC38" si="157">INT(AC37)</f>
        <v>23</v>
      </c>
      <c r="AD38">
        <f t="shared" ref="AD38" si="158">INT(AD37)</f>
        <v>23</v>
      </c>
      <c r="AE38">
        <f t="shared" ref="AE38" si="159">INT(AE37)</f>
        <v>23</v>
      </c>
      <c r="AF38">
        <f t="shared" ref="AF38" si="160">INT(AF37)</f>
        <v>23</v>
      </c>
      <c r="AG38">
        <f t="shared" ref="AG38" si="161">INT(AG37)</f>
        <v>23</v>
      </c>
      <c r="AH38">
        <f t="shared" ref="AH38" si="162">INT(AH37)</f>
        <v>23</v>
      </c>
      <c r="AI38">
        <f t="shared" ref="AI38" si="163">INT(AI37)</f>
        <v>23</v>
      </c>
      <c r="AJ38">
        <f t="shared" ref="AJ38" si="164">INT(AJ37)</f>
        <v>23</v>
      </c>
      <c r="AK38">
        <f t="shared" ref="AK38" si="165">INT(AK37)</f>
        <v>23</v>
      </c>
      <c r="AL38">
        <f t="shared" ref="AL38" si="166">INT(AL37)</f>
        <v>23</v>
      </c>
      <c r="AM38">
        <f t="shared" ref="AM38" si="167">INT(AM37)</f>
        <v>18</v>
      </c>
      <c r="AN38">
        <f t="shared" ref="AN38" si="168">INT(AN37)</f>
        <v>23</v>
      </c>
      <c r="AO38">
        <f t="shared" ref="AO38" si="169">INT(AO37)</f>
        <v>7</v>
      </c>
      <c r="AP38">
        <f t="shared" ref="AP38" si="170">INT(AP37)</f>
        <v>23</v>
      </c>
      <c r="AQ38">
        <f t="shared" ref="AQ38" si="171">INT(AQ37)</f>
        <v>23</v>
      </c>
      <c r="AR38">
        <f t="shared" ref="AR38" si="172">INT(AR37)</f>
        <v>23</v>
      </c>
      <c r="AS38">
        <f t="shared" ref="AS38" si="173">INT(AS37)</f>
        <v>23</v>
      </c>
      <c r="AT38">
        <f t="shared" ref="AT38" si="174">INT(AT37)</f>
        <v>23</v>
      </c>
      <c r="AU38">
        <f t="shared" ref="AU38" si="175">INT(AU37)</f>
        <v>23</v>
      </c>
      <c r="AV38">
        <f t="shared" ref="AV38" si="176">INT(AV37)</f>
        <v>23</v>
      </c>
      <c r="AW38">
        <f t="shared" ref="AW38" si="177">INT(AW37)</f>
        <v>23</v>
      </c>
      <c r="AX38">
        <f t="shared" ref="AX38" si="178">INT(AX37)</f>
        <v>23</v>
      </c>
      <c r="AY38">
        <f t="shared" ref="AY38" si="179">INT(AY37)</f>
        <v>23</v>
      </c>
      <c r="AZ38">
        <f t="shared" ref="AZ38" si="180">INT(AZ37)</f>
        <v>23</v>
      </c>
      <c r="BA38">
        <f t="shared" ref="BA38" si="181">INT(BA37)</f>
        <v>23</v>
      </c>
      <c r="BB38">
        <f t="shared" ref="BB38" si="182">INT(BB37)</f>
        <v>23</v>
      </c>
      <c r="BC38">
        <f t="shared" ref="BC38" si="183">INT(BC37)</f>
        <v>23</v>
      </c>
      <c r="BD38">
        <f t="shared" ref="BD38" si="184">INT(BD37)</f>
        <v>23</v>
      </c>
      <c r="BE38">
        <f t="shared" ref="BE38" si="185">INT(BE37)</f>
        <v>23</v>
      </c>
      <c r="BF38">
        <f t="shared" ref="BF38" si="186">INT(BF37)</f>
        <v>23</v>
      </c>
      <c r="BG38">
        <f t="shared" ref="BG38" si="187">INT(BG37)</f>
        <v>23</v>
      </c>
    </row>
    <row r="39" spans="1:59" x14ac:dyDescent="0.25">
      <c r="C39" t="s">
        <v>673</v>
      </c>
      <c r="D39" s="19" t="s">
        <v>675</v>
      </c>
      <c r="E39">
        <f t="shared" ref="E39" si="188">INT((E37-E38)*60)</f>
        <v>26</v>
      </c>
      <c r="F39">
        <f t="shared" ref="F39" si="189">INT((F37-F38)*60)</f>
        <v>20</v>
      </c>
      <c r="G39">
        <f t="shared" ref="G39" si="190">INT((G37-G38)*60)</f>
        <v>26</v>
      </c>
      <c r="H39">
        <f t="shared" ref="H39" si="191">INT((H37-H38)*60)</f>
        <v>26</v>
      </c>
      <c r="I39">
        <f t="shared" ref="I39" si="192">INT((I37-I38)*60)</f>
        <v>26</v>
      </c>
      <c r="J39">
        <f t="shared" ref="J39:V39" si="193">INT((J37-J38)*60)</f>
        <v>26</v>
      </c>
      <c r="K39">
        <f t="shared" si="193"/>
        <v>26</v>
      </c>
      <c r="L39">
        <f t="shared" si="193"/>
        <v>26</v>
      </c>
      <c r="M39">
        <f t="shared" si="193"/>
        <v>27</v>
      </c>
      <c r="N39">
        <f t="shared" si="193"/>
        <v>21</v>
      </c>
      <c r="O39">
        <f t="shared" si="193"/>
        <v>21</v>
      </c>
      <c r="P39">
        <f t="shared" si="193"/>
        <v>25</v>
      </c>
      <c r="Q39">
        <f t="shared" si="193"/>
        <v>32</v>
      </c>
      <c r="R39">
        <f t="shared" si="193"/>
        <v>32</v>
      </c>
      <c r="S39">
        <f t="shared" si="193"/>
        <v>54</v>
      </c>
      <c r="T39">
        <f t="shared" si="193"/>
        <v>52</v>
      </c>
      <c r="U39">
        <f t="shared" si="193"/>
        <v>51</v>
      </c>
      <c r="V39">
        <f t="shared" si="193"/>
        <v>41</v>
      </c>
      <c r="W39" s="8">
        <f>INT((W37-W38)*60)</f>
        <v>26</v>
      </c>
      <c r="X39">
        <f t="shared" ref="X39" si="194">INT((X37-X38)*60)</f>
        <v>26</v>
      </c>
      <c r="Y39">
        <f t="shared" ref="Y39" si="195">INT((Y37-Y38)*60)</f>
        <v>26</v>
      </c>
      <c r="Z39">
        <f t="shared" ref="Z39" si="196">INT((Z37-Z38)*60)</f>
        <v>26</v>
      </c>
      <c r="AA39">
        <f t="shared" ref="AA39" si="197">INT((AA37-AA38)*60)</f>
        <v>26</v>
      </c>
      <c r="AB39">
        <f t="shared" ref="AB39" si="198">INT((AB37-AB38)*60)</f>
        <v>26</v>
      </c>
      <c r="AC39">
        <f t="shared" ref="AC39" si="199">INT((AC37-AC38)*60)</f>
        <v>26</v>
      </c>
      <c r="AD39">
        <f t="shared" ref="AD39" si="200">INT((AD37-AD38)*60)</f>
        <v>26</v>
      </c>
      <c r="AE39">
        <f t="shared" ref="AE39" si="201">INT((AE37-AE38)*60)</f>
        <v>26</v>
      </c>
      <c r="AF39">
        <f t="shared" ref="AF39" si="202">INT((AF37-AF38)*60)</f>
        <v>26</v>
      </c>
      <c r="AG39">
        <f t="shared" ref="AG39" si="203">INT((AG37-AG38)*60)</f>
        <v>26</v>
      </c>
      <c r="AH39">
        <f t="shared" ref="AH39" si="204">INT((AH37-AH38)*60)</f>
        <v>26</v>
      </c>
      <c r="AI39">
        <f t="shared" ref="AI39" si="205">INT((AI37-AI38)*60)</f>
        <v>26</v>
      </c>
      <c r="AJ39">
        <f t="shared" ref="AJ39" si="206">INT((AJ37-AJ38)*60)</f>
        <v>26</v>
      </c>
      <c r="AK39">
        <f t="shared" ref="AK39" si="207">INT((AK37-AK38)*60)</f>
        <v>27</v>
      </c>
      <c r="AL39">
        <f t="shared" ref="AL39" si="208">INT((AL37-AL38)*60)</f>
        <v>26</v>
      </c>
      <c r="AM39">
        <f t="shared" ref="AM39" si="209">INT((AM37-AM38)*60)</f>
        <v>21</v>
      </c>
      <c r="AN39">
        <f t="shared" ref="AN39" si="210">INT((AN37-AN38)*60)</f>
        <v>26</v>
      </c>
      <c r="AO39">
        <f t="shared" ref="AO39" si="211">INT((AO37-AO38)*60)</f>
        <v>39</v>
      </c>
      <c r="AP39">
        <f t="shared" ref="AP39" si="212">INT((AP37-AP38)*60)</f>
        <v>26</v>
      </c>
      <c r="AQ39">
        <f t="shared" ref="AQ39" si="213">INT((AQ37-AQ38)*60)</f>
        <v>26</v>
      </c>
      <c r="AR39">
        <f t="shared" ref="AR39" si="214">INT((AR37-AR38)*60)</f>
        <v>26</v>
      </c>
      <c r="AS39">
        <f t="shared" ref="AS39" si="215">INT((AS37-AS38)*60)</f>
        <v>26</v>
      </c>
      <c r="AT39">
        <f t="shared" ref="AT39" si="216">INT((AT37-AT38)*60)</f>
        <v>26</v>
      </c>
      <c r="AU39">
        <f t="shared" ref="AU39" si="217">INT((AU37-AU38)*60)</f>
        <v>26</v>
      </c>
      <c r="AV39">
        <f t="shared" ref="AV39" si="218">INT((AV37-AV38)*60)</f>
        <v>26</v>
      </c>
      <c r="AW39">
        <f t="shared" ref="AW39" si="219">INT((AW37-AW38)*60)</f>
        <v>26</v>
      </c>
      <c r="AX39">
        <f t="shared" ref="AX39" si="220">INT((AX37-AX38)*60)</f>
        <v>26</v>
      </c>
      <c r="AY39">
        <f t="shared" ref="AY39" si="221">INT((AY37-AY38)*60)</f>
        <v>26</v>
      </c>
      <c r="AZ39">
        <f t="shared" ref="AZ39" si="222">INT((AZ37-AZ38)*60)</f>
        <v>26</v>
      </c>
      <c r="BA39">
        <f t="shared" ref="BA39" si="223">INT((BA37-BA38)*60)</f>
        <v>26</v>
      </c>
      <c r="BB39">
        <f t="shared" ref="BB39" si="224">INT((BB37-BB38)*60)</f>
        <v>26</v>
      </c>
      <c r="BC39">
        <f t="shared" ref="BC39" si="225">INT((BC37-BC38)*60)</f>
        <v>26</v>
      </c>
      <c r="BD39">
        <f t="shared" ref="BD39" si="226">INT((BD37-BD38)*60)</f>
        <v>26</v>
      </c>
      <c r="BE39">
        <f t="shared" ref="BE39" si="227">INT((BE37-BE38)*60)</f>
        <v>26</v>
      </c>
      <c r="BF39">
        <f t="shared" ref="BF39" si="228">INT((BF37-BF38)*60)</f>
        <v>26</v>
      </c>
      <c r="BG39">
        <f t="shared" ref="BG39" si="229">INT((BG37-BG38)*60)</f>
        <v>26</v>
      </c>
    </row>
    <row r="40" spans="1:59" x14ac:dyDescent="0.25">
      <c r="C40" s="8" t="s">
        <v>678</v>
      </c>
      <c r="D40" s="19" t="s">
        <v>676</v>
      </c>
      <c r="E40" s="38">
        <f t="shared" ref="E40" si="230">(E37-E38-E39/60)*3600</f>
        <v>40.578820738277784</v>
      </c>
      <c r="F40" s="38">
        <f t="shared" ref="F40" si="231">(F37-F38-F39/60)*3600</f>
        <v>42.183373543360211</v>
      </c>
      <c r="G40" s="38">
        <f t="shared" ref="G40" si="232">(G37-G38-G39/60)*3600</f>
        <v>21.447999999997425</v>
      </c>
      <c r="H40" s="38">
        <f t="shared" ref="H40" si="233">(H37-H38-H39/60)*3600</f>
        <v>21.916350303676158</v>
      </c>
      <c r="I40" s="38">
        <f t="shared" ref="I40" si="234">(I37-I38-I39/60)*3600</f>
        <v>27.475323288340636</v>
      </c>
      <c r="J40" s="38">
        <f t="shared" ref="J40:V40" si="235">(J37-J38-J39/60)*3600</f>
        <v>27.29335198966476</v>
      </c>
      <c r="K40" s="38">
        <f t="shared" si="235"/>
        <v>27.012272524783842</v>
      </c>
      <c r="L40" s="38">
        <f t="shared" si="235"/>
        <v>26.828779809502468</v>
      </c>
      <c r="M40" s="38">
        <f t="shared" si="235"/>
        <v>0.49991021354880427</v>
      </c>
      <c r="N40" s="38">
        <f t="shared" si="235"/>
        <v>38.768712875745813</v>
      </c>
      <c r="O40" s="38">
        <f t="shared" si="235"/>
        <v>41.792675598685001</v>
      </c>
      <c r="P40" s="38">
        <f t="shared" si="235"/>
        <v>22.578628085440688</v>
      </c>
      <c r="Q40" s="38">
        <f t="shared" si="235"/>
        <v>34.34055649840171</v>
      </c>
      <c r="R40" s="38">
        <f t="shared" si="235"/>
        <v>34.605645098953943</v>
      </c>
      <c r="S40" s="38">
        <f t="shared" si="235"/>
        <v>9.1272570929523678</v>
      </c>
      <c r="T40" s="38">
        <f t="shared" si="235"/>
        <v>58.165562159301665</v>
      </c>
      <c r="U40" s="38">
        <f t="shared" si="235"/>
        <v>15.200895015110882</v>
      </c>
      <c r="V40" s="38">
        <f t="shared" si="235"/>
        <v>42.348924754869529</v>
      </c>
      <c r="W40" s="12">
        <f>(W37-W38-W39/60)*3600</f>
        <v>27.382765281603216</v>
      </c>
      <c r="X40" s="38">
        <f t="shared" ref="X40" si="236">(X37-X38-X39/60)*3600</f>
        <v>25.056023106405068</v>
      </c>
      <c r="Y40" s="38">
        <f t="shared" ref="Y40" si="237">(Y37-Y38-Y39/60)*3600</f>
        <v>32.040779844288011</v>
      </c>
      <c r="Z40" s="38">
        <f t="shared" ref="Z40" si="238">(Z37-Z38-Z39/60)*3600</f>
        <v>1.3574934853019194</v>
      </c>
      <c r="AA40" s="38">
        <f t="shared" ref="AA40" si="239">(AA37-AA38-AA39/60)*3600</f>
        <v>21.448640784293449</v>
      </c>
      <c r="AB40" s="38">
        <f t="shared" ref="AB40" si="240">(AB37-AB38-AB39/60)*3600</f>
        <v>41.955680720848761</v>
      </c>
      <c r="AC40" s="38">
        <f t="shared" ref="AC40" si="241">(AC37-AC38-AC39/60)*3600</f>
        <v>31.246946680041621</v>
      </c>
      <c r="AD40" s="38">
        <f t="shared" ref="AD40" si="242">(AD37-AD38-AD39/60)*3600</f>
        <v>26.903077435563549</v>
      </c>
      <c r="AE40" s="38">
        <f t="shared" ref="AE40" si="243">(AE37-AE38-AE39/60)*3600</f>
        <v>32.03686089587103</v>
      </c>
      <c r="AF40" s="38">
        <f t="shared" ref="AF40" si="244">(AF37-AF38-AF39/60)*3600</f>
        <v>24.734447133169457</v>
      </c>
      <c r="AG40" s="38">
        <f t="shared" ref="AG40" si="245">(AG37-AG38-AG39/60)*3600</f>
        <v>24.821241668005545</v>
      </c>
      <c r="AH40" s="38">
        <f t="shared" ref="AH40" si="246">(AH37-AH38-AH39/60)*3600</f>
        <v>25.576214520023033</v>
      </c>
      <c r="AI40" s="38">
        <f t="shared" ref="AI40" si="247">(AI37-AI38-AI39/60)*3600</f>
        <v>25.070055429945004</v>
      </c>
      <c r="AJ40" s="38">
        <f t="shared" ref="AJ40" si="248">(AJ37-AJ38-AJ39/60)*3600</f>
        <v>24.565922783494276</v>
      </c>
      <c r="AK40" s="38">
        <f t="shared" ref="AK40" si="249">(AK37-AK38-AK39/60)*3600</f>
        <v>1.3854226070210585</v>
      </c>
      <c r="AL40" s="38">
        <f t="shared" ref="AL40" si="250">(AL37-AL38-AL39/60)*3600</f>
        <v>25.782593735039772</v>
      </c>
      <c r="AM40" s="38">
        <f t="shared" ref="AM40" si="251">(AM37-AM38-AM39/60)*3600</f>
        <v>27.902287112820055</v>
      </c>
      <c r="AN40" s="38">
        <f t="shared" ref="AN40" si="252">(AN37-AN38-AN39/60)*3600</f>
        <v>21.325606494644322</v>
      </c>
      <c r="AO40" s="38">
        <f t="shared" ref="AO40" si="253">(AO37-AO38-AO39/60)*3600</f>
        <v>48.194605875976173</v>
      </c>
      <c r="AP40" s="38">
        <f t="shared" ref="AP40" si="254">(AP37-AP38-AP39/60)*3600</f>
        <v>10.862742646548273</v>
      </c>
      <c r="AQ40" s="38">
        <f t="shared" ref="AQ40" si="255">(AQ37-AQ38-AQ39/60)*3600</f>
        <v>10.853867146507756</v>
      </c>
      <c r="AR40" s="38">
        <f t="shared" ref="AR40" si="256">(AR37-AR38-AR39/60)*3600</f>
        <v>10.845184146921216</v>
      </c>
      <c r="AS40" s="38">
        <f t="shared" ref="AS40" si="257">(AS37-AS38-AS39/60)*3600</f>
        <v>10.835365045331802</v>
      </c>
      <c r="AT40" s="38">
        <f t="shared" ref="AT40" si="258">(AT37-AT38-AT39/60)*3600</f>
        <v>10.816930739397268</v>
      </c>
      <c r="AU40" s="38">
        <f t="shared" ref="AU40" si="259">(AU37-AU38-AU39/60)*3600</f>
        <v>33.717978821032887</v>
      </c>
      <c r="AV40" s="38">
        <f t="shared" ref="AV40" si="260">(AV37-AV38-AV39/60)*3600</f>
        <v>22.540141900535904</v>
      </c>
      <c r="AW40" s="38">
        <f t="shared" ref="AW40" si="261">(AW37-AW38-AW39/60)*3600</f>
        <v>49.65761697584918</v>
      </c>
      <c r="AX40" s="38">
        <f t="shared" ref="AX40" si="262">(AX37-AX38-AX39/60)*3600</f>
        <v>40.779609869698504</v>
      </c>
      <c r="AY40" s="38">
        <f t="shared" ref="AY40" si="263">(AY37-AY38-AY39/60)*3600</f>
        <v>10.779201798056537</v>
      </c>
      <c r="AZ40" s="38">
        <f t="shared" ref="AZ40" si="264">(AZ37-AZ38-AZ39/60)*3600</f>
        <v>10.777944268539219</v>
      </c>
      <c r="BA40" s="38">
        <f t="shared" ref="BA40" si="265">(BA37-BA38-BA39/60)*3600</f>
        <v>10.776686745595843</v>
      </c>
      <c r="BB40" s="38">
        <f t="shared" ref="BB40" si="266">(BB37-BB38-BB39/60)*3600</f>
        <v>10.775429229226408</v>
      </c>
      <c r="BC40" s="38">
        <f t="shared" ref="BC40" si="267">(BC37-BC38-BC39/60)*3600</f>
        <v>10.774171719456493</v>
      </c>
      <c r="BD40" s="38">
        <f t="shared" ref="BD40" si="268">(BD37-BD38-BD39/60)*3600</f>
        <v>10.7729142162861</v>
      </c>
      <c r="BE40" s="38">
        <f t="shared" ref="BE40" si="269">(BE37-BE38-BE39/60)*3600</f>
        <v>10.771656719651279</v>
      </c>
      <c r="BF40" s="38">
        <f t="shared" ref="BF40" si="270">(BF37-BF38-BF39/60)*3600</f>
        <v>10.770399229641558</v>
      </c>
      <c r="BG40" s="38">
        <f t="shared" ref="BG40" si="271">(BG37-BG38-BG39/60)*3600</f>
        <v>32.037048885194338</v>
      </c>
    </row>
    <row r="42" spans="1:59" x14ac:dyDescent="0.25">
      <c r="C42" t="s">
        <v>689</v>
      </c>
      <c r="W42" s="208">
        <f>V44+V45/60+V46/3600</f>
        <v>23.443569444444446</v>
      </c>
      <c r="X42" s="142">
        <v>23.440636000000001</v>
      </c>
    </row>
    <row r="43" spans="1:59" x14ac:dyDescent="0.25">
      <c r="B43">
        <v>147</v>
      </c>
      <c r="C43" s="4" t="s">
        <v>347</v>
      </c>
      <c r="D43" s="90" t="s">
        <v>690</v>
      </c>
      <c r="E43" s="50">
        <f t="shared" ref="E43:U43" si="272">E31+E22/3600</f>
        <v>23.443043119473113</v>
      </c>
      <c r="F43" s="50">
        <f t="shared" si="272"/>
        <v>23.655717030923601</v>
      </c>
      <c r="G43" s="50">
        <f t="shared" si="272"/>
        <v>23.437687247318291</v>
      </c>
      <c r="H43" s="50">
        <f t="shared" si="272"/>
        <v>23.437158333391135</v>
      </c>
      <c r="I43" s="50">
        <f t="shared" si="272"/>
        <v>23.443337644201826</v>
      </c>
      <c r="J43" s="50">
        <f t="shared" si="272"/>
        <v>23.443308308838667</v>
      </c>
      <c r="K43" s="50">
        <f t="shared" si="272"/>
        <v>23.443315172361388</v>
      </c>
      <c r="L43" s="50">
        <f t="shared" si="272"/>
        <v>23.443126572341065</v>
      </c>
      <c r="M43" s="50">
        <f t="shared" si="272"/>
        <v>23.45165761740795</v>
      </c>
      <c r="N43" s="50">
        <f t="shared" si="272"/>
        <v>23.49244046236787</v>
      </c>
      <c r="O43" s="50">
        <f t="shared" si="272"/>
        <v>23.491541691654835</v>
      </c>
      <c r="P43" s="50">
        <f t="shared" si="272"/>
        <v>23.590811213098522</v>
      </c>
      <c r="Q43" s="50">
        <f t="shared" si="272"/>
        <v>23.708655145231432</v>
      </c>
      <c r="R43" s="50">
        <f t="shared" si="272"/>
        <v>23.708662142657886</v>
      </c>
      <c r="S43" s="50">
        <f t="shared" si="272"/>
        <v>23.812899068141359</v>
      </c>
      <c r="T43" s="50">
        <f t="shared" si="272"/>
        <v>23.813188782024959</v>
      </c>
      <c r="U43" s="50">
        <f t="shared" si="272"/>
        <v>23.813268661988246</v>
      </c>
      <c r="V43" s="50">
        <f>V31+V22/3600</f>
        <v>24.161474221642671</v>
      </c>
      <c r="W43" s="174">
        <f>W31+W22/3600</f>
        <v>23.443569413074961</v>
      </c>
      <c r="X43" s="227">
        <f t="shared" ref="X43:AL43" si="273">X31+X22/3600</f>
        <v>23.440635013964791</v>
      </c>
      <c r="Y43" s="50">
        <f t="shared" si="273"/>
        <v>23.440026762552865</v>
      </c>
      <c r="Z43" s="50">
        <f t="shared" si="273"/>
        <v>23.43591441649545</v>
      </c>
      <c r="AA43" s="50">
        <f t="shared" si="273"/>
        <v>23.437690141391833</v>
      </c>
      <c r="AB43" s="50">
        <f t="shared" si="273"/>
        <v>23.445717858790978</v>
      </c>
      <c r="AC43" s="50">
        <f t="shared" si="273"/>
        <v>23.43944105464222</v>
      </c>
      <c r="AD43" s="50">
        <f t="shared" si="273"/>
        <v>23.443353796383867</v>
      </c>
      <c r="AE43" s="50">
        <f t="shared" si="273"/>
        <v>23.440069236114311</v>
      </c>
      <c r="AF43" s="50">
        <f t="shared" si="273"/>
        <v>23.439668707560312</v>
      </c>
      <c r="AG43" s="50">
        <f t="shared" si="273"/>
        <v>23.440144328354034</v>
      </c>
      <c r="AH43" s="50">
        <f t="shared" si="273"/>
        <v>23.441725592332503</v>
      </c>
      <c r="AI43" s="50">
        <f t="shared" si="273"/>
        <v>23.440720169380132</v>
      </c>
      <c r="AJ43" s="50">
        <f t="shared" si="273"/>
        <v>23.43952478757906</v>
      </c>
      <c r="AK43" s="50">
        <f t="shared" si="273"/>
        <v>23.464635053498736</v>
      </c>
      <c r="AL43" s="50">
        <f t="shared" si="273"/>
        <v>23.44214134975962</v>
      </c>
      <c r="AM43" s="50">
        <f t="shared" ref="AM43:BG43" si="274">AM31+AM22/3600</f>
        <v>23.615440758222871</v>
      </c>
      <c r="AN43" s="50">
        <f t="shared" si="274"/>
        <v>23.438139860602295</v>
      </c>
      <c r="AO43" s="50">
        <f t="shared" si="274"/>
        <v>23.694977970087983</v>
      </c>
      <c r="AP43" s="50">
        <f t="shared" si="274"/>
        <v>23.438318064424823</v>
      </c>
      <c r="AQ43" s="50">
        <f t="shared" si="274"/>
        <v>23.438255471534546</v>
      </c>
      <c r="AR43" s="50">
        <f t="shared" si="274"/>
        <v>23.438313915068321</v>
      </c>
      <c r="AS43" s="50">
        <f t="shared" si="274"/>
        <v>23.438239250597245</v>
      </c>
      <c r="AT43" s="50">
        <f t="shared" si="274"/>
        <v>23.438195562079979</v>
      </c>
      <c r="AU43" s="50">
        <f t="shared" si="274"/>
        <v>23.443036350590067</v>
      </c>
      <c r="AV43" s="50">
        <f t="shared" si="274"/>
        <v>23.437178550742651</v>
      </c>
      <c r="AW43" s="50">
        <f t="shared" si="274"/>
        <v>23.448937361252447</v>
      </c>
      <c r="AX43" s="50">
        <f t="shared" si="274"/>
        <v>23.443362294195751</v>
      </c>
      <c r="AY43" s="50">
        <f t="shared" si="274"/>
        <v>23.438120178554648</v>
      </c>
      <c r="AZ43" s="50">
        <f t="shared" si="274"/>
        <v>23.438124485965716</v>
      </c>
      <c r="BA43" s="50">
        <f t="shared" si="274"/>
        <v>23.438121872273811</v>
      </c>
      <c r="BB43" s="50">
        <f t="shared" si="274"/>
        <v>23.438112991814261</v>
      </c>
      <c r="BC43" s="50">
        <f t="shared" si="274"/>
        <v>23.438099685238441</v>
      </c>
      <c r="BD43" s="50">
        <f t="shared" si="274"/>
        <v>23.438084437844793</v>
      </c>
      <c r="BE43" s="50">
        <f t="shared" si="274"/>
        <v>23.438069837320658</v>
      </c>
      <c r="BF43" s="50">
        <f t="shared" si="274"/>
        <v>23.438058122225598</v>
      </c>
      <c r="BG43" s="50">
        <f t="shared" si="274"/>
        <v>23.440067370916868</v>
      </c>
    </row>
    <row r="44" spans="1:59" x14ac:dyDescent="0.25">
      <c r="E44">
        <f t="shared" ref="E44:T44" si="275">INT(E43)</f>
        <v>23</v>
      </c>
      <c r="F44">
        <f t="shared" si="275"/>
        <v>23</v>
      </c>
      <c r="G44">
        <f t="shared" si="275"/>
        <v>23</v>
      </c>
      <c r="H44">
        <f t="shared" si="275"/>
        <v>23</v>
      </c>
      <c r="I44">
        <f t="shared" si="275"/>
        <v>23</v>
      </c>
      <c r="J44">
        <f t="shared" si="275"/>
        <v>23</v>
      </c>
      <c r="K44">
        <f t="shared" si="275"/>
        <v>23</v>
      </c>
      <c r="L44">
        <f t="shared" si="275"/>
        <v>23</v>
      </c>
      <c r="M44">
        <f t="shared" si="275"/>
        <v>23</v>
      </c>
      <c r="N44">
        <f t="shared" si="275"/>
        <v>23</v>
      </c>
      <c r="O44">
        <f t="shared" si="275"/>
        <v>23</v>
      </c>
      <c r="P44">
        <f t="shared" si="275"/>
        <v>23</v>
      </c>
      <c r="Q44">
        <f t="shared" si="275"/>
        <v>23</v>
      </c>
      <c r="R44">
        <f t="shared" si="275"/>
        <v>23</v>
      </c>
      <c r="S44">
        <f t="shared" si="275"/>
        <v>23</v>
      </c>
      <c r="T44">
        <f t="shared" si="275"/>
        <v>23</v>
      </c>
      <c r="U44">
        <f>INT(U43)</f>
        <v>23</v>
      </c>
      <c r="V44" s="208">
        <v>23</v>
      </c>
      <c r="W44" s="8">
        <f>INT(W43)</f>
        <v>23</v>
      </c>
      <c r="X44" s="8">
        <f>INT(X43)</f>
        <v>23</v>
      </c>
      <c r="Y44">
        <f t="shared" ref="Y44:AL44" si="276">INT(Y43)</f>
        <v>23</v>
      </c>
      <c r="Z44">
        <f t="shared" si="276"/>
        <v>23</v>
      </c>
      <c r="AA44">
        <f t="shared" si="276"/>
        <v>23</v>
      </c>
      <c r="AB44">
        <f t="shared" si="276"/>
        <v>23</v>
      </c>
      <c r="AC44">
        <f t="shared" si="276"/>
        <v>23</v>
      </c>
      <c r="AD44">
        <f t="shared" si="276"/>
        <v>23</v>
      </c>
      <c r="AE44">
        <f t="shared" si="276"/>
        <v>23</v>
      </c>
      <c r="AF44">
        <f t="shared" si="276"/>
        <v>23</v>
      </c>
      <c r="AG44">
        <f t="shared" si="276"/>
        <v>23</v>
      </c>
      <c r="AH44">
        <f t="shared" si="276"/>
        <v>23</v>
      </c>
      <c r="AI44">
        <f t="shared" si="276"/>
        <v>23</v>
      </c>
      <c r="AJ44">
        <f t="shared" si="276"/>
        <v>23</v>
      </c>
      <c r="AK44">
        <f t="shared" si="276"/>
        <v>23</v>
      </c>
      <c r="AL44">
        <f t="shared" si="276"/>
        <v>23</v>
      </c>
      <c r="AM44">
        <f t="shared" ref="AM44" si="277">INT(AM43)</f>
        <v>23</v>
      </c>
      <c r="AN44">
        <f t="shared" ref="AN44" si="278">INT(AN43)</f>
        <v>23</v>
      </c>
      <c r="AO44">
        <f t="shared" ref="AO44" si="279">INT(AO43)</f>
        <v>23</v>
      </c>
      <c r="AP44">
        <f t="shared" ref="AP44" si="280">INT(AP43)</f>
        <v>23</v>
      </c>
      <c r="AQ44">
        <f t="shared" ref="AQ44" si="281">INT(AQ43)</f>
        <v>23</v>
      </c>
      <c r="AR44">
        <f t="shared" ref="AR44" si="282">INT(AR43)</f>
        <v>23</v>
      </c>
      <c r="AS44">
        <f t="shared" ref="AS44" si="283">INT(AS43)</f>
        <v>23</v>
      </c>
      <c r="AT44">
        <f t="shared" ref="AT44" si="284">INT(AT43)</f>
        <v>23</v>
      </c>
      <c r="AU44">
        <f t="shared" ref="AU44" si="285">INT(AU43)</f>
        <v>23</v>
      </c>
      <c r="AV44">
        <f t="shared" ref="AV44" si="286">INT(AV43)</f>
        <v>23</v>
      </c>
      <c r="AW44">
        <f t="shared" ref="AW44" si="287">INT(AW43)</f>
        <v>23</v>
      </c>
      <c r="AX44">
        <f t="shared" ref="AX44" si="288">INT(AX43)</f>
        <v>23</v>
      </c>
      <c r="AY44">
        <f t="shared" ref="AY44" si="289">INT(AY43)</f>
        <v>23</v>
      </c>
      <c r="AZ44">
        <f t="shared" ref="AZ44" si="290">INT(AZ43)</f>
        <v>23</v>
      </c>
      <c r="BA44">
        <f t="shared" ref="BA44" si="291">INT(BA43)</f>
        <v>23</v>
      </c>
      <c r="BB44">
        <f t="shared" ref="BB44" si="292">INT(BB43)</f>
        <v>23</v>
      </c>
      <c r="BC44">
        <f t="shared" ref="BC44" si="293">INT(BC43)</f>
        <v>23</v>
      </c>
      <c r="BD44">
        <f t="shared" ref="BD44" si="294">INT(BD43)</f>
        <v>23</v>
      </c>
      <c r="BE44">
        <f t="shared" ref="BE44" si="295">INT(BE43)</f>
        <v>23</v>
      </c>
      <c r="BF44">
        <f t="shared" ref="BF44" si="296">INT(BF43)</f>
        <v>23</v>
      </c>
      <c r="BG44">
        <f t="shared" ref="BG44" si="297">INT(BG43)</f>
        <v>23</v>
      </c>
    </row>
    <row r="45" spans="1:59" x14ac:dyDescent="0.25">
      <c r="E45">
        <f t="shared" ref="E45:T45" si="298">INT((E43-E44)*60)</f>
        <v>26</v>
      </c>
      <c r="F45">
        <f t="shared" si="298"/>
        <v>39</v>
      </c>
      <c r="G45">
        <f t="shared" si="298"/>
        <v>26</v>
      </c>
      <c r="H45">
        <f t="shared" si="298"/>
        <v>26</v>
      </c>
      <c r="I45">
        <f t="shared" si="298"/>
        <v>26</v>
      </c>
      <c r="J45">
        <f t="shared" si="298"/>
        <v>26</v>
      </c>
      <c r="K45">
        <f t="shared" si="298"/>
        <v>26</v>
      </c>
      <c r="L45">
        <f t="shared" si="298"/>
        <v>26</v>
      </c>
      <c r="M45">
        <f t="shared" si="298"/>
        <v>27</v>
      </c>
      <c r="N45">
        <f t="shared" si="298"/>
        <v>29</v>
      </c>
      <c r="O45">
        <f t="shared" si="298"/>
        <v>29</v>
      </c>
      <c r="P45">
        <f t="shared" si="298"/>
        <v>35</v>
      </c>
      <c r="Q45">
        <f t="shared" si="298"/>
        <v>42</v>
      </c>
      <c r="R45">
        <f t="shared" si="298"/>
        <v>42</v>
      </c>
      <c r="S45">
        <f t="shared" si="298"/>
        <v>48</v>
      </c>
      <c r="T45">
        <f t="shared" si="298"/>
        <v>48</v>
      </c>
      <c r="U45">
        <f>INT((U43-U44)*60)</f>
        <v>48</v>
      </c>
      <c r="V45" s="208">
        <v>26</v>
      </c>
      <c r="W45" s="8">
        <f>INT((W43-W44)*60)</f>
        <v>26</v>
      </c>
      <c r="X45" s="8">
        <f>INT((X43-X44)*60)</f>
        <v>26</v>
      </c>
      <c r="Y45">
        <f t="shared" ref="Y45:AL45" si="299">INT((Y43-Y44)*60)</f>
        <v>26</v>
      </c>
      <c r="Z45">
        <f t="shared" si="299"/>
        <v>26</v>
      </c>
      <c r="AA45">
        <f t="shared" si="299"/>
        <v>26</v>
      </c>
      <c r="AB45">
        <f t="shared" si="299"/>
        <v>26</v>
      </c>
      <c r="AC45">
        <f t="shared" si="299"/>
        <v>26</v>
      </c>
      <c r="AD45">
        <f t="shared" si="299"/>
        <v>26</v>
      </c>
      <c r="AE45">
        <f t="shared" si="299"/>
        <v>26</v>
      </c>
      <c r="AF45">
        <f t="shared" si="299"/>
        <v>26</v>
      </c>
      <c r="AG45">
        <f t="shared" si="299"/>
        <v>26</v>
      </c>
      <c r="AH45">
        <f t="shared" si="299"/>
        <v>26</v>
      </c>
      <c r="AI45">
        <f t="shared" si="299"/>
        <v>26</v>
      </c>
      <c r="AJ45">
        <f t="shared" si="299"/>
        <v>26</v>
      </c>
      <c r="AK45">
        <f t="shared" si="299"/>
        <v>27</v>
      </c>
      <c r="AL45">
        <f t="shared" si="299"/>
        <v>26</v>
      </c>
      <c r="AM45">
        <f t="shared" ref="AM45" si="300">INT((AM43-AM44)*60)</f>
        <v>36</v>
      </c>
      <c r="AN45">
        <f t="shared" ref="AN45" si="301">INT((AN43-AN44)*60)</f>
        <v>26</v>
      </c>
      <c r="AO45">
        <f t="shared" ref="AO45" si="302">INT((AO43-AO44)*60)</f>
        <v>41</v>
      </c>
      <c r="AP45">
        <f t="shared" ref="AP45" si="303">INT((AP43-AP44)*60)</f>
        <v>26</v>
      </c>
      <c r="AQ45">
        <f t="shared" ref="AQ45" si="304">INT((AQ43-AQ44)*60)</f>
        <v>26</v>
      </c>
      <c r="AR45">
        <f t="shared" ref="AR45" si="305">INT((AR43-AR44)*60)</f>
        <v>26</v>
      </c>
      <c r="AS45">
        <f t="shared" ref="AS45" si="306">INT((AS43-AS44)*60)</f>
        <v>26</v>
      </c>
      <c r="AT45">
        <f t="shared" ref="AT45" si="307">INT((AT43-AT44)*60)</f>
        <v>26</v>
      </c>
      <c r="AU45">
        <f t="shared" ref="AU45" si="308">INT((AU43-AU44)*60)</f>
        <v>26</v>
      </c>
      <c r="AV45">
        <f t="shared" ref="AV45" si="309">INT((AV43-AV44)*60)</f>
        <v>26</v>
      </c>
      <c r="AW45">
        <f t="shared" ref="AW45" si="310">INT((AW43-AW44)*60)</f>
        <v>26</v>
      </c>
      <c r="AX45">
        <f t="shared" ref="AX45" si="311">INT((AX43-AX44)*60)</f>
        <v>26</v>
      </c>
      <c r="AY45">
        <f t="shared" ref="AY45" si="312">INT((AY43-AY44)*60)</f>
        <v>26</v>
      </c>
      <c r="AZ45">
        <f t="shared" ref="AZ45" si="313">INT((AZ43-AZ44)*60)</f>
        <v>26</v>
      </c>
      <c r="BA45">
        <f t="shared" ref="BA45" si="314">INT((BA43-BA44)*60)</f>
        <v>26</v>
      </c>
      <c r="BB45">
        <f t="shared" ref="BB45" si="315">INT((BB43-BB44)*60)</f>
        <v>26</v>
      </c>
      <c r="BC45">
        <f t="shared" ref="BC45" si="316">INT((BC43-BC44)*60)</f>
        <v>26</v>
      </c>
      <c r="BD45">
        <f t="shared" ref="BD45" si="317">INT((BD43-BD44)*60)</f>
        <v>26</v>
      </c>
      <c r="BE45">
        <f t="shared" ref="BE45" si="318">INT((BE43-BE44)*60)</f>
        <v>26</v>
      </c>
      <c r="BF45">
        <f t="shared" ref="BF45" si="319">INT((BF43-BF44)*60)</f>
        <v>26</v>
      </c>
      <c r="BG45">
        <f t="shared" ref="BG45" si="320">INT((BG43-BG44)*60)</f>
        <v>26</v>
      </c>
    </row>
    <row r="46" spans="1:59" x14ac:dyDescent="0.25">
      <c r="E46" s="38">
        <f t="shared" ref="E46:T46" si="321">(E43-E44-E45/60)*3600</f>
        <v>34.955230103208464</v>
      </c>
      <c r="F46" s="38">
        <f t="shared" si="321"/>
        <v>20.58131132496235</v>
      </c>
      <c r="G46" s="38">
        <f t="shared" si="321"/>
        <v>15.67409034584637</v>
      </c>
      <c r="H46" s="38">
        <f t="shared" si="321"/>
        <v>13.77000020808703</v>
      </c>
      <c r="I46" s="38">
        <f t="shared" si="321"/>
        <v>36.015519126572656</v>
      </c>
      <c r="J46" s="38">
        <f t="shared" si="321"/>
        <v>35.909911819199976</v>
      </c>
      <c r="K46" s="38">
        <f t="shared" si="321"/>
        <v>35.934620500994981</v>
      </c>
      <c r="L46" s="38">
        <f t="shared" si="321"/>
        <v>35.255660427832765</v>
      </c>
      <c r="M46" s="38">
        <f t="shared" si="321"/>
        <v>5.9674226686186271</v>
      </c>
      <c r="N46" s="38">
        <f t="shared" si="321"/>
        <v>32.785664524333512</v>
      </c>
      <c r="O46" s="38">
        <f t="shared" si="321"/>
        <v>29.550089957404268</v>
      </c>
      <c r="P46" s="38">
        <f t="shared" si="321"/>
        <v>26.920367154680356</v>
      </c>
      <c r="Q46" s="38">
        <f t="shared" si="321"/>
        <v>31.158522833157054</v>
      </c>
      <c r="R46" s="38">
        <f t="shared" si="321"/>
        <v>31.183713568389226</v>
      </c>
      <c r="S46" s="38">
        <f t="shared" si="321"/>
        <v>46.436645308892381</v>
      </c>
      <c r="T46" s="38">
        <f t="shared" si="321"/>
        <v>47.479615289851566</v>
      </c>
      <c r="U46" s="38">
        <f>(U43-U44-U45/60)*3600</f>
        <v>47.767183157686603</v>
      </c>
      <c r="V46" s="208">
        <v>36.85</v>
      </c>
      <c r="W46" s="12">
        <f>(W43-W44-W45/60)*3600</f>
        <v>36.849887069859562</v>
      </c>
      <c r="X46" s="12">
        <f>(X43-X44-X45/60)*3600</f>
        <v>26.286050273245909</v>
      </c>
      <c r="Y46" s="38">
        <f t="shared" ref="Y46:AL46" si="322">(Y43-Y44-Y45/60)*3600</f>
        <v>24.096345190313517</v>
      </c>
      <c r="Z46" s="38">
        <f t="shared" si="322"/>
        <v>9.2918993836200947</v>
      </c>
      <c r="AA46" s="38">
        <f t="shared" si="322"/>
        <v>15.684509010599701</v>
      </c>
      <c r="AB46" s="38">
        <f t="shared" si="322"/>
        <v>44.584291647520843</v>
      </c>
      <c r="AC46" s="38">
        <f t="shared" si="322"/>
        <v>21.987796711992136</v>
      </c>
      <c r="AD46" s="38">
        <f t="shared" si="322"/>
        <v>36.073666981922599</v>
      </c>
      <c r="AE46" s="38">
        <f t="shared" si="322"/>
        <v>24.249250011521273</v>
      </c>
      <c r="AF46" s="38">
        <f t="shared" si="322"/>
        <v>22.807347217122587</v>
      </c>
      <c r="AG46" s="38">
        <f t="shared" si="322"/>
        <v>24.51958207452174</v>
      </c>
      <c r="AH46" s="38">
        <f t="shared" si="322"/>
        <v>30.212132397010638</v>
      </c>
      <c r="AI46" s="38">
        <f t="shared" si="322"/>
        <v>26.592609768474862</v>
      </c>
      <c r="AJ46" s="38">
        <f t="shared" si="322"/>
        <v>22.289235284616726</v>
      </c>
      <c r="AK46" s="38">
        <f t="shared" si="322"/>
        <v>52.68619259544802</v>
      </c>
      <c r="AL46" s="38">
        <f t="shared" si="322"/>
        <v>31.708859134631329</v>
      </c>
      <c r="AM46" s="38">
        <f t="shared" ref="AM46" si="323">(AM43-AM44-AM45/60)*3600</f>
        <v>55.586729602334593</v>
      </c>
      <c r="AN46" s="38">
        <f t="shared" ref="AN46" si="324">(AN43-AN44-AN45/60)*3600</f>
        <v>17.303498168261289</v>
      </c>
      <c r="AO46" s="38">
        <f t="shared" ref="AO46" si="325">(AO43-AO44-AO45/60)*3600</f>
        <v>41.92069231673878</v>
      </c>
      <c r="AP46" s="38">
        <f t="shared" ref="AP46" si="326">(AP43-AP44-AP45/60)*3600</f>
        <v>17.945031929364408</v>
      </c>
      <c r="AQ46" s="38">
        <f t="shared" ref="AQ46" si="327">(AQ43-AQ44-AQ45/60)*3600</f>
        <v>17.71969752436684</v>
      </c>
      <c r="AR46" s="38">
        <f t="shared" ref="AR46" si="328">(AR43-AR44-AR45/60)*3600</f>
        <v>17.930094245954198</v>
      </c>
      <c r="AS46" s="38">
        <f t="shared" ref="AS46" si="329">(AS43-AS44-AS45/60)*3600</f>
        <v>17.661302150083547</v>
      </c>
      <c r="AT46" s="38">
        <f t="shared" ref="AT46" si="330">(AT43-AT44-AT45/60)*3600</f>
        <v>17.504023487925569</v>
      </c>
      <c r="AU46" s="38">
        <f t="shared" ref="AU46" si="331">(AU43-AU44-AU45/60)*3600</f>
        <v>34.930862124239411</v>
      </c>
      <c r="AV46" s="38">
        <f t="shared" ref="AV46" si="332">(AV43-AV44-AV45/60)*3600</f>
        <v>13.84278267354313</v>
      </c>
      <c r="AW46" s="38">
        <f t="shared" ref="AW46" si="333">(AW43-AW44-AW45/60)*3600</f>
        <v>56.174500508810695</v>
      </c>
      <c r="AX46" s="38">
        <f t="shared" ref="AX46" si="334">(AX43-AX44-AX45/60)*3600</f>
        <v>36.104259104703203</v>
      </c>
      <c r="AY46" s="38">
        <f t="shared" ref="AY46" si="335">(AY43-AY44-AY45/60)*3600</f>
        <v>17.232642796732822</v>
      </c>
      <c r="AZ46" s="38">
        <f t="shared" ref="AZ46" si="336">(AZ43-AZ44-AZ45/60)*3600</f>
        <v>17.248149476577002</v>
      </c>
      <c r="BA46" s="38">
        <f t="shared" ref="BA46" si="337">(BA43-BA44-BA45/60)*3600</f>
        <v>17.238740185720136</v>
      </c>
      <c r="BB46" s="38">
        <f t="shared" ref="BB46" si="338">(BB43-BB44-BB45/60)*3600</f>
        <v>17.206770531340343</v>
      </c>
      <c r="BC46" s="38">
        <f t="shared" ref="BC46" si="339">(BC43-BC44-BC45/60)*3600</f>
        <v>17.158866858388766</v>
      </c>
      <c r="BD46" s="38">
        <f t="shared" ref="BD46" si="340">(BD43-BD44-BD45/60)*3600</f>
        <v>17.10397624125557</v>
      </c>
      <c r="BE46" s="38">
        <f t="shared" ref="BE46" si="341">(BE43-BE44-BE45/60)*3600</f>
        <v>17.051414354367811</v>
      </c>
      <c r="BF46" s="38">
        <f t="shared" ref="BF46" si="342">(BF43-BF44-BF45/60)*3600</f>
        <v>17.00924001215407</v>
      </c>
      <c r="BG46" s="38">
        <f t="shared" ref="BG46" si="343">(BG43-BG44-BG45/60)*3600</f>
        <v>24.242535300724288</v>
      </c>
    </row>
  </sheetData>
  <mergeCells count="4">
    <mergeCell ref="A1:D1"/>
    <mergeCell ref="E35:I35"/>
    <mergeCell ref="E36:I36"/>
    <mergeCell ref="E30:H3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3D2CE-DEA0-4044-8C7B-489DD4843F67}">
  <dimension ref="A1:BG82"/>
  <sheetViews>
    <sheetView workbookViewId="0">
      <selection activeCell="C18" sqref="C18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4.28515625" customWidth="1"/>
    <col min="4" max="4" width="4" bestFit="1" customWidth="1"/>
    <col min="5" max="7" width="14.42578125" bestFit="1" customWidth="1"/>
    <col min="8" max="8" width="14.42578125" style="7" bestFit="1" customWidth="1"/>
    <col min="9" max="18" width="14.42578125" bestFit="1" customWidth="1"/>
    <col min="19" max="22" width="15.42578125" bestFit="1" customWidth="1"/>
    <col min="23" max="31" width="14.42578125" bestFit="1" customWidth="1"/>
    <col min="32" max="32" width="15.42578125" bestFit="1" customWidth="1"/>
    <col min="33" max="33" width="14.42578125" bestFit="1" customWidth="1"/>
    <col min="34" max="34" width="17.85546875" bestFit="1" customWidth="1"/>
    <col min="35" max="38" width="14.42578125" bestFit="1" customWidth="1"/>
    <col min="39" max="39" width="17.28515625" bestFit="1" customWidth="1"/>
    <col min="40" max="40" width="14.42578125" bestFit="1" customWidth="1"/>
    <col min="41" max="41" width="15.7109375" bestFit="1" customWidth="1"/>
    <col min="42" max="59" width="14.42578125" bestFit="1" customWidth="1"/>
    <col min="60" max="63" width="16" customWidth="1"/>
  </cols>
  <sheetData>
    <row r="1" spans="1:59" ht="15.75" x14ac:dyDescent="0.25">
      <c r="A1" s="338" t="s">
        <v>773</v>
      </c>
      <c r="B1" s="338"/>
      <c r="C1" s="338"/>
      <c r="D1" s="338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252" t="s">
        <v>291</v>
      </c>
      <c r="D3" s="253" t="s">
        <v>298</v>
      </c>
      <c r="E3" s="69">
        <f>Examples!E4</f>
        <v>2436116.31</v>
      </c>
      <c r="F3" s="69">
        <f>Examples!F4</f>
        <v>1842713</v>
      </c>
      <c r="G3" s="69">
        <f>Examples!G4</f>
        <v>2451545</v>
      </c>
      <c r="H3" s="69">
        <f>Examples!H4</f>
        <v>2451179.5</v>
      </c>
      <c r="I3" s="69">
        <f>Examples!I4</f>
        <v>2446822.5</v>
      </c>
      <c r="J3" s="69">
        <f>Examples!J4</f>
        <v>2446966</v>
      </c>
      <c r="K3" s="69">
        <f>Examples!K4</f>
        <v>2447187.5</v>
      </c>
      <c r="L3" s="69">
        <f>Examples!L4</f>
        <v>2447332</v>
      </c>
      <c r="M3" s="69">
        <f>Examples!M4</f>
        <v>2415020.500011574</v>
      </c>
      <c r="N3" s="69">
        <f>Examples!N4</f>
        <v>2305447.5</v>
      </c>
      <c r="O3" s="69">
        <f>Examples!O4</f>
        <v>2305812.5</v>
      </c>
      <c r="P3" s="69">
        <f>Examples!P4</f>
        <v>2026871.8</v>
      </c>
      <c r="Q3" s="69">
        <f>Examples!Q4</f>
        <v>1676496.5</v>
      </c>
      <c r="R3" s="69">
        <f>Examples!R4</f>
        <v>1676497.5</v>
      </c>
      <c r="S3" s="69">
        <f>Examples!S4</f>
        <v>1356001</v>
      </c>
      <c r="T3" s="69">
        <f>Examples!T4</f>
        <v>1355866.5</v>
      </c>
      <c r="U3" s="69">
        <f>Examples!U4</f>
        <v>1355671.4</v>
      </c>
      <c r="V3" s="69">
        <f>Examples!V4</f>
        <v>0</v>
      </c>
      <c r="W3" s="69">
        <f>Examples!W4</f>
        <v>2446895.5</v>
      </c>
      <c r="X3" s="69">
        <f>Examples!X4</f>
        <v>2448724.5</v>
      </c>
      <c r="Y3" s="69">
        <f>Examples!Y4</f>
        <v>2443189.5</v>
      </c>
      <c r="Z3" s="69">
        <f>Examples!Z4</f>
        <v>2467615.5</v>
      </c>
      <c r="AA3" s="69">
        <f>Examples!AA4</f>
        <v>2451544.5</v>
      </c>
      <c r="AB3" s="69">
        <f>Examples!AB4</f>
        <v>2434923.5</v>
      </c>
      <c r="AC3" s="69">
        <f>Examples!AC4</f>
        <v>2443826.5</v>
      </c>
      <c r="AD3" s="69">
        <f>Examples!AD4</f>
        <v>2447273.5</v>
      </c>
      <c r="AE3" s="69">
        <f>Examples!AE4</f>
        <v>2443192.6511574076</v>
      </c>
      <c r="AF3" s="69">
        <f>Examples!AF4</f>
        <v>2448976.5</v>
      </c>
      <c r="AG3" s="69">
        <f>Examples!AG4</f>
        <v>2448908.5</v>
      </c>
      <c r="AH3" s="69">
        <f>Examples!AH4</f>
        <v>2448316.5</v>
      </c>
      <c r="AI3" s="69">
        <f>Examples!AI4</f>
        <v>2448713.5</v>
      </c>
      <c r="AJ3" s="69">
        <f>Examples!AJ4</f>
        <v>2449108.5</v>
      </c>
      <c r="AK3" s="69">
        <f>Examples!AK4</f>
        <v>2385070.5</v>
      </c>
      <c r="AL3" s="69">
        <f>Examples!AL4</f>
        <v>2448154.5</v>
      </c>
      <c r="AM3" s="69">
        <f>Examples!AM4</f>
        <v>1948439.5</v>
      </c>
      <c r="AN3" s="69">
        <f>Examples!AN4</f>
        <v>2451640.5</v>
      </c>
      <c r="AO3" s="69">
        <f>Examples!AO4</f>
        <v>1721425.5</v>
      </c>
      <c r="AP3" s="69">
        <f>Examples!AP4</f>
        <v>2459848.0791666666</v>
      </c>
      <c r="AQ3" s="69">
        <f>Examples!AQ4</f>
        <v>2459855.1347222221</v>
      </c>
      <c r="AR3" s="69">
        <f>Examples!AR4</f>
        <v>2459862.0375000001</v>
      </c>
      <c r="AS3" s="69">
        <f>Examples!AS4</f>
        <v>2459869.84375</v>
      </c>
      <c r="AT3" s="69">
        <f>Examples!AT4</f>
        <v>2459884.5</v>
      </c>
      <c r="AU3" s="69">
        <f>Examples!AU4</f>
        <v>2441834.5</v>
      </c>
      <c r="AV3" s="69">
        <f>Examples!AV4</f>
        <v>2450692.5</v>
      </c>
      <c r="AW3" s="69">
        <f>Examples!AW4</f>
        <v>2427807.5</v>
      </c>
      <c r="AX3" s="69">
        <f>Examples!AX4</f>
        <v>2435943.5</v>
      </c>
      <c r="AY3" s="69">
        <f>Examples!AY4</f>
        <v>2459914.5</v>
      </c>
      <c r="AZ3" s="69">
        <f>Examples!AZ4</f>
        <v>2459915.5</v>
      </c>
      <c r="BA3" s="69">
        <f>Examples!BA4</f>
        <v>2459916.5</v>
      </c>
      <c r="BB3" s="69">
        <f>Examples!BB4</f>
        <v>2459917.5</v>
      </c>
      <c r="BC3" s="69">
        <f>Examples!BC4</f>
        <v>2459918.5</v>
      </c>
      <c r="BD3" s="69">
        <f>Examples!BD4</f>
        <v>2459919.5</v>
      </c>
      <c r="BE3" s="69">
        <f>Examples!BE4</f>
        <v>2459920.5</v>
      </c>
      <c r="BF3" s="69">
        <f>Examples!BF4</f>
        <v>2459921.5</v>
      </c>
      <c r="BG3" s="69">
        <f>Examples!BG4</f>
        <v>2443192.5</v>
      </c>
    </row>
    <row r="4" spans="1:59" x14ac:dyDescent="0.25">
      <c r="A4" s="7"/>
      <c r="B4" s="7"/>
      <c r="C4" s="252"/>
      <c r="D4" s="251" t="s">
        <v>664</v>
      </c>
      <c r="E4" s="69">
        <f>'22Nutation'!E43</f>
        <v>23.443043119473113</v>
      </c>
      <c r="F4" s="69">
        <f>'22Nutation'!F43</f>
        <v>23.655717030923601</v>
      </c>
      <c r="G4" s="69">
        <f>'22Nutation'!G43</f>
        <v>23.437687247318291</v>
      </c>
      <c r="H4" s="69">
        <f>'22Nutation'!H43</f>
        <v>23.437158333391135</v>
      </c>
      <c r="I4" s="69">
        <f>'22Nutation'!I43</f>
        <v>23.443337644201826</v>
      </c>
      <c r="J4" s="69">
        <f>'22Nutation'!J43</f>
        <v>23.443308308838667</v>
      </c>
      <c r="K4" s="69">
        <f>'22Nutation'!K43</f>
        <v>23.443315172361388</v>
      </c>
      <c r="L4" s="69">
        <f>'22Nutation'!L43</f>
        <v>23.443126572341065</v>
      </c>
      <c r="M4" s="69">
        <f>'22Nutation'!M43</f>
        <v>23.45165761740795</v>
      </c>
      <c r="N4" s="69">
        <f>'22Nutation'!N43</f>
        <v>23.49244046236787</v>
      </c>
      <c r="O4" s="69">
        <f>'22Nutation'!O43</f>
        <v>23.491541691654835</v>
      </c>
      <c r="P4" s="69">
        <f>'22Nutation'!P43</f>
        <v>23.590811213098522</v>
      </c>
      <c r="Q4" s="69">
        <f>'22Nutation'!Q43</f>
        <v>23.708655145231432</v>
      </c>
      <c r="R4" s="69">
        <f>'22Nutation'!R43</f>
        <v>23.708662142657886</v>
      </c>
      <c r="S4" s="69">
        <f>'22Nutation'!S43</f>
        <v>23.812899068141359</v>
      </c>
      <c r="T4" s="69">
        <f>'22Nutation'!T43</f>
        <v>23.813188782024959</v>
      </c>
      <c r="U4" s="69">
        <f>'22Nutation'!U43</f>
        <v>23.813268661988246</v>
      </c>
      <c r="V4" s="69">
        <f>'22Nutation'!V43</f>
        <v>24.161474221642671</v>
      </c>
      <c r="W4" s="69">
        <f>'22Nutation'!W43</f>
        <v>23.443569413074961</v>
      </c>
      <c r="X4" s="69">
        <f>'22Nutation'!X43</f>
        <v>23.440635013964791</v>
      </c>
      <c r="Y4" s="69">
        <f>'22Nutation'!Y43</f>
        <v>23.440026762552865</v>
      </c>
      <c r="Z4" s="69">
        <f>'22Nutation'!Z43</f>
        <v>23.43591441649545</v>
      </c>
      <c r="AA4" s="69">
        <f>'22Nutation'!AA43</f>
        <v>23.437690141391833</v>
      </c>
      <c r="AB4" s="69">
        <f>'22Nutation'!AB43</f>
        <v>23.445717858790978</v>
      </c>
      <c r="AC4" s="69">
        <f>'22Nutation'!AC43</f>
        <v>23.43944105464222</v>
      </c>
      <c r="AD4" s="69">
        <f>'22Nutation'!AD43</f>
        <v>23.443353796383867</v>
      </c>
      <c r="AE4" s="69">
        <f>'22Nutation'!AE43</f>
        <v>23.440069236114311</v>
      </c>
      <c r="AF4" s="69">
        <f>'22Nutation'!AF43</f>
        <v>23.439668707560312</v>
      </c>
      <c r="AG4" s="260">
        <f>'22Nutation'!AG43</f>
        <v>23.440144328354034</v>
      </c>
      <c r="AH4" s="69">
        <f>'22Nutation'!AH43</f>
        <v>23.441725592332503</v>
      </c>
      <c r="AI4" s="69">
        <f>'22Nutation'!AI43</f>
        <v>23.440720169380132</v>
      </c>
      <c r="AJ4" s="69">
        <f>'22Nutation'!AJ43</f>
        <v>23.43952478757906</v>
      </c>
      <c r="AK4" s="69">
        <f>'22Nutation'!AK43</f>
        <v>23.464635053498736</v>
      </c>
      <c r="AL4" s="69">
        <f>'22Nutation'!AL43</f>
        <v>23.44214134975962</v>
      </c>
      <c r="AM4" s="69">
        <f>'22Nutation'!AM43</f>
        <v>23.615440758222871</v>
      </c>
      <c r="AN4" s="69">
        <f>'22Nutation'!AN43</f>
        <v>23.438139860602295</v>
      </c>
      <c r="AO4" s="69">
        <f>'22Nutation'!AO43</f>
        <v>23.694977970087983</v>
      </c>
      <c r="AP4" s="69">
        <f>'22Nutation'!AP43</f>
        <v>23.438318064424823</v>
      </c>
      <c r="AQ4" s="69">
        <f>'22Nutation'!AQ43</f>
        <v>23.438255471534546</v>
      </c>
      <c r="AR4" s="69">
        <f>'22Nutation'!AR43</f>
        <v>23.438313915068321</v>
      </c>
      <c r="AS4" s="69">
        <f>'22Nutation'!AS43</f>
        <v>23.438239250597245</v>
      </c>
      <c r="AT4" s="69">
        <f>'22Nutation'!AT43</f>
        <v>23.438195562079979</v>
      </c>
      <c r="AU4" s="69">
        <f>'22Nutation'!AU43</f>
        <v>23.443036350590067</v>
      </c>
      <c r="AV4" s="69">
        <f>'22Nutation'!AV43</f>
        <v>23.437178550742651</v>
      </c>
      <c r="AW4" s="69">
        <f>'22Nutation'!AW43</f>
        <v>23.448937361252447</v>
      </c>
      <c r="AX4" s="69">
        <f>'22Nutation'!AX43</f>
        <v>23.443362294195751</v>
      </c>
      <c r="AY4" s="69">
        <f>'22Nutation'!AY43</f>
        <v>23.438120178554648</v>
      </c>
      <c r="AZ4" s="69">
        <f>'22Nutation'!AZ43</f>
        <v>23.438124485965716</v>
      </c>
      <c r="BA4" s="69">
        <f>'22Nutation'!BA43</f>
        <v>23.438121872273811</v>
      </c>
      <c r="BB4" s="69">
        <f>'22Nutation'!BB43</f>
        <v>23.438112991814261</v>
      </c>
      <c r="BC4" s="69">
        <f>'22Nutation'!BC43</f>
        <v>23.438099685238441</v>
      </c>
      <c r="BD4" s="69">
        <f>'22Nutation'!BD43</f>
        <v>23.438084437844793</v>
      </c>
      <c r="BE4" s="69">
        <f>'22Nutation'!BE43</f>
        <v>23.438069837320658</v>
      </c>
      <c r="BF4" s="69">
        <f>'22Nutation'!BF43</f>
        <v>23.438058122225598</v>
      </c>
      <c r="BG4" s="69">
        <f>'22Nutation'!BG43</f>
        <v>23.440067370916868</v>
      </c>
    </row>
    <row r="5" spans="1:59" x14ac:dyDescent="0.25">
      <c r="D5" s="7"/>
      <c r="H5"/>
      <c r="AG5" s="142">
        <v>23.44023</v>
      </c>
      <c r="AH5" s="142" t="s">
        <v>874</v>
      </c>
    </row>
    <row r="6" spans="1:59" x14ac:dyDescent="0.25">
      <c r="C6" t="s">
        <v>775</v>
      </c>
      <c r="D6" s="7"/>
      <c r="H6"/>
      <c r="AF6" s="211" t="s">
        <v>818</v>
      </c>
    </row>
    <row r="7" spans="1:59" x14ac:dyDescent="0.25">
      <c r="B7">
        <v>218</v>
      </c>
      <c r="C7" t="s">
        <v>779</v>
      </c>
      <c r="D7" s="19" t="s">
        <v>778</v>
      </c>
      <c r="E7" s="15">
        <f t="shared" ref="E7:AJ7" si="0" xml:space="preserve"> (E3 - 2451545) / 365250</f>
        <v>-4.2241451060917028E-2</v>
      </c>
      <c r="F7" s="15">
        <f t="shared" si="0"/>
        <v>-1.6668911704312115</v>
      </c>
      <c r="G7" s="15">
        <f t="shared" si="0"/>
        <v>0</v>
      </c>
      <c r="H7" s="15">
        <f t="shared" si="0"/>
        <v>-1.000684462696783E-3</v>
      </c>
      <c r="I7" s="15">
        <f t="shared" si="0"/>
        <v>-1.2929500342231349E-2</v>
      </c>
      <c r="J7" s="15">
        <f t="shared" si="0"/>
        <v>-1.2536618754277891E-2</v>
      </c>
      <c r="K7" s="15">
        <f t="shared" si="0"/>
        <v>-1.1930184804928131E-2</v>
      </c>
      <c r="L7" s="15">
        <f t="shared" si="0"/>
        <v>-1.1534565366187542E-2</v>
      </c>
      <c r="M7" s="15">
        <f t="shared" si="0"/>
        <v>-9.999863104291852E-2</v>
      </c>
      <c r="N7" s="15">
        <f t="shared" si="0"/>
        <v>-0.39999315537303215</v>
      </c>
      <c r="O7" s="15">
        <f t="shared" si="0"/>
        <v>-0.39899383983572895</v>
      </c>
      <c r="P7" s="15">
        <f t="shared" si="0"/>
        <v>-1.1626918548939082</v>
      </c>
      <c r="Q7" s="15">
        <f t="shared" si="0"/>
        <v>-2.1219671457905545</v>
      </c>
      <c r="R7" s="15">
        <f t="shared" si="0"/>
        <v>-2.1219644079397675</v>
      </c>
      <c r="S7" s="15">
        <f t="shared" si="0"/>
        <v>-2.9994360027378506</v>
      </c>
      <c r="T7" s="15">
        <f t="shared" si="0"/>
        <v>-2.99980424366872</v>
      </c>
      <c r="U7" s="15">
        <f t="shared" si="0"/>
        <v>-3.00033839835729</v>
      </c>
      <c r="V7" s="15">
        <f t="shared" si="0"/>
        <v>-6.7119644079397673</v>
      </c>
      <c r="W7" s="15">
        <f t="shared" si="0"/>
        <v>-1.2729637234770705E-2</v>
      </c>
      <c r="X7" s="15">
        <f t="shared" si="0"/>
        <v>-7.7221081451060913E-3</v>
      </c>
      <c r="Y7" s="15">
        <f t="shared" si="0"/>
        <v>-2.2876112251882273E-2</v>
      </c>
      <c r="Z7" s="15">
        <f t="shared" si="0"/>
        <v>4.3998631074606435E-2</v>
      </c>
      <c r="AA7" s="15">
        <f t="shared" si="0"/>
        <v>-1.3689253935660506E-6</v>
      </c>
      <c r="AB7" s="15">
        <f t="shared" si="0"/>
        <v>-4.5507186858316222E-2</v>
      </c>
      <c r="AC7" s="15">
        <f t="shared" si="0"/>
        <v>-2.1132101300479125E-2</v>
      </c>
      <c r="AD7" s="15">
        <f t="shared" si="0"/>
        <v>-1.1694729637234771E-2</v>
      </c>
      <c r="AE7" s="15">
        <f t="shared" si="0"/>
        <v>-2.286748485309362E-2</v>
      </c>
      <c r="AF7" s="244">
        <f t="shared" si="0"/>
        <v>-7.0321697467488021E-3</v>
      </c>
      <c r="AG7" s="15">
        <f t="shared" si="0"/>
        <v>-7.218343600273785E-3</v>
      </c>
      <c r="AH7" s="15">
        <f t="shared" si="0"/>
        <v>-8.8391512662559894E-3</v>
      </c>
      <c r="AI7" s="15">
        <f t="shared" si="0"/>
        <v>-7.7522245037645451E-3</v>
      </c>
      <c r="AJ7" s="15">
        <f t="shared" si="0"/>
        <v>-6.6707734428473652E-3</v>
      </c>
      <c r="AK7" s="15">
        <f t="shared" ref="AK7:BG7" si="1" xml:space="preserve"> (AK3 - 2451545) / 365250</f>
        <v>-0.18199726214921286</v>
      </c>
      <c r="AL7" s="15">
        <f t="shared" si="1"/>
        <v>-9.2826830937713899E-3</v>
      </c>
      <c r="AM7" s="15">
        <f t="shared" si="1"/>
        <v>-1.3774277891854894</v>
      </c>
      <c r="AN7" s="15">
        <f t="shared" si="1"/>
        <v>2.614647501711157E-4</v>
      </c>
      <c r="AO7" s="15">
        <f t="shared" si="1"/>
        <v>-1.9989582477754961</v>
      </c>
      <c r="AP7" s="15">
        <f t="shared" si="1"/>
        <v>2.2732591832078316E-2</v>
      </c>
      <c r="AQ7" s="15">
        <f t="shared" si="1"/>
        <v>2.2751908890409605E-2</v>
      </c>
      <c r="AR7" s="15">
        <f t="shared" si="1"/>
        <v>2.2770807665982457E-2</v>
      </c>
      <c r="AS7" s="15">
        <f t="shared" si="1"/>
        <v>2.2792180013689253E-2</v>
      </c>
      <c r="AT7" s="15">
        <f t="shared" si="1"/>
        <v>2.2832306639288157E-2</v>
      </c>
      <c r="AU7" s="15">
        <f t="shared" si="1"/>
        <v>-2.6585900068446269E-2</v>
      </c>
      <c r="AV7" s="15">
        <f t="shared" si="1"/>
        <v>-2.3340177960301163E-3</v>
      </c>
      <c r="AW7" s="15">
        <f t="shared" si="1"/>
        <v>-6.4989733059548249E-2</v>
      </c>
      <c r="AX7" s="15">
        <f t="shared" si="1"/>
        <v>-4.271457905544148E-2</v>
      </c>
      <c r="AY7" s="15">
        <f t="shared" si="1"/>
        <v>2.2914442162902122E-2</v>
      </c>
      <c r="AZ7" s="15">
        <f t="shared" si="1"/>
        <v>2.2917180013689253E-2</v>
      </c>
      <c r="BA7" s="15">
        <f t="shared" si="1"/>
        <v>2.2919917864476388E-2</v>
      </c>
      <c r="BB7" s="15">
        <f t="shared" si="1"/>
        <v>2.2922655715263519E-2</v>
      </c>
      <c r="BC7" s="15">
        <f t="shared" si="1"/>
        <v>2.292539356605065E-2</v>
      </c>
      <c r="BD7" s="15">
        <f t="shared" si="1"/>
        <v>2.2928131416837784E-2</v>
      </c>
      <c r="BE7" s="15">
        <f t="shared" si="1"/>
        <v>2.2930869267624915E-2</v>
      </c>
      <c r="BF7" s="15">
        <f t="shared" si="1"/>
        <v>2.2933607118412046E-2</v>
      </c>
      <c r="BG7" s="15">
        <f t="shared" si="1"/>
        <v>-2.2867898699520876E-2</v>
      </c>
    </row>
    <row r="8" spans="1:59" x14ac:dyDescent="0.25">
      <c r="B8">
        <v>219</v>
      </c>
      <c r="C8" s="6" t="s">
        <v>799</v>
      </c>
      <c r="D8" s="7" t="s">
        <v>2</v>
      </c>
      <c r="E8" s="15">
        <f t="shared" ref="E8:AJ8" si="2">E7*10</f>
        <v>-0.42241451060917029</v>
      </c>
      <c r="F8" s="15">
        <f t="shared" si="2"/>
        <v>-16.668911704312116</v>
      </c>
      <c r="G8" s="15">
        <f t="shared" si="2"/>
        <v>0</v>
      </c>
      <c r="H8" s="15">
        <f t="shared" si="2"/>
        <v>-1.0006844626967829E-2</v>
      </c>
      <c r="I8" s="15">
        <f t="shared" si="2"/>
        <v>-0.12929500342231348</v>
      </c>
      <c r="J8" s="15">
        <f t="shared" si="2"/>
        <v>-0.12536618754277892</v>
      </c>
      <c r="K8" s="15">
        <f t="shared" si="2"/>
        <v>-0.11930184804928132</v>
      </c>
      <c r="L8" s="15">
        <f t="shared" si="2"/>
        <v>-0.11534565366187542</v>
      </c>
      <c r="M8" s="15">
        <f t="shared" si="2"/>
        <v>-0.99998631042918518</v>
      </c>
      <c r="N8" s="15">
        <f t="shared" si="2"/>
        <v>-3.9999315537303213</v>
      </c>
      <c r="O8" s="15">
        <f t="shared" si="2"/>
        <v>-3.9899383983572894</v>
      </c>
      <c r="P8" s="15">
        <f t="shared" si="2"/>
        <v>-11.626918548939082</v>
      </c>
      <c r="Q8" s="15">
        <f t="shared" si="2"/>
        <v>-21.219671457905545</v>
      </c>
      <c r="R8" s="15">
        <f t="shared" si="2"/>
        <v>-21.219644079397675</v>
      </c>
      <c r="S8" s="15">
        <f t="shared" si="2"/>
        <v>-29.994360027378505</v>
      </c>
      <c r="T8" s="15">
        <f t="shared" si="2"/>
        <v>-29.9980424366872</v>
      </c>
      <c r="U8" s="15">
        <f t="shared" si="2"/>
        <v>-30.003383983572899</v>
      </c>
      <c r="V8" s="15">
        <f t="shared" si="2"/>
        <v>-67.119644079397673</v>
      </c>
      <c r="W8" s="15">
        <f t="shared" si="2"/>
        <v>-0.12729637234770705</v>
      </c>
      <c r="X8" s="15">
        <f t="shared" si="2"/>
        <v>-7.7221081451060908E-2</v>
      </c>
      <c r="Y8" s="15">
        <f t="shared" si="2"/>
        <v>-0.22876112251882272</v>
      </c>
      <c r="Z8" s="15">
        <f t="shared" si="2"/>
        <v>0.43998631074606437</v>
      </c>
      <c r="AA8" s="15">
        <f t="shared" si="2"/>
        <v>-1.3689253935660506E-5</v>
      </c>
      <c r="AB8" s="15">
        <f t="shared" si="2"/>
        <v>-0.45507186858316223</v>
      </c>
      <c r="AC8" s="15">
        <f t="shared" si="2"/>
        <v>-0.21132101300479125</v>
      </c>
      <c r="AD8" s="15">
        <f t="shared" si="2"/>
        <v>-0.11694729637234771</v>
      </c>
      <c r="AE8" s="15">
        <f t="shared" si="2"/>
        <v>-0.2286748485309362</v>
      </c>
      <c r="AF8" s="64">
        <f t="shared" si="2"/>
        <v>-7.0321697467488023E-2</v>
      </c>
      <c r="AG8" s="133">
        <f t="shared" si="2"/>
        <v>-7.2183436002737855E-2</v>
      </c>
      <c r="AH8" s="15">
        <f t="shared" si="2"/>
        <v>-8.8391512662559901E-2</v>
      </c>
      <c r="AI8" s="15">
        <f t="shared" si="2"/>
        <v>-7.7522245037645446E-2</v>
      </c>
      <c r="AJ8" s="15">
        <f t="shared" si="2"/>
        <v>-6.670773442847365E-2</v>
      </c>
      <c r="AK8" s="15">
        <f t="shared" ref="AK8:BG8" si="3">AK7*10</f>
        <v>-1.8199726214921286</v>
      </c>
      <c r="AL8" s="15">
        <f t="shared" si="3"/>
        <v>-9.2826830937713906E-2</v>
      </c>
      <c r="AM8" s="15">
        <f t="shared" si="3"/>
        <v>-13.774277891854894</v>
      </c>
      <c r="AN8" s="15">
        <f t="shared" si="3"/>
        <v>2.6146475017111569E-3</v>
      </c>
      <c r="AO8" s="15">
        <f t="shared" si="3"/>
        <v>-19.989582477754961</v>
      </c>
      <c r="AP8" s="15">
        <f t="shared" si="3"/>
        <v>0.22732591832078317</v>
      </c>
      <c r="AQ8" s="15">
        <f t="shared" si="3"/>
        <v>0.22751908890409606</v>
      </c>
      <c r="AR8" s="15">
        <f t="shared" si="3"/>
        <v>0.22770807665982457</v>
      </c>
      <c r="AS8" s="15">
        <f t="shared" si="3"/>
        <v>0.22792180013689253</v>
      </c>
      <c r="AT8" s="15">
        <f t="shared" si="3"/>
        <v>0.22832306639288158</v>
      </c>
      <c r="AU8" s="15">
        <f t="shared" si="3"/>
        <v>-0.26585900068446267</v>
      </c>
      <c r="AV8" s="15">
        <f t="shared" si="3"/>
        <v>-2.3340177960301162E-2</v>
      </c>
      <c r="AW8" s="15">
        <f t="shared" si="3"/>
        <v>-0.64989733059548249</v>
      </c>
      <c r="AX8" s="15">
        <f t="shared" si="3"/>
        <v>-0.42714579055441482</v>
      </c>
      <c r="AY8" s="15">
        <f t="shared" si="3"/>
        <v>0.22914442162902121</v>
      </c>
      <c r="AZ8" s="15">
        <f t="shared" si="3"/>
        <v>0.22917180013689253</v>
      </c>
      <c r="BA8" s="15">
        <f t="shared" si="3"/>
        <v>0.22919917864476388</v>
      </c>
      <c r="BB8" s="15">
        <f t="shared" si="3"/>
        <v>0.22922655715263518</v>
      </c>
      <c r="BC8" s="15">
        <f t="shared" si="3"/>
        <v>0.2292539356605065</v>
      </c>
      <c r="BD8" s="15">
        <f t="shared" si="3"/>
        <v>0.22928131416837783</v>
      </c>
      <c r="BE8" s="15">
        <f t="shared" si="3"/>
        <v>0.22930869267624915</v>
      </c>
      <c r="BF8" s="15">
        <f t="shared" si="3"/>
        <v>0.22933607118412047</v>
      </c>
      <c r="BG8" s="15">
        <f t="shared" si="3"/>
        <v>-0.22867898699520878</v>
      </c>
    </row>
    <row r="9" spans="1:59" x14ac:dyDescent="0.25">
      <c r="C9" s="6"/>
      <c r="D9" s="7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64"/>
      <c r="AG9" s="254">
        <v>-7.2183436000000004E-2</v>
      </c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</row>
    <row r="10" spans="1:59" x14ac:dyDescent="0.25">
      <c r="A10">
        <v>25.2</v>
      </c>
      <c r="B10">
        <v>163</v>
      </c>
      <c r="C10" s="6" t="s">
        <v>844</v>
      </c>
      <c r="D10" s="7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64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</row>
    <row r="11" spans="1:59" x14ac:dyDescent="0.25">
      <c r="C11" s="6" t="s">
        <v>845</v>
      </c>
      <c r="D11" s="7" t="s">
        <v>785</v>
      </c>
      <c r="E11" s="71">
        <f t="shared" ref="E11:AJ11" si="4" xml:space="preserve"> 280.46646 + 36000.76983* E8 + 0.0003032 * E8^2</f>
        <v>-14926.781055191637</v>
      </c>
      <c r="F11" s="71">
        <f t="shared" si="4"/>
        <v>-599813.1028786198</v>
      </c>
      <c r="G11" s="71">
        <f t="shared" si="4"/>
        <v>280.46645999999998</v>
      </c>
      <c r="H11" s="71">
        <f t="shared" si="4"/>
        <v>-79.787650109679504</v>
      </c>
      <c r="I11" s="71">
        <f t="shared" si="4"/>
        <v>-4374.2531933071159</v>
      </c>
      <c r="J11" s="71">
        <f t="shared" si="4"/>
        <v>-4232.8127974269</v>
      </c>
      <c r="K11" s="71">
        <f t="shared" si="4"/>
        <v>-4014.4919076003862</v>
      </c>
      <c r="L11" s="71">
        <f t="shared" si="4"/>
        <v>-3872.065864338113</v>
      </c>
      <c r="M11" s="71">
        <f t="shared" si="4"/>
        <v>-35719.810231720316</v>
      </c>
      <c r="N11" s="71">
        <f t="shared" si="4"/>
        <v>-143720.14389056561</v>
      </c>
      <c r="O11" s="71">
        <f t="shared" si="4"/>
        <v>-143360.38262831434</v>
      </c>
      <c r="P11" s="71">
        <f t="shared" si="4"/>
        <v>-418297.51106435026</v>
      </c>
      <c r="Q11" s="71">
        <f t="shared" si="4"/>
        <v>-763643.90504106262</v>
      </c>
      <c r="R11" s="71">
        <f t="shared" si="4"/>
        <v>-763642.91939405492</v>
      </c>
      <c r="S11" s="71">
        <f t="shared" si="4"/>
        <v>-1079539.3123063988</v>
      </c>
      <c r="T11" s="71">
        <f t="shared" si="4"/>
        <v>-1079671.881809359</v>
      </c>
      <c r="U11" s="71">
        <f t="shared" si="4"/>
        <v>-1079864.1815121514</v>
      </c>
      <c r="V11" s="71">
        <f t="shared" si="4"/>
        <v>-2416077.0251837824</v>
      </c>
      <c r="W11" s="71">
        <f t="shared" si="4"/>
        <v>-4302.3009361706145</v>
      </c>
      <c r="X11" s="71">
        <f t="shared" si="4"/>
        <v>-2499.5519175353156</v>
      </c>
      <c r="Y11" s="71">
        <f t="shared" si="4"/>
        <v>-7955.1100419856093</v>
      </c>
      <c r="Z11" s="71">
        <f t="shared" si="4"/>
        <v>16120.312420215785</v>
      </c>
      <c r="AA11" s="71">
        <f t="shared" si="4"/>
        <v>279.97363631991789</v>
      </c>
      <c r="AB11" s="71">
        <f t="shared" si="4"/>
        <v>-16102.471074180619</v>
      </c>
      <c r="AC11" s="71">
        <f t="shared" si="4"/>
        <v>-7327.252675888054</v>
      </c>
      <c r="AD11" s="71">
        <f t="shared" si="4"/>
        <v>-3929.7262347949168</v>
      </c>
      <c r="AE11" s="71">
        <f t="shared" si="4"/>
        <v>-7952.0041120173564</v>
      </c>
      <c r="AF11" s="71">
        <f t="shared" si="4"/>
        <v>-2251.1687830825636</v>
      </c>
      <c r="AG11" s="41">
        <f t="shared" si="4"/>
        <v>-2318.1928034932926</v>
      </c>
      <c r="AH11" s="71">
        <f t="shared" si="4"/>
        <v>-2901.6960399214295</v>
      </c>
      <c r="AI11" s="71">
        <f t="shared" si="4"/>
        <v>-2510.3940384829921</v>
      </c>
      <c r="AJ11" s="71">
        <f t="shared" si="4"/>
        <v>-2121.0633316910298</v>
      </c>
      <c r="AK11" s="71">
        <f t="shared" ref="AK11:BG11" si="5" xml:space="preserve"> 280.46646 + 36000.76983* AK8 + 0.0003032 * AK8^2</f>
        <v>-65239.94797895036</v>
      </c>
      <c r="AL11" s="71">
        <f t="shared" si="5"/>
        <v>-3061.3709120243411</v>
      </c>
      <c r="AM11" s="71">
        <f t="shared" si="5"/>
        <v>-495604.08397276781</v>
      </c>
      <c r="AN11" s="71">
        <f t="shared" si="5"/>
        <v>374.59578289776067</v>
      </c>
      <c r="AO11" s="71">
        <f t="shared" si="5"/>
        <v>-719359.7701657681</v>
      </c>
      <c r="AP11" s="71">
        <f t="shared" si="5"/>
        <v>8464.3745375283834</v>
      </c>
      <c r="AQ11" s="71">
        <f t="shared" si="5"/>
        <v>8471.328827262796</v>
      </c>
      <c r="AR11" s="71">
        <f t="shared" si="5"/>
        <v>8478.1325319835523</v>
      </c>
      <c r="AS11" s="71">
        <f t="shared" si="5"/>
        <v>8485.8267417182687</v>
      </c>
      <c r="AT11" s="71">
        <f t="shared" si="5"/>
        <v>8500.2726358961845</v>
      </c>
      <c r="AU11" s="71">
        <f t="shared" si="5"/>
        <v>-9290.6622094446702</v>
      </c>
      <c r="AV11" s="71">
        <f t="shared" si="5"/>
        <v>-559.79791437486858</v>
      </c>
      <c r="AW11" s="71">
        <f t="shared" si="5"/>
        <v>-23116.337623837844</v>
      </c>
      <c r="AX11" s="71">
        <f t="shared" si="5"/>
        <v>-15097.110774282966</v>
      </c>
      <c r="AY11" s="71">
        <f t="shared" si="5"/>
        <v>8529.8420568150395</v>
      </c>
      <c r="AZ11" s="71">
        <f t="shared" si="5"/>
        <v>8530.8277041790061</v>
      </c>
      <c r="BA11" s="71">
        <f t="shared" si="5"/>
        <v>8531.8133515429781</v>
      </c>
      <c r="BB11" s="71">
        <f t="shared" si="5"/>
        <v>8532.7989989069465</v>
      </c>
      <c r="BC11" s="71">
        <f t="shared" si="5"/>
        <v>8533.7846462709149</v>
      </c>
      <c r="BD11" s="71">
        <f t="shared" si="5"/>
        <v>8534.7702936348869</v>
      </c>
      <c r="BE11" s="71">
        <f t="shared" si="5"/>
        <v>8535.7559409988589</v>
      </c>
      <c r="BF11" s="71">
        <f t="shared" si="5"/>
        <v>8536.741588362831</v>
      </c>
      <c r="BG11" s="71">
        <f t="shared" si="5"/>
        <v>-7952.1530999165097</v>
      </c>
    </row>
    <row r="12" spans="1:59" x14ac:dyDescent="0.25">
      <c r="C12" s="6"/>
      <c r="D12" s="7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64"/>
      <c r="AG12" s="140">
        <v>-2318.1927999999998</v>
      </c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</row>
    <row r="13" spans="1:59" x14ac:dyDescent="0.25">
      <c r="A13">
        <v>25.3</v>
      </c>
      <c r="B13">
        <v>163</v>
      </c>
      <c r="C13" s="6" t="s">
        <v>846</v>
      </c>
      <c r="D13" s="7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64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</row>
    <row r="14" spans="1:59" x14ac:dyDescent="0.25">
      <c r="C14" s="6" t="s">
        <v>847</v>
      </c>
      <c r="D14" s="7" t="s">
        <v>5</v>
      </c>
      <c r="E14" s="71">
        <f t="shared" ref="E14:AJ14" si="6" xml:space="preserve"> 357.52911 + 35999.05029 * E8 - 0.0001537 *E8^3</f>
        <v>-14848.992089060412</v>
      </c>
      <c r="F14" s="71">
        <f t="shared" si="6"/>
        <v>-599706.74975143676</v>
      </c>
      <c r="G14" s="71">
        <f t="shared" si="6"/>
        <v>357.52911</v>
      </c>
      <c r="H14" s="71">
        <f t="shared" si="6"/>
        <v>-2.7077929702771555</v>
      </c>
      <c r="I14" s="71">
        <f t="shared" si="6"/>
        <v>-4296.9682201133701</v>
      </c>
      <c r="J14" s="71">
        <f t="shared" si="6"/>
        <v>-4155.5345797152277</v>
      </c>
      <c r="K14" s="71">
        <f t="shared" si="6"/>
        <v>-3937.2241173550315</v>
      </c>
      <c r="L14" s="71">
        <f t="shared" si="6"/>
        <v>-3794.8048766709035</v>
      </c>
      <c r="M14" s="71">
        <f t="shared" si="6"/>
        <v>-35641.028214758095</v>
      </c>
      <c r="N14" s="71">
        <f t="shared" si="6"/>
        <v>-143636.19821300064</v>
      </c>
      <c r="O14" s="71">
        <f t="shared" si="6"/>
        <v>-143276.45418371001</v>
      </c>
      <c r="P14" s="71">
        <f t="shared" si="6"/>
        <v>-418200.25486721995</v>
      </c>
      <c r="Q14" s="71">
        <f t="shared" si="6"/>
        <v>-763529.02228671219</v>
      </c>
      <c r="R14" s="71">
        <f t="shared" si="6"/>
        <v>-763528.03669211478</v>
      </c>
      <c r="S14" s="71">
        <f t="shared" si="6"/>
        <v>-1079406.7983720568</v>
      </c>
      <c r="T14" s="71">
        <f t="shared" si="6"/>
        <v>-1079539.3600821728</v>
      </c>
      <c r="U14" s="71">
        <f t="shared" si="6"/>
        <v>-1079731.6484803434</v>
      </c>
      <c r="V14" s="71">
        <f t="shared" si="6"/>
        <v>-2415839.4381869039</v>
      </c>
      <c r="W14" s="71">
        <f t="shared" si="6"/>
        <v>-4225.019399562625</v>
      </c>
      <c r="X14" s="71">
        <f t="shared" si="6"/>
        <v>-2422.3564845341525</v>
      </c>
      <c r="Y14" s="71">
        <f t="shared" si="6"/>
        <v>-7877.654042111938</v>
      </c>
      <c r="Z14" s="71">
        <f t="shared" si="6"/>
        <v>16196.618424367578</v>
      </c>
      <c r="AA14" s="71">
        <f t="shared" si="6"/>
        <v>357.03630985913759</v>
      </c>
      <c r="AB14" s="71">
        <f t="shared" si="6"/>
        <v>-16024.625958204684</v>
      </c>
      <c r="AC14" s="71">
        <f t="shared" si="6"/>
        <v>-7249.8266630427761</v>
      </c>
      <c r="AD14" s="71">
        <f t="shared" si="6"/>
        <v>-3852.4624931418443</v>
      </c>
      <c r="AE14" s="71">
        <f t="shared" si="6"/>
        <v>-7874.5482604853742</v>
      </c>
      <c r="AF14" s="71">
        <f t="shared" si="6"/>
        <v>-2173.9852135568176</v>
      </c>
      <c r="AG14" s="41">
        <f t="shared" si="6"/>
        <v>-2241.0060327097485</v>
      </c>
      <c r="AH14" s="71">
        <f t="shared" si="6"/>
        <v>-2824.481399442519</v>
      </c>
      <c r="AI14" s="71">
        <f t="shared" si="6"/>
        <v>-2433.1980876322946</v>
      </c>
      <c r="AJ14" s="71">
        <f t="shared" si="6"/>
        <v>-2043.8859763769622</v>
      </c>
      <c r="AK14" s="71">
        <f t="shared" ref="AK14:BG14" si="7" xml:space="preserve"> 357.52911 + 35999.05029 * AK8 - 0.0001537 *AK8^3</f>
        <v>-65159.75589096918</v>
      </c>
      <c r="AL14" s="71">
        <f t="shared" si="7"/>
        <v>-2984.14864506515</v>
      </c>
      <c r="AM14" s="71">
        <f t="shared" si="7"/>
        <v>-495502.99174715241</v>
      </c>
      <c r="AN14" s="71">
        <f t="shared" si="7"/>
        <v>451.65393690472007</v>
      </c>
      <c r="AO14" s="71">
        <f t="shared" si="7"/>
        <v>-719247.2281032108</v>
      </c>
      <c r="AP14" s="71">
        <f t="shared" si="7"/>
        <v>8541.0462740447092</v>
      </c>
      <c r="AQ14" s="71">
        <f t="shared" si="7"/>
        <v>8548.0002315833317</v>
      </c>
      <c r="AR14" s="71">
        <f t="shared" si="7"/>
        <v>8554.8036113014805</v>
      </c>
      <c r="AS14" s="71">
        <f t="shared" si="7"/>
        <v>8562.497453495489</v>
      </c>
      <c r="AT14" s="71">
        <f t="shared" si="7"/>
        <v>8576.9426576148908</v>
      </c>
      <c r="AU14" s="71">
        <f t="shared" si="7"/>
        <v>-9213.1424228009128</v>
      </c>
      <c r="AV14" s="71">
        <f t="shared" si="7"/>
        <v>-482.69513016847685</v>
      </c>
      <c r="AW14" s="71">
        <f t="shared" si="7"/>
        <v>-23038.157535253664</v>
      </c>
      <c r="AX14" s="71">
        <f t="shared" si="7"/>
        <v>-15019.313673351691</v>
      </c>
      <c r="AY14" s="71">
        <f t="shared" si="7"/>
        <v>8606.5106660468227</v>
      </c>
      <c r="AZ14" s="71">
        <f t="shared" si="7"/>
        <v>8607.4962663278839</v>
      </c>
      <c r="BA14" s="71">
        <f t="shared" si="7"/>
        <v>8608.4818666089468</v>
      </c>
      <c r="BB14" s="71">
        <f t="shared" si="7"/>
        <v>8609.4674668900061</v>
      </c>
      <c r="BC14" s="71">
        <f t="shared" si="7"/>
        <v>8610.4530671710672</v>
      </c>
      <c r="BD14" s="71">
        <f t="shared" si="7"/>
        <v>8611.4386674521302</v>
      </c>
      <c r="BE14" s="71">
        <f t="shared" si="7"/>
        <v>8612.4242677331913</v>
      </c>
      <c r="BF14" s="71">
        <f t="shared" si="7"/>
        <v>8613.4098680142524</v>
      </c>
      <c r="BG14" s="71">
        <f t="shared" si="7"/>
        <v>-7874.6972412687455</v>
      </c>
    </row>
    <row r="15" spans="1:59" x14ac:dyDescent="0.25">
      <c r="C15" s="6"/>
      <c r="D15" s="7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255">
        <v>-2241.00603</v>
      </c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</row>
    <row r="16" spans="1:59" x14ac:dyDescent="0.25">
      <c r="A16">
        <v>25.4</v>
      </c>
      <c r="B16">
        <v>163</v>
      </c>
      <c r="C16" s="6" t="s">
        <v>848</v>
      </c>
      <c r="D16" s="7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</row>
    <row r="17" spans="1:59" x14ac:dyDescent="0.25">
      <c r="C17" s="6" t="s">
        <v>849</v>
      </c>
      <c r="D17" s="7" t="s">
        <v>850</v>
      </c>
      <c r="E17" s="71">
        <f t="shared" ref="E17:AJ17" si="8" xml:space="preserve"> 0.016708634 - 0.000042037 *E8 - 0.0000001267*E8^2</f>
        <v>1.6726368431192299E-2</v>
      </c>
      <c r="F17" s="71">
        <f t="shared" si="8"/>
        <v>1.7374141114688806E-2</v>
      </c>
      <c r="G17" s="71">
        <f t="shared" si="8"/>
        <v>1.6708634E-2</v>
      </c>
      <c r="H17" s="71">
        <f t="shared" si="8"/>
        <v>1.6709054645040234E-2</v>
      </c>
      <c r="I17" s="71">
        <f t="shared" si="8"/>
        <v>1.6714067055989889E-2</v>
      </c>
      <c r="J17" s="71">
        <f t="shared" si="8"/>
        <v>1.6713902027122255E-2</v>
      </c>
      <c r="K17" s="71">
        <f t="shared" si="8"/>
        <v>1.6713647288474097E-2</v>
      </c>
      <c r="L17" s="71">
        <f t="shared" si="8"/>
        <v>1.6713481099547654E-2</v>
      </c>
      <c r="M17" s="71">
        <f t="shared" si="8"/>
        <v>1.6750543728000427E-2</v>
      </c>
      <c r="N17" s="71">
        <f t="shared" si="8"/>
        <v>1.6874751992100707E-2</v>
      </c>
      <c r="O17" s="71">
        <f t="shared" si="8"/>
        <v>1.6874342026064592E-2</v>
      </c>
      <c r="P17" s="71">
        <f t="shared" si="8"/>
        <v>1.7180266805774388E-2</v>
      </c>
      <c r="Q17" s="71">
        <f t="shared" si="8"/>
        <v>1.7543595555401765E-2</v>
      </c>
      <c r="R17" s="71">
        <f t="shared" si="8"/>
        <v>1.7543594551707346E-2</v>
      </c>
      <c r="S17" s="71">
        <f t="shared" si="8"/>
        <v>1.7855519783512543E-2</v>
      </c>
      <c r="T17" s="71">
        <f t="shared" si="8"/>
        <v>1.7855646590821804E-2</v>
      </c>
      <c r="U17" s="71">
        <f t="shared" si="8"/>
        <v>1.7855830526023447E-2</v>
      </c>
      <c r="V17" s="71">
        <f t="shared" si="8"/>
        <v>1.8959353071241226E-2</v>
      </c>
      <c r="W17" s="71">
        <f t="shared" si="8"/>
        <v>1.6713983104511158E-2</v>
      </c>
      <c r="X17" s="71">
        <f t="shared" si="8"/>
        <v>1.6711879387076769E-2</v>
      </c>
      <c r="Y17" s="71">
        <f t="shared" si="8"/>
        <v>1.6718243800887121E-2</v>
      </c>
      <c r="Z17" s="71">
        <f t="shared" si="8"/>
        <v>1.6690113767861441E-2</v>
      </c>
      <c r="AA17" s="71">
        <f t="shared" si="8"/>
        <v>1.6708634575455142E-2</v>
      </c>
      <c r="AB17" s="71">
        <f t="shared" si="8"/>
        <v>1.6727737617785246E-2</v>
      </c>
      <c r="AC17" s="71">
        <f t="shared" si="8"/>
        <v>1.6717511643436194E-2</v>
      </c>
      <c r="AD17" s="71">
        <f t="shared" si="8"/>
        <v>1.6713548380663499E-2</v>
      </c>
      <c r="AE17" s="71">
        <f t="shared" si="8"/>
        <v>1.6718240179187684E-2</v>
      </c>
      <c r="AF17" s="71">
        <f t="shared" si="8"/>
        <v>1.6711589486647058E-2</v>
      </c>
      <c r="AG17" s="41">
        <f t="shared" si="8"/>
        <v>1.671166771493543E-2</v>
      </c>
      <c r="AH17" s="71">
        <f t="shared" si="8"/>
        <v>1.6712348724103158E-2</v>
      </c>
      <c r="AI17" s="71">
        <f t="shared" si="8"/>
        <v>1.6711892041185849E-2</v>
      </c>
      <c r="AJ17" s="71">
        <f t="shared" si="8"/>
        <v>1.6711437629227072E-2</v>
      </c>
      <c r="AK17" s="71">
        <f t="shared" ref="AK17:BG17" si="9" xml:space="preserve"> 0.016708634 - 0.000042037 *AK8 - 0.0000001267*AK8^2</f>
        <v>1.6784720520636207E-2</v>
      </c>
      <c r="AL17" s="71">
        <f t="shared" si="9"/>
        <v>1.6712535069740967E-2</v>
      </c>
      <c r="AM17" s="71">
        <f t="shared" si="9"/>
        <v>1.7263624436066195E-2</v>
      </c>
      <c r="AN17" s="71">
        <f t="shared" si="9"/>
        <v>1.6708524087196801E-2</v>
      </c>
      <c r="AO17" s="71">
        <f t="shared" si="9"/>
        <v>1.7498308860870036E-2</v>
      </c>
      <c r="AP17" s="71">
        <f t="shared" si="9"/>
        <v>1.6699071352886383E-2</v>
      </c>
      <c r="AQ17" s="71">
        <f t="shared" si="9"/>
        <v>1.6699063221442371E-2</v>
      </c>
      <c r="AR17" s="71">
        <f t="shared" si="9"/>
        <v>1.6699055266063783E-2</v>
      </c>
      <c r="AS17" s="71">
        <f t="shared" si="9"/>
        <v>1.6699046269432086E-2</v>
      </c>
      <c r="AT17" s="71">
        <f t="shared" si="9"/>
        <v>1.6699029378206793E-2</v>
      </c>
      <c r="AU17" s="71">
        <f t="shared" si="9"/>
        <v>1.671980095952803E-2</v>
      </c>
      <c r="AV17" s="71">
        <f t="shared" si="9"/>
        <v>1.6709615082039331E-2</v>
      </c>
      <c r="AW17" s="71">
        <f t="shared" si="9"/>
        <v>1.6735900220245584E-2</v>
      </c>
      <c r="AX17" s="71">
        <f t="shared" si="9"/>
        <v>1.6726566810735744E-2</v>
      </c>
      <c r="AY17" s="71">
        <f t="shared" si="9"/>
        <v>1.6698994803290054E-2</v>
      </c>
      <c r="AZ17" s="71">
        <f t="shared" si="9"/>
        <v>1.6698993650789886E-2</v>
      </c>
      <c r="BA17" s="71">
        <f t="shared" si="9"/>
        <v>1.6698992498289527E-2</v>
      </c>
      <c r="BB17" s="71">
        <f t="shared" si="9"/>
        <v>1.6698991345788977E-2</v>
      </c>
      <c r="BC17" s="71">
        <f t="shared" si="9"/>
        <v>1.669899019328824E-2</v>
      </c>
      <c r="BD17" s="71">
        <f t="shared" si="9"/>
        <v>1.6698989040787308E-2</v>
      </c>
      <c r="BE17" s="71">
        <f t="shared" si="9"/>
        <v>1.669898788828619E-2</v>
      </c>
      <c r="BF17" s="71">
        <f t="shared" si="9"/>
        <v>1.669898673578488E-2</v>
      </c>
      <c r="BG17" s="71">
        <f t="shared" si="9"/>
        <v>1.6718240352916497E-2</v>
      </c>
    </row>
    <row r="18" spans="1:59" x14ac:dyDescent="0.25">
      <c r="C18" s="6"/>
      <c r="D18" s="7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255">
        <v>1.6711667999999999E-2</v>
      </c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</row>
    <row r="19" spans="1:59" x14ac:dyDescent="0.25">
      <c r="B19">
        <v>164</v>
      </c>
      <c r="C19" s="6" t="s">
        <v>851</v>
      </c>
      <c r="D19" s="7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</row>
    <row r="20" spans="1:59" x14ac:dyDescent="0.25">
      <c r="C20" s="6" t="s">
        <v>852</v>
      </c>
      <c r="D20" s="7" t="s">
        <v>161</v>
      </c>
      <c r="E20" s="71">
        <f t="shared" ref="E20:AJ20" si="10">(1.914602-0.004817*E8-0.000014*E8^2)*SIN(E14*Deg2Rad)+(0.019993-0.000101*E8)*SIN(2*E14*Deg2Rad)+0.000289*SIN(3*E14*Deg2Rad)</f>
        <v>-1.9167538894500327</v>
      </c>
      <c r="F20" s="71">
        <f t="shared" si="10"/>
        <v>1.6161903701593285</v>
      </c>
      <c r="G20" s="71">
        <f t="shared" si="10"/>
        <v>-8.4301489437196453E-2</v>
      </c>
      <c r="H20" s="71">
        <f t="shared" si="10"/>
        <v>-9.2380357218764225E-2</v>
      </c>
      <c r="I20" s="71">
        <f t="shared" si="10"/>
        <v>0.76399214255466574</v>
      </c>
      <c r="J20" s="71">
        <f t="shared" si="10"/>
        <v>0.50281582842590233</v>
      </c>
      <c r="K20" s="71">
        <f t="shared" si="10"/>
        <v>0.7559673540769819</v>
      </c>
      <c r="L20" s="71">
        <f t="shared" si="10"/>
        <v>0.47969459960426059</v>
      </c>
      <c r="M20" s="71">
        <f t="shared" si="10"/>
        <v>-3.5179879230045071E-2</v>
      </c>
      <c r="N20" s="71">
        <f t="shared" si="10"/>
        <v>0.13096646023573505</v>
      </c>
      <c r="O20" s="71">
        <f t="shared" si="10"/>
        <v>0.12215801052804846</v>
      </c>
      <c r="P20" s="71">
        <f t="shared" si="10"/>
        <v>1.6910797058042437</v>
      </c>
      <c r="Q20" s="71">
        <f t="shared" si="10"/>
        <v>1.0546461114265306</v>
      </c>
      <c r="R20" s="71">
        <f t="shared" si="10"/>
        <v>1.0844884701752702</v>
      </c>
      <c r="S20" s="71">
        <f t="shared" si="10"/>
        <v>-1.6167385736700193</v>
      </c>
      <c r="T20" s="71">
        <f t="shared" si="10"/>
        <v>2.0027177579925173</v>
      </c>
      <c r="U20" s="71">
        <f t="shared" si="10"/>
        <v>-2.0440664444960377</v>
      </c>
      <c r="V20" s="71">
        <f t="shared" si="10"/>
        <v>1.8492845340874475</v>
      </c>
      <c r="W20" s="71">
        <f t="shared" si="10"/>
        <v>1.904243530145094</v>
      </c>
      <c r="X20" s="71">
        <f t="shared" si="10"/>
        <v>1.892419510691556</v>
      </c>
      <c r="Y20" s="71">
        <f t="shared" si="10"/>
        <v>1.3105893067406995</v>
      </c>
      <c r="Z20" s="71">
        <f t="shared" si="10"/>
        <v>-0.11520848644179167</v>
      </c>
      <c r="AA20" s="71">
        <f t="shared" si="10"/>
        <v>-0.10110013995845163</v>
      </c>
      <c r="AB20" s="71">
        <f t="shared" si="10"/>
        <v>0.15143773371587355</v>
      </c>
      <c r="AC20" s="71">
        <f t="shared" si="10"/>
        <v>-1.4835953675813651</v>
      </c>
      <c r="AD20" s="71">
        <f t="shared" si="10"/>
        <v>1.8144768595971836</v>
      </c>
      <c r="AE20" s="71">
        <f t="shared" si="10"/>
        <v>1.3854574748430557</v>
      </c>
      <c r="AF20" s="71">
        <f t="shared" si="10"/>
        <v>-0.47236012428073021</v>
      </c>
      <c r="AG20" s="257">
        <f t="shared" si="10"/>
        <v>-1.8973238394616572</v>
      </c>
      <c r="AH20" s="71">
        <f t="shared" si="10"/>
        <v>1.5973124484578349</v>
      </c>
      <c r="AI20" s="71">
        <f t="shared" si="10"/>
        <v>1.9139361958504579</v>
      </c>
      <c r="AJ20" s="71">
        <f t="shared" si="10"/>
        <v>1.7035803636166515</v>
      </c>
      <c r="AK20" s="71">
        <f t="shared" ref="AK20:BG20" si="11">(1.914602-0.004817*AK8-0.000014*AK8^2)*SIN(AK14*Deg2Rad)+(0.019993-0.000101*AK8)*SIN(2*AK14*Deg2Rad)+0.000289*SIN(3*AK14*Deg2Rad)</f>
        <v>8.3699211988471738E-3</v>
      </c>
      <c r="AL20" s="71">
        <f t="shared" si="11"/>
        <v>-1.8472603786748347</v>
      </c>
      <c r="AM20" s="71">
        <f t="shared" si="11"/>
        <v>-1.1705083430443584</v>
      </c>
      <c r="AN20" s="71">
        <f t="shared" si="11"/>
        <v>1.9123502406779305</v>
      </c>
      <c r="AO20" s="71">
        <f t="shared" si="11"/>
        <v>1.1057822545866134</v>
      </c>
      <c r="AP20" s="71">
        <f t="shared" si="11"/>
        <v>-1.883790736382857</v>
      </c>
      <c r="AQ20" s="71">
        <f t="shared" si="11"/>
        <v>-1.9106596356362051</v>
      </c>
      <c r="AR20" s="71">
        <f t="shared" si="11"/>
        <v>-1.9098363264160043</v>
      </c>
      <c r="AS20" s="71">
        <f t="shared" si="11"/>
        <v>-1.8763728752059654</v>
      </c>
      <c r="AT20" s="71">
        <f t="shared" si="11"/>
        <v>-1.7218972557882983</v>
      </c>
      <c r="AU20" s="71">
        <f t="shared" si="11"/>
        <v>1.0294105854123565</v>
      </c>
      <c r="AV20" s="71">
        <f t="shared" si="11"/>
        <v>-1.593202305335635</v>
      </c>
      <c r="AW20" s="71">
        <f t="shared" si="11"/>
        <v>6.2974856142541724E-2</v>
      </c>
      <c r="AX20" s="71">
        <f t="shared" si="11"/>
        <v>1.8758698254652795</v>
      </c>
      <c r="AY20" s="71">
        <f t="shared" si="11"/>
        <v>-1.0744966032507304</v>
      </c>
      <c r="AZ20" s="71">
        <f t="shared" si="11"/>
        <v>-1.0466129900893666</v>
      </c>
      <c r="BA20" s="71">
        <f t="shared" si="11"/>
        <v>-1.0184029437048534</v>
      </c>
      <c r="BB20" s="71">
        <f t="shared" si="11"/>
        <v>-0.98987507491228732</v>
      </c>
      <c r="BC20" s="71">
        <f t="shared" si="11"/>
        <v>-0.9610381090822091</v>
      </c>
      <c r="BD20" s="71">
        <f t="shared" si="11"/>
        <v>-0.93190088322598619</v>
      </c>
      <c r="BE20" s="71">
        <f t="shared" si="11"/>
        <v>-0.90247234302113144</v>
      </c>
      <c r="BF20" s="71">
        <f t="shared" si="11"/>
        <v>-0.87276153977786919</v>
      </c>
      <c r="BG20" s="71">
        <f t="shared" si="11"/>
        <v>1.3819614992040683</v>
      </c>
    </row>
    <row r="21" spans="1:59" x14ac:dyDescent="0.25">
      <c r="C21" s="6" t="s">
        <v>853</v>
      </c>
      <c r="D21" s="7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256">
        <v>-1.8973199999999999</v>
      </c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</row>
    <row r="22" spans="1:59" x14ac:dyDescent="0.25">
      <c r="C22" s="6" t="s">
        <v>854</v>
      </c>
      <c r="D22" s="7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</row>
    <row r="23" spans="1:59" x14ac:dyDescent="0.25">
      <c r="C23" s="6"/>
      <c r="D23" s="7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</row>
    <row r="24" spans="1:59" x14ac:dyDescent="0.25">
      <c r="C24" s="6" t="s">
        <v>862</v>
      </c>
      <c r="D24" s="7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</row>
    <row r="25" spans="1:59" x14ac:dyDescent="0.25">
      <c r="B25">
        <v>164</v>
      </c>
      <c r="C25" s="6" t="s">
        <v>855</v>
      </c>
      <c r="D25" s="7" t="s">
        <v>856</v>
      </c>
      <c r="E25" s="71">
        <f t="shared" ref="E25:AJ25" si="12">E11+E20</f>
        <v>-14928.697809081088</v>
      </c>
      <c r="F25" s="71">
        <f t="shared" si="12"/>
        <v>-599811.48668824963</v>
      </c>
      <c r="G25" s="71">
        <f t="shared" si="12"/>
        <v>280.38215851056276</v>
      </c>
      <c r="H25" s="71">
        <f t="shared" si="12"/>
        <v>-79.880030466898262</v>
      </c>
      <c r="I25" s="71">
        <f t="shared" si="12"/>
        <v>-4373.4892011645616</v>
      </c>
      <c r="J25" s="71">
        <f t="shared" si="12"/>
        <v>-4232.3099815984742</v>
      </c>
      <c r="K25" s="71">
        <f t="shared" si="12"/>
        <v>-4013.7359402463094</v>
      </c>
      <c r="L25" s="71">
        <f t="shared" si="12"/>
        <v>-3871.5861697385089</v>
      </c>
      <c r="M25" s="71">
        <f t="shared" si="12"/>
        <v>-35719.845411599548</v>
      </c>
      <c r="N25" s="71">
        <f t="shared" si="12"/>
        <v>-143720.01292410537</v>
      </c>
      <c r="O25" s="71">
        <f t="shared" si="12"/>
        <v>-143360.26047030382</v>
      </c>
      <c r="P25" s="71">
        <f t="shared" si="12"/>
        <v>-418295.81998464448</v>
      </c>
      <c r="Q25" s="71">
        <f t="shared" si="12"/>
        <v>-763642.85039495118</v>
      </c>
      <c r="R25" s="71">
        <f t="shared" si="12"/>
        <v>-763641.83490558469</v>
      </c>
      <c r="S25" s="71">
        <f t="shared" si="12"/>
        <v>-1079540.9290449724</v>
      </c>
      <c r="T25" s="71">
        <f t="shared" si="12"/>
        <v>-1079669.8790916009</v>
      </c>
      <c r="U25" s="71">
        <f t="shared" si="12"/>
        <v>-1079866.2255785959</v>
      </c>
      <c r="V25" s="71">
        <f t="shared" si="12"/>
        <v>-2416075.1758992486</v>
      </c>
      <c r="W25" s="71">
        <f t="shared" si="12"/>
        <v>-4300.3966926404692</v>
      </c>
      <c r="X25" s="71">
        <f t="shared" si="12"/>
        <v>-2497.6594980246241</v>
      </c>
      <c r="Y25" s="71">
        <f t="shared" si="12"/>
        <v>-7953.7994526788689</v>
      </c>
      <c r="Z25" s="71">
        <f t="shared" si="12"/>
        <v>16120.197211729343</v>
      </c>
      <c r="AA25" s="71">
        <f t="shared" si="12"/>
        <v>279.87253617995941</v>
      </c>
      <c r="AB25" s="71">
        <f t="shared" si="12"/>
        <v>-16102.319636446904</v>
      </c>
      <c r="AC25" s="71">
        <f t="shared" si="12"/>
        <v>-7328.7362712556351</v>
      </c>
      <c r="AD25" s="71">
        <f t="shared" si="12"/>
        <v>-3927.9117579353197</v>
      </c>
      <c r="AE25" s="71">
        <f t="shared" si="12"/>
        <v>-7950.6186545425135</v>
      </c>
      <c r="AF25" s="71">
        <f t="shared" si="12"/>
        <v>-2251.6411432068444</v>
      </c>
      <c r="AG25" s="71">
        <f t="shared" si="12"/>
        <v>-2320.090127332754</v>
      </c>
      <c r="AH25" s="71">
        <f t="shared" si="12"/>
        <v>-2900.0987274729719</v>
      </c>
      <c r="AI25" s="71">
        <f t="shared" si="12"/>
        <v>-2508.4801022871416</v>
      </c>
      <c r="AJ25" s="71">
        <f t="shared" si="12"/>
        <v>-2119.3597513274131</v>
      </c>
      <c r="AK25" s="71">
        <f t="shared" ref="AK25:BG25" si="13">AK11+AK20</f>
        <v>-65239.939609029163</v>
      </c>
      <c r="AL25" s="71">
        <f t="shared" si="13"/>
        <v>-3063.2181724030161</v>
      </c>
      <c r="AM25" s="71">
        <f t="shared" si="13"/>
        <v>-495605.25448111084</v>
      </c>
      <c r="AN25" s="71">
        <f t="shared" si="13"/>
        <v>376.50813313843861</v>
      </c>
      <c r="AO25" s="71">
        <f t="shared" si="13"/>
        <v>-719358.6643835135</v>
      </c>
      <c r="AP25" s="71">
        <f t="shared" si="13"/>
        <v>8462.4907467920002</v>
      </c>
      <c r="AQ25" s="71">
        <f t="shared" si="13"/>
        <v>8469.4181676271601</v>
      </c>
      <c r="AR25" s="71">
        <f t="shared" si="13"/>
        <v>8476.2226956571358</v>
      </c>
      <c r="AS25" s="71">
        <f t="shared" si="13"/>
        <v>8483.9503688430632</v>
      </c>
      <c r="AT25" s="71">
        <f t="shared" si="13"/>
        <v>8498.550738640397</v>
      </c>
      <c r="AU25" s="71">
        <f t="shared" si="13"/>
        <v>-9289.6327988592584</v>
      </c>
      <c r="AV25" s="71">
        <f t="shared" si="13"/>
        <v>-561.39111668020416</v>
      </c>
      <c r="AW25" s="71">
        <f t="shared" si="13"/>
        <v>-23116.2746489817</v>
      </c>
      <c r="AX25" s="71">
        <f t="shared" si="13"/>
        <v>-15095.2349044575</v>
      </c>
      <c r="AY25" s="71">
        <f t="shared" si="13"/>
        <v>8528.7675602117888</v>
      </c>
      <c r="AZ25" s="71">
        <f t="shared" si="13"/>
        <v>8529.7810911889173</v>
      </c>
      <c r="BA25" s="71">
        <f t="shared" si="13"/>
        <v>8530.794948599274</v>
      </c>
      <c r="BB25" s="71">
        <f t="shared" si="13"/>
        <v>8531.8091238320339</v>
      </c>
      <c r="BC25" s="71">
        <f t="shared" si="13"/>
        <v>8532.8236081618325</v>
      </c>
      <c r="BD25" s="71">
        <f t="shared" si="13"/>
        <v>8533.8383927516606</v>
      </c>
      <c r="BE25" s="71">
        <f t="shared" si="13"/>
        <v>8534.8534686558378</v>
      </c>
      <c r="BF25" s="71">
        <f t="shared" si="13"/>
        <v>8535.8688268230526</v>
      </c>
      <c r="BG25" s="71">
        <f t="shared" si="13"/>
        <v>-7950.7711384173053</v>
      </c>
    </row>
    <row r="26" spans="1:59" x14ac:dyDescent="0.25">
      <c r="C26" s="6"/>
      <c r="D26" s="7"/>
      <c r="E26" s="71">
        <f t="shared" ref="E26:AJ26" si="14">MOD(E25,360)</f>
        <v>191.30219091891195</v>
      </c>
      <c r="F26" s="71">
        <f t="shared" si="14"/>
        <v>308.51331175037194</v>
      </c>
      <c r="G26" s="71">
        <f t="shared" si="14"/>
        <v>280.38215851056276</v>
      </c>
      <c r="H26" s="71">
        <f t="shared" si="14"/>
        <v>280.11996953310177</v>
      </c>
      <c r="I26" s="71">
        <f t="shared" si="14"/>
        <v>306.51079883543844</v>
      </c>
      <c r="J26" s="71">
        <f t="shared" si="14"/>
        <v>87.690018401525776</v>
      </c>
      <c r="K26" s="71">
        <f t="shared" si="14"/>
        <v>306.26405975369062</v>
      </c>
      <c r="L26" s="71">
        <f t="shared" si="14"/>
        <v>88.413830261491057</v>
      </c>
      <c r="M26" s="71">
        <f t="shared" si="14"/>
        <v>280.15458840045176</v>
      </c>
      <c r="N26" s="71">
        <f t="shared" si="14"/>
        <v>279.98707589463447</v>
      </c>
      <c r="O26" s="71">
        <f t="shared" si="14"/>
        <v>279.73952969617676</v>
      </c>
      <c r="P26" s="71">
        <f t="shared" si="14"/>
        <v>24.18001535552321</v>
      </c>
      <c r="Q26" s="71">
        <f t="shared" si="14"/>
        <v>277.14960504882038</v>
      </c>
      <c r="R26" s="71">
        <f t="shared" si="14"/>
        <v>278.16509441530798</v>
      </c>
      <c r="S26" s="71">
        <f t="shared" si="14"/>
        <v>99.0709550275933</v>
      </c>
      <c r="T26" s="71">
        <f t="shared" si="14"/>
        <v>330.12090839911252</v>
      </c>
      <c r="U26" s="71">
        <f t="shared" si="14"/>
        <v>133.77442140411586</v>
      </c>
      <c r="V26" s="71">
        <f t="shared" si="14"/>
        <v>244.8241007514298</v>
      </c>
      <c r="W26" s="71">
        <f t="shared" si="14"/>
        <v>19.603307359530845</v>
      </c>
      <c r="X26" s="71">
        <f t="shared" si="14"/>
        <v>22.340501975375901</v>
      </c>
      <c r="Y26" s="71">
        <f t="shared" si="14"/>
        <v>326.20054732113113</v>
      </c>
      <c r="Z26" s="71">
        <f t="shared" si="14"/>
        <v>280.1972117293426</v>
      </c>
      <c r="AA26" s="71">
        <f t="shared" si="14"/>
        <v>279.87253617995941</v>
      </c>
      <c r="AB26" s="71">
        <f t="shared" si="14"/>
        <v>97.680363553095958</v>
      </c>
      <c r="AC26" s="71">
        <f t="shared" si="14"/>
        <v>231.26372874436493</v>
      </c>
      <c r="AD26" s="71">
        <f t="shared" si="14"/>
        <v>32.088242064680344</v>
      </c>
      <c r="AE26" s="71">
        <f t="shared" si="14"/>
        <v>329.38134545748653</v>
      </c>
      <c r="AF26" s="71">
        <f t="shared" si="14"/>
        <v>268.35885679315561</v>
      </c>
      <c r="AG26" s="41">
        <f t="shared" si="14"/>
        <v>199.90987266724596</v>
      </c>
      <c r="AH26" s="71">
        <f t="shared" si="14"/>
        <v>339.90127252702814</v>
      </c>
      <c r="AI26" s="71">
        <f t="shared" si="14"/>
        <v>11.519897712858437</v>
      </c>
      <c r="AJ26" s="71">
        <f t="shared" si="14"/>
        <v>40.640248672586949</v>
      </c>
      <c r="AK26" s="71">
        <f t="shared" ref="AK26:BG26" si="15">MOD(AK25,360)</f>
        <v>280.06039097083703</v>
      </c>
      <c r="AL26" s="71">
        <f t="shared" si="15"/>
        <v>176.78182759698393</v>
      </c>
      <c r="AM26" s="71">
        <f t="shared" si="15"/>
        <v>114.74551888916176</v>
      </c>
      <c r="AN26" s="71">
        <f t="shared" si="15"/>
        <v>16.508133138438609</v>
      </c>
      <c r="AO26" s="71">
        <f t="shared" si="15"/>
        <v>281.33561648649629</v>
      </c>
      <c r="AP26" s="71">
        <f t="shared" si="15"/>
        <v>182.49074679200021</v>
      </c>
      <c r="AQ26" s="71">
        <f t="shared" si="15"/>
        <v>189.41816762716007</v>
      </c>
      <c r="AR26" s="71">
        <f t="shared" si="15"/>
        <v>196.22269565713577</v>
      </c>
      <c r="AS26" s="71">
        <f t="shared" si="15"/>
        <v>203.95036884306319</v>
      </c>
      <c r="AT26" s="71">
        <f t="shared" si="15"/>
        <v>218.55073864039696</v>
      </c>
      <c r="AU26" s="71">
        <f t="shared" si="15"/>
        <v>70.367201140741599</v>
      </c>
      <c r="AV26" s="71">
        <f t="shared" si="15"/>
        <v>158.60888331979584</v>
      </c>
      <c r="AW26" s="71">
        <f t="shared" si="15"/>
        <v>283.72535101829999</v>
      </c>
      <c r="AX26" s="71">
        <f t="shared" si="15"/>
        <v>24.765095542499694</v>
      </c>
      <c r="AY26" s="71">
        <f t="shared" si="15"/>
        <v>248.7675602117888</v>
      </c>
      <c r="AZ26" s="71">
        <f t="shared" si="15"/>
        <v>249.78109118891734</v>
      </c>
      <c r="BA26" s="71">
        <f t="shared" si="15"/>
        <v>250.79494859927399</v>
      </c>
      <c r="BB26" s="71">
        <f t="shared" si="15"/>
        <v>251.80912383203395</v>
      </c>
      <c r="BC26" s="71">
        <f t="shared" si="15"/>
        <v>252.82360816183245</v>
      </c>
      <c r="BD26" s="71">
        <f t="shared" si="15"/>
        <v>253.83839275166065</v>
      </c>
      <c r="BE26" s="71">
        <f t="shared" si="15"/>
        <v>254.85346865583779</v>
      </c>
      <c r="BF26" s="71">
        <f t="shared" si="15"/>
        <v>255.86882682305259</v>
      </c>
      <c r="BG26" s="71">
        <f t="shared" si="15"/>
        <v>329.22886158269466</v>
      </c>
    </row>
    <row r="27" spans="1:59" x14ac:dyDescent="0.25">
      <c r="B27">
        <v>164</v>
      </c>
      <c r="C27" s="6" t="s">
        <v>857</v>
      </c>
      <c r="D27" s="7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255">
        <v>199.90987999999999</v>
      </c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</row>
    <row r="28" spans="1:59" x14ac:dyDescent="0.25">
      <c r="C28" s="6" t="s">
        <v>858</v>
      </c>
      <c r="D28" s="7" t="s">
        <v>859</v>
      </c>
      <c r="E28" s="71">
        <f t="shared" ref="E28:AJ28" si="16">E14+E20</f>
        <v>-14850.908842949862</v>
      </c>
      <c r="F28" s="71">
        <f t="shared" si="16"/>
        <v>-599705.13356106658</v>
      </c>
      <c r="G28" s="71">
        <f t="shared" si="16"/>
        <v>357.44480851056278</v>
      </c>
      <c r="H28" s="71">
        <f t="shared" si="16"/>
        <v>-2.8001733274959197</v>
      </c>
      <c r="I28" s="71">
        <f t="shared" si="16"/>
        <v>-4296.2042279708157</v>
      </c>
      <c r="J28" s="71">
        <f t="shared" si="16"/>
        <v>-4155.0317638868019</v>
      </c>
      <c r="K28" s="71">
        <f t="shared" si="16"/>
        <v>-3936.4681500009547</v>
      </c>
      <c r="L28" s="71">
        <f t="shared" si="16"/>
        <v>-3794.3251820712994</v>
      </c>
      <c r="M28" s="71">
        <f t="shared" si="16"/>
        <v>-35641.063394637327</v>
      </c>
      <c r="N28" s="71">
        <f t="shared" si="16"/>
        <v>-143636.06724654039</v>
      </c>
      <c r="O28" s="71">
        <f t="shared" si="16"/>
        <v>-143276.33202569949</v>
      </c>
      <c r="P28" s="71">
        <f t="shared" si="16"/>
        <v>-418198.56378751417</v>
      </c>
      <c r="Q28" s="71">
        <f t="shared" si="16"/>
        <v>-763527.96764060075</v>
      </c>
      <c r="R28" s="71">
        <f t="shared" si="16"/>
        <v>-763526.95220364456</v>
      </c>
      <c r="S28" s="71">
        <f t="shared" si="16"/>
        <v>-1079408.4151106304</v>
      </c>
      <c r="T28" s="71">
        <f t="shared" si="16"/>
        <v>-1079537.3573644147</v>
      </c>
      <c r="U28" s="71">
        <f t="shared" si="16"/>
        <v>-1079733.6925467879</v>
      </c>
      <c r="V28" s="71">
        <f t="shared" si="16"/>
        <v>-2415837.5889023701</v>
      </c>
      <c r="W28" s="71">
        <f t="shared" si="16"/>
        <v>-4223.1151560324797</v>
      </c>
      <c r="X28" s="71">
        <f t="shared" si="16"/>
        <v>-2420.464065023461</v>
      </c>
      <c r="Y28" s="71">
        <f t="shared" si="16"/>
        <v>-7876.3434528051976</v>
      </c>
      <c r="Z28" s="71">
        <f t="shared" si="16"/>
        <v>16196.503215881135</v>
      </c>
      <c r="AA28" s="71">
        <f t="shared" si="16"/>
        <v>356.93520971917911</v>
      </c>
      <c r="AB28" s="71">
        <f t="shared" si="16"/>
        <v>-16024.474520470969</v>
      </c>
      <c r="AC28" s="71">
        <f t="shared" si="16"/>
        <v>-7251.3102584103572</v>
      </c>
      <c r="AD28" s="71">
        <f t="shared" si="16"/>
        <v>-3850.6480162822472</v>
      </c>
      <c r="AE28" s="71">
        <f t="shared" si="16"/>
        <v>-7873.1628030105312</v>
      </c>
      <c r="AF28" s="71">
        <f t="shared" si="16"/>
        <v>-2174.4575736810984</v>
      </c>
      <c r="AG28" s="71">
        <f t="shared" si="16"/>
        <v>-2242.90335654921</v>
      </c>
      <c r="AH28" s="71">
        <f t="shared" si="16"/>
        <v>-2822.8840869940614</v>
      </c>
      <c r="AI28" s="71">
        <f t="shared" si="16"/>
        <v>-2431.2841514364441</v>
      </c>
      <c r="AJ28" s="71">
        <f t="shared" si="16"/>
        <v>-2042.1823960133456</v>
      </c>
      <c r="AK28" s="71">
        <f t="shared" ref="AK28:BG28" si="17">AK14+AK20</f>
        <v>-65159.747521047982</v>
      </c>
      <c r="AL28" s="71">
        <f t="shared" si="17"/>
        <v>-2985.995905443825</v>
      </c>
      <c r="AM28" s="71">
        <f t="shared" si="17"/>
        <v>-495504.16225549544</v>
      </c>
      <c r="AN28" s="71">
        <f t="shared" si="17"/>
        <v>453.56628714539801</v>
      </c>
      <c r="AO28" s="71">
        <f t="shared" si="17"/>
        <v>-719246.1223209562</v>
      </c>
      <c r="AP28" s="71">
        <f t="shared" si="17"/>
        <v>8539.162483308326</v>
      </c>
      <c r="AQ28" s="71">
        <f t="shared" si="17"/>
        <v>8546.0895719476957</v>
      </c>
      <c r="AR28" s="71">
        <f t="shared" si="17"/>
        <v>8552.8937749750639</v>
      </c>
      <c r="AS28" s="71">
        <f t="shared" si="17"/>
        <v>8560.6210806202835</v>
      </c>
      <c r="AT28" s="71">
        <f t="shared" si="17"/>
        <v>8575.2207603591032</v>
      </c>
      <c r="AU28" s="71">
        <f t="shared" si="17"/>
        <v>-9212.1130122155009</v>
      </c>
      <c r="AV28" s="71">
        <f t="shared" si="17"/>
        <v>-484.28833247381249</v>
      </c>
      <c r="AW28" s="71">
        <f t="shared" si="17"/>
        <v>-23038.09456039752</v>
      </c>
      <c r="AX28" s="71">
        <f t="shared" si="17"/>
        <v>-15017.437803526225</v>
      </c>
      <c r="AY28" s="71">
        <f t="shared" si="17"/>
        <v>8605.436169443572</v>
      </c>
      <c r="AZ28" s="71">
        <f t="shared" si="17"/>
        <v>8606.4496533377951</v>
      </c>
      <c r="BA28" s="71">
        <f t="shared" si="17"/>
        <v>8607.4634636652427</v>
      </c>
      <c r="BB28" s="71">
        <f t="shared" si="17"/>
        <v>8608.4775918150935</v>
      </c>
      <c r="BC28" s="71">
        <f t="shared" si="17"/>
        <v>8609.4920290619848</v>
      </c>
      <c r="BD28" s="71">
        <f t="shared" si="17"/>
        <v>8610.5067665689039</v>
      </c>
      <c r="BE28" s="71">
        <f t="shared" si="17"/>
        <v>8611.5217953901702</v>
      </c>
      <c r="BF28" s="71">
        <f t="shared" si="17"/>
        <v>8612.5371064744741</v>
      </c>
      <c r="BG28" s="71">
        <f t="shared" si="17"/>
        <v>-7873.3152797695411</v>
      </c>
    </row>
    <row r="29" spans="1:59" x14ac:dyDescent="0.25">
      <c r="C29" s="6"/>
      <c r="D29" s="7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</row>
    <row r="30" spans="1:59" x14ac:dyDescent="0.25">
      <c r="A30">
        <v>25.5</v>
      </c>
      <c r="B30">
        <v>164</v>
      </c>
      <c r="C30" s="6" t="s">
        <v>860</v>
      </c>
      <c r="D30" s="7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</row>
    <row r="31" spans="1:59" x14ac:dyDescent="0.25">
      <c r="C31" s="6" t="s">
        <v>861</v>
      </c>
      <c r="D31" s="7" t="s">
        <v>195</v>
      </c>
      <c r="E31" s="250">
        <f t="shared" ref="E31:AJ31" si="18">(1.000001018*(1-E17^2))/(1+E17*COS(E28*Deg2Rad))</f>
        <v>0.99998655032493411</v>
      </c>
      <c r="F31" s="250">
        <f t="shared" si="18"/>
        <v>0.98980256947817324</v>
      </c>
      <c r="G31" s="250">
        <f t="shared" si="18"/>
        <v>0.98330843395616441</v>
      </c>
      <c r="H31" s="250">
        <f t="shared" si="18"/>
        <v>0.98331124176871032</v>
      </c>
      <c r="I31" s="250">
        <f t="shared" si="18"/>
        <v>0.98466301427144809</v>
      </c>
      <c r="J31" s="250">
        <f t="shared" si="18"/>
        <v>1.0161239243502538</v>
      </c>
      <c r="K31" s="250">
        <f t="shared" si="18"/>
        <v>0.98463343303131234</v>
      </c>
      <c r="L31" s="250">
        <f t="shared" si="18"/>
        <v>1.0161774621729804</v>
      </c>
      <c r="M31" s="250">
        <f t="shared" si="18"/>
        <v>0.98325324707146233</v>
      </c>
      <c r="N31" s="250">
        <f t="shared" si="18"/>
        <v>0.98316466763535326</v>
      </c>
      <c r="O31" s="250">
        <f t="shared" si="18"/>
        <v>0.98316007928279681</v>
      </c>
      <c r="P31" s="250">
        <f t="shared" si="18"/>
        <v>1.0087445613562473</v>
      </c>
      <c r="Q31" s="250">
        <f t="shared" si="18"/>
        <v>0.98504312705816022</v>
      </c>
      <c r="R31" s="250">
        <f t="shared" si="18"/>
        <v>0.98520547763805089</v>
      </c>
      <c r="S31" s="250">
        <f t="shared" si="18"/>
        <v>1.0108977104360566</v>
      </c>
      <c r="T31" s="250">
        <f t="shared" si="18"/>
        <v>1.0036043339924259</v>
      </c>
      <c r="U31" s="250">
        <f t="shared" si="18"/>
        <v>1.0008331050789501</v>
      </c>
      <c r="V31" s="250">
        <f t="shared" si="18"/>
        <v>1.0099042374972373</v>
      </c>
      <c r="W31" s="250">
        <f t="shared" si="18"/>
        <v>1.0017286998840229</v>
      </c>
      <c r="X31" s="250">
        <f t="shared" si="18"/>
        <v>1.0024972374470738</v>
      </c>
      <c r="Y31" s="250">
        <f t="shared" si="18"/>
        <v>0.98777390153635714</v>
      </c>
      <c r="Z31" s="250">
        <f t="shared" si="18"/>
        <v>0.98334094124932159</v>
      </c>
      <c r="AA31" s="250">
        <f t="shared" si="18"/>
        <v>0.98331547961281551</v>
      </c>
      <c r="AB31" s="250">
        <f t="shared" si="18"/>
        <v>1.0166760565776287</v>
      </c>
      <c r="AC31" s="250">
        <f t="shared" si="18"/>
        <v>0.98938233361713557</v>
      </c>
      <c r="AD31" s="250">
        <f t="shared" si="18"/>
        <v>1.0052893472210636</v>
      </c>
      <c r="AE31" s="250">
        <f t="shared" si="18"/>
        <v>0.98841747327567242</v>
      </c>
      <c r="AF31" s="250">
        <f t="shared" si="18"/>
        <v>0.98380149107673875</v>
      </c>
      <c r="AG31" s="258">
        <f t="shared" si="18"/>
        <v>0.99766194975706635</v>
      </c>
      <c r="AH31" s="250">
        <f t="shared" si="18"/>
        <v>0.99073198811635743</v>
      </c>
      <c r="AI31" s="250">
        <f t="shared" si="18"/>
        <v>0.99934744800356312</v>
      </c>
      <c r="AJ31" s="250">
        <f t="shared" si="18"/>
        <v>1.0075793864686866</v>
      </c>
      <c r="AK31" s="250">
        <f t="shared" ref="AK31:BG31" si="19">(1.000001018*(1-AK17^2))/(1+AK17*COS(AK28*Deg2Rad))</f>
        <v>0.98321643797525127</v>
      </c>
      <c r="AL31" s="250">
        <f t="shared" si="19"/>
        <v>1.00434718050795</v>
      </c>
      <c r="AM31" s="250">
        <f t="shared" si="19"/>
        <v>1.0138926617678092</v>
      </c>
      <c r="AN31" s="250">
        <f t="shared" si="19"/>
        <v>1.0007619596882269</v>
      </c>
      <c r="AO31" s="250">
        <f t="shared" si="19"/>
        <v>0.98537961386944251</v>
      </c>
      <c r="AP31" s="250">
        <f t="shared" si="19"/>
        <v>1.0028710071924309</v>
      </c>
      <c r="AQ31" s="250">
        <f t="shared" si="19"/>
        <v>1.000861964505017</v>
      </c>
      <c r="AR31" s="250">
        <f t="shared" si="19"/>
        <v>0.99888006110959315</v>
      </c>
      <c r="AS31" s="250">
        <f t="shared" si="19"/>
        <v>0.99665460511823567</v>
      </c>
      <c r="AT31" s="250">
        <f t="shared" si="19"/>
        <v>0.992658821599813</v>
      </c>
      <c r="AU31" s="250">
        <f t="shared" si="19"/>
        <v>1.0140825910237365</v>
      </c>
      <c r="AV31" s="250">
        <f t="shared" si="19"/>
        <v>1.0092221109627604</v>
      </c>
      <c r="AW31" s="250">
        <f t="shared" si="19"/>
        <v>0.9832740500738798</v>
      </c>
      <c r="AX31" s="250">
        <f t="shared" si="19"/>
        <v>1.0033715217008043</v>
      </c>
      <c r="AY31" s="250">
        <f t="shared" si="19"/>
        <v>0.9861609364073155</v>
      </c>
      <c r="AZ31" s="250">
        <f t="shared" si="19"/>
        <v>0.98600004821314768</v>
      </c>
      <c r="BA31" s="250">
        <f t="shared" si="19"/>
        <v>0.98584339585797276</v>
      </c>
      <c r="BB31" s="250">
        <f t="shared" si="19"/>
        <v>0.98569102973964851</v>
      </c>
      <c r="BC31" s="250">
        <f t="shared" si="19"/>
        <v>0.98554299892250341</v>
      </c>
      <c r="BD31" s="250">
        <f t="shared" si="19"/>
        <v>0.98539935111777122</v>
      </c>
      <c r="BE31" s="250">
        <f t="shared" si="19"/>
        <v>0.98526013266450896</v>
      </c>
      <c r="BF31" s="250">
        <f t="shared" si="19"/>
        <v>0.9851253885110044</v>
      </c>
      <c r="BG31" s="250">
        <f t="shared" si="19"/>
        <v>0.98838580008962762</v>
      </c>
    </row>
    <row r="32" spans="1:59" x14ac:dyDescent="0.25">
      <c r="C32" s="6"/>
      <c r="D32" s="7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247">
        <v>1.0024976999999999</v>
      </c>
      <c r="Y32" s="71"/>
      <c r="Z32" s="71"/>
      <c r="AA32" s="71"/>
      <c r="AB32" s="71"/>
      <c r="AC32" s="71"/>
      <c r="AD32" s="71"/>
      <c r="AE32" s="71"/>
      <c r="AF32" s="71"/>
      <c r="AG32" s="255">
        <v>0.99765999999999999</v>
      </c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</row>
    <row r="33" spans="1:59" x14ac:dyDescent="0.25">
      <c r="B33">
        <v>164</v>
      </c>
      <c r="C33" s="6" t="s">
        <v>864</v>
      </c>
      <c r="D33" s="7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255">
        <v>264.64999999999998</v>
      </c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</row>
    <row r="34" spans="1:59" x14ac:dyDescent="0.25">
      <c r="C34" s="6" t="s">
        <v>863</v>
      </c>
      <c r="D34" s="7" t="s">
        <v>9</v>
      </c>
      <c r="E34" s="243">
        <f t="shared" ref="E34:AJ34" si="20" xml:space="preserve"> 125.04 - 1934.136 * E8</f>
        <v>942.04711189157808</v>
      </c>
      <c r="F34" s="243">
        <f t="shared" si="20"/>
        <v>32364.98220813142</v>
      </c>
      <c r="G34" s="243">
        <f t="shared" si="20"/>
        <v>125.04</v>
      </c>
      <c r="H34" s="243">
        <f t="shared" si="20"/>
        <v>144.39459843942507</v>
      </c>
      <c r="I34" s="243">
        <f t="shared" si="20"/>
        <v>375.11412073921969</v>
      </c>
      <c r="J34" s="243">
        <f t="shared" si="20"/>
        <v>367.51525650924026</v>
      </c>
      <c r="K34" s="243">
        <f t="shared" si="20"/>
        <v>355.78599917864477</v>
      </c>
      <c r="L34" s="243">
        <f t="shared" si="20"/>
        <v>348.13418119096508</v>
      </c>
      <c r="M34" s="243">
        <f t="shared" si="20"/>
        <v>2059.1495225082626</v>
      </c>
      <c r="N34" s="243">
        <f t="shared" si="20"/>
        <v>7861.4516156057489</v>
      </c>
      <c r="O34" s="243">
        <f t="shared" si="20"/>
        <v>7842.1234940451741</v>
      </c>
      <c r="P34" s="243">
        <f t="shared" si="20"/>
        <v>22613.081734570842</v>
      </c>
      <c r="Q34" s="243">
        <f t="shared" si="20"/>
        <v>41166.7704749076</v>
      </c>
      <c r="R34" s="243">
        <f t="shared" si="20"/>
        <v>41166.717521149898</v>
      </c>
      <c r="S34" s="243">
        <f t="shared" si="20"/>
        <v>58138.21152591375</v>
      </c>
      <c r="T34" s="243">
        <f t="shared" si="20"/>
        <v>58145.333806324437</v>
      </c>
      <c r="U34" s="243">
        <f t="shared" si="20"/>
        <v>58155.66508445175</v>
      </c>
      <c r="V34" s="243">
        <f t="shared" si="20"/>
        <v>129943.55992114989</v>
      </c>
      <c r="W34" s="243">
        <f t="shared" si="20"/>
        <v>371.24849642710473</v>
      </c>
      <c r="X34" s="243">
        <f t="shared" si="20"/>
        <v>274.39607359342915</v>
      </c>
      <c r="Y34" s="243">
        <f t="shared" si="20"/>
        <v>567.49512246406573</v>
      </c>
      <c r="Z34" s="243">
        <f t="shared" si="20"/>
        <v>-725.95336312115001</v>
      </c>
      <c r="AA34" s="243">
        <f t="shared" si="20"/>
        <v>125.06647687885011</v>
      </c>
      <c r="AB34" s="243">
        <f t="shared" si="20"/>
        <v>1005.210883613963</v>
      </c>
      <c r="AC34" s="243">
        <f t="shared" si="20"/>
        <v>533.76357880903493</v>
      </c>
      <c r="AD34" s="243">
        <f t="shared" si="20"/>
        <v>351.2319760164271</v>
      </c>
      <c r="AE34" s="243">
        <f t="shared" si="20"/>
        <v>567.3282568382308</v>
      </c>
      <c r="AF34" s="243">
        <f t="shared" si="20"/>
        <v>261.05172665297744</v>
      </c>
      <c r="AG34" s="259">
        <f t="shared" si="20"/>
        <v>264.65258217659141</v>
      </c>
      <c r="AH34" s="243">
        <f t="shared" si="20"/>
        <v>296.00120673511299</v>
      </c>
      <c r="AI34" s="243">
        <f t="shared" si="20"/>
        <v>274.97856492813139</v>
      </c>
      <c r="AJ34" s="243">
        <f t="shared" si="20"/>
        <v>254.06183063655033</v>
      </c>
      <c r="AK34" s="243">
        <f t="shared" ref="AK34:BG34" si="21" xml:space="preserve"> 125.04 - 1934.136 * AK8</f>
        <v>3645.1145662422996</v>
      </c>
      <c r="AL34" s="243">
        <f t="shared" si="21"/>
        <v>304.57971548254625</v>
      </c>
      <c r="AM34" s="243">
        <f t="shared" si="21"/>
        <v>26766.366744640658</v>
      </c>
      <c r="AN34" s="243">
        <f t="shared" si="21"/>
        <v>119.98291613963039</v>
      </c>
      <c r="AO34" s="243">
        <f t="shared" si="21"/>
        <v>38787.611095195069</v>
      </c>
      <c r="AP34" s="243">
        <f t="shared" si="21"/>
        <v>-314.63924235728626</v>
      </c>
      <c r="AQ34" s="243">
        <f t="shared" si="21"/>
        <v>-315.01286053661272</v>
      </c>
      <c r="AR34" s="243">
        <f t="shared" si="21"/>
        <v>-315.37838855852641</v>
      </c>
      <c r="AS34" s="243">
        <f t="shared" si="21"/>
        <v>-315.79175882956872</v>
      </c>
      <c r="AT34" s="243">
        <f t="shared" si="21"/>
        <v>-316.5678623408624</v>
      </c>
      <c r="AU34" s="243">
        <f t="shared" si="21"/>
        <v>639.24746414784386</v>
      </c>
      <c r="AV34" s="243">
        <f t="shared" si="21"/>
        <v>170.18307843942506</v>
      </c>
      <c r="AW34" s="243">
        <f t="shared" si="21"/>
        <v>1382.029823408624</v>
      </c>
      <c r="AX34" s="243">
        <f t="shared" si="21"/>
        <v>951.19805075975364</v>
      </c>
      <c r="AY34" s="243">
        <f t="shared" si="21"/>
        <v>-318.15647507186856</v>
      </c>
      <c r="AZ34" s="243">
        <f t="shared" si="21"/>
        <v>-318.20942882956876</v>
      </c>
      <c r="BA34" s="243">
        <f t="shared" si="21"/>
        <v>-318.26238258726903</v>
      </c>
      <c r="BB34" s="243">
        <f t="shared" si="21"/>
        <v>-318.31533634496918</v>
      </c>
      <c r="BC34" s="243">
        <f t="shared" si="21"/>
        <v>-318.36829010266939</v>
      </c>
      <c r="BD34" s="243">
        <f t="shared" si="21"/>
        <v>-318.4212438603696</v>
      </c>
      <c r="BE34" s="243">
        <f t="shared" si="21"/>
        <v>-318.47419761806981</v>
      </c>
      <c r="BF34" s="243">
        <f t="shared" si="21"/>
        <v>-318.52715137577002</v>
      </c>
      <c r="BG34" s="243">
        <f t="shared" si="21"/>
        <v>567.33626119096516</v>
      </c>
    </row>
    <row r="35" spans="1:59" x14ac:dyDescent="0.25">
      <c r="C35" s="6" t="s">
        <v>865</v>
      </c>
      <c r="D35" s="7" t="s">
        <v>701</v>
      </c>
      <c r="E35" s="243">
        <f t="shared" ref="E35:AJ35" si="22" xml:space="preserve"> E25 - 0.00569 - 0.00478 * SIN(E34*Deg2Rad)</f>
        <v>-14928.700297717021</v>
      </c>
      <c r="F35" s="243">
        <f t="shared" si="22"/>
        <v>-599811.48963533854</v>
      </c>
      <c r="G35" s="243">
        <f t="shared" si="22"/>
        <v>280.37255487880952</v>
      </c>
      <c r="H35" s="243">
        <f t="shared" si="22"/>
        <v>-79.888503381094566</v>
      </c>
      <c r="I35" s="243">
        <f t="shared" si="22"/>
        <v>-4373.4961375134471</v>
      </c>
      <c r="J35" s="243">
        <f t="shared" si="22"/>
        <v>-4232.3162967755625</v>
      </c>
      <c r="K35" s="243">
        <f t="shared" si="22"/>
        <v>-4013.7412790028316</v>
      </c>
      <c r="L35" s="243">
        <f t="shared" si="22"/>
        <v>-3871.5908768730187</v>
      </c>
      <c r="M35" s="243">
        <f t="shared" si="22"/>
        <v>-35719.846407057405</v>
      </c>
      <c r="N35" s="243">
        <f t="shared" si="22"/>
        <v>-143720.01453637774</v>
      </c>
      <c r="O35" s="243">
        <f t="shared" si="22"/>
        <v>-143360.26148691119</v>
      </c>
      <c r="P35" s="243">
        <f t="shared" si="22"/>
        <v>-418295.82127730013</v>
      </c>
      <c r="Q35" s="243">
        <f t="shared" si="22"/>
        <v>-763642.85991392215</v>
      </c>
      <c r="R35" s="243">
        <f t="shared" si="22"/>
        <v>-763641.84442719852</v>
      </c>
      <c r="S35" s="243">
        <f t="shared" si="22"/>
        <v>-1079540.9348841547</v>
      </c>
      <c r="T35" s="243">
        <f t="shared" si="22"/>
        <v>-1079669.8843372613</v>
      </c>
      <c r="U35" s="243">
        <f t="shared" si="22"/>
        <v>-1079866.2299779302</v>
      </c>
      <c r="V35" s="243">
        <f t="shared" si="22"/>
        <v>-2416075.180236449</v>
      </c>
      <c r="W35" s="243">
        <f t="shared" si="22"/>
        <v>-4300.4033150491805</v>
      </c>
      <c r="X35" s="243">
        <f t="shared" si="22"/>
        <v>-2497.6604220873492</v>
      </c>
      <c r="Y35" s="243">
        <f t="shared" si="22"/>
        <v>-7953.8029358814456</v>
      </c>
      <c r="Z35" s="243">
        <f t="shared" si="22"/>
        <v>16120.192017505784</v>
      </c>
      <c r="AA35" s="243">
        <f t="shared" si="22"/>
        <v>279.86293381684823</v>
      </c>
      <c r="AB35" s="243">
        <f t="shared" si="22"/>
        <v>-16102.320713906207</v>
      </c>
      <c r="AC35" s="243">
        <f t="shared" si="22"/>
        <v>-7328.7424805131795</v>
      </c>
      <c r="AD35" s="243">
        <f t="shared" si="22"/>
        <v>-3927.9167192993882</v>
      </c>
      <c r="AE35" s="243">
        <f t="shared" si="22"/>
        <v>-7950.622150103105</v>
      </c>
      <c r="AF35" s="243">
        <f t="shared" si="22"/>
        <v>-2251.6421113834253</v>
      </c>
      <c r="AG35" s="243">
        <f t="shared" si="22"/>
        <v>-2320.0910581357366</v>
      </c>
      <c r="AH35" s="243">
        <f t="shared" si="22"/>
        <v>-2900.100121281564</v>
      </c>
      <c r="AI35" s="243">
        <f t="shared" si="22"/>
        <v>-2508.4810303209611</v>
      </c>
      <c r="AJ35" s="243">
        <f t="shared" si="22"/>
        <v>-2119.360845077354</v>
      </c>
      <c r="AK35" s="243">
        <f t="shared" ref="AK35:BG35" si="23" xml:space="preserve"> AK25 - 0.00569 - 0.00478 * SIN(AK34*Deg2Rad)</f>
        <v>-65239.94868575126</v>
      </c>
      <c r="AL35" s="243">
        <f t="shared" si="23"/>
        <v>-3063.2199268504755</v>
      </c>
      <c r="AM35" s="243">
        <f t="shared" si="23"/>
        <v>-495605.26402014896</v>
      </c>
      <c r="AN35" s="243">
        <f t="shared" si="23"/>
        <v>376.49830282456713</v>
      </c>
      <c r="AO35" s="243">
        <f t="shared" si="23"/>
        <v>-719358.66529766773</v>
      </c>
      <c r="AP35" s="243">
        <f t="shared" si="23"/>
        <v>8462.4816556070509</v>
      </c>
      <c r="AQ35" s="243">
        <f t="shared" si="23"/>
        <v>8469.4090984154955</v>
      </c>
      <c r="AR35" s="243">
        <f t="shared" si="23"/>
        <v>8476.2136480820191</v>
      </c>
      <c r="AS35" s="243">
        <f t="shared" si="23"/>
        <v>8483.9413459010066</v>
      </c>
      <c r="AT35" s="243">
        <f t="shared" si="23"/>
        <v>8498.541762414563</v>
      </c>
      <c r="AU35" s="243">
        <f t="shared" si="23"/>
        <v>-9289.6337709826239</v>
      </c>
      <c r="AV35" s="243">
        <f t="shared" si="23"/>
        <v>-561.39762167268543</v>
      </c>
      <c r="AW35" s="243">
        <f t="shared" si="23"/>
        <v>-23116.276286630826</v>
      </c>
      <c r="AX35" s="243">
        <f t="shared" si="23"/>
        <v>-15095.236869323928</v>
      </c>
      <c r="AY35" s="243">
        <f t="shared" si="23"/>
        <v>8528.7586814805709</v>
      </c>
      <c r="AZ35" s="243">
        <f t="shared" si="23"/>
        <v>8529.7722157501557</v>
      </c>
      <c r="BA35" s="243">
        <f t="shared" si="23"/>
        <v>8530.7860764556917</v>
      </c>
      <c r="BB35" s="243">
        <f t="shared" si="23"/>
        <v>8531.8002549863468</v>
      </c>
      <c r="BC35" s="243">
        <f t="shared" si="23"/>
        <v>8532.8147426167579</v>
      </c>
      <c r="BD35" s="243">
        <f t="shared" si="23"/>
        <v>8533.8295305099091</v>
      </c>
      <c r="BE35" s="243">
        <f t="shared" si="23"/>
        <v>8534.8446097201195</v>
      </c>
      <c r="BF35" s="243">
        <f t="shared" si="23"/>
        <v>8535.859971196076</v>
      </c>
      <c r="BG35" s="243">
        <f t="shared" si="23"/>
        <v>-7950.7746333846708</v>
      </c>
    </row>
    <row r="36" spans="1:59" x14ac:dyDescent="0.25">
      <c r="C36" s="6"/>
      <c r="D36" s="7"/>
      <c r="E36" s="243">
        <f t="shared" ref="E36:AJ36" si="24">MOD(E35,360)</f>
        <v>191.29970228297861</v>
      </c>
      <c r="F36" s="243">
        <f t="shared" si="24"/>
        <v>308.51036466145888</v>
      </c>
      <c r="G36" s="243">
        <f t="shared" si="24"/>
        <v>280.37255487880952</v>
      </c>
      <c r="H36" s="243">
        <f t="shared" si="24"/>
        <v>280.11149661890545</v>
      </c>
      <c r="I36" s="243">
        <f t="shared" si="24"/>
        <v>306.50386248655286</v>
      </c>
      <c r="J36" s="243">
        <f t="shared" si="24"/>
        <v>87.683703224437522</v>
      </c>
      <c r="K36" s="243">
        <f t="shared" si="24"/>
        <v>306.25872099716844</v>
      </c>
      <c r="L36" s="243">
        <f t="shared" si="24"/>
        <v>88.409123126981285</v>
      </c>
      <c r="M36" s="243">
        <f t="shared" si="24"/>
        <v>280.15359294259542</v>
      </c>
      <c r="N36" s="243">
        <f t="shared" si="24"/>
        <v>279.98546362225898</v>
      </c>
      <c r="O36" s="243">
        <f t="shared" si="24"/>
        <v>279.73851308881422</v>
      </c>
      <c r="P36" s="243">
        <f t="shared" si="24"/>
        <v>24.178722699871287</v>
      </c>
      <c r="Q36" s="243">
        <f t="shared" si="24"/>
        <v>277.14008607785217</v>
      </c>
      <c r="R36" s="243">
        <f t="shared" si="24"/>
        <v>278.15557280147914</v>
      </c>
      <c r="S36" s="243">
        <f t="shared" si="24"/>
        <v>99.065115845296532</v>
      </c>
      <c r="T36" s="243">
        <f t="shared" si="24"/>
        <v>330.11566273868084</v>
      </c>
      <c r="U36" s="243">
        <f t="shared" si="24"/>
        <v>133.77002206980251</v>
      </c>
      <c r="V36" s="243">
        <f t="shared" si="24"/>
        <v>244.81976355100051</v>
      </c>
      <c r="W36" s="243">
        <f t="shared" si="24"/>
        <v>19.596684950819508</v>
      </c>
      <c r="X36" s="243">
        <f t="shared" si="24"/>
        <v>22.339577912650839</v>
      </c>
      <c r="Y36" s="243">
        <f t="shared" si="24"/>
        <v>326.19706411855441</v>
      </c>
      <c r="Z36" s="243">
        <f t="shared" si="24"/>
        <v>280.19201750578395</v>
      </c>
      <c r="AA36" s="243">
        <f t="shared" si="24"/>
        <v>279.86293381684823</v>
      </c>
      <c r="AB36" s="243">
        <f t="shared" si="24"/>
        <v>97.679286093793053</v>
      </c>
      <c r="AC36" s="243">
        <f t="shared" si="24"/>
        <v>231.25751948682046</v>
      </c>
      <c r="AD36" s="243">
        <f t="shared" si="24"/>
        <v>32.083280700611795</v>
      </c>
      <c r="AE36" s="243">
        <f t="shared" si="24"/>
        <v>329.37784989689499</v>
      </c>
      <c r="AF36" s="243">
        <f t="shared" si="24"/>
        <v>268.35788861657466</v>
      </c>
      <c r="AG36" s="259">
        <f t="shared" si="24"/>
        <v>199.9089418642634</v>
      </c>
      <c r="AH36" s="243">
        <f t="shared" si="24"/>
        <v>339.89987871843596</v>
      </c>
      <c r="AI36" s="243">
        <f t="shared" si="24"/>
        <v>11.518969679038946</v>
      </c>
      <c r="AJ36" s="243">
        <f t="shared" si="24"/>
        <v>40.639154922645957</v>
      </c>
      <c r="AK36" s="243">
        <f t="shared" ref="AK36:BG36" si="25">MOD(AK35,360)</f>
        <v>280.0513142487398</v>
      </c>
      <c r="AL36" s="243">
        <f t="shared" si="25"/>
        <v>176.78007314952447</v>
      </c>
      <c r="AM36" s="243">
        <f t="shared" si="25"/>
        <v>114.73597985104425</v>
      </c>
      <c r="AN36" s="243">
        <f t="shared" si="25"/>
        <v>16.498302824567133</v>
      </c>
      <c r="AO36" s="243">
        <f t="shared" si="25"/>
        <v>281.33470233227126</v>
      </c>
      <c r="AP36" s="243">
        <f t="shared" si="25"/>
        <v>182.48165560705093</v>
      </c>
      <c r="AQ36" s="243">
        <f t="shared" si="25"/>
        <v>189.40909841549546</v>
      </c>
      <c r="AR36" s="243">
        <f t="shared" si="25"/>
        <v>196.21364808201906</v>
      </c>
      <c r="AS36" s="243">
        <f t="shared" si="25"/>
        <v>203.94134590100657</v>
      </c>
      <c r="AT36" s="243">
        <f t="shared" si="25"/>
        <v>218.54176241456298</v>
      </c>
      <c r="AU36" s="243">
        <f t="shared" si="25"/>
        <v>70.366229017376099</v>
      </c>
      <c r="AV36" s="243">
        <f t="shared" si="25"/>
        <v>158.60237832731457</v>
      </c>
      <c r="AW36" s="243">
        <f t="shared" si="25"/>
        <v>283.72371336917422</v>
      </c>
      <c r="AX36" s="243">
        <f t="shared" si="25"/>
        <v>24.763130676072251</v>
      </c>
      <c r="AY36" s="243">
        <f t="shared" si="25"/>
        <v>248.75868148057089</v>
      </c>
      <c r="AZ36" s="243">
        <f t="shared" si="25"/>
        <v>249.77221575015574</v>
      </c>
      <c r="BA36" s="243">
        <f t="shared" si="25"/>
        <v>250.78607645569173</v>
      </c>
      <c r="BB36" s="243">
        <f t="shared" si="25"/>
        <v>251.80025498634677</v>
      </c>
      <c r="BC36" s="243">
        <f t="shared" si="25"/>
        <v>252.81474261675794</v>
      </c>
      <c r="BD36" s="243">
        <f t="shared" si="25"/>
        <v>253.82953050990909</v>
      </c>
      <c r="BE36" s="243">
        <f t="shared" si="25"/>
        <v>254.84460972011948</v>
      </c>
      <c r="BF36" s="243">
        <f t="shared" si="25"/>
        <v>255.859971196076</v>
      </c>
      <c r="BG36" s="243">
        <f t="shared" si="25"/>
        <v>329.22536661532922</v>
      </c>
    </row>
    <row r="37" spans="1:59" x14ac:dyDescent="0.25">
      <c r="C37" s="6" t="s">
        <v>866</v>
      </c>
      <c r="D37" s="7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255">
        <v>199.90895</v>
      </c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</row>
    <row r="38" spans="1:59" x14ac:dyDescent="0.25">
      <c r="A38">
        <v>25.6</v>
      </c>
      <c r="B38">
        <v>165</v>
      </c>
      <c r="C38" s="6" t="s">
        <v>867</v>
      </c>
      <c r="D38" s="7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</row>
    <row r="39" spans="1:59" x14ac:dyDescent="0.25">
      <c r="C39" s="6" t="s">
        <v>868</v>
      </c>
      <c r="D39" s="7" t="s">
        <v>281</v>
      </c>
      <c r="E39" s="71">
        <f t="shared" ref="E39:AJ39" si="26" xml:space="preserve"> ATAN2((COS(E25*Deg2Rad)), (COS(E4*Deg2Rad)* SIN(E25*Deg2Rad)) )</f>
        <v>-2.9602448694342787</v>
      </c>
      <c r="F39" s="71">
        <f t="shared" si="26"/>
        <v>-0.85547744206558762</v>
      </c>
      <c r="G39" s="71">
        <f t="shared" si="26"/>
        <v>-1.373700680561847</v>
      </c>
      <c r="H39" s="71">
        <f t="shared" si="26"/>
        <v>-1.3786594875835059</v>
      </c>
      <c r="I39" s="71">
        <f t="shared" si="26"/>
        <v>-0.89188915159996984</v>
      </c>
      <c r="J39" s="71">
        <f t="shared" si="26"/>
        <v>1.5268566071353429</v>
      </c>
      <c r="K39" s="71">
        <f t="shared" si="26"/>
        <v>-0.8962917521594409</v>
      </c>
      <c r="L39" s="71">
        <f t="shared" si="26"/>
        <v>1.540623139166037</v>
      </c>
      <c r="M39" s="71">
        <f t="shared" si="26"/>
        <v>-1.3779841160603099</v>
      </c>
      <c r="N39" s="71">
        <f t="shared" si="26"/>
        <v>-1.3810955472994575</v>
      </c>
      <c r="O39" s="71">
        <f t="shared" si="26"/>
        <v>-1.3857817833295285</v>
      </c>
      <c r="P39" s="71">
        <f t="shared" si="26"/>
        <v>0.39035883328636289</v>
      </c>
      <c r="Q39" s="71">
        <f t="shared" si="26"/>
        <v>-1.434645605690289</v>
      </c>
      <c r="R39" s="71">
        <f t="shared" si="26"/>
        <v>-1.4153543876867716</v>
      </c>
      <c r="S39" s="71">
        <f t="shared" si="26"/>
        <v>1.7435669401038754</v>
      </c>
      <c r="T39" s="71">
        <f t="shared" si="26"/>
        <v>-0.48393884094660738</v>
      </c>
      <c r="U39" s="71">
        <f t="shared" si="26"/>
        <v>2.3792781088735957</v>
      </c>
      <c r="V39" s="71">
        <f t="shared" si="26"/>
        <v>-2.0465163667208603</v>
      </c>
      <c r="W39" s="71">
        <f t="shared" si="26"/>
        <v>0.31581368669673049</v>
      </c>
      <c r="X39" s="71">
        <f t="shared" si="26"/>
        <v>0.36055871222290625</v>
      </c>
      <c r="Y39" s="71">
        <f t="shared" si="26"/>
        <v>-0.55078411589692056</v>
      </c>
      <c r="Z39" s="71">
        <f t="shared" si="26"/>
        <v>-1.3772004472330748</v>
      </c>
      <c r="AA39" s="71">
        <f t="shared" si="26"/>
        <v>-1.3833391038730185</v>
      </c>
      <c r="AB39" s="71">
        <f t="shared" si="26"/>
        <v>1.7167435708445278</v>
      </c>
      <c r="AC39" s="71">
        <f t="shared" si="26"/>
        <v>-2.2892527790383359</v>
      </c>
      <c r="AD39" s="71">
        <f t="shared" si="26"/>
        <v>0.52202619085572488</v>
      </c>
      <c r="AE39" s="71">
        <f t="shared" si="26"/>
        <v>-0.49745108309384073</v>
      </c>
      <c r="AF39" s="71">
        <f t="shared" si="26"/>
        <v>-1.6020143346145106</v>
      </c>
      <c r="AG39" s="71">
        <f t="shared" si="26"/>
        <v>-2.8207718975038709</v>
      </c>
      <c r="AH39" s="71">
        <f t="shared" si="26"/>
        <v>-0.32389833126812856</v>
      </c>
      <c r="AI39" s="71">
        <f t="shared" si="26"/>
        <v>0.18485875097429066</v>
      </c>
      <c r="AJ39" s="71">
        <f t="shared" si="26"/>
        <v>0.66706898106002388</v>
      </c>
      <c r="AK39" s="71">
        <f t="shared" ref="AK39:BG39" si="27" xml:space="preserve"> ATAN2((COS(AK25*Deg2Rad)), (COS(AK4*Deg2Rad)* SIN(AK25*Deg2Rad)) )</f>
        <v>-1.3797475541745996</v>
      </c>
      <c r="AL39" s="71">
        <f t="shared" si="27"/>
        <v>3.090052330319391</v>
      </c>
      <c r="AM39" s="71">
        <f t="shared" si="27"/>
        <v>2.0368718176972553</v>
      </c>
      <c r="AN39" s="71">
        <f t="shared" si="27"/>
        <v>0.26549548870394285</v>
      </c>
      <c r="AO39" s="71">
        <f t="shared" si="27"/>
        <v>-1.3552746492530989</v>
      </c>
      <c r="AP39" s="71">
        <f t="shared" si="27"/>
        <v>-3.101703850993164</v>
      </c>
      <c r="AQ39" s="71">
        <f t="shared" si="27"/>
        <v>-2.9905632771806818</v>
      </c>
      <c r="AR39" s="71">
        <f t="shared" si="27"/>
        <v>-2.8807264095418743</v>
      </c>
      <c r="AS39" s="71">
        <f t="shared" si="27"/>
        <v>-2.7546026632461942</v>
      </c>
      <c r="AT39" s="71">
        <f t="shared" si="27"/>
        <v>-2.510276997076017</v>
      </c>
      <c r="AU39" s="71">
        <f t="shared" si="27"/>
        <v>1.1999612032523139</v>
      </c>
      <c r="AV39" s="71">
        <f t="shared" si="27"/>
        <v>2.796569268631163</v>
      </c>
      <c r="AW39" s="71">
        <f t="shared" si="27"/>
        <v>-1.3106025625824356</v>
      </c>
      <c r="AX39" s="71">
        <f t="shared" si="27"/>
        <v>0.40038330891946899</v>
      </c>
      <c r="AY39" s="71">
        <f t="shared" si="27"/>
        <v>-1.971366982827182</v>
      </c>
      <c r="AZ39" s="71">
        <f t="shared" si="27"/>
        <v>-1.9525301861031152</v>
      </c>
      <c r="BA39" s="71">
        <f t="shared" si="27"/>
        <v>-1.9336475195096456</v>
      </c>
      <c r="BB39" s="71">
        <f t="shared" si="27"/>
        <v>-1.9147206291320968</v>
      </c>
      <c r="BC39" s="71">
        <f t="shared" si="27"/>
        <v>-1.8957512377538128</v>
      </c>
      <c r="BD39" s="71">
        <f t="shared" si="27"/>
        <v>-1.876741140846804</v>
      </c>
      <c r="BE39" s="71">
        <f t="shared" si="27"/>
        <v>-1.8576922026630489</v>
      </c>
      <c r="BF39" s="71">
        <f t="shared" si="27"/>
        <v>-1.8386063526491292</v>
      </c>
      <c r="BG39" s="71">
        <f t="shared" si="27"/>
        <v>-0.49999782014588218</v>
      </c>
    </row>
    <row r="40" spans="1:59" x14ac:dyDescent="0.25">
      <c r="C40" s="6"/>
      <c r="D40" s="7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</row>
    <row r="41" spans="1:59" x14ac:dyDescent="0.25">
      <c r="C41" s="6" t="s">
        <v>869</v>
      </c>
      <c r="D41" s="7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</row>
    <row r="42" spans="1:59" x14ac:dyDescent="0.25">
      <c r="A42">
        <v>25.7</v>
      </c>
      <c r="B42">
        <v>165</v>
      </c>
      <c r="C42" s="6" t="s">
        <v>876</v>
      </c>
      <c r="D42" s="7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</row>
    <row r="43" spans="1:59" x14ac:dyDescent="0.25">
      <c r="C43" s="6" t="s">
        <v>877</v>
      </c>
      <c r="D43" s="7" t="s">
        <v>348</v>
      </c>
      <c r="E43" s="71">
        <f t="shared" ref="E43:AJ43" si="28" xml:space="preserve"> ASIN( SIN(E4*Deg2Rad) * SIN(E25*Deg2Rad) )</f>
        <v>-7.8048806756220085E-2</v>
      </c>
      <c r="F43" s="71">
        <f t="shared" si="28"/>
        <v>-0.31935645747603608</v>
      </c>
      <c r="G43" s="71">
        <f t="shared" si="28"/>
        <v>-0.40197789448589949</v>
      </c>
      <c r="H43" s="71">
        <f t="shared" si="28"/>
        <v>-0.40232082956595694</v>
      </c>
      <c r="I43" s="71">
        <f t="shared" si="28"/>
        <v>-0.32547974036187388</v>
      </c>
      <c r="J43" s="71">
        <f t="shared" si="28"/>
        <v>0.40881056658052012</v>
      </c>
      <c r="K43" s="71">
        <f t="shared" si="28"/>
        <v>-0.32655233176094906</v>
      </c>
      <c r="L43" s="71">
        <f t="shared" si="28"/>
        <v>0.40899359479001152</v>
      </c>
      <c r="M43" s="71">
        <f t="shared" si="28"/>
        <v>-0.40252323263930295</v>
      </c>
      <c r="N43" s="71">
        <f t="shared" si="28"/>
        <v>-0.40344340958283437</v>
      </c>
      <c r="O43" s="71">
        <f t="shared" si="28"/>
        <v>-0.40374878787211793</v>
      </c>
      <c r="P43" s="71">
        <f t="shared" si="28"/>
        <v>0.16466787994177617</v>
      </c>
      <c r="Q43" s="71">
        <f t="shared" si="28"/>
        <v>-0.41038206060931709</v>
      </c>
      <c r="R43" s="71">
        <f t="shared" si="28"/>
        <v>-0.40934685738828103</v>
      </c>
      <c r="S43" s="71">
        <f t="shared" si="28"/>
        <v>0.41010094002351605</v>
      </c>
      <c r="T43" s="71">
        <f t="shared" si="28"/>
        <v>-0.20252118319578713</v>
      </c>
      <c r="U43" s="71">
        <f t="shared" si="28"/>
        <v>0.29583700794688983</v>
      </c>
      <c r="V43" s="71">
        <f t="shared" si="28"/>
        <v>-0.37946943495391522</v>
      </c>
      <c r="W43" s="71">
        <f t="shared" si="28"/>
        <v>0.13387916202333447</v>
      </c>
      <c r="X43" s="71">
        <f t="shared" si="28"/>
        <v>0.15178949179941978</v>
      </c>
      <c r="Y43" s="71">
        <f t="shared" si="28"/>
        <v>-0.2231320253794718</v>
      </c>
      <c r="Z43" s="71">
        <f t="shared" si="28"/>
        <v>-0.40219674740605943</v>
      </c>
      <c r="AA43" s="71">
        <f t="shared" si="28"/>
        <v>-0.40265400174391469</v>
      </c>
      <c r="AB43" s="71">
        <f t="shared" si="28"/>
        <v>0.40531766572400019</v>
      </c>
      <c r="AC43" s="71">
        <f t="shared" si="28"/>
        <v>-0.31548939985829033</v>
      </c>
      <c r="AD43" s="71">
        <f t="shared" si="28"/>
        <v>0.21294942700039862</v>
      </c>
      <c r="AE43" s="71">
        <f t="shared" si="28"/>
        <v>-0.20401517377741721</v>
      </c>
      <c r="AF43" s="71">
        <f t="shared" si="28"/>
        <v>-0.40892155783461603</v>
      </c>
      <c r="AG43" s="71">
        <f t="shared" si="28"/>
        <v>-0.13588207574949224</v>
      </c>
      <c r="AH43" s="71">
        <f t="shared" si="28"/>
        <v>-0.13713449380591189</v>
      </c>
      <c r="AI43" s="71">
        <f t="shared" si="28"/>
        <v>7.9527746779507316E-2</v>
      </c>
      <c r="AJ43" s="71">
        <f t="shared" si="28"/>
        <v>0.26206712657537018</v>
      </c>
      <c r="AK43" s="71">
        <f t="shared" ref="AK43:BG43" si="29" xml:space="preserve"> ASIN( SIN(AK4*Deg2Rad) * SIN(AK25*Deg2Rad) )</f>
        <v>-0.40287041435803039</v>
      </c>
      <c r="AL43" s="71">
        <f t="shared" si="29"/>
        <v>2.233490303875699E-2</v>
      </c>
      <c r="AM43" s="71">
        <f t="shared" si="29"/>
        <v>0.37235666809041079</v>
      </c>
      <c r="AN43" s="71">
        <f t="shared" si="29"/>
        <v>0.11326574397302604</v>
      </c>
      <c r="AO43" s="71">
        <f t="shared" si="29"/>
        <v>-0.4050102180346446</v>
      </c>
      <c r="AP43" s="71">
        <f t="shared" si="29"/>
        <v>-1.7286799998263033E-2</v>
      </c>
      <c r="AQ43" s="71">
        <f t="shared" si="29"/>
        <v>-6.5135102275724333E-2</v>
      </c>
      <c r="AR43" s="71">
        <f t="shared" si="29"/>
        <v>-0.11135319579622313</v>
      </c>
      <c r="AS43" s="71">
        <f t="shared" si="29"/>
        <v>-0.16217887415762738</v>
      </c>
      <c r="AT43" s="71">
        <f t="shared" si="29"/>
        <v>-0.25049831119800264</v>
      </c>
      <c r="AU43" s="71">
        <f t="shared" si="29"/>
        <v>0.38408285873681658</v>
      </c>
      <c r="AV43" s="71">
        <f t="shared" si="29"/>
        <v>0.1455836080089935</v>
      </c>
      <c r="AW43" s="71">
        <f t="shared" si="29"/>
        <v>-0.39690779349096211</v>
      </c>
      <c r="AX43" s="71">
        <f t="shared" si="29"/>
        <v>0.16743701467235927</v>
      </c>
      <c r="AY43" s="71">
        <f t="shared" si="29"/>
        <v>-0.37982519680693866</v>
      </c>
      <c r="AZ43" s="71">
        <f t="shared" si="29"/>
        <v>-0.3825078002249177</v>
      </c>
      <c r="BA43" s="71">
        <f t="shared" si="29"/>
        <v>-0.38506797051023045</v>
      </c>
      <c r="BB43" s="71">
        <f t="shared" si="29"/>
        <v>-0.38750440757708915</v>
      </c>
      <c r="BC43" s="71">
        <f t="shared" si="29"/>
        <v>-0.38981588252378713</v>
      </c>
      <c r="BD43" s="71">
        <f t="shared" si="29"/>
        <v>-0.39200123109455465</v>
      </c>
      <c r="BE43" s="71">
        <f t="shared" si="29"/>
        <v>-0.39405934666419429</v>
      </c>
      <c r="BF43" s="71">
        <f t="shared" si="29"/>
        <v>-0.39598917433934389</v>
      </c>
      <c r="BG43" s="71">
        <f t="shared" si="29"/>
        <v>-0.20494486236379139</v>
      </c>
    </row>
    <row r="44" spans="1:59" x14ac:dyDescent="0.25">
      <c r="C44" s="6"/>
      <c r="D44" s="7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</row>
    <row r="45" spans="1:59" x14ac:dyDescent="0.25">
      <c r="A45">
        <v>25.8</v>
      </c>
      <c r="B45">
        <v>165</v>
      </c>
      <c r="C45" s="6" t="s">
        <v>870</v>
      </c>
      <c r="D45" s="7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255">
        <v>23.439990000000002</v>
      </c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</row>
    <row r="46" spans="1:59" x14ac:dyDescent="0.25">
      <c r="C46" s="6" t="s">
        <v>878</v>
      </c>
      <c r="D46" s="7" t="s">
        <v>346</v>
      </c>
      <c r="E46" s="177">
        <f t="shared" ref="E46:AJ46" si="30" xml:space="preserve"> E4 + 0.00256* COS(E34*Deg2Rad)</f>
        <v>23.441142077869085</v>
      </c>
      <c r="F46" s="177">
        <f t="shared" si="30"/>
        <v>23.657813604092258</v>
      </c>
      <c r="G46" s="177">
        <f t="shared" si="30"/>
        <v>23.436217427996596</v>
      </c>
      <c r="H46" s="177">
        <f t="shared" si="30"/>
        <v>23.435076935944014</v>
      </c>
      <c r="I46" s="177">
        <f t="shared" si="30"/>
        <v>23.445809089704134</v>
      </c>
      <c r="J46" s="177">
        <f t="shared" si="30"/>
        <v>23.445846318618358</v>
      </c>
      <c r="K46" s="177">
        <f t="shared" si="30"/>
        <v>23.44586825153177</v>
      </c>
      <c r="L46" s="177">
        <f t="shared" si="30"/>
        <v>23.445631869818417</v>
      </c>
      <c r="M46" s="177">
        <f t="shared" si="30"/>
        <v>23.451175706021633</v>
      </c>
      <c r="N46" s="177">
        <f t="shared" si="30"/>
        <v>23.493776214949062</v>
      </c>
      <c r="O46" s="177">
        <f t="shared" si="30"/>
        <v>23.49207934153327</v>
      </c>
      <c r="P46" s="177">
        <f t="shared" si="30"/>
        <v>23.591814845393049</v>
      </c>
      <c r="Q46" s="177">
        <f t="shared" si="30"/>
        <v>23.707122701342644</v>
      </c>
      <c r="R46" s="177">
        <f t="shared" si="30"/>
        <v>23.707131594681112</v>
      </c>
      <c r="S46" s="177">
        <f t="shared" si="30"/>
        <v>23.810340315222597</v>
      </c>
      <c r="T46" s="177">
        <f t="shared" si="30"/>
        <v>23.810639866765332</v>
      </c>
      <c r="U46" s="177">
        <f t="shared" si="30"/>
        <v>23.810803749427052</v>
      </c>
      <c r="V46" s="177">
        <f t="shared" si="30"/>
        <v>24.163929559216498</v>
      </c>
      <c r="W46" s="177">
        <f t="shared" si="30"/>
        <v>23.446080236498151</v>
      </c>
      <c r="X46" s="177">
        <f t="shared" si="30"/>
        <v>23.440831239759852</v>
      </c>
      <c r="Y46" s="177">
        <f t="shared" si="30"/>
        <v>23.437755914199098</v>
      </c>
      <c r="Z46" s="177">
        <f t="shared" si="30"/>
        <v>23.438460609515946</v>
      </c>
      <c r="AA46" s="177">
        <f t="shared" si="30"/>
        <v>23.436219353645576</v>
      </c>
      <c r="AB46" s="177">
        <f t="shared" si="30"/>
        <v>23.446389532348789</v>
      </c>
      <c r="AC46" s="177">
        <f t="shared" si="30"/>
        <v>23.436896204437542</v>
      </c>
      <c r="AD46" s="177">
        <f t="shared" si="30"/>
        <v>23.445883879217572</v>
      </c>
      <c r="AE46" s="177">
        <f t="shared" si="30"/>
        <v>23.437794955333082</v>
      </c>
      <c r="AF46" s="177">
        <f t="shared" si="30"/>
        <v>23.439270518207412</v>
      </c>
      <c r="AG46" s="263">
        <f t="shared" si="30"/>
        <v>23.439905750140571</v>
      </c>
      <c r="AH46" s="177">
        <f t="shared" si="30"/>
        <v>23.442847870928709</v>
      </c>
      <c r="AI46" s="177">
        <f t="shared" si="30"/>
        <v>23.440942333982214</v>
      </c>
      <c r="AJ46" s="177">
        <f t="shared" si="30"/>
        <v>23.438821811958697</v>
      </c>
      <c r="AK46" s="177">
        <f t="shared" ref="AK46:BG46" si="31" xml:space="preserve"> AK4 + 0.00256* COS(AK34*Deg2Rad)</f>
        <v>23.466441623655331</v>
      </c>
      <c r="AL46" s="177">
        <f t="shared" si="31"/>
        <v>23.443594283630144</v>
      </c>
      <c r="AM46" s="177">
        <f t="shared" si="31"/>
        <v>23.613922802091476</v>
      </c>
      <c r="AN46" s="177">
        <f t="shared" si="31"/>
        <v>23.436860521708681</v>
      </c>
      <c r="AO46" s="177">
        <f t="shared" si="31"/>
        <v>23.694871263719669</v>
      </c>
      <c r="AP46" s="177">
        <f t="shared" si="31"/>
        <v>23.440116824260588</v>
      </c>
      <c r="AQ46" s="177">
        <f t="shared" si="31"/>
        <v>23.440066071162441</v>
      </c>
      <c r="AR46" s="177">
        <f t="shared" si="31"/>
        <v>23.440136023611469</v>
      </c>
      <c r="AS46" s="177">
        <f t="shared" si="31"/>
        <v>23.440074285024391</v>
      </c>
      <c r="AT46" s="177">
        <f t="shared" si="31"/>
        <v>23.440054606339402</v>
      </c>
      <c r="AU46" s="177">
        <f t="shared" si="31"/>
        <v>23.443447739727997</v>
      </c>
      <c r="AV46" s="177">
        <f t="shared" si="31"/>
        <v>23.434656035321581</v>
      </c>
      <c r="AW46" s="177">
        <f t="shared" si="31"/>
        <v>23.450295084428387</v>
      </c>
      <c r="AX46" s="177">
        <f t="shared" si="31"/>
        <v>23.441758120564792</v>
      </c>
      <c r="AY46" s="177">
        <f t="shared" si="31"/>
        <v>23.440027300349318</v>
      </c>
      <c r="AZ46" s="177">
        <f t="shared" si="31"/>
        <v>23.440033185298624</v>
      </c>
      <c r="BA46" s="177">
        <f t="shared" si="31"/>
        <v>23.440032147514593</v>
      </c>
      <c r="BB46" s="177">
        <f t="shared" si="31"/>
        <v>23.440024841331205</v>
      </c>
      <c r="BC46" s="177">
        <f t="shared" si="31"/>
        <v>23.440013107398482</v>
      </c>
      <c r="BD46" s="177">
        <f t="shared" si="31"/>
        <v>23.439999431013533</v>
      </c>
      <c r="BE46" s="177">
        <f t="shared" si="31"/>
        <v>23.439986399862349</v>
      </c>
      <c r="BF46" s="177">
        <f t="shared" si="31"/>
        <v>23.439976252503154</v>
      </c>
      <c r="BG46" s="177">
        <f t="shared" si="31"/>
        <v>23.437793254345014</v>
      </c>
    </row>
    <row r="47" spans="1:59" x14ac:dyDescent="0.25">
      <c r="C47" s="6" t="s">
        <v>879</v>
      </c>
      <c r="D47" s="7" t="s">
        <v>871</v>
      </c>
      <c r="E47" s="178">
        <f t="shared" ref="E47:AG47" si="32">ATAN2((COS(E36*Deg2Rad)),(COS(E46*Deg2Rad)*SIN(E36*Deg2Rad)))*Rad2Deg</f>
        <v>-169.61168831850816</v>
      </c>
      <c r="F47" s="178">
        <f t="shared" si="32"/>
        <v>-49.017786828114232</v>
      </c>
      <c r="G47" s="178">
        <f t="shared" si="32"/>
        <v>-78.717777367997655</v>
      </c>
      <c r="H47" s="178">
        <f t="shared" si="32"/>
        <v>-79.000720597725163</v>
      </c>
      <c r="I47" s="178">
        <f t="shared" si="32"/>
        <v>-51.108049079306902</v>
      </c>
      <c r="J47" s="178">
        <f t="shared" si="32"/>
        <v>87.475509816020704</v>
      </c>
      <c r="K47" s="178">
        <f t="shared" si="32"/>
        <v>-51.358654530969524</v>
      </c>
      <c r="L47" s="178">
        <f t="shared" si="32"/>
        <v>88.266040935650523</v>
      </c>
      <c r="M47" s="178">
        <f t="shared" si="32"/>
        <v>-78.953792180067126</v>
      </c>
      <c r="N47" s="178">
        <f t="shared" si="32"/>
        <v>-79.132586517628752</v>
      </c>
      <c r="O47" s="178">
        <f t="shared" si="32"/>
        <v>-79.400507779136049</v>
      </c>
      <c r="P47" s="178">
        <f t="shared" si="32"/>
        <v>22.364542082145107</v>
      </c>
      <c r="Q47" s="178">
        <f t="shared" si="32"/>
        <v>-82.209594163411111</v>
      </c>
      <c r="R47" s="178">
        <f t="shared" si="32"/>
        <v>-81.104294658129533</v>
      </c>
      <c r="S47" s="178">
        <f t="shared" si="32"/>
        <v>99.892484053290261</v>
      </c>
      <c r="T47" s="178">
        <f t="shared" si="32"/>
        <v>-27.733117900181771</v>
      </c>
      <c r="U47" s="178">
        <f t="shared" si="32"/>
        <v>136.31765191314167</v>
      </c>
      <c r="V47" s="178">
        <f t="shared" si="32"/>
        <v>-117.26178561624215</v>
      </c>
      <c r="W47" s="178">
        <f t="shared" si="32"/>
        <v>18.088284070957258</v>
      </c>
      <c r="X47" s="178">
        <f t="shared" si="32"/>
        <v>20.657596753067835</v>
      </c>
      <c r="Y47" s="178">
        <f t="shared" si="32"/>
        <v>-31.56140466245413</v>
      </c>
      <c r="Z47" s="178">
        <f t="shared" si="32"/>
        <v>-78.91319299266101</v>
      </c>
      <c r="AA47" s="178">
        <f t="shared" si="32"/>
        <v>-79.270017338141585</v>
      </c>
      <c r="AB47" s="178">
        <f t="shared" si="32"/>
        <v>98.361032532336395</v>
      </c>
      <c r="AC47" s="178">
        <f t="shared" si="32"/>
        <v>-131.17027947594786</v>
      </c>
      <c r="AD47" s="178">
        <f t="shared" si="32"/>
        <v>29.904658731142209</v>
      </c>
      <c r="AE47" s="178">
        <f t="shared" si="32"/>
        <v>-28.50560548218191</v>
      </c>
      <c r="AF47" s="178">
        <f t="shared" si="32"/>
        <v>-91.789709798008047</v>
      </c>
      <c r="AG47" s="262">
        <f t="shared" si="32"/>
        <v>-161.6191636952797</v>
      </c>
      <c r="AH47" s="178">
        <f>ATAN2(COS(AH35*Deg2Rad),(COS(AH4+0.00256*COS(AH34*Deg2Rad)*SIN(AH35*Deg2Rad))))</f>
        <v>-0.12742178894632125</v>
      </c>
      <c r="AI47" s="178">
        <f t="shared" ref="AI47:BG47" si="33">ATAN2((COS(AI36*Deg2Rad)),(COS(AI46*Deg2Rad)*SIN(AI36*Deg2Rad)))*Rad2Deg</f>
        <v>10.59075198158849</v>
      </c>
      <c r="AJ47" s="178">
        <f t="shared" si="33"/>
        <v>38.219309703306166</v>
      </c>
      <c r="AK47" s="178">
        <f t="shared" si="33"/>
        <v>-79.063404023615576</v>
      </c>
      <c r="AL47" s="178">
        <f t="shared" si="33"/>
        <v>177.04537899083999</v>
      </c>
      <c r="AM47" s="178">
        <f t="shared" si="33"/>
        <v>116.69381858752637</v>
      </c>
      <c r="AN47" s="178">
        <f t="shared" si="33"/>
        <v>15.202775479407311</v>
      </c>
      <c r="AO47" s="178">
        <f t="shared" si="33"/>
        <v>-77.65251820700432</v>
      </c>
      <c r="AP47" s="178">
        <f t="shared" si="33"/>
        <v>-177.72291446699305</v>
      </c>
      <c r="AQ47" s="178">
        <f t="shared" si="33"/>
        <v>-171.35512707304687</v>
      </c>
      <c r="AR47" s="178">
        <f t="shared" si="33"/>
        <v>-165.06206673103065</v>
      </c>
      <c r="AS47" s="178">
        <f t="shared" si="33"/>
        <v>-157.83588479180011</v>
      </c>
      <c r="AT47" s="178">
        <f t="shared" si="33"/>
        <v>-143.83743598574782</v>
      </c>
      <c r="AU47" s="178">
        <f t="shared" si="33"/>
        <v>68.751614709287537</v>
      </c>
      <c r="AV47" s="178">
        <f t="shared" si="33"/>
        <v>160.22517142786506</v>
      </c>
      <c r="AW47" s="178">
        <f t="shared" si="33"/>
        <v>-75.093615418256576</v>
      </c>
      <c r="AX47" s="178">
        <f t="shared" si="33"/>
        <v>22.938669288947029</v>
      </c>
      <c r="AY47" s="178">
        <f t="shared" si="33"/>
        <v>-112.9607492770194</v>
      </c>
      <c r="AZ47" s="178">
        <f t="shared" si="33"/>
        <v>-111.8814863414508</v>
      </c>
      <c r="BA47" s="178">
        <f t="shared" si="33"/>
        <v>-110.79959404658172</v>
      </c>
      <c r="BB47" s="178">
        <f t="shared" si="33"/>
        <v>-109.71516668513235</v>
      </c>
      <c r="BC47" s="178">
        <f t="shared" si="33"/>
        <v>-108.62830294644189</v>
      </c>
      <c r="BD47" s="178">
        <f t="shared" si="33"/>
        <v>-107.53910568683152</v>
      </c>
      <c r="BE47" s="178">
        <f t="shared" si="33"/>
        <v>-106.44768170567531</v>
      </c>
      <c r="BF47" s="178">
        <f t="shared" si="33"/>
        <v>-105.35414154003503</v>
      </c>
      <c r="BG47" s="178">
        <f t="shared" si="33"/>
        <v>-28.651524820818974</v>
      </c>
    </row>
    <row r="48" spans="1:59" x14ac:dyDescent="0.25">
      <c r="C48" s="6" t="s">
        <v>872</v>
      </c>
      <c r="D48" s="7"/>
      <c r="E48" s="265">
        <f t="shared" ref="E48:AJ48" si="34">MOD(E47,360)</f>
        <v>190.38831168149184</v>
      </c>
      <c r="F48" s="265">
        <f t="shared" si="34"/>
        <v>310.98221317188575</v>
      </c>
      <c r="G48" s="265">
        <f t="shared" si="34"/>
        <v>281.28222263200234</v>
      </c>
      <c r="H48" s="265">
        <f t="shared" si="34"/>
        <v>280.99927940227485</v>
      </c>
      <c r="I48" s="265">
        <f t="shared" si="34"/>
        <v>308.89195092069309</v>
      </c>
      <c r="J48" s="265">
        <f t="shared" si="34"/>
        <v>87.475509816020704</v>
      </c>
      <c r="K48" s="265">
        <f t="shared" si="34"/>
        <v>308.64134546903045</v>
      </c>
      <c r="L48" s="265">
        <f t="shared" si="34"/>
        <v>88.266040935650523</v>
      </c>
      <c r="M48" s="265">
        <f t="shared" si="34"/>
        <v>281.04620781993287</v>
      </c>
      <c r="N48" s="265">
        <f t="shared" si="34"/>
        <v>280.86741348237126</v>
      </c>
      <c r="O48" s="265">
        <f t="shared" si="34"/>
        <v>280.59949222086397</v>
      </c>
      <c r="P48" s="265">
        <f t="shared" si="34"/>
        <v>22.364542082145107</v>
      </c>
      <c r="Q48" s="265">
        <f t="shared" si="34"/>
        <v>277.79040583658889</v>
      </c>
      <c r="R48" s="265">
        <f t="shared" si="34"/>
        <v>278.89570534187044</v>
      </c>
      <c r="S48" s="265">
        <f t="shared" si="34"/>
        <v>99.892484053290261</v>
      </c>
      <c r="T48" s="265">
        <f t="shared" si="34"/>
        <v>332.26688209981825</v>
      </c>
      <c r="U48" s="265">
        <f t="shared" si="34"/>
        <v>136.31765191314167</v>
      </c>
      <c r="V48" s="265">
        <f t="shared" si="34"/>
        <v>242.73821438375785</v>
      </c>
      <c r="W48" s="265">
        <f t="shared" si="34"/>
        <v>18.088284070957258</v>
      </c>
      <c r="X48" s="265">
        <f t="shared" si="34"/>
        <v>20.657596753067835</v>
      </c>
      <c r="Y48" s="265">
        <f t="shared" si="34"/>
        <v>328.43859533754585</v>
      </c>
      <c r="Z48" s="265">
        <f t="shared" si="34"/>
        <v>281.08680700733896</v>
      </c>
      <c r="AA48" s="265">
        <f t="shared" si="34"/>
        <v>280.7299826618584</v>
      </c>
      <c r="AB48" s="265">
        <f t="shared" si="34"/>
        <v>98.361032532336395</v>
      </c>
      <c r="AC48" s="265">
        <f t="shared" si="34"/>
        <v>228.82972052405214</v>
      </c>
      <c r="AD48" s="265">
        <f t="shared" si="34"/>
        <v>29.904658731142209</v>
      </c>
      <c r="AE48" s="265">
        <f t="shared" si="34"/>
        <v>331.49439451781808</v>
      </c>
      <c r="AF48" s="265">
        <f t="shared" si="34"/>
        <v>268.21029020199194</v>
      </c>
      <c r="AG48" s="266">
        <f t="shared" si="34"/>
        <v>198.3808363047203</v>
      </c>
      <c r="AH48" s="265">
        <f t="shared" si="34"/>
        <v>359.87257821105368</v>
      </c>
      <c r="AI48" s="265">
        <f t="shared" si="34"/>
        <v>10.59075198158849</v>
      </c>
      <c r="AJ48" s="265">
        <f t="shared" si="34"/>
        <v>38.219309703306166</v>
      </c>
      <c r="AK48" s="265">
        <f t="shared" ref="AK48:BG48" si="35">MOD(AK47,360)</f>
        <v>280.93659597638441</v>
      </c>
      <c r="AL48" s="265">
        <f t="shared" si="35"/>
        <v>177.04537899083999</v>
      </c>
      <c r="AM48" s="265">
        <f t="shared" si="35"/>
        <v>116.69381858752637</v>
      </c>
      <c r="AN48" s="265">
        <f t="shared" si="35"/>
        <v>15.202775479407311</v>
      </c>
      <c r="AO48" s="265">
        <f t="shared" si="35"/>
        <v>282.34748179299567</v>
      </c>
      <c r="AP48" s="265">
        <f t="shared" si="35"/>
        <v>182.27708553300695</v>
      </c>
      <c r="AQ48" s="265">
        <f t="shared" si="35"/>
        <v>188.64487292695313</v>
      </c>
      <c r="AR48" s="265">
        <f t="shared" si="35"/>
        <v>194.93793326896935</v>
      </c>
      <c r="AS48" s="265">
        <f t="shared" si="35"/>
        <v>202.16411520819989</v>
      </c>
      <c r="AT48" s="265">
        <f t="shared" si="35"/>
        <v>216.16256401425218</v>
      </c>
      <c r="AU48" s="265">
        <f t="shared" si="35"/>
        <v>68.751614709287537</v>
      </c>
      <c r="AV48" s="265">
        <f t="shared" si="35"/>
        <v>160.22517142786506</v>
      </c>
      <c r="AW48" s="265">
        <f t="shared" si="35"/>
        <v>284.9063845817434</v>
      </c>
      <c r="AX48" s="265">
        <f t="shared" si="35"/>
        <v>22.938669288947029</v>
      </c>
      <c r="AY48" s="265">
        <f t="shared" si="35"/>
        <v>247.0392507229806</v>
      </c>
      <c r="AZ48" s="265">
        <f t="shared" si="35"/>
        <v>248.1185136585492</v>
      </c>
      <c r="BA48" s="265">
        <f t="shared" si="35"/>
        <v>249.20040595341828</v>
      </c>
      <c r="BB48" s="265">
        <f t="shared" si="35"/>
        <v>250.28483331486765</v>
      </c>
      <c r="BC48" s="265">
        <f t="shared" si="35"/>
        <v>251.37169705355811</v>
      </c>
      <c r="BD48" s="265">
        <f t="shared" si="35"/>
        <v>252.46089431316847</v>
      </c>
      <c r="BE48" s="265">
        <f t="shared" si="35"/>
        <v>253.55231829432469</v>
      </c>
      <c r="BF48" s="265">
        <f t="shared" si="35"/>
        <v>254.64585845996498</v>
      </c>
      <c r="BG48" s="265">
        <f t="shared" si="35"/>
        <v>331.34847517918104</v>
      </c>
    </row>
    <row r="49" spans="2:59" x14ac:dyDescent="0.25">
      <c r="C49" s="6"/>
      <c r="D49" s="7"/>
      <c r="E49" s="264">
        <f t="shared" ref="E49:AG49" si="36">INT(E48/15)</f>
        <v>12</v>
      </c>
      <c r="F49" s="264">
        <f t="shared" si="36"/>
        <v>20</v>
      </c>
      <c r="G49" s="264">
        <f t="shared" si="36"/>
        <v>18</v>
      </c>
      <c r="H49" s="264">
        <f t="shared" si="36"/>
        <v>18</v>
      </c>
      <c r="I49" s="264">
        <f t="shared" si="36"/>
        <v>20</v>
      </c>
      <c r="J49" s="264">
        <f t="shared" si="36"/>
        <v>5</v>
      </c>
      <c r="K49" s="264">
        <f t="shared" si="36"/>
        <v>20</v>
      </c>
      <c r="L49" s="264">
        <f t="shared" si="36"/>
        <v>5</v>
      </c>
      <c r="M49" s="264">
        <f t="shared" si="36"/>
        <v>18</v>
      </c>
      <c r="N49" s="264">
        <f t="shared" si="36"/>
        <v>18</v>
      </c>
      <c r="O49" s="264">
        <f t="shared" si="36"/>
        <v>18</v>
      </c>
      <c r="P49" s="264">
        <f t="shared" si="36"/>
        <v>1</v>
      </c>
      <c r="Q49" s="264">
        <f t="shared" si="36"/>
        <v>18</v>
      </c>
      <c r="R49" s="264">
        <f t="shared" si="36"/>
        <v>18</v>
      </c>
      <c r="S49" s="264">
        <f t="shared" si="36"/>
        <v>6</v>
      </c>
      <c r="T49" s="264">
        <f t="shared" si="36"/>
        <v>22</v>
      </c>
      <c r="U49" s="264">
        <f t="shared" si="36"/>
        <v>9</v>
      </c>
      <c r="V49" s="264">
        <f t="shared" si="36"/>
        <v>16</v>
      </c>
      <c r="W49" s="264">
        <f t="shared" si="36"/>
        <v>1</v>
      </c>
      <c r="X49" s="264">
        <f t="shared" si="36"/>
        <v>1</v>
      </c>
      <c r="Y49" s="264">
        <f t="shared" si="36"/>
        <v>21</v>
      </c>
      <c r="Z49" s="264">
        <f t="shared" si="36"/>
        <v>18</v>
      </c>
      <c r="AA49" s="264">
        <f t="shared" si="36"/>
        <v>18</v>
      </c>
      <c r="AB49" s="264">
        <f t="shared" si="36"/>
        <v>6</v>
      </c>
      <c r="AC49" s="264">
        <f t="shared" si="36"/>
        <v>15</v>
      </c>
      <c r="AD49" s="264">
        <f t="shared" si="36"/>
        <v>1</v>
      </c>
      <c r="AE49" s="264">
        <f t="shared" si="36"/>
        <v>22</v>
      </c>
      <c r="AF49" s="264">
        <f t="shared" si="36"/>
        <v>17</v>
      </c>
      <c r="AG49" s="264">
        <f t="shared" si="36"/>
        <v>13</v>
      </c>
      <c r="AH49" s="178" t="s">
        <v>651</v>
      </c>
      <c r="AI49" s="264">
        <f t="shared" ref="AI49:BG49" si="37">INT(AI48/15)</f>
        <v>0</v>
      </c>
      <c r="AJ49" s="264">
        <f t="shared" si="37"/>
        <v>2</v>
      </c>
      <c r="AK49" s="264">
        <f t="shared" si="37"/>
        <v>18</v>
      </c>
      <c r="AL49" s="264">
        <f t="shared" si="37"/>
        <v>11</v>
      </c>
      <c r="AM49" s="264">
        <f t="shared" si="37"/>
        <v>7</v>
      </c>
      <c r="AN49" s="264">
        <f t="shared" si="37"/>
        <v>1</v>
      </c>
      <c r="AO49" s="264">
        <f t="shared" si="37"/>
        <v>18</v>
      </c>
      <c r="AP49" s="264">
        <f t="shared" si="37"/>
        <v>12</v>
      </c>
      <c r="AQ49" s="264">
        <f t="shared" si="37"/>
        <v>12</v>
      </c>
      <c r="AR49" s="264">
        <f t="shared" si="37"/>
        <v>12</v>
      </c>
      <c r="AS49" s="264">
        <f t="shared" si="37"/>
        <v>13</v>
      </c>
      <c r="AT49" s="264">
        <f t="shared" si="37"/>
        <v>14</v>
      </c>
      <c r="AU49" s="264">
        <f t="shared" si="37"/>
        <v>4</v>
      </c>
      <c r="AV49" s="264">
        <f t="shared" si="37"/>
        <v>10</v>
      </c>
      <c r="AW49" s="264">
        <f t="shared" si="37"/>
        <v>18</v>
      </c>
      <c r="AX49" s="264">
        <f t="shared" si="37"/>
        <v>1</v>
      </c>
      <c r="AY49" s="264">
        <f t="shared" si="37"/>
        <v>16</v>
      </c>
      <c r="AZ49" s="264">
        <f t="shared" si="37"/>
        <v>16</v>
      </c>
      <c r="BA49" s="264">
        <f t="shared" si="37"/>
        <v>16</v>
      </c>
      <c r="BB49" s="264">
        <f t="shared" si="37"/>
        <v>16</v>
      </c>
      <c r="BC49" s="264">
        <f t="shared" si="37"/>
        <v>16</v>
      </c>
      <c r="BD49" s="264">
        <f t="shared" si="37"/>
        <v>16</v>
      </c>
      <c r="BE49" s="264">
        <f t="shared" si="37"/>
        <v>16</v>
      </c>
      <c r="BF49" s="264">
        <f t="shared" si="37"/>
        <v>16</v>
      </c>
      <c r="BG49" s="264">
        <f t="shared" si="37"/>
        <v>22</v>
      </c>
    </row>
    <row r="50" spans="2:59" x14ac:dyDescent="0.25">
      <c r="C50" s="6"/>
      <c r="D50" s="7"/>
      <c r="E50" s="264">
        <f t="shared" ref="E50:AG50" si="38">INT((E48/15-E49)*60)</f>
        <v>41</v>
      </c>
      <c r="F50" s="264">
        <f t="shared" si="38"/>
        <v>43</v>
      </c>
      <c r="G50" s="264">
        <f t="shared" si="38"/>
        <v>45</v>
      </c>
      <c r="H50" s="264">
        <f t="shared" si="38"/>
        <v>43</v>
      </c>
      <c r="I50" s="264">
        <f t="shared" si="38"/>
        <v>35</v>
      </c>
      <c r="J50" s="264">
        <f t="shared" si="38"/>
        <v>49</v>
      </c>
      <c r="K50" s="264">
        <f t="shared" si="38"/>
        <v>34</v>
      </c>
      <c r="L50" s="264">
        <f t="shared" si="38"/>
        <v>53</v>
      </c>
      <c r="M50" s="264">
        <f t="shared" si="38"/>
        <v>44</v>
      </c>
      <c r="N50" s="264">
        <f t="shared" si="38"/>
        <v>43</v>
      </c>
      <c r="O50" s="264">
        <f t="shared" si="38"/>
        <v>42</v>
      </c>
      <c r="P50" s="264">
        <f t="shared" si="38"/>
        <v>29</v>
      </c>
      <c r="Q50" s="264">
        <f t="shared" si="38"/>
        <v>31</v>
      </c>
      <c r="R50" s="264">
        <f t="shared" si="38"/>
        <v>35</v>
      </c>
      <c r="S50" s="264">
        <f t="shared" si="38"/>
        <v>39</v>
      </c>
      <c r="T50" s="264">
        <f t="shared" si="38"/>
        <v>9</v>
      </c>
      <c r="U50" s="264">
        <f t="shared" si="38"/>
        <v>5</v>
      </c>
      <c r="V50" s="264">
        <f t="shared" si="38"/>
        <v>10</v>
      </c>
      <c r="W50" s="264">
        <f t="shared" si="38"/>
        <v>12</v>
      </c>
      <c r="X50" s="264">
        <f t="shared" si="38"/>
        <v>22</v>
      </c>
      <c r="Y50" s="264">
        <f t="shared" si="38"/>
        <v>53</v>
      </c>
      <c r="Z50" s="264">
        <f t="shared" si="38"/>
        <v>44</v>
      </c>
      <c r="AA50" s="264">
        <f t="shared" si="38"/>
        <v>42</v>
      </c>
      <c r="AB50" s="264">
        <f t="shared" si="38"/>
        <v>33</v>
      </c>
      <c r="AC50" s="264">
        <f t="shared" si="38"/>
        <v>15</v>
      </c>
      <c r="AD50" s="264">
        <f t="shared" si="38"/>
        <v>59</v>
      </c>
      <c r="AE50" s="264">
        <f t="shared" si="38"/>
        <v>5</v>
      </c>
      <c r="AF50" s="264">
        <f t="shared" si="38"/>
        <v>52</v>
      </c>
      <c r="AG50" s="264">
        <f t="shared" si="38"/>
        <v>13</v>
      </c>
      <c r="AH50" s="178" t="s">
        <v>650</v>
      </c>
      <c r="AI50" s="264">
        <f t="shared" ref="AI50:BG50" si="39">INT((AI48/15-AI49)*60)</f>
        <v>42</v>
      </c>
      <c r="AJ50" s="264">
        <f t="shared" si="39"/>
        <v>32</v>
      </c>
      <c r="AK50" s="264">
        <f t="shared" si="39"/>
        <v>43</v>
      </c>
      <c r="AL50" s="264">
        <f t="shared" si="39"/>
        <v>48</v>
      </c>
      <c r="AM50" s="264">
        <f t="shared" si="39"/>
        <v>46</v>
      </c>
      <c r="AN50" s="264">
        <f t="shared" si="39"/>
        <v>0</v>
      </c>
      <c r="AO50" s="264">
        <f t="shared" si="39"/>
        <v>49</v>
      </c>
      <c r="AP50" s="264">
        <f t="shared" si="39"/>
        <v>9</v>
      </c>
      <c r="AQ50" s="264">
        <f t="shared" si="39"/>
        <v>34</v>
      </c>
      <c r="AR50" s="264">
        <f t="shared" si="39"/>
        <v>59</v>
      </c>
      <c r="AS50" s="264">
        <f t="shared" si="39"/>
        <v>28</v>
      </c>
      <c r="AT50" s="264">
        <f t="shared" si="39"/>
        <v>24</v>
      </c>
      <c r="AU50" s="264">
        <f t="shared" si="39"/>
        <v>35</v>
      </c>
      <c r="AV50" s="264">
        <f t="shared" si="39"/>
        <v>40</v>
      </c>
      <c r="AW50" s="264">
        <f t="shared" si="39"/>
        <v>59</v>
      </c>
      <c r="AX50" s="264">
        <f t="shared" si="39"/>
        <v>31</v>
      </c>
      <c r="AY50" s="264">
        <f t="shared" si="39"/>
        <v>28</v>
      </c>
      <c r="AZ50" s="264">
        <f t="shared" si="39"/>
        <v>32</v>
      </c>
      <c r="BA50" s="264">
        <f t="shared" si="39"/>
        <v>36</v>
      </c>
      <c r="BB50" s="264">
        <f t="shared" si="39"/>
        <v>41</v>
      </c>
      <c r="BC50" s="264">
        <f t="shared" si="39"/>
        <v>45</v>
      </c>
      <c r="BD50" s="264">
        <f t="shared" si="39"/>
        <v>49</v>
      </c>
      <c r="BE50" s="264">
        <f t="shared" si="39"/>
        <v>54</v>
      </c>
      <c r="BF50" s="264">
        <f t="shared" si="39"/>
        <v>58</v>
      </c>
      <c r="BG50" s="264">
        <f t="shared" si="39"/>
        <v>5</v>
      </c>
    </row>
    <row r="51" spans="2:59" x14ac:dyDescent="0.25">
      <c r="C51" s="6"/>
      <c r="D51" s="7"/>
      <c r="E51" s="175">
        <f t="shared" ref="E51:AG51" si="40">(((E48/15-E49)*60)-INT(((E48/15-E49)*60)))*60</f>
        <v>33.194803558042594</v>
      </c>
      <c r="F51" s="175">
        <f t="shared" si="40"/>
        <v>55.731161252579113</v>
      </c>
      <c r="G51" s="175">
        <f t="shared" si="40"/>
        <v>7.7334316805576009</v>
      </c>
      <c r="H51" s="175">
        <f t="shared" si="40"/>
        <v>59.827056545962591</v>
      </c>
      <c r="I51" s="175">
        <f t="shared" si="40"/>
        <v>34.068220966342722</v>
      </c>
      <c r="J51" s="175">
        <f t="shared" si="40"/>
        <v>54.122355844967274</v>
      </c>
      <c r="K51" s="175">
        <f t="shared" si="40"/>
        <v>33.922912567304877</v>
      </c>
      <c r="L51" s="175">
        <f t="shared" si="40"/>
        <v>3.8498245561262934</v>
      </c>
      <c r="M51" s="175">
        <f t="shared" si="40"/>
        <v>11.089876783892407</v>
      </c>
      <c r="N51" s="175">
        <f t="shared" si="40"/>
        <v>28.179235769098625</v>
      </c>
      <c r="O51" s="175">
        <f t="shared" si="40"/>
        <v>23.878133007356723</v>
      </c>
      <c r="P51" s="175">
        <f t="shared" si="40"/>
        <v>27.490099714825647</v>
      </c>
      <c r="Q51" s="175">
        <f t="shared" si="40"/>
        <v>9.6974007813366825</v>
      </c>
      <c r="R51" s="175">
        <f t="shared" si="40"/>
        <v>34.969282048909633</v>
      </c>
      <c r="S51" s="175">
        <f t="shared" si="40"/>
        <v>34.196172789664274</v>
      </c>
      <c r="T51" s="175">
        <f t="shared" si="40"/>
        <v>4.0517039563758317</v>
      </c>
      <c r="U51" s="175">
        <f t="shared" si="40"/>
        <v>16.236459154002603</v>
      </c>
      <c r="V51" s="175">
        <f t="shared" si="40"/>
        <v>57.171452101889031</v>
      </c>
      <c r="W51" s="175">
        <f t="shared" si="40"/>
        <v>21.188177029741624</v>
      </c>
      <c r="X51" s="175">
        <f t="shared" si="40"/>
        <v>37.823220736280092</v>
      </c>
      <c r="Y51" s="175">
        <f t="shared" si="40"/>
        <v>45.262881011009597</v>
      </c>
      <c r="Z51" s="175">
        <f t="shared" si="40"/>
        <v>20.833681761353375</v>
      </c>
      <c r="AA51" s="175">
        <f t="shared" si="40"/>
        <v>55.195838846019569</v>
      </c>
      <c r="AB51" s="175">
        <f t="shared" si="40"/>
        <v>26.647807760733571</v>
      </c>
      <c r="AC51" s="175">
        <f t="shared" si="40"/>
        <v>19.132925772513687</v>
      </c>
      <c r="AD51" s="175">
        <f t="shared" si="40"/>
        <v>37.118095474130683</v>
      </c>
      <c r="AE51" s="175">
        <f t="shared" si="40"/>
        <v>58.654684276338287</v>
      </c>
      <c r="AF51" s="175">
        <f t="shared" si="40"/>
        <v>50.469648478062652</v>
      </c>
      <c r="AG51" s="175">
        <f t="shared" si="40"/>
        <v>31.400713132872653</v>
      </c>
      <c r="AH51" s="178" t="s">
        <v>881</v>
      </c>
      <c r="AI51" s="175">
        <f t="shared" ref="AI51:BG51" si="41">(((AI48/15-AI49)*60)-INT(((AI48/15-AI49)*60)))*60</f>
        <v>21.780475581237511</v>
      </c>
      <c r="AJ51" s="175">
        <f t="shared" si="41"/>
        <v>52.634328793480307</v>
      </c>
      <c r="AK51" s="175">
        <f t="shared" si="41"/>
        <v>44.783034332261877</v>
      </c>
      <c r="AL51" s="175">
        <f t="shared" si="41"/>
        <v>10.890957801600791</v>
      </c>
      <c r="AM51" s="175">
        <f t="shared" si="41"/>
        <v>46.516461006326892</v>
      </c>
      <c r="AN51" s="175">
        <f t="shared" si="41"/>
        <v>48.666115057754396</v>
      </c>
      <c r="AO51" s="175">
        <f t="shared" si="41"/>
        <v>23.395630318956364</v>
      </c>
      <c r="AP51" s="175">
        <f t="shared" si="41"/>
        <v>6.5005279216718748</v>
      </c>
      <c r="AQ51" s="175">
        <f t="shared" si="41"/>
        <v>34.769502468750915</v>
      </c>
      <c r="AR51" s="175">
        <f t="shared" si="41"/>
        <v>45.103984552642942</v>
      </c>
      <c r="AS51" s="175">
        <f t="shared" si="41"/>
        <v>39.387649967975307</v>
      </c>
      <c r="AT51" s="175">
        <f t="shared" si="41"/>
        <v>39.015363420523954</v>
      </c>
      <c r="AU51" s="175">
        <f t="shared" si="41"/>
        <v>0.3875302290097693</v>
      </c>
      <c r="AV51" s="175">
        <f t="shared" si="41"/>
        <v>54.041142687618304</v>
      </c>
      <c r="AW51" s="175">
        <f t="shared" si="41"/>
        <v>37.532299618411571</v>
      </c>
      <c r="AX51" s="175">
        <f t="shared" si="41"/>
        <v>45.280629347286947</v>
      </c>
      <c r="AY51" s="175">
        <f t="shared" si="41"/>
        <v>9.4201735153458799</v>
      </c>
      <c r="AZ51" s="175">
        <f t="shared" si="41"/>
        <v>28.443278051804839</v>
      </c>
      <c r="BA51" s="175">
        <f t="shared" si="41"/>
        <v>48.097428820390462</v>
      </c>
      <c r="BB51" s="175">
        <f t="shared" si="41"/>
        <v>8.3599955682311133</v>
      </c>
      <c r="BC51" s="175">
        <f t="shared" si="41"/>
        <v>29.20729285394259</v>
      </c>
      <c r="BD51" s="175">
        <f t="shared" si="41"/>
        <v>50.614635160432044</v>
      </c>
      <c r="BE51" s="175">
        <f t="shared" si="41"/>
        <v>12.556390637930406</v>
      </c>
      <c r="BF51" s="175">
        <f t="shared" si="41"/>
        <v>35.006030391593583</v>
      </c>
      <c r="BG51" s="175">
        <f t="shared" si="41"/>
        <v>23.634043003453087</v>
      </c>
    </row>
    <row r="52" spans="2:59" x14ac:dyDescent="0.25">
      <c r="C52" s="6"/>
      <c r="D52" s="7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262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</row>
    <row r="53" spans="2:59" x14ac:dyDescent="0.25">
      <c r="C53" s="6" t="s">
        <v>880</v>
      </c>
      <c r="D53" s="7" t="s">
        <v>873</v>
      </c>
      <c r="E53" s="71">
        <f t="shared" ref="E53:AJ53" si="42" xml:space="preserve"> ASIN(    SIN((E4+0.00256 * COS(E34*Deg2Rad) )*Deg2Rad) * SIN(E35*Deg2Rad)    )</f>
        <v>-7.8025827218932364E-2</v>
      </c>
      <c r="F53" s="71">
        <f t="shared" si="42"/>
        <v>-0.31939761685206242</v>
      </c>
      <c r="G53" s="71">
        <f t="shared" si="42"/>
        <v>-0.40196578638733332</v>
      </c>
      <c r="H53" s="71">
        <f t="shared" si="42"/>
        <v>-0.40229639682186369</v>
      </c>
      <c r="I53" s="71">
        <f t="shared" si="42"/>
        <v>-0.32554355536797691</v>
      </c>
      <c r="J53" s="71">
        <f t="shared" si="42"/>
        <v>0.40885289143555742</v>
      </c>
      <c r="K53" s="71">
        <f t="shared" si="42"/>
        <v>-0.32661028558526312</v>
      </c>
      <c r="L53" s="71">
        <f t="shared" si="42"/>
        <v>0.40903631295198378</v>
      </c>
      <c r="M53" s="71">
        <f t="shared" si="42"/>
        <v>-0.40251630240607372</v>
      </c>
      <c r="N53" s="71">
        <f t="shared" si="42"/>
        <v>-0.40346841976937459</v>
      </c>
      <c r="O53" s="71">
        <f t="shared" si="42"/>
        <v>-0.40375931254368458</v>
      </c>
      <c r="P53" s="71">
        <f t="shared" si="42"/>
        <v>0.16466619522473935</v>
      </c>
      <c r="Q53" s="71">
        <f t="shared" si="42"/>
        <v>-0.41036462229006554</v>
      </c>
      <c r="R53" s="71">
        <f t="shared" si="42"/>
        <v>-0.40933080451101378</v>
      </c>
      <c r="S53" s="71">
        <f t="shared" si="42"/>
        <v>0.41006401687882504</v>
      </c>
      <c r="T53" s="71">
        <f t="shared" si="42"/>
        <v>-0.20253320113867784</v>
      </c>
      <c r="U53" s="71">
        <f t="shared" si="42"/>
        <v>0.29582971612156622</v>
      </c>
      <c r="V53" s="71">
        <f t="shared" si="42"/>
        <v>-0.37949333753262326</v>
      </c>
      <c r="W53" s="71">
        <f t="shared" si="42"/>
        <v>0.13384905741845557</v>
      </c>
      <c r="X53" s="71">
        <f t="shared" si="42"/>
        <v>0.15178469684414392</v>
      </c>
      <c r="Y53" s="71">
        <f t="shared" si="42"/>
        <v>-0.22313188695692776</v>
      </c>
      <c r="Z53" s="71">
        <f t="shared" si="42"/>
        <v>-0.40224729255243535</v>
      </c>
      <c r="AA53" s="71">
        <f t="shared" si="42"/>
        <v>-0.40264119744008986</v>
      </c>
      <c r="AB53" s="71">
        <f t="shared" si="42"/>
        <v>0.40533035210322954</v>
      </c>
      <c r="AC53" s="71">
        <f t="shared" si="42"/>
        <v>-0.3154275889670044</v>
      </c>
      <c r="AD53" s="71">
        <f t="shared" si="42"/>
        <v>0.21294158028342883</v>
      </c>
      <c r="AE53" s="71">
        <f t="shared" si="42"/>
        <v>-0.2040175573927353</v>
      </c>
      <c r="AF53" s="71">
        <f t="shared" si="42"/>
        <v>-0.40891440164404225</v>
      </c>
      <c r="AG53" s="71">
        <f t="shared" si="42"/>
        <v>-0.13587463008918871</v>
      </c>
      <c r="AH53" s="71">
        <f t="shared" si="42"/>
        <v>-0.13714990244614456</v>
      </c>
      <c r="AI53" s="71">
        <f t="shared" si="42"/>
        <v>7.9522125942023653E-2</v>
      </c>
      <c r="AJ53" s="71">
        <f t="shared" si="42"/>
        <v>0.26205357018545389</v>
      </c>
      <c r="AK53" s="71">
        <f t="shared" ref="AK53:BG53" si="43" xml:space="preserve"> ASIN(    SIN((AK4+0.00256 * COS(AK34*Deg2Rad) )*Deg2Rad) * SIN(AK35*Deg2Rad)    )</f>
        <v>-0.40291334508502075</v>
      </c>
      <c r="AL53" s="71">
        <f t="shared" si="43"/>
        <v>2.2348375650094093E-2</v>
      </c>
      <c r="AM53" s="71">
        <f t="shared" si="43"/>
        <v>0.37236296453859513</v>
      </c>
      <c r="AN53" s="71">
        <f t="shared" si="43"/>
        <v>0.11319403428459744</v>
      </c>
      <c r="AO53" s="71">
        <f t="shared" si="43"/>
        <v>-0.40500976989035292</v>
      </c>
      <c r="AP53" s="71">
        <f t="shared" si="43"/>
        <v>-1.7224984119912367E-2</v>
      </c>
      <c r="AQ53" s="71">
        <f t="shared" si="43"/>
        <v>-6.5077607671066656E-2</v>
      </c>
      <c r="AR53" s="71">
        <f t="shared" si="43"/>
        <v>-0.11130070685305705</v>
      </c>
      <c r="AS53" s="71">
        <f t="shared" si="43"/>
        <v>-0.16213294806917491</v>
      </c>
      <c r="AT53" s="71">
        <f t="shared" si="43"/>
        <v>-0.25046715061191738</v>
      </c>
      <c r="AU53" s="71">
        <f t="shared" si="43"/>
        <v>0.38408710449902644</v>
      </c>
      <c r="AV53" s="71">
        <f t="shared" si="43"/>
        <v>0.14561120816016224</v>
      </c>
      <c r="AW53" s="71">
        <f t="shared" si="43"/>
        <v>-0.39693361873246252</v>
      </c>
      <c r="AX53" s="71">
        <f t="shared" si="43"/>
        <v>0.16741353817106602</v>
      </c>
      <c r="AY53" s="71">
        <f t="shared" si="43"/>
        <v>-0.37983180526797167</v>
      </c>
      <c r="AZ53" s="71">
        <f t="shared" si="43"/>
        <v>-0.38251575518780262</v>
      </c>
      <c r="BA53" s="71">
        <f t="shared" si="43"/>
        <v>-0.38507727191147934</v>
      </c>
      <c r="BB53" s="71">
        <f t="shared" si="43"/>
        <v>-0.38751505470794073</v>
      </c>
      <c r="BC53" s="71">
        <f t="shared" si="43"/>
        <v>-0.38982787401992125</v>
      </c>
      <c r="BD53" s="71">
        <f t="shared" si="43"/>
        <v>-0.39201456492738979</v>
      </c>
      <c r="BE53" s="71">
        <f t="shared" si="43"/>
        <v>-0.39407402013382314</v>
      </c>
      <c r="BF53" s="71">
        <f t="shared" si="43"/>
        <v>-0.39600518406877</v>
      </c>
      <c r="BG53" s="71">
        <f t="shared" si="43"/>
        <v>-0.20494712539958101</v>
      </c>
    </row>
    <row r="54" spans="2:59" ht="15.75" customHeight="1" x14ac:dyDescent="0.25">
      <c r="D54" s="7"/>
      <c r="E54" s="265">
        <f t="shared" ref="E54:AJ54" si="44">Rad2Deg*E53</f>
        <v>-4.4705505926618061</v>
      </c>
      <c r="F54" s="265">
        <f t="shared" si="44"/>
        <v>-18.300135432159713</v>
      </c>
      <c r="G54" s="265">
        <f t="shared" si="44"/>
        <v>-23.030943068651396</v>
      </c>
      <c r="H54" s="265">
        <f t="shared" si="44"/>
        <v>-23.049885651212975</v>
      </c>
      <c r="I54" s="265">
        <f t="shared" si="44"/>
        <v>-18.652271770268513</v>
      </c>
      <c r="J54" s="265">
        <f t="shared" si="44"/>
        <v>23.425545120977883</v>
      </c>
      <c r="K54" s="265">
        <f t="shared" si="44"/>
        <v>-18.713390909598086</v>
      </c>
      <c r="L54" s="265">
        <f t="shared" si="44"/>
        <v>23.436054399741003</v>
      </c>
      <c r="M54" s="265">
        <f t="shared" si="44"/>
        <v>-23.062485313079566</v>
      </c>
      <c r="N54" s="265">
        <f t="shared" si="44"/>
        <v>-23.117037619597831</v>
      </c>
      <c r="O54" s="265">
        <f t="shared" si="44"/>
        <v>-23.133704547856645</v>
      </c>
      <c r="P54" s="265">
        <f t="shared" si="44"/>
        <v>9.4346780148548355</v>
      </c>
      <c r="Q54" s="265">
        <f t="shared" si="44"/>
        <v>-23.512160918700904</v>
      </c>
      <c r="R54" s="265">
        <f t="shared" si="44"/>
        <v>-23.452927523175649</v>
      </c>
      <c r="S54" s="265">
        <f t="shared" si="44"/>
        <v>23.494937497338029</v>
      </c>
      <c r="T54" s="265">
        <f t="shared" si="44"/>
        <v>-11.604297636520439</v>
      </c>
      <c r="U54" s="265">
        <f t="shared" si="44"/>
        <v>16.949794188318993</v>
      </c>
      <c r="V54" s="265">
        <f t="shared" si="44"/>
        <v>-21.74336659395291</v>
      </c>
      <c r="W54" s="265">
        <f t="shared" si="44"/>
        <v>7.6689860818817257</v>
      </c>
      <c r="X54" s="265">
        <f t="shared" si="44"/>
        <v>8.6966225238421124</v>
      </c>
      <c r="Y54" s="265">
        <f t="shared" si="44"/>
        <v>-12.784515397422142</v>
      </c>
      <c r="Z54" s="265">
        <f t="shared" si="44"/>
        <v>-23.047072183818656</v>
      </c>
      <c r="AA54" s="265">
        <f t="shared" si="44"/>
        <v>-23.069641271410834</v>
      </c>
      <c r="AB54" s="265">
        <f t="shared" si="44"/>
        <v>23.223718484066662</v>
      </c>
      <c r="AC54" s="265">
        <f t="shared" si="44"/>
        <v>-18.072669589796643</v>
      </c>
      <c r="AD54" s="265">
        <f t="shared" si="44"/>
        <v>12.200653833086657</v>
      </c>
      <c r="AE54" s="265">
        <f t="shared" si="44"/>
        <v>-11.689344985171781</v>
      </c>
      <c r="AF54" s="265">
        <f t="shared" si="44"/>
        <v>-23.429069396321033</v>
      </c>
      <c r="AG54" s="266">
        <f t="shared" si="44"/>
        <v>-7.785042847011777</v>
      </c>
      <c r="AH54" s="265">
        <f t="shared" si="44"/>
        <v>-7.8581105707950485</v>
      </c>
      <c r="AI54" s="265">
        <f t="shared" si="44"/>
        <v>4.5562821943857514</v>
      </c>
      <c r="AJ54" s="265">
        <f t="shared" si="44"/>
        <v>15.014563577961809</v>
      </c>
      <c r="AK54" s="265">
        <f t="shared" ref="AK54:BG54" si="45">Rad2Deg*AK53</f>
        <v>-23.085234182869801</v>
      </c>
      <c r="AL54" s="265">
        <f t="shared" si="45"/>
        <v>1.2804676037233289</v>
      </c>
      <c r="AM54" s="265">
        <f t="shared" si="45"/>
        <v>21.334826315041038</v>
      </c>
      <c r="AN54" s="265">
        <f t="shared" si="45"/>
        <v>6.4855404305665765</v>
      </c>
      <c r="AO54" s="265">
        <f t="shared" si="45"/>
        <v>-23.205350476281868</v>
      </c>
      <c r="AP54" s="265">
        <f t="shared" si="45"/>
        <v>-0.98691889225084339</v>
      </c>
      <c r="AQ54" s="265">
        <f t="shared" si="45"/>
        <v>-3.7286722603603097</v>
      </c>
      <c r="AR54" s="265">
        <f t="shared" si="45"/>
        <v>-6.3770607595029674</v>
      </c>
      <c r="AS54" s="265">
        <f t="shared" si="45"/>
        <v>-9.2895336443774728</v>
      </c>
      <c r="AT54" s="265">
        <f t="shared" si="45"/>
        <v>-14.350710636730399</v>
      </c>
      <c r="AU54" s="265">
        <f t="shared" si="45"/>
        <v>22.00657005319443</v>
      </c>
      <c r="AV54" s="265">
        <f t="shared" si="45"/>
        <v>8.3429076773781894</v>
      </c>
      <c r="AW54" s="265">
        <f t="shared" si="45"/>
        <v>-22.742621100225055</v>
      </c>
      <c r="AX54" s="265">
        <f t="shared" si="45"/>
        <v>9.5920891705543898</v>
      </c>
      <c r="AY54" s="265">
        <f t="shared" si="45"/>
        <v>-21.762759366689725</v>
      </c>
      <c r="AZ54" s="265">
        <f t="shared" si="45"/>
        <v>-21.916538369520513</v>
      </c>
      <c r="BA54" s="265">
        <f t="shared" si="45"/>
        <v>-22.063302466939369</v>
      </c>
      <c r="BB54" s="265">
        <f t="shared" si="45"/>
        <v>-22.202977132546206</v>
      </c>
      <c r="BC54" s="265">
        <f t="shared" si="45"/>
        <v>-22.335491917899041</v>
      </c>
      <c r="BD54" s="265">
        <f t="shared" si="45"/>
        <v>-22.46078007799662</v>
      </c>
      <c r="BE54" s="265">
        <f t="shared" si="45"/>
        <v>-22.578778169421494</v>
      </c>
      <c r="BF54" s="265">
        <f t="shared" si="45"/>
        <v>-22.689425712441828</v>
      </c>
      <c r="BG54" s="265">
        <f t="shared" si="45"/>
        <v>-11.742605308734428</v>
      </c>
    </row>
    <row r="55" spans="2:59" ht="15.75" customHeight="1" x14ac:dyDescent="0.25">
      <c r="D55" s="7"/>
      <c r="E55" s="264">
        <f t="shared" ref="E55:AG55" si="46">_xlfn.FLOOR.MATH(ABS(E54))</f>
        <v>4</v>
      </c>
      <c r="F55" s="264">
        <f t="shared" si="46"/>
        <v>18</v>
      </c>
      <c r="G55" s="264">
        <f t="shared" si="46"/>
        <v>23</v>
      </c>
      <c r="H55" s="264">
        <f t="shared" si="46"/>
        <v>23</v>
      </c>
      <c r="I55" s="264">
        <f t="shared" si="46"/>
        <v>18</v>
      </c>
      <c r="J55" s="264">
        <f t="shared" si="46"/>
        <v>23</v>
      </c>
      <c r="K55" s="264">
        <f t="shared" si="46"/>
        <v>18</v>
      </c>
      <c r="L55" s="264">
        <f t="shared" si="46"/>
        <v>23</v>
      </c>
      <c r="M55" s="264">
        <f t="shared" si="46"/>
        <v>23</v>
      </c>
      <c r="N55" s="264">
        <f t="shared" si="46"/>
        <v>23</v>
      </c>
      <c r="O55" s="264">
        <f t="shared" si="46"/>
        <v>23</v>
      </c>
      <c r="P55" s="264">
        <f t="shared" si="46"/>
        <v>9</v>
      </c>
      <c r="Q55" s="264">
        <f t="shared" si="46"/>
        <v>23</v>
      </c>
      <c r="R55" s="264">
        <f t="shared" si="46"/>
        <v>23</v>
      </c>
      <c r="S55" s="264">
        <f t="shared" si="46"/>
        <v>23</v>
      </c>
      <c r="T55" s="264">
        <f t="shared" si="46"/>
        <v>11</v>
      </c>
      <c r="U55" s="264">
        <f t="shared" si="46"/>
        <v>16</v>
      </c>
      <c r="V55" s="264">
        <f t="shared" si="46"/>
        <v>21</v>
      </c>
      <c r="W55" s="264">
        <f t="shared" si="46"/>
        <v>7</v>
      </c>
      <c r="X55" s="264">
        <f t="shared" si="46"/>
        <v>8</v>
      </c>
      <c r="Y55" s="264">
        <f t="shared" si="46"/>
        <v>12</v>
      </c>
      <c r="Z55" s="264">
        <f t="shared" si="46"/>
        <v>23</v>
      </c>
      <c r="AA55" s="264">
        <f t="shared" si="46"/>
        <v>23</v>
      </c>
      <c r="AB55" s="264">
        <f t="shared" si="46"/>
        <v>23</v>
      </c>
      <c r="AC55" s="264">
        <f t="shared" si="46"/>
        <v>18</v>
      </c>
      <c r="AD55" s="264">
        <f t="shared" si="46"/>
        <v>12</v>
      </c>
      <c r="AE55" s="264">
        <f t="shared" si="46"/>
        <v>11</v>
      </c>
      <c r="AF55" s="264">
        <f t="shared" si="46"/>
        <v>23</v>
      </c>
      <c r="AG55" s="264">
        <f t="shared" si="46"/>
        <v>7</v>
      </c>
      <c r="AH55" s="261" t="s">
        <v>875</v>
      </c>
      <c r="AI55" s="264">
        <f t="shared" ref="AI55:BG55" si="47">_xlfn.FLOOR.MATH(ABS(AI54))</f>
        <v>4</v>
      </c>
      <c r="AJ55" s="264">
        <f t="shared" si="47"/>
        <v>15</v>
      </c>
      <c r="AK55" s="264">
        <f t="shared" si="47"/>
        <v>23</v>
      </c>
      <c r="AL55" s="264">
        <f t="shared" si="47"/>
        <v>1</v>
      </c>
      <c r="AM55" s="264">
        <f t="shared" si="47"/>
        <v>21</v>
      </c>
      <c r="AN55" s="264">
        <f t="shared" si="47"/>
        <v>6</v>
      </c>
      <c r="AO55" s="264">
        <f t="shared" si="47"/>
        <v>23</v>
      </c>
      <c r="AP55" s="264">
        <f t="shared" si="47"/>
        <v>0</v>
      </c>
      <c r="AQ55" s="264">
        <f t="shared" si="47"/>
        <v>3</v>
      </c>
      <c r="AR55" s="264">
        <f t="shared" si="47"/>
        <v>6</v>
      </c>
      <c r="AS55" s="264">
        <f t="shared" si="47"/>
        <v>9</v>
      </c>
      <c r="AT55" s="264">
        <f t="shared" si="47"/>
        <v>14</v>
      </c>
      <c r="AU55" s="264">
        <f t="shared" si="47"/>
        <v>22</v>
      </c>
      <c r="AV55" s="264">
        <f t="shared" si="47"/>
        <v>8</v>
      </c>
      <c r="AW55" s="264">
        <f t="shared" si="47"/>
        <v>22</v>
      </c>
      <c r="AX55" s="264">
        <f t="shared" si="47"/>
        <v>9</v>
      </c>
      <c r="AY55" s="264">
        <f t="shared" si="47"/>
        <v>21</v>
      </c>
      <c r="AZ55" s="264">
        <f t="shared" si="47"/>
        <v>21</v>
      </c>
      <c r="BA55" s="264">
        <f t="shared" si="47"/>
        <v>22</v>
      </c>
      <c r="BB55" s="264">
        <f t="shared" si="47"/>
        <v>22</v>
      </c>
      <c r="BC55" s="264">
        <f t="shared" si="47"/>
        <v>22</v>
      </c>
      <c r="BD55" s="264">
        <f t="shared" si="47"/>
        <v>22</v>
      </c>
      <c r="BE55" s="264">
        <f t="shared" si="47"/>
        <v>22</v>
      </c>
      <c r="BF55" s="264">
        <f t="shared" si="47"/>
        <v>22</v>
      </c>
      <c r="BG55" s="264">
        <f t="shared" si="47"/>
        <v>11</v>
      </c>
    </row>
    <row r="56" spans="2:59" ht="15.75" customHeight="1" x14ac:dyDescent="0.25">
      <c r="D56" s="7"/>
      <c r="E56" s="264">
        <f t="shared" ref="E56:AG56" si="48">INT((ABS(E54)-E55)*60)</f>
        <v>28</v>
      </c>
      <c r="F56" s="264">
        <f t="shared" si="48"/>
        <v>18</v>
      </c>
      <c r="G56" s="264">
        <f t="shared" si="48"/>
        <v>1</v>
      </c>
      <c r="H56" s="264">
        <f t="shared" si="48"/>
        <v>2</v>
      </c>
      <c r="I56" s="264">
        <f t="shared" si="48"/>
        <v>39</v>
      </c>
      <c r="J56" s="264">
        <f t="shared" si="48"/>
        <v>25</v>
      </c>
      <c r="K56" s="264">
        <f t="shared" si="48"/>
        <v>42</v>
      </c>
      <c r="L56" s="264">
        <f t="shared" si="48"/>
        <v>26</v>
      </c>
      <c r="M56" s="264">
        <f t="shared" si="48"/>
        <v>3</v>
      </c>
      <c r="N56" s="264">
        <f t="shared" si="48"/>
        <v>7</v>
      </c>
      <c r="O56" s="264">
        <f t="shared" si="48"/>
        <v>8</v>
      </c>
      <c r="P56" s="264">
        <f t="shared" si="48"/>
        <v>26</v>
      </c>
      <c r="Q56" s="264">
        <f t="shared" si="48"/>
        <v>30</v>
      </c>
      <c r="R56" s="264">
        <f t="shared" si="48"/>
        <v>27</v>
      </c>
      <c r="S56" s="264">
        <f t="shared" si="48"/>
        <v>29</v>
      </c>
      <c r="T56" s="264">
        <f t="shared" si="48"/>
        <v>36</v>
      </c>
      <c r="U56" s="264">
        <f t="shared" si="48"/>
        <v>56</v>
      </c>
      <c r="V56" s="264">
        <f t="shared" si="48"/>
        <v>44</v>
      </c>
      <c r="W56" s="264">
        <f t="shared" si="48"/>
        <v>40</v>
      </c>
      <c r="X56" s="264">
        <f t="shared" si="48"/>
        <v>41</v>
      </c>
      <c r="Y56" s="264">
        <f t="shared" si="48"/>
        <v>47</v>
      </c>
      <c r="Z56" s="264">
        <f t="shared" si="48"/>
        <v>2</v>
      </c>
      <c r="AA56" s="264">
        <f t="shared" si="48"/>
        <v>4</v>
      </c>
      <c r="AB56" s="264">
        <f t="shared" si="48"/>
        <v>13</v>
      </c>
      <c r="AC56" s="264">
        <f t="shared" si="48"/>
        <v>4</v>
      </c>
      <c r="AD56" s="264">
        <f t="shared" si="48"/>
        <v>12</v>
      </c>
      <c r="AE56" s="264">
        <f t="shared" si="48"/>
        <v>41</v>
      </c>
      <c r="AF56" s="264">
        <f t="shared" si="48"/>
        <v>25</v>
      </c>
      <c r="AG56" s="264">
        <f t="shared" si="48"/>
        <v>47</v>
      </c>
      <c r="AH56" s="21" t="s">
        <v>650</v>
      </c>
      <c r="AI56" s="264">
        <f t="shared" ref="AI56:BG56" si="49">INT((ABS(AI54)-AI55)*60)</f>
        <v>33</v>
      </c>
      <c r="AJ56" s="264">
        <f t="shared" si="49"/>
        <v>0</v>
      </c>
      <c r="AK56" s="264">
        <f t="shared" si="49"/>
        <v>5</v>
      </c>
      <c r="AL56" s="264">
        <f t="shared" si="49"/>
        <v>16</v>
      </c>
      <c r="AM56" s="264">
        <f t="shared" si="49"/>
        <v>20</v>
      </c>
      <c r="AN56" s="264">
        <f t="shared" si="49"/>
        <v>29</v>
      </c>
      <c r="AO56" s="264">
        <f t="shared" si="49"/>
        <v>12</v>
      </c>
      <c r="AP56" s="264">
        <f t="shared" si="49"/>
        <v>59</v>
      </c>
      <c r="AQ56" s="264">
        <f t="shared" si="49"/>
        <v>43</v>
      </c>
      <c r="AR56" s="264">
        <f t="shared" si="49"/>
        <v>22</v>
      </c>
      <c r="AS56" s="264">
        <f t="shared" si="49"/>
        <v>17</v>
      </c>
      <c r="AT56" s="264">
        <f t="shared" si="49"/>
        <v>21</v>
      </c>
      <c r="AU56" s="264">
        <f t="shared" si="49"/>
        <v>0</v>
      </c>
      <c r="AV56" s="264">
        <f t="shared" si="49"/>
        <v>20</v>
      </c>
      <c r="AW56" s="264">
        <f t="shared" si="49"/>
        <v>44</v>
      </c>
      <c r="AX56" s="264">
        <f t="shared" si="49"/>
        <v>35</v>
      </c>
      <c r="AY56" s="264">
        <f t="shared" si="49"/>
        <v>45</v>
      </c>
      <c r="AZ56" s="264">
        <f t="shared" si="49"/>
        <v>54</v>
      </c>
      <c r="BA56" s="264">
        <f t="shared" si="49"/>
        <v>3</v>
      </c>
      <c r="BB56" s="264">
        <f t="shared" si="49"/>
        <v>12</v>
      </c>
      <c r="BC56" s="264">
        <f t="shared" si="49"/>
        <v>20</v>
      </c>
      <c r="BD56" s="264">
        <f t="shared" si="49"/>
        <v>27</v>
      </c>
      <c r="BE56" s="264">
        <f t="shared" si="49"/>
        <v>34</v>
      </c>
      <c r="BF56" s="264">
        <f t="shared" si="49"/>
        <v>41</v>
      </c>
      <c r="BG56" s="264">
        <f t="shared" si="49"/>
        <v>44</v>
      </c>
    </row>
    <row r="57" spans="2:59" ht="15.75" customHeight="1" x14ac:dyDescent="0.25">
      <c r="D57" s="7"/>
      <c r="E57" s="175">
        <f t="shared" ref="E57:AG57" si="50">(((ABS(E54)-E55)*60)-INT((ABS(E54)-E55)*60))*60</f>
        <v>13.982133582501959</v>
      </c>
      <c r="F57" s="175">
        <f t="shared" si="50"/>
        <v>0.48755577496820024</v>
      </c>
      <c r="G57" s="175">
        <f t="shared" si="50"/>
        <v>51.395047145026638</v>
      </c>
      <c r="H57" s="175">
        <f t="shared" si="50"/>
        <v>59.588344366709407</v>
      </c>
      <c r="I57" s="175">
        <f t="shared" si="50"/>
        <v>8.1783729666460658</v>
      </c>
      <c r="J57" s="175">
        <f t="shared" si="50"/>
        <v>31.962435520379984</v>
      </c>
      <c r="K57" s="175">
        <f t="shared" si="50"/>
        <v>48.207274553110153</v>
      </c>
      <c r="L57" s="175">
        <f t="shared" si="50"/>
        <v>9.7958390676120644</v>
      </c>
      <c r="M57" s="175">
        <f t="shared" si="50"/>
        <v>44.947127086439025</v>
      </c>
      <c r="N57" s="175">
        <f t="shared" si="50"/>
        <v>1.3354305521903598</v>
      </c>
      <c r="O57" s="175">
        <f t="shared" si="50"/>
        <v>1.3363722839227421</v>
      </c>
      <c r="P57" s="175">
        <f t="shared" si="50"/>
        <v>4.8408534774077339</v>
      </c>
      <c r="Q57" s="175">
        <f t="shared" si="50"/>
        <v>43.779307323252681</v>
      </c>
      <c r="R57" s="175">
        <f t="shared" si="50"/>
        <v>10.539083432337577</v>
      </c>
      <c r="S57" s="175">
        <f t="shared" si="50"/>
        <v>41.774990416903393</v>
      </c>
      <c r="T57" s="175">
        <f t="shared" si="50"/>
        <v>15.471491473579988</v>
      </c>
      <c r="U57" s="175">
        <f t="shared" si="50"/>
        <v>59.259077948375136</v>
      </c>
      <c r="V57" s="175">
        <f t="shared" si="50"/>
        <v>36.119738230475775</v>
      </c>
      <c r="W57" s="175">
        <f t="shared" si="50"/>
        <v>8.3498947742123164</v>
      </c>
      <c r="X57" s="175">
        <f t="shared" si="50"/>
        <v>47.841085831604744</v>
      </c>
      <c r="Y57" s="175">
        <f t="shared" si="50"/>
        <v>4.255430719711768</v>
      </c>
      <c r="Z57" s="175">
        <f t="shared" si="50"/>
        <v>49.459861747162677</v>
      </c>
      <c r="AA57" s="175">
        <f t="shared" si="50"/>
        <v>10.708577079002737</v>
      </c>
      <c r="AB57" s="175">
        <f t="shared" si="50"/>
        <v>25.386542639983816</v>
      </c>
      <c r="AC57" s="175">
        <f t="shared" si="50"/>
        <v>21.61052326791463</v>
      </c>
      <c r="AD57" s="175">
        <f t="shared" si="50"/>
        <v>2.3537991119634682</v>
      </c>
      <c r="AE57" s="175">
        <f t="shared" si="50"/>
        <v>21.641946618410799</v>
      </c>
      <c r="AF57" s="175">
        <f t="shared" si="50"/>
        <v>44.649826755718891</v>
      </c>
      <c r="AG57" s="175">
        <f t="shared" si="50"/>
        <v>6.154249242397043</v>
      </c>
      <c r="AH57" s="21" t="s">
        <v>881</v>
      </c>
      <c r="AI57" s="175">
        <f t="shared" ref="AI57:BG57" si="51">(((ABS(AI54)-AI55)*60)-INT((ABS(AI54)-AI55)*60))*60</f>
        <v>22.615899788705178</v>
      </c>
      <c r="AJ57" s="175">
        <f t="shared" si="51"/>
        <v>52.428880662512256</v>
      </c>
      <c r="AK57" s="175">
        <f t="shared" si="51"/>
        <v>6.8430583312832027</v>
      </c>
      <c r="AL57" s="175">
        <f t="shared" si="51"/>
        <v>49.683373403984064</v>
      </c>
      <c r="AM57" s="175">
        <f t="shared" si="51"/>
        <v>5.3747341477375699</v>
      </c>
      <c r="AN57" s="175">
        <f t="shared" si="51"/>
        <v>7.9455500396753109</v>
      </c>
      <c r="AO57" s="175">
        <f t="shared" si="51"/>
        <v>19.261714614725918</v>
      </c>
      <c r="AP57" s="175">
        <f t="shared" si="51"/>
        <v>12.90801210303627</v>
      </c>
      <c r="AQ57" s="175">
        <f t="shared" si="51"/>
        <v>43.220137297115286</v>
      </c>
      <c r="AR57" s="175">
        <f t="shared" si="51"/>
        <v>37.418734210682487</v>
      </c>
      <c r="AS57" s="175">
        <f t="shared" si="51"/>
        <v>22.321119758901915</v>
      </c>
      <c r="AT57" s="175">
        <f t="shared" si="51"/>
        <v>2.5582922294377397</v>
      </c>
      <c r="AU57" s="175">
        <f t="shared" si="51"/>
        <v>23.652191499948572</v>
      </c>
      <c r="AV57" s="175">
        <f t="shared" si="51"/>
        <v>34.467638561481806</v>
      </c>
      <c r="AW57" s="175">
        <f t="shared" si="51"/>
        <v>33.435960810196832</v>
      </c>
      <c r="AX57" s="175">
        <f t="shared" si="51"/>
        <v>31.521013995803315</v>
      </c>
      <c r="AY57" s="175">
        <f t="shared" si="51"/>
        <v>45.933720083009177</v>
      </c>
      <c r="AZ57" s="175">
        <f t="shared" si="51"/>
        <v>59.538130273846548</v>
      </c>
      <c r="BA57" s="175">
        <f t="shared" si="51"/>
        <v>47.888880981728903</v>
      </c>
      <c r="BB57" s="175">
        <f t="shared" si="51"/>
        <v>10.717677166340707</v>
      </c>
      <c r="BC57" s="175">
        <f t="shared" si="51"/>
        <v>7.7709044365491309</v>
      </c>
      <c r="BD57" s="175">
        <f t="shared" si="51"/>
        <v>38.808280787833667</v>
      </c>
      <c r="BE57" s="175">
        <f t="shared" si="51"/>
        <v>43.601409917376657</v>
      </c>
      <c r="BF57" s="175">
        <f t="shared" si="51"/>
        <v>21.932564790581353</v>
      </c>
      <c r="BG57" s="175">
        <f t="shared" si="51"/>
        <v>33.379111443939138</v>
      </c>
    </row>
    <row r="58" spans="2:59" ht="15.75" customHeight="1" x14ac:dyDescent="0.25">
      <c r="D58" s="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AG58" s="262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</row>
    <row r="59" spans="2:59" x14ac:dyDescent="0.25">
      <c r="C59" t="s">
        <v>1033</v>
      </c>
      <c r="D59" s="7"/>
      <c r="H59"/>
    </row>
    <row r="60" spans="2:59" x14ac:dyDescent="0.25">
      <c r="B60">
        <v>218</v>
      </c>
      <c r="C60" t="s">
        <v>1027</v>
      </c>
      <c r="D60" s="7" t="s">
        <v>785</v>
      </c>
      <c r="E60" s="248">
        <f>SUM(AppIII!I9:I72)</f>
        <v>172003148.10965389</v>
      </c>
      <c r="F60" s="248">
        <f>SUM(AppIII!J9:J72)</f>
        <v>177824265.07102528</v>
      </c>
      <c r="G60" s="248">
        <f>SUM(AppIII!K9:K72)</f>
        <v>175192269.91191268</v>
      </c>
      <c r="H60" s="248">
        <f>SUM(AppIII!L9:L72)</f>
        <v>175174239.06064394</v>
      </c>
      <c r="I60" s="248">
        <f>SUM(AppIII!M9:M72)</f>
        <v>176667880.55563569</v>
      </c>
      <c r="J60" s="248">
        <f>SUM(AppIII!N9:N72)</f>
        <v>176230008.45174572</v>
      </c>
      <c r="K60" s="248">
        <f>SUM(AppIII!O9:O72)</f>
        <v>176658626.27407977</v>
      </c>
      <c r="L60" s="248">
        <f>SUM(AppIII!P9:P72)</f>
        <v>176189232.24414381</v>
      </c>
      <c r="M60" s="248">
        <f>SUM(AppIII!Q9:Q72)</f>
        <v>175266082.54408193</v>
      </c>
      <c r="N60" s="248">
        <f>SUM(AppIII!R9:R72)</f>
        <v>175494260.00664213</v>
      </c>
      <c r="O60" s="248">
        <f>SUM(AppIII!S9:S72)</f>
        <v>175475746.91170436</v>
      </c>
      <c r="P60" s="248">
        <f>SUM(AppIII!T9:T72)</f>
        <v>178332941.3222746</v>
      </c>
      <c r="Q60" s="248">
        <f>SUM(AppIII!U9:U72)</f>
        <v>176659695.58202115</v>
      </c>
      <c r="R60" s="248">
        <f>SUM(AppIII!V9:V72)</f>
        <v>176713443.4411976</v>
      </c>
      <c r="S60" s="248">
        <f>SUM(AppIII!W9:W72)</f>
        <v>173263962.82774261</v>
      </c>
      <c r="T60" s="248">
        <f>SUM(AppIII!X9:X72)</f>
        <v>178679739.50105682</v>
      </c>
      <c r="U60" s="248">
        <f>SUM(AppIII!Y9:Y72)</f>
        <v>172147783.76885605</v>
      </c>
      <c r="V60" s="248">
        <f>SUM(AppIII!Z9:Z72)</f>
        <v>178023855.95062768</v>
      </c>
      <c r="W60" s="248">
        <f>SUM(AppIII!AA9:AA72)</f>
        <v>178674854.25297919</v>
      </c>
      <c r="X60" s="248">
        <f>SUM(AppIII!AB9:AB72)</f>
        <v>178650118.32210276</v>
      </c>
      <c r="Y60" s="248">
        <f>SUM(AppIII!AC9:AC72)</f>
        <v>177620662.45315638</v>
      </c>
      <c r="Z60" s="248">
        <f>SUM(AppIII!AD9:AD72)</f>
        <v>175149823.37479523</v>
      </c>
      <c r="AA60" s="248">
        <f>SUM(AppIII!AE9:AE72)</f>
        <v>175162807.52849814</v>
      </c>
      <c r="AB60" s="248">
        <f>SUM(AppIII!AF9:AF72)</f>
        <v>175611728.32683805</v>
      </c>
      <c r="AC60" s="248">
        <f>SUM(AppIII!AG9:AG72)</f>
        <v>172756387.7620967</v>
      </c>
      <c r="AD60" s="248">
        <f>SUM(AppIII!AH9:AH72)</f>
        <v>178514741.21730039</v>
      </c>
      <c r="AE60" s="248">
        <f>SUM(AppIII!AI9:AI72)</f>
        <v>177753139.88867155</v>
      </c>
      <c r="AF60" s="248">
        <f>SUM(AppIII!AJ9:AJ72)</f>
        <v>174518300.08933026</v>
      </c>
      <c r="AG60" s="248">
        <f>SUM(AppIII!AK9:AK72)</f>
        <v>172031649.7080161</v>
      </c>
      <c r="AH60" s="248">
        <f>SUM(AppIII!AL9:AL72)</f>
        <v>178124475.38807786</v>
      </c>
      <c r="AI60" s="248">
        <f>SUM(AppIII!AM9:AM72)</f>
        <v>178683596.98404449</v>
      </c>
      <c r="AJ60" s="248">
        <f>SUM(AppIII!AN9:AN72)</f>
        <v>178315802.25465122</v>
      </c>
      <c r="AK60" s="248">
        <f>SUM(AppIII!AO9:AO72)</f>
        <v>175327434.63607797</v>
      </c>
      <c r="AL60" s="248">
        <f>SUM(AppIII!AP9:AP72)</f>
        <v>172128959.05695671</v>
      </c>
      <c r="AM60" s="248">
        <f>SUM(AppIII!AQ9:AQ72)</f>
        <v>173594674.07309845</v>
      </c>
      <c r="AN60" s="248">
        <f>SUM(AppIII!AR9:AR72)</f>
        <v>178680513.42964548</v>
      </c>
      <c r="AO60" s="248">
        <f>SUM(AppIII!AS9:AS72)</f>
        <v>176791201.57168972</v>
      </c>
      <c r="AP60" s="248">
        <f>SUM(AppIII!AT9:AT72)</f>
        <v>172057219.16932344</v>
      </c>
      <c r="AQ60" s="248">
        <f>SUM(AppIII!AU9:AU72)</f>
        <v>172013371.84961176</v>
      </c>
      <c r="AR60" s="248">
        <f>SUM(AppIII!AV9:AV72)</f>
        <v>172011791.77021861</v>
      </c>
      <c r="AS60" s="248">
        <f>SUM(AppIII!AW9:AW72)</f>
        <v>172066426.20916939</v>
      </c>
      <c r="AT60" s="248">
        <f>SUM(AppIII!AX9:AX72)</f>
        <v>172341631.22656536</v>
      </c>
      <c r="AU60" s="248">
        <f>SUM(AppIII!AY9:AY72)</f>
        <v>177144305.89224413</v>
      </c>
      <c r="AV60" s="248">
        <f>SUM(AppIII!AZ9:AZ72)</f>
        <v>172558565.58958352</v>
      </c>
      <c r="AW60" s="248">
        <f>SUM(AppIII!BA9:BA72)</f>
        <v>175443567.90457353</v>
      </c>
      <c r="AX60" s="248">
        <f>SUM(AppIII!BB9:BB72)</f>
        <v>178614642.24395278</v>
      </c>
      <c r="AY60" s="248">
        <f>SUM(AppIII!BC9:BC72)</f>
        <v>173469489.79692501</v>
      </c>
      <c r="AZ60" s="248">
        <f>SUM(AppIII!BD9:BD72)</f>
        <v>173517980.69106948</v>
      </c>
      <c r="BA60" s="248">
        <f>SUM(AppIII!BE9:BE72)</f>
        <v>173566894.31378621</v>
      </c>
      <c r="BB60" s="248">
        <f>SUM(AppIII!BF9:BF72)</f>
        <v>173616231.88737977</v>
      </c>
      <c r="BC60" s="248">
        <f>SUM(AppIII!BG9:BG72)</f>
        <v>173666000.25063398</v>
      </c>
      <c r="BD60" s="248">
        <f>SUM(AppIII!BH9:BH72)</f>
        <v>173716209.85442626</v>
      </c>
      <c r="BE60" s="248">
        <f>SUM(AppIII!BI9:BI72)</f>
        <v>173766872.79046538</v>
      </c>
      <c r="BF60" s="248">
        <f>SUM(AppIII!BJ9:BJ72)</f>
        <v>173818001.09819281</v>
      </c>
      <c r="BG60" s="248">
        <f>SUM(AppIII!BK9:BK72)</f>
        <v>177746944.40716887</v>
      </c>
    </row>
    <row r="61" spans="2:59" x14ac:dyDescent="0.25">
      <c r="C61" t="s">
        <v>1028</v>
      </c>
      <c r="D61" s="7" t="s">
        <v>784</v>
      </c>
      <c r="E61" s="248">
        <f>SUM(AppIII!I75:I108)</f>
        <v>628332051808.54089</v>
      </c>
      <c r="F61" s="248">
        <f>SUM(AppIII!J75:J108)</f>
        <v>628331775646.86829</v>
      </c>
      <c r="G61" s="248">
        <f>SUM(AppIII!K75:K108)</f>
        <v>628331778512.34106</v>
      </c>
      <c r="H61" s="248">
        <f>SUM(AppIII!L75:L108)</f>
        <v>628331779127.38354</v>
      </c>
      <c r="I61" s="248">
        <f>SUM(AppIII!M75:M108)</f>
        <v>628331756720.65698</v>
      </c>
      <c r="J61" s="248">
        <f>SUM(AppIII!N75:N108)</f>
        <v>628332123054.98547</v>
      </c>
      <c r="K61" s="248">
        <f>SUM(AppIII!O75:O108)</f>
        <v>628331756546.95935</v>
      </c>
      <c r="L61" s="248">
        <f>SUM(AppIII!P75:P108)</f>
        <v>628332124501.22583</v>
      </c>
      <c r="M61" s="248">
        <f>SUM(AppIII!Q75:Q108)</f>
        <v>628331776724.83606</v>
      </c>
      <c r="N61" s="248">
        <f>SUM(AppIII!R75:R108)</f>
        <v>628331771581.28589</v>
      </c>
      <c r="O61" s="248">
        <f>SUM(AppIII!S75:S108)</f>
        <v>628331771773.27673</v>
      </c>
      <c r="P61" s="248">
        <f>SUM(AppIII!T75:T108)</f>
        <v>628331976144.8252</v>
      </c>
      <c r="Q61" s="248">
        <f>SUM(AppIII!U75:U108)</f>
        <v>628331757284.7417</v>
      </c>
      <c r="R61" s="248">
        <f>SUM(AppIII!V75:V108)</f>
        <v>628331757287.32996</v>
      </c>
      <c r="S61" s="248">
        <f>SUM(AppIII!W75:W108)</f>
        <v>628332162469.00195</v>
      </c>
      <c r="T61" s="248">
        <f>SUM(AppIII!X75:X108)</f>
        <v>628331875606.84045</v>
      </c>
      <c r="U61" s="248">
        <f>SUM(AppIII!Y75:Y108)</f>
        <v>628332100008.84924</v>
      </c>
      <c r="V61" s="248">
        <f>SUM(AppIII!Z75:Z108)</f>
        <v>628331784296.88171</v>
      </c>
      <c r="W61" s="248">
        <f>SUM(AppIII!AA75:AA108)</f>
        <v>628331903455.93787</v>
      </c>
      <c r="X61" s="248">
        <f>SUM(AppIII!AB75:AB108)</f>
        <v>628331912707.69775</v>
      </c>
      <c r="Y61" s="248">
        <f>SUM(AppIII!AC75:AC108)</f>
        <v>628331768909.51929</v>
      </c>
      <c r="Z61" s="248">
        <f>SUM(AppIII!AD75:AD108)</f>
        <v>628331779837.66064</v>
      </c>
      <c r="AA61" s="248">
        <f>SUM(AppIII!AE75:AE108)</f>
        <v>628331779349.34753</v>
      </c>
      <c r="AB61" s="248">
        <f>SUM(AppIII!AF75:AF108)</f>
        <v>628332143704.78162</v>
      </c>
      <c r="AC61" s="248">
        <f>SUM(AppIII!AG75:AG108)</f>
        <v>628331912512.06055</v>
      </c>
      <c r="AD61" s="248">
        <f>SUM(AppIII!AH75:AH108)</f>
        <v>628331947203.8031</v>
      </c>
      <c r="AE61" s="248">
        <f>SUM(AppIII!AI75:AI108)</f>
        <v>628331773115.14551</v>
      </c>
      <c r="AF61" s="248">
        <f>SUM(AppIII!AJ75:AJ108)</f>
        <v>628331801864.4198</v>
      </c>
      <c r="AG61" s="248">
        <f>SUM(AppIII!AK75:AK108)</f>
        <v>628332024688.29883</v>
      </c>
      <c r="AH61" s="248">
        <f>SUM(AppIII!AL75:AL108)</f>
        <v>628331790905.28955</v>
      </c>
      <c r="AI61" s="248">
        <f>SUM(AppIII!AM75:AM108)</f>
        <v>628331876069.91919</v>
      </c>
      <c r="AJ61" s="248">
        <f>SUM(AppIII!AN75:AN108)</f>
        <v>628331977875.62378</v>
      </c>
      <c r="AK61" s="248">
        <f>SUM(AppIII!AO75:AO108)</f>
        <v>628331775627.63647</v>
      </c>
      <c r="AL61" s="248">
        <f>SUM(AppIII!AP75:AP108)</f>
        <v>628332097027.42566</v>
      </c>
      <c r="AM61" s="248">
        <f>SUM(AppIII!AQ75:AQ108)</f>
        <v>628332167194.0188</v>
      </c>
      <c r="AN61" s="248">
        <f>SUM(AppIII!AR75:AR108)</f>
        <v>628331892218.2301</v>
      </c>
      <c r="AO61" s="248">
        <f>SUM(AppIII!AS75:AS108)</f>
        <v>628331756743.64331</v>
      </c>
      <c r="AP61" s="248">
        <f>SUM(AppIII!AT75:AT108)</f>
        <v>628332082211.65881</v>
      </c>
      <c r="AQ61" s="248">
        <f>SUM(AppIII!AU75:AU108)</f>
        <v>628332061071.755</v>
      </c>
      <c r="AR61" s="248">
        <f>SUM(AppIII!AV75:AV108)</f>
        <v>628332038891.25952</v>
      </c>
      <c r="AS61" s="248">
        <f>SUM(AppIII!AW75:AW108)</f>
        <v>628332012394.51404</v>
      </c>
      <c r="AT61" s="248">
        <f>SUM(AppIII!AX75:AX108)</f>
        <v>628331960199.50818</v>
      </c>
      <c r="AU61" s="248">
        <f>SUM(AppIII!AY75:AY108)</f>
        <v>628332078113.38159</v>
      </c>
      <c r="AV61" s="248">
        <f>SUM(AppIII!AZ75:AZ108)</f>
        <v>628332139292.40002</v>
      </c>
      <c r="AW61" s="248">
        <f>SUM(AppIII!BA75:BA108)</f>
        <v>628331772205.73755</v>
      </c>
      <c r="AX61" s="248">
        <f>SUM(AppIII!BB75:BB108)</f>
        <v>628331922720.10583</v>
      </c>
      <c r="AY61" s="248">
        <f>SUM(AppIII!BC75:BC108)</f>
        <v>628331856325.42542</v>
      </c>
      <c r="AZ61" s="248">
        <f>SUM(AppIII!BD75:BD108)</f>
        <v>628331853200.09778</v>
      </c>
      <c r="BA61" s="248">
        <f>SUM(AppIII!BE75:BE108)</f>
        <v>628331850108.38782</v>
      </c>
      <c r="BB61" s="248">
        <f>SUM(AppIII!BF75:BF108)</f>
        <v>628331847051.35229</v>
      </c>
      <c r="BC61" s="248">
        <f>SUM(AppIII!BG75:BG108)</f>
        <v>628331844030.03687</v>
      </c>
      <c r="BD61" s="248">
        <f>SUM(AppIII!BH75:BH108)</f>
        <v>628331841045.47681</v>
      </c>
      <c r="BE61" s="248">
        <f>SUM(AppIII!BI75:BI108)</f>
        <v>628331838098.69592</v>
      </c>
      <c r="BF61" s="248">
        <f>SUM(AppIII!BJ75:BJ108)</f>
        <v>628331835190.70667</v>
      </c>
      <c r="BG61" s="248">
        <f>SUM(AppIII!BK75:BK108)</f>
        <v>628331772899.95032</v>
      </c>
    </row>
    <row r="62" spans="2:59" x14ac:dyDescent="0.25">
      <c r="C62" t="s">
        <v>1029</v>
      </c>
      <c r="D62" s="7" t="s">
        <v>788</v>
      </c>
      <c r="E62" s="248">
        <f>SUM(AppIII!I111:I130)</f>
        <v>60636.6058084346</v>
      </c>
      <c r="F62" s="248">
        <f>SUM(AppIII!J111:J130)</f>
        <v>49518.692925594951</v>
      </c>
      <c r="G62" s="248">
        <f>SUM(AppIII!K111:K130)</f>
        <v>57322.719197407452</v>
      </c>
      <c r="H62" s="248">
        <f>SUM(AppIII!L111:L130)</f>
        <v>57370.591163445861</v>
      </c>
      <c r="I62" s="248">
        <f>SUM(AppIII!M111:M130)</f>
        <v>53341.170749837118</v>
      </c>
      <c r="J62" s="248">
        <f>SUM(AppIII!N111:N130)</f>
        <v>47417.400347509727</v>
      </c>
      <c r="K62" s="248">
        <f>SUM(AppIII!O111:O130)</f>
        <v>53391.334714462559</v>
      </c>
      <c r="L62" s="248">
        <f>SUM(AppIII!P111:P130)</f>
        <v>47497.17586947768</v>
      </c>
      <c r="M62" s="248">
        <f>SUM(AppIII!Q111:Q130)</f>
        <v>57129.501827757114</v>
      </c>
      <c r="N62" s="248">
        <f>SUM(AppIII!R111:R130)</f>
        <v>56586.209335418826</v>
      </c>
      <c r="O62" s="248">
        <f>SUM(AppIII!S111:S130)</f>
        <v>56613.006711724505</v>
      </c>
      <c r="P62" s="248">
        <f>SUM(AppIII!T111:T130)</f>
        <v>44292.579868202643</v>
      </c>
      <c r="Q62" s="248">
        <f>SUM(AppIII!U111:U130)</f>
        <v>53424.705108075301</v>
      </c>
      <c r="R62" s="248">
        <f>SUM(AppIII!V111:V130)</f>
        <v>53271.229285022542</v>
      </c>
      <c r="S62" s="248">
        <f>SUM(AppIII!W111:W130)</f>
        <v>54704.031774878364</v>
      </c>
      <c r="T62" s="248">
        <f>SUM(AppIII!X111:X130)</f>
        <v>45098.14275290574</v>
      </c>
      <c r="U62" s="248">
        <f>SUM(AppIII!Y111:Y130)</f>
        <v>59141.080694475902</v>
      </c>
      <c r="V62" s="248">
        <f>SUM(AppIII!Z111:Z130)</f>
        <v>48737.671249944135</v>
      </c>
      <c r="W62" s="248">
        <f>SUM(AppIII!AA111:AA130)</f>
        <v>44672.2612014896</v>
      </c>
      <c r="X62" s="248">
        <f>SUM(AppIII!AB111:AB130)</f>
        <v>44577.908587901795</v>
      </c>
      <c r="Y62" s="248">
        <f>SUM(AppIII!AC111:AC130)</f>
        <v>50286.704082756594</v>
      </c>
      <c r="Z62" s="248">
        <f>SUM(AppIII!AD111:AD130)</f>
        <v>57402.63905627319</v>
      </c>
      <c r="AA62" s="248">
        <f>SUM(AppIII!AE111:AE130)</f>
        <v>57394.805875046586</v>
      </c>
      <c r="AB62" s="248">
        <f>SUM(AppIII!AF111:AF130)</f>
        <v>48648.535669743113</v>
      </c>
      <c r="AC62" s="248">
        <f>SUM(AppIII!AG111:AG130)</f>
        <v>61643.066102823337</v>
      </c>
      <c r="AD62" s="248">
        <f>SUM(AppIII!AH111:AH130)</f>
        <v>44310.630850400375</v>
      </c>
      <c r="AE62" s="248">
        <f>SUM(AppIII!AI111:AI130)</f>
        <v>49826.810686615012</v>
      </c>
      <c r="AF62" s="248">
        <f>SUM(AppIII!AJ111:AJ130)</f>
        <v>58832.669538024944</v>
      </c>
      <c r="AG62" s="248">
        <f>SUM(AppIII!AK111:AK130)</f>
        <v>61196.75538502507</v>
      </c>
      <c r="AH62" s="248">
        <f>SUM(AppIII!AL111:AL130)</f>
        <v>48356.754408360437</v>
      </c>
      <c r="AI62" s="248">
        <f>SUM(AppIII!AM111:AM130)</f>
        <v>45131.254484620964</v>
      </c>
      <c r="AJ62" s="248">
        <f>SUM(AppIII!AN111:AN130)</f>
        <v>44307.464758765331</v>
      </c>
      <c r="AK62" s="248">
        <f>SUM(AppIII!AO111:AO130)</f>
        <v>57040.118047427328</v>
      </c>
      <c r="AL62" s="248">
        <f>SUM(AppIII!AP111:AP130)</f>
        <v>59313.481841249799</v>
      </c>
      <c r="AM62" s="248">
        <f>SUM(AppIII!AQ111:AQ130)</f>
        <v>53693.673128800379</v>
      </c>
      <c r="AN62" s="248">
        <f>SUM(AppIII!AR111:AR130)</f>
        <v>44854.845862055685</v>
      </c>
      <c r="AO62" s="248">
        <f>SUM(AppIII!AS111:AS130)</f>
        <v>53012.593880782384</v>
      </c>
      <c r="AP62" s="248">
        <f>SUM(AppIII!AT111:AT130)</f>
        <v>59850.879100083192</v>
      </c>
      <c r="AQ62" s="248">
        <f>SUM(AppIII!AU111:AU130)</f>
        <v>60481.20815332362</v>
      </c>
      <c r="AR62" s="248">
        <f>SUM(AppIII!AV111:AV130)</f>
        <v>60965.05379691194</v>
      </c>
      <c r="AS62" s="248">
        <f>SUM(AppIII!AW111:AW130)</f>
        <v>61400.842468333554</v>
      </c>
      <c r="AT62" s="248">
        <f>SUM(AppIII!AX111:AX130)</f>
        <v>61782.938385611473</v>
      </c>
      <c r="AU62" s="248">
        <f>SUM(AppIII!AY111:AY130)</f>
        <v>45769.274561408172</v>
      </c>
      <c r="AV62" s="248">
        <f>SUM(AppIII!AZ111:AZ130)</f>
        <v>57160.762818265706</v>
      </c>
      <c r="AW62" s="248">
        <f>SUM(AppIII!BA111:BA130)</f>
        <v>56716.475502192727</v>
      </c>
      <c r="AX62" s="248">
        <f>SUM(AppIII!BB111:BB130)</f>
        <v>44445.568885767847</v>
      </c>
      <c r="AY62" s="248">
        <f>SUM(AppIII!BC111:BC130)</f>
        <v>60797.901490431876</v>
      </c>
      <c r="AZ62" s="248">
        <f>SUM(AppIII!BD111:BD130)</f>
        <v>60728.114164524704</v>
      </c>
      <c r="BA62" s="248">
        <f>SUM(AppIII!BE111:BE130)</f>
        <v>60653.350389331696</v>
      </c>
      <c r="BB62" s="248">
        <f>SUM(AppIII!BF111:BF130)</f>
        <v>60573.277833775333</v>
      </c>
      <c r="BC62" s="248">
        <f>SUM(AppIII!BG111:BG130)</f>
        <v>60488.254805686585</v>
      </c>
      <c r="BD62" s="248">
        <f>SUM(AppIII!BH111:BH130)</f>
        <v>60399.226152231022</v>
      </c>
      <c r="BE62" s="248">
        <f>SUM(AppIII!BI111:BI130)</f>
        <v>60307.468376175886</v>
      </c>
      <c r="BF62" s="248">
        <f>SUM(AppIII!BJ111:BJ130)</f>
        <v>60214.251233445495</v>
      </c>
      <c r="BG62" s="248">
        <f>SUM(AppIII!BK111:BK130)</f>
        <v>49848.427249581524</v>
      </c>
    </row>
    <row r="63" spans="2:59" x14ac:dyDescent="0.25">
      <c r="C63" t="s">
        <v>1030</v>
      </c>
      <c r="D63" s="7" t="s">
        <v>789</v>
      </c>
      <c r="E63" s="248">
        <f>SUM(AppIII!I133:I139)</f>
        <v>-84.902800987250828</v>
      </c>
      <c r="F63" s="248">
        <f>SUM(AppIII!J133:J139)</f>
        <v>305.02578429654096</v>
      </c>
      <c r="G63" s="248">
        <f>SUM(AppIII!K133:K139)</f>
        <v>311.4191659989155</v>
      </c>
      <c r="H63" s="248">
        <f>SUM(AppIII!L133:L139)</f>
        <v>310.25633342896623</v>
      </c>
      <c r="I63" s="248">
        <f>SUM(AppIII!M133:M139)</f>
        <v>337.8712486889151</v>
      </c>
      <c r="J63" s="248">
        <f>SUM(AppIII!N133:N139)</f>
        <v>-190.44731363814745</v>
      </c>
      <c r="K63" s="248">
        <f>SUM(AppIII!O133:O139)</f>
        <v>337.91004366263098</v>
      </c>
      <c r="L63" s="248">
        <f>SUM(AppIII!P133:P139)</f>
        <v>-192.27745806363507</v>
      </c>
      <c r="M63" s="248">
        <f>SUM(AppIII!Q133:Q139)</f>
        <v>310.61065790046632</v>
      </c>
      <c r="N63" s="248">
        <f>SUM(AppIII!R133:R139)</f>
        <v>321.58616866353299</v>
      </c>
      <c r="O63" s="248">
        <f>SUM(AppIII!S133:S139)</f>
        <v>321.22919274417364</v>
      </c>
      <c r="P63" s="248">
        <f>SUM(AppIII!T133:T139)</f>
        <v>7.9339387516312678</v>
      </c>
      <c r="Q63" s="248">
        <f>SUM(AppIII!U133:U139)</f>
        <v>340.35457135464344</v>
      </c>
      <c r="R63" s="248">
        <f>SUM(AppIII!V133:V139)</f>
        <v>340.23569894383462</v>
      </c>
      <c r="S63" s="248">
        <f>SUM(AppIII!W133:W139)</f>
        <v>-229.14397337351554</v>
      </c>
      <c r="T63" s="248">
        <f>SUM(AppIII!X133:X139)</f>
        <v>148.41644641743088</v>
      </c>
      <c r="U63" s="248">
        <f>SUM(AppIII!Y133:Y139)</f>
        <v>-148.62006880096968</v>
      </c>
      <c r="V63" s="248">
        <f>SUM(AppIII!Z133:Z139)</f>
        <v>294.34121220190764</v>
      </c>
      <c r="W63" s="248">
        <f>SUM(AppIII!AA133:AA139)</f>
        <v>103.93761856959956</v>
      </c>
      <c r="X63" s="248">
        <f>SUM(AppIII!AB133:AB139)</f>
        <v>91.787004194588675</v>
      </c>
      <c r="Y63" s="248">
        <f>SUM(AppIII!AC133:AC139)</f>
        <v>320.33941341925481</v>
      </c>
      <c r="Z63" s="248">
        <f>SUM(AppIII!AD133:AD139)</f>
        <v>309.18388444964285</v>
      </c>
      <c r="AA63" s="248">
        <f>SUM(AppIII!AE133:AE139)</f>
        <v>310.12010525188794</v>
      </c>
      <c r="AB63" s="248">
        <f>SUM(AppIII!AF133:AF139)</f>
        <v>-211.64750364429554</v>
      </c>
      <c r="AC63" s="248">
        <f>SUM(AppIII!AG133:AG139)</f>
        <v>107.04265037653983</v>
      </c>
      <c r="AD63" s="248">
        <f>SUM(AppIII!AH133:AH139)</f>
        <v>40.350956580861997</v>
      </c>
      <c r="AE63" s="248">
        <f>SUM(AppIII!AI133:AI139)</f>
        <v>313.17587691422779</v>
      </c>
      <c r="AF63" s="248">
        <f>SUM(AppIII!AJ133:AJ139)</f>
        <v>270.76163244326472</v>
      </c>
      <c r="AG63" s="248">
        <f>SUM(AppIII!AK133:AK139)</f>
        <v>-51.148061368696268</v>
      </c>
      <c r="AH63" s="248">
        <f>SUM(AppIII!AL133:AL139)</f>
        <v>280.02625953970744</v>
      </c>
      <c r="AI63" s="248">
        <f>SUM(AppIII!AM133:AM139)</f>
        <v>146.27283832572789</v>
      </c>
      <c r="AJ63" s="248">
        <f>SUM(AppIII!AN133:AN139)</f>
        <v>-0.23211517466557979</v>
      </c>
      <c r="AK63" s="248">
        <f>SUM(AppIII!AO133:AO139)</f>
        <v>313.29814858646068</v>
      </c>
      <c r="AL63" s="248">
        <f>SUM(AppIII!AP133:AP139)</f>
        <v>-146.84983649942771</v>
      </c>
      <c r="AM63" s="248">
        <f>SUM(AppIII!AQ133:AQ139)</f>
        <v>-234.18879811976558</v>
      </c>
      <c r="AN63" s="248">
        <f>SUM(AppIII!AR133:AR139)</f>
        <v>126.99982329892673</v>
      </c>
      <c r="AO63" s="248">
        <f>SUM(AppIII!AS133:AS139)</f>
        <v>338.36497001185154</v>
      </c>
      <c r="AP63" s="248">
        <f>SUM(AppIII!AT133:AT139)</f>
        <v>-126.03814902517904</v>
      </c>
      <c r="AQ63" s="248">
        <f>SUM(AppIII!AU133:AU139)</f>
        <v>-98.481425436110143</v>
      </c>
      <c r="AR63" s="248">
        <f>SUM(AppIII!AV133:AV139)</f>
        <v>-69.219095236879582</v>
      </c>
      <c r="AS63" s="248">
        <f>SUM(AppIII!AW133:AW139)</f>
        <v>-33.74044131504548</v>
      </c>
      <c r="AT63" s="248">
        <f>SUM(AppIII!AX133:AX139)</f>
        <v>37.970663728021862</v>
      </c>
      <c r="AU63" s="248">
        <f>SUM(AppIII!AY133:AY139)</f>
        <v>-128.79659907904011</v>
      </c>
      <c r="AV63" s="248">
        <f>SUM(AppIII!AZ133:AZ139)</f>
        <v>-196.6582110867177</v>
      </c>
      <c r="AW63" s="248">
        <f>SUM(AppIII!BA133:BA139)</f>
        <v>318.36332205774238</v>
      </c>
      <c r="AX63" s="248">
        <f>SUM(AppIII!BB133:BB139)</f>
        <v>79.411003890451653</v>
      </c>
      <c r="AY63" s="248">
        <f>SUM(AppIII!BC133:BC139)</f>
        <v>188.46665020292727</v>
      </c>
      <c r="AZ63" s="248">
        <f>SUM(AppIII!BD133:BD139)</f>
        <v>193.15788171538119</v>
      </c>
      <c r="BA63" s="248">
        <f>SUM(AppIII!BE133:BE139)</f>
        <v>197.807756862335</v>
      </c>
      <c r="BB63" s="248">
        <f>SUM(AppIII!BF133:BF139)</f>
        <v>202.41432627685199</v>
      </c>
      <c r="BC63" s="248">
        <f>SUM(AppIII!BG133:BG139)</f>
        <v>206.97564421995472</v>
      </c>
      <c r="BD63" s="248">
        <f>SUM(AppIII!BH133:BH139)</f>
        <v>211.48976995765207</v>
      </c>
      <c r="BE63" s="248">
        <f>SUM(AppIII!BI133:BI139)</f>
        <v>215.95476915354143</v>
      </c>
      <c r="BF63" s="248">
        <f>SUM(AppIII!BJ133:BJ139)</f>
        <v>220.36871527542763</v>
      </c>
      <c r="BG63" s="248">
        <f>SUM(AppIII!BK133:BK139)</f>
        <v>313.54064120860608</v>
      </c>
    </row>
    <row r="64" spans="2:59" x14ac:dyDescent="0.25">
      <c r="C64" t="s">
        <v>1031</v>
      </c>
      <c r="D64" s="7" t="s">
        <v>790</v>
      </c>
      <c r="E64" s="248">
        <f>SUM(AppIII!I142:I144)</f>
        <v>-120.23992799151459</v>
      </c>
      <c r="F64" s="248">
        <f>SUM(AppIII!J142:J144)</f>
        <v>-111.05289946179403</v>
      </c>
      <c r="G64" s="248">
        <f>SUM(AppIII!K142:K144)</f>
        <v>-119.1660230856136</v>
      </c>
      <c r="H64" s="248">
        <f>SUM(AppIII!L142:L144)</f>
        <v>-119.19937512542016</v>
      </c>
      <c r="I64" s="248">
        <f>SUM(AppIII!M142:M144)</f>
        <v>-115.08461726666188</v>
      </c>
      <c r="J64" s="248">
        <f>SUM(AppIII!N142:N144)</f>
        <v>-109.17044477856119</v>
      </c>
      <c r="K64" s="248">
        <f>SUM(AppIII!O142:O144)</f>
        <v>-115.12833880770883</v>
      </c>
      <c r="L64" s="248">
        <f>SUM(AppIII!P142:P144)</f>
        <v>-109.23499337013389</v>
      </c>
      <c r="M64" s="248">
        <f>SUM(AppIII!Q142:Q144)</f>
        <v>-119.01157036375709</v>
      </c>
      <c r="N64" s="248">
        <f>SUM(AppIII!R142:R144)</f>
        <v>-118.45893759951477</v>
      </c>
      <c r="O64" s="248">
        <f>SUM(AppIII!S142:S144)</f>
        <v>-118.4966112380411</v>
      </c>
      <c r="P64" s="248">
        <f>SUM(AppIII!T142:T144)</f>
        <v>-106.15030865525894</v>
      </c>
      <c r="Q64" s="248">
        <f>SUM(AppIII!U142:U144)</f>
        <v>-115.20667377025673</v>
      </c>
      <c r="R64" s="248">
        <f>SUM(AppIII!V142:V144)</f>
        <v>-115.03608965932344</v>
      </c>
      <c r="S64" s="248">
        <f>SUM(AppIII!W142:W144)</f>
        <v>-114.52200768926592</v>
      </c>
      <c r="T64" s="248">
        <f>SUM(AppIII!X142:X144)</f>
        <v>-106.65203032845913</v>
      </c>
      <c r="U64" s="248">
        <f>SUM(AppIII!Y142:Y144)</f>
        <v>-118.47785893180776</v>
      </c>
      <c r="V64" s="248">
        <f>SUM(AppIII!Z142:Z144)</f>
        <v>-110.40117733385715</v>
      </c>
      <c r="W64" s="248">
        <f>SUM(AppIII!AA142:AA144)</f>
        <v>-106.23136268082456</v>
      </c>
      <c r="X64" s="248">
        <f>SUM(AppIII!AB142:AB144)</f>
        <v>-106.15431634395345</v>
      </c>
      <c r="Y64" s="248">
        <f>SUM(AppIII!AC142:AC144)</f>
        <v>-111.78681583438824</v>
      </c>
      <c r="Z64" s="248">
        <f>SUM(AppIII!AD142:AD144)</f>
        <v>-119.27108136475465</v>
      </c>
      <c r="AA64" s="248">
        <f>SUM(AppIII!AE142:AE144)</f>
        <v>-119.2342722304093</v>
      </c>
      <c r="AB64" s="248">
        <f>SUM(AppIII!AF142:AF144)</f>
        <v>-110.14876248240567</v>
      </c>
      <c r="AC64" s="248">
        <f>SUM(AppIII!AG142:AG144)</f>
        <v>-122.47302648839769</v>
      </c>
      <c r="AD64" s="248">
        <f>SUM(AppIII!AH142:AH144)</f>
        <v>-106.04343568972141</v>
      </c>
      <c r="AE64" s="248">
        <f>SUM(AppIII!AI142:AI144)</f>
        <v>-111.28444590333048</v>
      </c>
      <c r="AF64" s="248">
        <f>SUM(AppIII!AJ142:AJ144)</f>
        <v>-120.60426410805223</v>
      </c>
      <c r="AG64" s="248">
        <f>SUM(AppIII!AK142:AK144)</f>
        <v>-120.96564110805831</v>
      </c>
      <c r="AH64" s="248">
        <f>SUM(AppIII!AL142:AL144)</f>
        <v>-109.75784803060304</v>
      </c>
      <c r="AI64" s="248">
        <f>SUM(AppIII!AM142:AM144)</f>
        <v>-106.59479169875165</v>
      </c>
      <c r="AJ64" s="248">
        <f>SUM(AppIII!AN142:AN144)</f>
        <v>-106.15247532308904</v>
      </c>
      <c r="AK64" s="248">
        <f>SUM(AppIII!AO142:AO144)</f>
        <v>-118.87016195091081</v>
      </c>
      <c r="AL64" s="248">
        <f>SUM(AppIII!AP142:AP144)</f>
        <v>-118.69078926661663</v>
      </c>
      <c r="AM64" s="248">
        <f>SUM(AppIII!AQ142:AQ144)</f>
        <v>-113.79854056287265</v>
      </c>
      <c r="AN64" s="248">
        <f>SUM(AppIII!AR142:AR144)</f>
        <v>-106.35386551264354</v>
      </c>
      <c r="AO64" s="248">
        <f>SUM(AppIII!AS142:AS144)</f>
        <v>-114.78146902994911</v>
      </c>
      <c r="AP64" s="248">
        <f>SUM(AppIII!AT142:AT144)</f>
        <v>-119.25925331506895</v>
      </c>
      <c r="AQ64" s="248">
        <f>SUM(AppIII!AU142:AU144)</f>
        <v>-119.96958967557647</v>
      </c>
      <c r="AR64" s="248">
        <f>SUM(AppIII!AV142:AV144)</f>
        <v>-120.61169821179119</v>
      </c>
      <c r="AS64" s="248">
        <f>SUM(AppIII!AW142:AW144)</f>
        <v>-121.25404297943811</v>
      </c>
      <c r="AT64" s="248">
        <f>SUM(AppIII!AX142:AX144)</f>
        <v>-122.13792088805054</v>
      </c>
      <c r="AU64" s="248">
        <f>SUM(AppIII!AY142:AY144)</f>
        <v>-107.73201689353658</v>
      </c>
      <c r="AV64" s="248">
        <f>SUM(AppIII!AZ142:AZ144)</f>
        <v>-116.61998502576357</v>
      </c>
      <c r="AW64" s="248">
        <f>SUM(AppIII!BA142:BA144)</f>
        <v>-118.578788603787</v>
      </c>
      <c r="AX64" s="248">
        <f>SUM(AppIII!BB142:BB144)</f>
        <v>-106.09395017679923</v>
      </c>
      <c r="AY64" s="248">
        <f>SUM(AppIII!BC142:BC144)</f>
        <v>-122.13705707245771</v>
      </c>
      <c r="AZ64" s="248">
        <f>SUM(AppIII!BD142:BD144)</f>
        <v>-122.08859778759349</v>
      </c>
      <c r="BA64" s="248">
        <f>SUM(AppIII!BE142:BE144)</f>
        <v>-122.03691042942252</v>
      </c>
      <c r="BB64" s="248">
        <f>SUM(AppIII!BF142:BF144)</f>
        <v>-121.98200039177189</v>
      </c>
      <c r="BC64" s="248">
        <f>SUM(AppIII!BG142:BG144)</f>
        <v>-121.92387502158095</v>
      </c>
      <c r="BD64" s="248">
        <f>SUM(AppIII!BH142:BH144)</f>
        <v>-121.86254362726253</v>
      </c>
      <c r="BE64" s="248">
        <f>SUM(AppIII!BI142:BI144)</f>
        <v>-121.79801748528836</v>
      </c>
      <c r="BF64" s="248">
        <f>SUM(AppIII!BJ142:BJ144)</f>
        <v>-121.73030984498483</v>
      </c>
      <c r="BG64" s="248">
        <f>SUM(AppIII!BK142:BK144)</f>
        <v>-111.30823488451755</v>
      </c>
    </row>
    <row r="65" spans="1:59" x14ac:dyDescent="0.25">
      <c r="C65" t="s">
        <v>1032</v>
      </c>
      <c r="D65" s="7" t="s">
        <v>791</v>
      </c>
      <c r="E65" s="248">
        <f>AppIII!I147</f>
        <v>-0.9999987317275395</v>
      </c>
      <c r="F65" s="248">
        <f>AppIII!J147</f>
        <v>-0.9999987317275395</v>
      </c>
      <c r="G65" s="248">
        <f>AppIII!K147</f>
        <v>-0.9999987317275395</v>
      </c>
      <c r="H65" s="248">
        <f>AppIII!L147</f>
        <v>-0.9999987317275395</v>
      </c>
      <c r="I65" s="248">
        <f>AppIII!M147</f>
        <v>-0.9999987317275395</v>
      </c>
      <c r="J65" s="248">
        <f>AppIII!N147</f>
        <v>-0.9999987317275395</v>
      </c>
      <c r="K65" s="248">
        <f>AppIII!O147</f>
        <v>-0.9999987317275395</v>
      </c>
      <c r="L65" s="248">
        <f>AppIII!P147</f>
        <v>-0.9999987317275395</v>
      </c>
      <c r="M65" s="248">
        <f>AppIII!Q147</f>
        <v>-0.9999987317275395</v>
      </c>
      <c r="N65" s="248">
        <f>AppIII!R147</f>
        <v>-0.9999987317275395</v>
      </c>
      <c r="O65" s="248">
        <f>AppIII!S147</f>
        <v>-0.9999987317275395</v>
      </c>
      <c r="P65" s="248">
        <f>AppIII!T147</f>
        <v>-0.9999987317275395</v>
      </c>
      <c r="Q65" s="248">
        <f>AppIII!U147</f>
        <v>-0.9999987317275395</v>
      </c>
      <c r="R65" s="248">
        <f>AppIII!V147</f>
        <v>-0.9999987317275395</v>
      </c>
      <c r="S65" s="248">
        <f>AppIII!W147</f>
        <v>-0.9999987317275395</v>
      </c>
      <c r="T65" s="248">
        <f>AppIII!X147</f>
        <v>-0.9999987317275395</v>
      </c>
      <c r="U65" s="248">
        <f>AppIII!Y147</f>
        <v>-0.9999987317275395</v>
      </c>
      <c r="V65" s="248">
        <f>AppIII!Z147</f>
        <v>-0.9999987317275395</v>
      </c>
      <c r="W65" s="248">
        <f>AppIII!AA147</f>
        <v>-0.9999987317275395</v>
      </c>
      <c r="X65" s="248">
        <f>AppIII!AB147</f>
        <v>-0.9999987317275395</v>
      </c>
      <c r="Y65" s="248">
        <f>AppIII!AC147</f>
        <v>-0.9999987317275395</v>
      </c>
      <c r="Z65" s="248">
        <f>AppIII!AD147</f>
        <v>-0.9999987317275395</v>
      </c>
      <c r="AA65" s="248">
        <f>AppIII!AE147</f>
        <v>-0.9999987317275395</v>
      </c>
      <c r="AB65" s="248">
        <f>AppIII!AF147</f>
        <v>-0.9999987317275395</v>
      </c>
      <c r="AC65" s="248">
        <f>AppIII!AG147</f>
        <v>-0.9999987317275395</v>
      </c>
      <c r="AD65" s="248">
        <f>AppIII!AH147</f>
        <v>-0.9999987317275395</v>
      </c>
      <c r="AE65" s="248">
        <f>AppIII!AI147</f>
        <v>-0.9999987317275395</v>
      </c>
      <c r="AF65" s="248">
        <f>AppIII!AJ147</f>
        <v>-0.9999987317275395</v>
      </c>
      <c r="AG65" s="248">
        <f>AppIII!AK147</f>
        <v>-0.9999987317275395</v>
      </c>
      <c r="AH65" s="248">
        <f>AppIII!AL147</f>
        <v>-0.9999987317275395</v>
      </c>
      <c r="AI65" s="248">
        <f>AppIII!AM147</f>
        <v>-0.9999987317275395</v>
      </c>
      <c r="AJ65" s="248">
        <f>AppIII!AN147</f>
        <v>-0.9999987317275395</v>
      </c>
      <c r="AK65" s="248">
        <f>AppIII!AO147</f>
        <v>-0.9999987317275395</v>
      </c>
      <c r="AL65" s="248">
        <f>AppIII!AP147</f>
        <v>-0.9999987317275395</v>
      </c>
      <c r="AM65" s="248">
        <f>AppIII!AQ147</f>
        <v>-0.9999987317275395</v>
      </c>
      <c r="AN65" s="248">
        <f>AppIII!AR147</f>
        <v>-0.9999987317275395</v>
      </c>
      <c r="AO65" s="248">
        <f>AppIII!AS147</f>
        <v>-0.9999987317275395</v>
      </c>
      <c r="AP65" s="248">
        <f>AppIII!AT147</f>
        <v>-0.9999987317275395</v>
      </c>
      <c r="AQ65" s="248">
        <f>AppIII!AU147</f>
        <v>-0.9999987317275395</v>
      </c>
      <c r="AR65" s="248">
        <f>AppIII!AV147</f>
        <v>-0.9999987317275395</v>
      </c>
      <c r="AS65" s="248">
        <f>AppIII!AW147</f>
        <v>-0.9999987317275395</v>
      </c>
      <c r="AT65" s="248">
        <f>AppIII!AX147</f>
        <v>-0.9999987317275395</v>
      </c>
      <c r="AU65" s="248">
        <f>AppIII!AY147</f>
        <v>-0.9999987317275395</v>
      </c>
      <c r="AV65" s="248">
        <f>AppIII!AZ147</f>
        <v>-0.9999987317275395</v>
      </c>
      <c r="AW65" s="248">
        <f>AppIII!BA147</f>
        <v>-0.9999987317275395</v>
      </c>
      <c r="AX65" s="248">
        <f>AppIII!BB147</f>
        <v>-0.9999987317275395</v>
      </c>
      <c r="AY65" s="248">
        <f>AppIII!BC147</f>
        <v>-0.9999987317275395</v>
      </c>
      <c r="AZ65" s="248">
        <f>AppIII!BD147</f>
        <v>-0.9999987317275395</v>
      </c>
      <c r="BA65" s="248">
        <f>AppIII!BE147</f>
        <v>-0.9999987317275395</v>
      </c>
      <c r="BB65" s="248">
        <f>AppIII!BF147</f>
        <v>-0.9999987317275395</v>
      </c>
      <c r="BC65" s="248">
        <f>AppIII!BG147</f>
        <v>-0.9999987317275395</v>
      </c>
      <c r="BD65" s="248">
        <f>AppIII!BH147</f>
        <v>-0.9999987317275395</v>
      </c>
      <c r="BE65" s="248">
        <f>AppIII!BI147</f>
        <v>-0.9999987317275395</v>
      </c>
      <c r="BF65" s="248">
        <f>AppIII!BJ147</f>
        <v>-0.9999987317275395</v>
      </c>
      <c r="BG65" s="248">
        <f>AppIII!BK147</f>
        <v>-0.9999987317275395</v>
      </c>
    </row>
    <row r="66" spans="1:59" x14ac:dyDescent="0.25">
      <c r="A66">
        <v>32.200000000000003</v>
      </c>
      <c r="B66">
        <v>218</v>
      </c>
      <c r="C66" t="s">
        <v>792</v>
      </c>
      <c r="D66" s="19" t="s">
        <v>271</v>
      </c>
      <c r="E66" s="11">
        <f t="shared" ref="E66:AJ66" si="52" xml:space="preserve"> (E60 +E61 *E$7 + E62 * E$7^2 + E63* E$7^3 + E64* E$7^4 + E65* E$7^5) / 10^8</f>
        <v>-263.6965436016406</v>
      </c>
      <c r="F66" s="11">
        <f t="shared" si="52"/>
        <v>-10471.82729330284</v>
      </c>
      <c r="G66" s="11">
        <f t="shared" si="52"/>
        <v>1.7519226991191268</v>
      </c>
      <c r="H66" s="11">
        <f t="shared" si="52"/>
        <v>-4.5358760967330669</v>
      </c>
      <c r="I66" s="11">
        <f t="shared" si="52"/>
        <v>-79.473477740825075</v>
      </c>
      <c r="J66" s="11">
        <f t="shared" si="52"/>
        <v>-77.009302619018158</v>
      </c>
      <c r="K66" s="11">
        <f t="shared" si="52"/>
        <v>-73.194553405376823</v>
      </c>
      <c r="L66" s="11">
        <f t="shared" si="52"/>
        <v>-70.713487231711241</v>
      </c>
      <c r="M66" s="11">
        <f t="shared" si="52"/>
        <v>-626.5705085974738</v>
      </c>
      <c r="N66" s="11">
        <f t="shared" si="52"/>
        <v>-2511.5290464603809</v>
      </c>
      <c r="O66" s="11">
        <f t="shared" si="52"/>
        <v>-2505.2502157452282</v>
      </c>
      <c r="P66" s="11">
        <f t="shared" si="52"/>
        <v>-7303.7807821896704</v>
      </c>
      <c r="Q66" s="11">
        <f t="shared" si="52"/>
        <v>-13331.224509064212</v>
      </c>
      <c r="R66" s="11">
        <f t="shared" si="52"/>
        <v>-13331.20677572521</v>
      </c>
      <c r="S66" s="11">
        <f t="shared" si="52"/>
        <v>-18844.683565167787</v>
      </c>
      <c r="T66" s="11">
        <f t="shared" si="52"/>
        <v>-18846.935537080073</v>
      </c>
      <c r="U66" s="11">
        <f t="shared" si="52"/>
        <v>-18850.362517472426</v>
      </c>
      <c r="V66" s="11">
        <f t="shared" si="52"/>
        <v>-42171.60652511134</v>
      </c>
      <c r="W66" s="11">
        <f t="shared" si="52"/>
        <v>-78.1976233253544</v>
      </c>
      <c r="X66" s="11">
        <f t="shared" si="52"/>
        <v>-46.733968599699182</v>
      </c>
      <c r="Y66" s="11">
        <f t="shared" si="52"/>
        <v>-141.96167388232763</v>
      </c>
      <c r="Z66" s="11">
        <f t="shared" si="52"/>
        <v>278.20888108053344</v>
      </c>
      <c r="AA66" s="11">
        <f t="shared" si="52"/>
        <v>1.743026682001624</v>
      </c>
      <c r="AB66" s="11">
        <f t="shared" si="52"/>
        <v>-284.18016443567137</v>
      </c>
      <c r="AC66" s="11">
        <f t="shared" si="52"/>
        <v>-131.05217210239911</v>
      </c>
      <c r="AD66" s="11">
        <f t="shared" si="52"/>
        <v>-71.696574977082975</v>
      </c>
      <c r="AE66" s="11">
        <f t="shared" si="52"/>
        <v>-141.90614138487621</v>
      </c>
      <c r="AF66" s="11">
        <f t="shared" si="52"/>
        <v>-42.44017584992541</v>
      </c>
      <c r="AG66" s="11">
        <f t="shared" si="52"/>
        <v>-43.634847963591909</v>
      </c>
      <c r="AH66" s="11">
        <f t="shared" si="52"/>
        <v>-53.757952660433588</v>
      </c>
      <c r="AI66" s="11">
        <f t="shared" si="52"/>
        <v>-46.922861664693464</v>
      </c>
      <c r="AJ66" s="11">
        <f t="shared" si="52"/>
        <v>-40.131444670781704</v>
      </c>
      <c r="AK66" s="11">
        <f t="shared" ref="AK66:BG66" si="53" xml:space="preserve"> (AK60 +AK61 *AK$7 + AK62 * AK$7^2 + AK63* AK$7^3 + AK64* AK$7^4 + AK65* AK$7^5) / 10^8</f>
        <v>-1141.7933356362612</v>
      </c>
      <c r="AL66" s="11">
        <f t="shared" si="53"/>
        <v>-56.604787701823994</v>
      </c>
      <c r="AM66" s="11">
        <f t="shared" si="53"/>
        <v>-8653.0849117737362</v>
      </c>
      <c r="AN66" s="11">
        <f t="shared" si="53"/>
        <v>3.4296715465609586</v>
      </c>
      <c r="AO66" s="11">
        <f t="shared" si="53"/>
        <v>-12558.319489543272</v>
      </c>
      <c r="AP66" s="11">
        <f t="shared" si="53"/>
        <v>144.55674010014511</v>
      </c>
      <c r="AQ66" s="11">
        <f t="shared" si="53"/>
        <v>144.67767209584329</v>
      </c>
      <c r="AR66" s="11">
        <f t="shared" si="53"/>
        <v>144.79639831347819</v>
      </c>
      <c r="AS66" s="11">
        <f t="shared" si="53"/>
        <v>144.93122792964851</v>
      </c>
      <c r="AT66" s="11">
        <f t="shared" si="53"/>
        <v>145.18609649975483</v>
      </c>
      <c r="AU66" s="11">
        <f t="shared" si="53"/>
        <v>-165.2762950027674</v>
      </c>
      <c r="AV66" s="11">
        <f t="shared" si="53"/>
        <v>-12.939798290251586</v>
      </c>
      <c r="AW66" s="11">
        <f t="shared" si="53"/>
        <v>-406.59670341117277</v>
      </c>
      <c r="AX66" s="11">
        <f t="shared" si="53"/>
        <v>-266.60318862755588</v>
      </c>
      <c r="AY66" s="11">
        <f t="shared" si="53"/>
        <v>145.71343502600303</v>
      </c>
      <c r="AZ66" s="11">
        <f t="shared" si="53"/>
        <v>145.73112200709201</v>
      </c>
      <c r="BA66" s="11">
        <f t="shared" si="53"/>
        <v>145.74881322297449</v>
      </c>
      <c r="BB66" s="11">
        <f t="shared" si="53"/>
        <v>145.76650868611665</v>
      </c>
      <c r="BC66" s="11">
        <f t="shared" si="53"/>
        <v>145.78420846515073</v>
      </c>
      <c r="BD66" s="11">
        <f t="shared" si="53"/>
        <v>145.80191266483087</v>
      </c>
      <c r="BE66" s="11">
        <f t="shared" si="53"/>
        <v>145.81962140631856</v>
      </c>
      <c r="BF66" s="11">
        <f t="shared" si="53"/>
        <v>145.83733481025018</v>
      </c>
      <c r="BG66" s="11">
        <f t="shared" si="53"/>
        <v>-141.90880361895256</v>
      </c>
    </row>
    <row r="67" spans="1:59" x14ac:dyDescent="0.25">
      <c r="C67" s="6" t="s">
        <v>801</v>
      </c>
      <c r="D67" s="19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</row>
    <row r="68" spans="1:59" x14ac:dyDescent="0.25">
      <c r="B68">
        <v>219</v>
      </c>
      <c r="C68" s="6" t="s">
        <v>800</v>
      </c>
      <c r="D68" s="19" t="s">
        <v>202</v>
      </c>
      <c r="E68" s="176">
        <f t="shared" ref="E68:AJ68" si="54" xml:space="preserve"> E66 - 1.397*E8 - 0.00031* E8^2</f>
        <v>-263.1064858448654</v>
      </c>
      <c r="F68" s="176">
        <f t="shared" si="54"/>
        <v>-10448.626957963312</v>
      </c>
      <c r="G68" s="176">
        <f t="shared" si="54"/>
        <v>1.7519226991191268</v>
      </c>
      <c r="H68" s="176">
        <f t="shared" si="54"/>
        <v>-4.5218965658316446</v>
      </c>
      <c r="I68" s="176">
        <f t="shared" si="54"/>
        <v>-79.292857803375455</v>
      </c>
      <c r="J68" s="176">
        <f t="shared" si="54"/>
        <v>-76.834170927192005</v>
      </c>
      <c r="K68" s="176">
        <f t="shared" si="54"/>
        <v>-73.02789313586058</v>
      </c>
      <c r="L68" s="176">
        <f t="shared" si="54"/>
        <v>-70.552353477977732</v>
      </c>
      <c r="M68" s="176">
        <f t="shared" si="54"/>
        <v>-625.17383771331674</v>
      </c>
      <c r="N68" s="176">
        <f t="shared" si="54"/>
        <v>-2505.9461019100745</v>
      </c>
      <c r="O68" s="176">
        <f t="shared" si="54"/>
        <v>-2499.6812068813342</v>
      </c>
      <c r="P68" s="176">
        <f t="shared" si="54"/>
        <v>-7287.5798843996345</v>
      </c>
      <c r="Q68" s="176">
        <f t="shared" si="54"/>
        <v>-13301.720213119121</v>
      </c>
      <c r="R68" s="176">
        <f t="shared" si="54"/>
        <v>-13301.702517667698</v>
      </c>
      <c r="S68" s="176">
        <f t="shared" si="54"/>
        <v>-18803.060339315911</v>
      </c>
      <c r="T68" s="176">
        <f t="shared" si="54"/>
        <v>-18805.307235386532</v>
      </c>
      <c r="U68" s="176">
        <f t="shared" si="54"/>
        <v>-18808.726852993019</v>
      </c>
      <c r="V68" s="176">
        <f t="shared" si="54"/>
        <v>-42079.236946785037</v>
      </c>
      <c r="W68" s="176">
        <f t="shared" si="54"/>
        <v>-78.01979531653825</v>
      </c>
      <c r="X68" s="176">
        <f t="shared" si="54"/>
        <v>-46.626092597471626</v>
      </c>
      <c r="Y68" s="176">
        <f t="shared" si="54"/>
        <v>-141.6421108169807</v>
      </c>
      <c r="Z68" s="176">
        <f t="shared" si="54"/>
        <v>277.59416019215558</v>
      </c>
      <c r="AA68" s="176">
        <f t="shared" si="54"/>
        <v>1.7430458058893139</v>
      </c>
      <c r="AB68" s="176">
        <f t="shared" si="54"/>
        <v>-283.5444932332864</v>
      </c>
      <c r="AC68" s="176">
        <f t="shared" si="54"/>
        <v>-130.75697049076828</v>
      </c>
      <c r="AD68" s="176">
        <f t="shared" si="54"/>
        <v>-71.533203843818541</v>
      </c>
      <c r="AE68" s="176">
        <f t="shared" si="54"/>
        <v>-141.58669883205627</v>
      </c>
      <c r="AF68" s="176">
        <f t="shared" si="54"/>
        <v>-42.34193797155708</v>
      </c>
      <c r="AG68" s="176">
        <f t="shared" si="54"/>
        <v>-43.534009318735102</v>
      </c>
      <c r="AH68" s="176">
        <f t="shared" si="54"/>
        <v>-53.634472139292441</v>
      </c>
      <c r="AI68" s="176">
        <f t="shared" si="54"/>
        <v>-46.814564951382394</v>
      </c>
      <c r="AJ68" s="176">
        <f t="shared" si="54"/>
        <v>-40.038255345260893</v>
      </c>
      <c r="AK68" s="176">
        <f t="shared" ref="AK68:BG68" si="55" xml:space="preserve"> AK66 - 1.397*AK8 - 0.00031* AK8^2</f>
        <v>-1139.251860697143</v>
      </c>
      <c r="AL68" s="176">
        <f t="shared" si="55"/>
        <v>-56.475111290218379</v>
      </c>
      <c r="AM68" s="176">
        <f t="shared" si="55"/>
        <v>-8633.9010620855624</v>
      </c>
      <c r="AN68" s="176">
        <f t="shared" si="55"/>
        <v>3.4260188818817903</v>
      </c>
      <c r="AO68" s="176">
        <f t="shared" si="55"/>
        <v>-12530.517913678215</v>
      </c>
      <c r="AP68" s="176">
        <f t="shared" si="55"/>
        <v>144.23914977235827</v>
      </c>
      <c r="AQ68" s="176">
        <f t="shared" si="55"/>
        <v>144.35981188151419</v>
      </c>
      <c r="AR68" s="176">
        <f t="shared" si="55"/>
        <v>144.47827405658427</v>
      </c>
      <c r="AS68" s="176">
        <f t="shared" si="55"/>
        <v>144.61280507086971</v>
      </c>
      <c r="AT68" s="176">
        <f t="shared" si="55"/>
        <v>144.86711301526296</v>
      </c>
      <c r="AU68" s="176">
        <f t="shared" si="55"/>
        <v>-164.90491188992377</v>
      </c>
      <c r="AV68" s="176">
        <f t="shared" si="55"/>
        <v>-12.907192230517856</v>
      </c>
      <c r="AW68" s="176">
        <f t="shared" si="55"/>
        <v>-405.68892777395837</v>
      </c>
      <c r="AX68" s="176">
        <f t="shared" si="55"/>
        <v>-266.00652251874453</v>
      </c>
      <c r="AY68" s="176">
        <f t="shared" si="55"/>
        <v>145.39330399176583</v>
      </c>
      <c r="AZ68" s="176">
        <f t="shared" si="55"/>
        <v>145.41095272118943</v>
      </c>
      <c r="BA68" s="176">
        <f t="shared" si="55"/>
        <v>145.42860568540607</v>
      </c>
      <c r="BB68" s="176">
        <f t="shared" si="55"/>
        <v>145.4462628968819</v>
      </c>
      <c r="BC68" s="176">
        <f t="shared" si="55"/>
        <v>145.46392442424923</v>
      </c>
      <c r="BD68" s="176">
        <f t="shared" si="55"/>
        <v>145.48159037226213</v>
      </c>
      <c r="BE68" s="176">
        <f t="shared" si="55"/>
        <v>145.49926086208211</v>
      </c>
      <c r="BF68" s="176">
        <f t="shared" si="55"/>
        <v>145.51693601434559</v>
      </c>
      <c r="BG68" s="176">
        <f t="shared" si="55"/>
        <v>-141.58935528528477</v>
      </c>
    </row>
    <row r="69" spans="1:59" x14ac:dyDescent="0.25">
      <c r="D69" s="7"/>
      <c r="H69"/>
      <c r="X69">
        <f>X68*Rad2Deg</f>
        <v>-2671.4783210212941</v>
      </c>
      <c r="Y69">
        <f>MOD(X69,360)</f>
        <v>208.52167897870595</v>
      </c>
    </row>
    <row r="70" spans="1:59" x14ac:dyDescent="0.25">
      <c r="C70" t="s">
        <v>1034</v>
      </c>
      <c r="D70" s="7"/>
      <c r="H70"/>
    </row>
    <row r="71" spans="1:59" x14ac:dyDescent="0.25">
      <c r="B71">
        <v>219</v>
      </c>
      <c r="C71" t="s">
        <v>786</v>
      </c>
      <c r="D71" s="7" t="s">
        <v>793</v>
      </c>
      <c r="E71" s="249">
        <f>SUM(AppIII!I150:I154)</f>
        <v>-264.61089422441262</v>
      </c>
      <c r="F71" s="249">
        <f>SUM(AppIII!J150:J154)</f>
        <v>276.85863386177544</v>
      </c>
      <c r="G71" s="249">
        <f>SUM(AppIII!K150:K154)</f>
        <v>-330.47811093253813</v>
      </c>
      <c r="H71" s="249">
        <f>SUM(AppIII!L150:L154)</f>
        <v>352.41154468700881</v>
      </c>
      <c r="I71" s="249">
        <f>SUM(AppIII!M150:M154)</f>
        <v>201.87858171697991</v>
      </c>
      <c r="J71" s="249">
        <f>SUM(AppIII!N150:N154)</f>
        <v>120.57456634654427</v>
      </c>
      <c r="K71" s="249">
        <f>SUM(AppIII!O150:O154)</f>
        <v>-300.78893136830993</v>
      </c>
      <c r="L71" s="249">
        <f>SUM(AppIII!P150:P154)</f>
        <v>-31.701450224426889</v>
      </c>
      <c r="M71" s="249">
        <f>SUM(AppIII!Q150:Q154)</f>
        <v>-143.02066644129027</v>
      </c>
      <c r="N71" s="249">
        <f>SUM(AppIII!R150:R154)</f>
        <v>-9.9940048777044996</v>
      </c>
      <c r="O71" s="249">
        <f>SUM(AppIII!S150:S154)</f>
        <v>350.22065709084421</v>
      </c>
      <c r="P71" s="249">
        <f>SUM(AppIII!T150:T154)</f>
        <v>-209.23318948089099</v>
      </c>
      <c r="Q71" s="249">
        <f>SUM(AppIII!U150:U154)</f>
        <v>249.88689120502363</v>
      </c>
      <c r="R71" s="249">
        <f>SUM(AppIII!V150:V154)</f>
        <v>290.91504529508876</v>
      </c>
      <c r="S71" s="249">
        <f>SUM(AppIII!W150:W154)</f>
        <v>0.83092854246472925</v>
      </c>
      <c r="T71" s="249">
        <f>SUM(AppIII!X150:X154)</f>
        <v>-235.57730590593474</v>
      </c>
      <c r="U71" s="249">
        <f>SUM(AppIII!Y150:Y154)</f>
        <v>306.88440614957244</v>
      </c>
      <c r="V71" s="249">
        <f>SUM(AppIII!Z150:Z154)</f>
        <v>-325.98346057730413</v>
      </c>
      <c r="W71" s="249">
        <f>SUM(AppIII!AA150:AA154)</f>
        <v>-127.92747050973654</v>
      </c>
      <c r="X71" s="249">
        <f>SUM(AppIII!AB150:AB154)</f>
        <v>265.61143410125021</v>
      </c>
      <c r="Y71" s="249">
        <f>SUM(AppIII!AC150:AC154)</f>
        <v>-229.36620322274834</v>
      </c>
      <c r="Z71" s="249">
        <f>SUM(AppIII!AD150:AD154)</f>
        <v>213.57833986280156</v>
      </c>
      <c r="AA71" s="249">
        <f>SUM(AppIII!AE150:AE154)</f>
        <v>-331.56384483114238</v>
      </c>
      <c r="AB71" s="249">
        <f>SUM(AppIII!AF150:AF154)</f>
        <v>-5.2228085012208325</v>
      </c>
      <c r="AC71" s="249">
        <f>SUM(AppIII!AG150:AG154)</f>
        <v>175.68151408708746</v>
      </c>
      <c r="AD71" s="249">
        <f>SUM(AppIII!AH150:AH154)</f>
        <v>-284.8887904393024</v>
      </c>
      <c r="AE71" s="249">
        <f>SUM(AppIII!AI150:AI154)</f>
        <v>-200.7628906521943</v>
      </c>
      <c r="AF71" s="249">
        <f>SUM(AppIII!AJ150:AJ154)</f>
        <v>245.18563730869641</v>
      </c>
      <c r="AG71" s="249">
        <f>SUM(AppIII!AK150:AK154)</f>
        <v>-312.45982591973387</v>
      </c>
      <c r="AH71" s="249">
        <f>SUM(AppIII!AL150:AL154)</f>
        <v>219.88894151092146</v>
      </c>
      <c r="AI71" s="249">
        <f>SUM(AppIII!AM150:AM154)</f>
        <v>-168.25723190211218</v>
      </c>
      <c r="AJ71" s="249">
        <f>SUM(AppIII!AN150:AN154)</f>
        <v>517.38793190825527</v>
      </c>
      <c r="AK71" s="249">
        <f>SUM(AppIII!AO150:AO154)</f>
        <v>-190.94133031942874</v>
      </c>
      <c r="AL71" s="249">
        <f>SUM(AppIII!AP150:AP154)</f>
        <v>312.31412372794023</v>
      </c>
      <c r="AM71" s="249">
        <f>SUM(AppIII!AQ150:AQ154)</f>
        <v>-220.31404152120811</v>
      </c>
      <c r="AN71" s="249">
        <f>SUM(AppIII!AR150:AR154)</f>
        <v>377.67807770577872</v>
      </c>
      <c r="AO71" s="249">
        <f>SUM(AppIII!AS150:AS154)</f>
        <v>252.80607337034041</v>
      </c>
      <c r="AP71" s="249">
        <f>SUM(AppIII!AT150:AT154)</f>
        <v>-225.70240155217928</v>
      </c>
      <c r="AQ71" s="249">
        <f>SUM(AppIII!AU150:AU154)</f>
        <v>190.09038403920587</v>
      </c>
      <c r="AR71" s="249">
        <f>SUM(AppIII!AV150:AV154)</f>
        <v>153.54745039462901</v>
      </c>
      <c r="AS71" s="249">
        <f>SUM(AppIII!AW150:AW154)</f>
        <v>-261.40005741739009</v>
      </c>
      <c r="AT71" s="249">
        <f>SUM(AppIII!AX150:AX154)</f>
        <v>289.96475307475589</v>
      </c>
      <c r="AU71" s="249">
        <f>SUM(AppIII!AY150:AY154)</f>
        <v>-314.43274154607877</v>
      </c>
      <c r="AV71" s="249">
        <f>SUM(AppIII!AZ150:AZ154)</f>
        <v>144.21858590895846</v>
      </c>
      <c r="AW71" s="249">
        <f>SUM(AppIII!BA150:BA154)</f>
        <v>86.47229819390607</v>
      </c>
      <c r="AX71" s="249">
        <f>SUM(AppIII!BB150:BB154)</f>
        <v>79.757725502598916</v>
      </c>
      <c r="AY71" s="249">
        <f>SUM(AppIII!BC150:BC154)</f>
        <v>305.01986961845103</v>
      </c>
      <c r="AZ71" s="249">
        <f>SUM(AppIII!BD150:BD154)</f>
        <v>271.07175451627131</v>
      </c>
      <c r="BA71" s="249">
        <f>SUM(AppIII!BE150:BE154)</f>
        <v>225.65244597119855</v>
      </c>
      <c r="BB71" s="249">
        <f>SUM(AppIII!BF150:BF154)</f>
        <v>171.2320175613979</v>
      </c>
      <c r="BC71" s="249">
        <f>SUM(AppIII!BG150:BG154)</f>
        <v>110.75749931163861</v>
      </c>
      <c r="BD71" s="249">
        <f>SUM(AppIII!BH150:BH154)</f>
        <v>47.496444418508432</v>
      </c>
      <c r="BE71" s="249">
        <f>SUM(AppIII!BI150:BI154)</f>
        <v>-15.136516051681689</v>
      </c>
      <c r="BF71" s="249">
        <f>SUM(AppIII!BJ150:BJ154)</f>
        <v>-73.760924637036396</v>
      </c>
      <c r="BG71" s="249">
        <f>SUM(AppIII!BK150:BK154)</f>
        <v>-205.39225974512519</v>
      </c>
    </row>
    <row r="72" spans="1:59" x14ac:dyDescent="0.25">
      <c r="C72" t="str">
        <f>C71</f>
        <v>Σ [ A cos (B + Cτ) ]</v>
      </c>
      <c r="D72" s="7" t="s">
        <v>324</v>
      </c>
      <c r="E72" s="249">
        <f>SUM(AppIII!I157:I158)</f>
        <v>-4.1656922274447163</v>
      </c>
      <c r="F72" s="249">
        <f>SUM(AppIII!J157:J158)</f>
        <v>-14.828602437285639</v>
      </c>
      <c r="G72" s="249">
        <f>SUM(AppIII!K157:K158)</f>
        <v>-7.4845827416664479</v>
      </c>
      <c r="H72" s="249">
        <f>SUM(AppIII!L157:L158)</f>
        <v>-5.9890852370096486</v>
      </c>
      <c r="I72" s="249">
        <f>SUM(AppIII!M157:M158)</f>
        <v>-8.0098368658897332</v>
      </c>
      <c r="J72" s="249">
        <f>SUM(AppIII!N157:N158)</f>
        <v>-2.4828495685865715</v>
      </c>
      <c r="K72" s="249">
        <f>SUM(AppIII!O157:O158)</f>
        <v>0.93318982803597628</v>
      </c>
      <c r="L72" s="249">
        <f>SUM(AppIII!P157:P158)</f>
        <v>-11.338110279724201</v>
      </c>
      <c r="M72" s="249">
        <f>SUM(AppIII!Q157:Q158)</f>
        <v>12.658979816053105</v>
      </c>
      <c r="N72" s="249">
        <f>SUM(AppIII!R157:R158)</f>
        <v>8.2654776851818745</v>
      </c>
      <c r="O72" s="249">
        <f>SUM(AppIII!S157:S158)</f>
        <v>1.0454988620127859</v>
      </c>
      <c r="P72" s="249">
        <f>SUM(AppIII!T157:T158)</f>
        <v>-12.490597674076286</v>
      </c>
      <c r="Q72" s="249">
        <f>SUM(AppIII!U157:U158)</f>
        <v>-2.8969917549465967</v>
      </c>
      <c r="R72" s="249">
        <f>SUM(AppIII!V157:V158)</f>
        <v>-2.8750063546352784</v>
      </c>
      <c r="S72" s="249">
        <f>SUM(AppIII!W157:W158)</f>
        <v>-13.097362947455295</v>
      </c>
      <c r="T72" s="249">
        <f>SUM(AppIII!X157:X158)</f>
        <v>3.9219442177089849</v>
      </c>
      <c r="U72" s="249">
        <f>SUM(AppIII!Y157:Y158)</f>
        <v>-0.70582609247541495</v>
      </c>
      <c r="V72" s="249">
        <f>SUM(AppIII!Z157:Z158)</f>
        <v>6.1887650049923559</v>
      </c>
      <c r="W72" s="249">
        <f>SUM(AppIII!AA157:AA158)</f>
        <v>-10.881874138660912</v>
      </c>
      <c r="X72" s="249">
        <f>SUM(AppIII!AB157:AB158)</f>
        <v>9.063058261312019</v>
      </c>
      <c r="Y72" s="249">
        <f>SUM(AppIII!AC157:AC158)</f>
        <v>-8.4297174413465772</v>
      </c>
      <c r="Z72" s="249">
        <f>SUM(AppIII!AD157:AD158)</f>
        <v>7.0946366839559856</v>
      </c>
      <c r="AA72" s="249">
        <f>SUM(AppIII!AE157:AE158)</f>
        <v>-7.4886784391472228</v>
      </c>
      <c r="AB72" s="249">
        <f>SUM(AppIII!AF157:AF158)</f>
        <v>-6.6629090488690963</v>
      </c>
      <c r="AC72" s="249">
        <f>SUM(AppIII!AG157:AG158)</f>
        <v>5.7550634650093704</v>
      </c>
      <c r="AD72" s="249">
        <f>SUM(AppIII!AH157:AH158)</f>
        <v>-11.821305000371364</v>
      </c>
      <c r="AE72" s="249">
        <f>SUM(AppIII!AI157:AI158)</f>
        <v>-8.5117946670300295</v>
      </c>
      <c r="AF72" s="249">
        <f>SUM(AppIII!AJ157:AJ158)</f>
        <v>-14.080049687714663</v>
      </c>
      <c r="AG72" s="249">
        <f>SUM(AppIII!AK157:AK158)</f>
        <v>-3.3340178961673193</v>
      </c>
      <c r="AH72" s="249">
        <f>SUM(AppIII!AL157:AL158)</f>
        <v>11.646321143732784</v>
      </c>
      <c r="AI72" s="249">
        <f>SUM(AppIII!AM157:AM158)</f>
        <v>7.0104138163925889</v>
      </c>
      <c r="AJ72" s="249">
        <f>SUM(AppIII!AN157:AN158)</f>
        <v>0.54535489239704804</v>
      </c>
      <c r="AK72" s="249">
        <f>SUM(AppIII!AO157:AO158)</f>
        <v>13.462280926727411</v>
      </c>
      <c r="AL72" s="249">
        <f>SUM(AppIII!AP157:AP158)</f>
        <v>-14.56099387568268</v>
      </c>
      <c r="AM72" s="249">
        <f>SUM(AppIII!AQ157:AQ158)</f>
        <v>5.5697174609286453</v>
      </c>
      <c r="AN72" s="249">
        <f>SUM(AppIII!AR157:AR158)</f>
        <v>-0.70857882290096619</v>
      </c>
      <c r="AO72" s="249">
        <f>SUM(AppIII!AS157:AS158)</f>
        <v>-12.655876711158726</v>
      </c>
      <c r="AP72" s="249">
        <f>SUM(AppIII!AT157:AT158)</f>
        <v>-5.8747007474094985</v>
      </c>
      <c r="AQ72" s="249">
        <f>SUM(AppIII!AU157:AU158)</f>
        <v>-6.0995019387774594</v>
      </c>
      <c r="AR72" s="249">
        <f>SUM(AppIII!AV157:AV158)</f>
        <v>-6.2502976979689571</v>
      </c>
      <c r="AS72" s="249">
        <f>SUM(AppIII!AW157:AW158)</f>
        <v>-6.3371703853868109</v>
      </c>
      <c r="AT72" s="249">
        <f>SUM(AppIII!AX157:AX158)</f>
        <v>-6.2604592530506542</v>
      </c>
      <c r="AU72" s="249">
        <f>SUM(AppIII!AY157:AY158)</f>
        <v>-0.85499686564354471</v>
      </c>
      <c r="AV72" s="249">
        <f>SUM(AppIII!AZ157:AZ158)</f>
        <v>-11.074603386551388</v>
      </c>
      <c r="AW72" s="249">
        <f>SUM(AppIII!BA157:BA158)</f>
        <v>-4.9090789113593756</v>
      </c>
      <c r="AX72" s="249">
        <f>SUM(AppIII!BB157:BB158)</f>
        <v>4.3859266238642736</v>
      </c>
      <c r="AY72" s="249">
        <f>SUM(AppIII!BC157:BC158)</f>
        <v>-5.1850051989770858</v>
      </c>
      <c r="AZ72" s="249">
        <f>SUM(AppIII!BD157:BD158)</f>
        <v>-5.1300362637084493</v>
      </c>
      <c r="BA72" s="249">
        <f>SUM(AppIII!BE157:BE158)</f>
        <v>-5.0739655114527693</v>
      </c>
      <c r="BB72" s="249">
        <f>SUM(AppIII!BF157:BF158)</f>
        <v>-5.0168074120899995</v>
      </c>
      <c r="BC72" s="249">
        <f>SUM(AppIII!BG157:BG158)</f>
        <v>-4.9585766691639908</v>
      </c>
      <c r="BD72" s="249">
        <f>SUM(AppIII!BH157:BH158)</f>
        <v>-4.8992882161921738</v>
      </c>
      <c r="BE72" s="249">
        <f>SUM(AppIII!BI157:BI158)</f>
        <v>-4.838957212922999</v>
      </c>
      <c r="BF72" s="249">
        <f>SUM(AppIII!BJ157:BJ158)</f>
        <v>-4.7775990415454608</v>
      </c>
      <c r="BG72" s="249">
        <f>SUM(AppIII!BK157:BK158)</f>
        <v>-8.5082927221280613</v>
      </c>
    </row>
    <row r="73" spans="1:59" x14ac:dyDescent="0.25">
      <c r="B73">
        <v>218</v>
      </c>
      <c r="C73" t="s">
        <v>813</v>
      </c>
      <c r="D73" s="19" t="s">
        <v>111</v>
      </c>
      <c r="E73" s="16">
        <f t="shared" ref="E73:AJ73" si="56" xml:space="preserve"> (E71 +E72 *E$7 ) / 10^8</f>
        <v>-2.6443492934005219E-6</v>
      </c>
      <c r="F73" s="16">
        <f t="shared" si="56"/>
        <v>3.0157630033432162E-6</v>
      </c>
      <c r="G73" s="16">
        <f t="shared" si="56"/>
        <v>-3.3047811093253814E-6</v>
      </c>
      <c r="H73" s="16">
        <f t="shared" si="56"/>
        <v>3.5241753787155124E-6</v>
      </c>
      <c r="I73" s="16">
        <f t="shared" si="56"/>
        <v>2.0198214490547864E-6</v>
      </c>
      <c r="J73" s="16">
        <f t="shared" si="56"/>
        <v>1.2060569288500988E-6</v>
      </c>
      <c r="K73" s="16">
        <f t="shared" si="56"/>
        <v>-3.0080006449541649E-6</v>
      </c>
      <c r="L73" s="16">
        <f t="shared" si="56"/>
        <v>-3.1570670050276366E-7</v>
      </c>
      <c r="M73" s="16">
        <f t="shared" si="56"/>
        <v>-1.4428654709329552E-6</v>
      </c>
      <c r="N73" s="16">
        <f t="shared" si="56"/>
        <v>-1.3300139377665783E-7</v>
      </c>
      <c r="O73" s="16">
        <f t="shared" si="56"/>
        <v>3.4980350948534584E-6</v>
      </c>
      <c r="P73" s="16">
        <f t="shared" si="56"/>
        <v>-1.9471047330248571E-6</v>
      </c>
      <c r="Q73" s="16">
        <f t="shared" si="56"/>
        <v>2.5603421253064642E-6</v>
      </c>
      <c r="R73" s="16">
        <f t="shared" si="56"/>
        <v>2.9701570645222547E-6</v>
      </c>
      <c r="S73" s="16">
        <f t="shared" si="56"/>
        <v>4.0115630507986877E-7</v>
      </c>
      <c r="T73" s="16">
        <f t="shared" si="56"/>
        <v>-2.4734237081365014E-6</v>
      </c>
      <c r="U73" s="16">
        <f t="shared" si="56"/>
        <v>3.0900212327738895E-6</v>
      </c>
      <c r="V73" s="16">
        <f t="shared" si="56"/>
        <v>-3.6752223101991597E-6</v>
      </c>
      <c r="W73" s="16">
        <f t="shared" si="56"/>
        <v>-1.2778894819951694E-6</v>
      </c>
      <c r="X73" s="16">
        <f t="shared" si="56"/>
        <v>2.6554144818523099E-6</v>
      </c>
      <c r="Y73" s="16">
        <f t="shared" si="56"/>
        <v>-2.2917336406030846E-6</v>
      </c>
      <c r="Z73" s="16">
        <f t="shared" si="56"/>
        <v>2.1389049416486731E-6</v>
      </c>
      <c r="AA73" s="16">
        <f t="shared" si="56"/>
        <v>-3.3156383457970031E-6</v>
      </c>
      <c r="AB73" s="16">
        <f t="shared" si="56"/>
        <v>-4.9195982541139803E-8</v>
      </c>
      <c r="AC73" s="16">
        <f t="shared" si="56"/>
        <v>1.7555989750295419E-6</v>
      </c>
      <c r="AD73" s="16">
        <f t="shared" si="56"/>
        <v>-2.8475054347336375E-6</v>
      </c>
      <c r="AE73" s="16">
        <f t="shared" si="56"/>
        <v>-2.0056824731657334E-6</v>
      </c>
      <c r="AF73" s="16">
        <f t="shared" si="56"/>
        <v>2.4528465060814308E-6</v>
      </c>
      <c r="AG73" s="16">
        <f t="shared" si="56"/>
        <v>-3.1243575983298988E-6</v>
      </c>
      <c r="AH73" s="16">
        <f t="shared" si="56"/>
        <v>2.1978599791663661E-6</v>
      </c>
      <c r="AI73" s="16">
        <f t="shared" si="56"/>
        <v>-1.6831157820388114E-6</v>
      </c>
      <c r="AJ73" s="16">
        <f t="shared" si="56"/>
        <v>5.1738429396932214E-6</v>
      </c>
      <c r="AK73" s="16">
        <f t="shared" ref="AK73:BG73" si="57" xml:space="preserve"> (AK71 +AK72 *AK$7 ) / 10^8</f>
        <v>-1.9339142859037671E-6</v>
      </c>
      <c r="AL73" s="16">
        <f t="shared" si="57"/>
        <v>3.124492888196185E-6</v>
      </c>
      <c r="AM73" s="16">
        <f t="shared" si="57"/>
        <v>-2.2798592512980286E-6</v>
      </c>
      <c r="AN73" s="16">
        <f t="shared" si="57"/>
        <v>3.7767789243739386E-6</v>
      </c>
      <c r="AO73" s="16">
        <f t="shared" si="57"/>
        <v>2.7810464250494094E-6</v>
      </c>
      <c r="AP73" s="16">
        <f t="shared" si="57"/>
        <v>-2.2583594872640574E-6</v>
      </c>
      <c r="AQ73" s="16">
        <f t="shared" si="57"/>
        <v>1.8995160872681793E-6</v>
      </c>
      <c r="AR73" s="16">
        <f t="shared" si="57"/>
        <v>1.5340512606789342E-6</v>
      </c>
      <c r="AS73" s="16">
        <f t="shared" si="57"/>
        <v>-2.6154449534559124E-6</v>
      </c>
      <c r="AT73" s="16">
        <f t="shared" si="57"/>
        <v>2.8982181234938747E-6</v>
      </c>
      <c r="AU73" s="16">
        <f t="shared" si="57"/>
        <v>-3.1441001068484999E-6</v>
      </c>
      <c r="AV73" s="16">
        <f t="shared" si="57"/>
        <v>1.4424443423034666E-6</v>
      </c>
      <c r="AW73" s="16">
        <f t="shared" si="57"/>
        <v>8.6791337921923576E-7</v>
      </c>
      <c r="AX73" s="16">
        <f t="shared" si="57"/>
        <v>7.9570382493092496E-7</v>
      </c>
      <c r="AY73" s="16">
        <f t="shared" si="57"/>
        <v>3.0490105811670473E-6</v>
      </c>
      <c r="AZ73" s="16">
        <f t="shared" si="57"/>
        <v>2.7095418855173917E-6</v>
      </c>
      <c r="BA73" s="16">
        <f t="shared" si="57"/>
        <v>2.2553615109842887E-6</v>
      </c>
      <c r="BB73" s="16">
        <f t="shared" si="57"/>
        <v>1.7111701901230077E-6</v>
      </c>
      <c r="BC73" s="16">
        <f t="shared" si="57"/>
        <v>1.1064382198997058E-6</v>
      </c>
      <c r="BD73" s="16">
        <f t="shared" si="57"/>
        <v>4.7384112894438618E-7</v>
      </c>
      <c r="BE73" s="16">
        <f t="shared" si="57"/>
        <v>-1.5247477546922856E-7</v>
      </c>
      <c r="BF73" s="16">
        <f t="shared" si="57"/>
        <v>-7.3870492216424496E-7</v>
      </c>
      <c r="BG73" s="16">
        <f t="shared" si="57"/>
        <v>-2.0519769296904967E-6</v>
      </c>
    </row>
    <row r="74" spans="1:59" x14ac:dyDescent="0.25">
      <c r="D74" s="7"/>
      <c r="H74"/>
      <c r="X74">
        <f>X73*Rad2Deg</f>
        <v>1.5214404266805569E-4</v>
      </c>
    </row>
    <row r="75" spans="1:59" x14ac:dyDescent="0.25">
      <c r="C75" t="s">
        <v>1035</v>
      </c>
      <c r="D75" s="7"/>
      <c r="H75"/>
    </row>
    <row r="76" spans="1:59" x14ac:dyDescent="0.25">
      <c r="B76">
        <v>219</v>
      </c>
      <c r="C76" t="s">
        <v>786</v>
      </c>
      <c r="D76" s="7" t="s">
        <v>794</v>
      </c>
      <c r="E76" s="249">
        <f>SUM(AppIII!I161:I200)</f>
        <v>99997004.035386324</v>
      </c>
      <c r="F76" s="249">
        <f>SUM(AppIII!J161:J200)</f>
        <v>98883122.26248455</v>
      </c>
      <c r="G76" s="249">
        <f>SUM(AppIII!K161:K200)</f>
        <v>98332758.221176863</v>
      </c>
      <c r="H76" s="249">
        <f>SUM(AppIII!L161:L200)</f>
        <v>98330259.424297467</v>
      </c>
      <c r="I76" s="249">
        <f>SUM(AppIII!M161:M200)</f>
        <v>98466552.241575345</v>
      </c>
      <c r="J76" s="249">
        <f>SUM(AppIII!N161:N200)</f>
        <v>101613595.91927287</v>
      </c>
      <c r="K76" s="249">
        <f>SUM(AppIII!O161:O200)</f>
        <v>98461849.025023967</v>
      </c>
      <c r="L76" s="249">
        <f>SUM(AppIII!P161:P200)</f>
        <v>101619221.85192631</v>
      </c>
      <c r="M76" s="249">
        <f>SUM(AppIII!Q161:Q200)</f>
        <v>98331079.401656598</v>
      </c>
      <c r="N76" s="249">
        <f>SUM(AppIII!R161:R200)</f>
        <v>98329766.998798519</v>
      </c>
      <c r="O76" s="249">
        <f>SUM(AppIII!S161:S200)</f>
        <v>98333964.484068245</v>
      </c>
      <c r="P76" s="249">
        <f>SUM(AppIII!T161:T200)</f>
        <v>100749743.06476673</v>
      </c>
      <c r="Q76" s="249">
        <f>SUM(AppIII!U161:U200)</f>
        <v>98465162.715626225</v>
      </c>
      <c r="R76" s="249">
        <f>SUM(AppIII!V161:V200)</f>
        <v>98476253.880805477</v>
      </c>
      <c r="S76" s="249">
        <f>SUM(AppIII!W161:W200)</f>
        <v>101303592.47919559</v>
      </c>
      <c r="T76" s="249">
        <f>SUM(AppIII!X161:X200)</f>
        <v>99932460.875519454</v>
      </c>
      <c r="U76" s="249">
        <f>SUM(AppIII!Y161:Y200)</f>
        <v>100477482.89790344</v>
      </c>
      <c r="V76" s="249">
        <f>SUM(AppIII!Z161:Z200)</f>
        <v>98997849.321642652</v>
      </c>
      <c r="W76" s="249">
        <f>SUM(AppIII!AA161:AA200)</f>
        <v>100165280.03304997</v>
      </c>
      <c r="X76" s="249">
        <f>SUM(AppIII!AB161:AB200)</f>
        <v>100248923.50468837</v>
      </c>
      <c r="Y76" s="249">
        <f>SUM(AppIII!AC161:AC200)</f>
        <v>98781107.222063884</v>
      </c>
      <c r="Z76" s="249">
        <f>SUM(AppIII!AD161:AD200)</f>
        <v>98331223.779067606</v>
      </c>
      <c r="AA76" s="249">
        <f>SUM(AppIII!AE161:AE200)</f>
        <v>98333180.479954854</v>
      </c>
      <c r="AB76" s="249">
        <f>SUM(AppIII!AF161:AF200)</f>
        <v>101664836.95844957</v>
      </c>
      <c r="AC76" s="249">
        <f>SUM(AppIII!AG161:AG200)</f>
        <v>98939672.34739311</v>
      </c>
      <c r="AD76" s="249">
        <f>SUM(AppIII!AH161:AH200)</f>
        <v>100526682.66072753</v>
      </c>
      <c r="AE76" s="249">
        <f>SUM(AppIII!AI161:AI200)</f>
        <v>98846134.322482809</v>
      </c>
      <c r="AF76" s="249">
        <f>SUM(AppIII!AJ161:AJ200)</f>
        <v>98382900.853031948</v>
      </c>
      <c r="AG76" s="249">
        <f>SUM(AppIII!AK161:AK200)</f>
        <v>99761486.456831098</v>
      </c>
      <c r="AH76" s="249">
        <f>SUM(AppIII!AL161:AL200)</f>
        <v>99068832.092527166</v>
      </c>
      <c r="AI76" s="249">
        <f>SUM(AppIII!AM161:AM200)</f>
        <v>99937643.713103369</v>
      </c>
      <c r="AJ76" s="249">
        <f>SUM(AppIII!AN161:AN200)</f>
        <v>100757389.90626898</v>
      </c>
      <c r="AK76" s="249">
        <f>SUM(AppIII!AO161:AO200)</f>
        <v>98328113.540714711</v>
      </c>
      <c r="AL76" s="249">
        <f>SUM(AppIII!AP161:AP200)</f>
        <v>100440177.72981821</v>
      </c>
      <c r="AM76" s="249">
        <f>SUM(AppIII!AQ161:AQ200)</f>
        <v>101426234.40386227</v>
      </c>
      <c r="AN76" s="249">
        <f>SUM(AppIII!AR161:AR200)</f>
        <v>100078140.2105142</v>
      </c>
      <c r="AO76" s="249">
        <f>SUM(AppIII!AS161:AS200)</f>
        <v>98491214.661994934</v>
      </c>
      <c r="AP76" s="249">
        <f>SUM(AppIII!AT161:AT200)</f>
        <v>100291125.61380029</v>
      </c>
      <c r="AQ76" s="249">
        <f>SUM(AppIII!AU161:AU200)</f>
        <v>100087389.94296435</v>
      </c>
      <c r="AR76" s="249">
        <f>SUM(AppIII!AV161:AV200)</f>
        <v>99885965.593664452</v>
      </c>
      <c r="AS76" s="249">
        <f>SUM(AppIII!AW161:AW200)</f>
        <v>99666384.405565605</v>
      </c>
      <c r="AT76" s="249">
        <f>SUM(AppIII!AX161:AX200)</f>
        <v>99267516.103602529</v>
      </c>
      <c r="AU76" s="249">
        <f>SUM(AppIII!AY161:AY200)</f>
        <v>101411091.01517269</v>
      </c>
      <c r="AV76" s="249">
        <f>SUM(AppIII!AZ161:AZ200)</f>
        <v>100924971.22062975</v>
      </c>
      <c r="AW76" s="249">
        <f>SUM(AppIII!BA161:BA200)</f>
        <v>98334079.960487321</v>
      </c>
      <c r="AX76" s="249">
        <f>SUM(AppIII!BB161:BB200)</f>
        <v>100331725.17196171</v>
      </c>
      <c r="AY76" s="249">
        <f>SUM(AppIII!BC161:BC200)</f>
        <v>98617690.663694188</v>
      </c>
      <c r="AZ76" s="249">
        <f>SUM(AppIII!BD161:BD200)</f>
        <v>98600927.787744284</v>
      </c>
      <c r="BA76" s="249">
        <f>SUM(AppIII!BE161:BE200)</f>
        <v>98584630.492667943</v>
      </c>
      <c r="BB76" s="249">
        <f>SUM(AppIII!BF161:BF200)</f>
        <v>98568833.137609541</v>
      </c>
      <c r="BC76" s="249">
        <f>SUM(AppIII!BG161:BG200)</f>
        <v>98553564.294912547</v>
      </c>
      <c r="BD76" s="249">
        <f>SUM(AppIII!BH161:BH200)</f>
        <v>98538845.937900409</v>
      </c>
      <c r="BE76" s="249">
        <f>SUM(AppIII!BI161:BI200)</f>
        <v>98524693.330656096</v>
      </c>
      <c r="BF76" s="249">
        <f>SUM(AppIII!BJ161:BJ200)</f>
        <v>98511115.497777507</v>
      </c>
      <c r="BG76" s="249">
        <f>SUM(AppIII!BK161:BK200)</f>
        <v>98842966.442954838</v>
      </c>
    </row>
    <row r="77" spans="1:59" x14ac:dyDescent="0.25">
      <c r="C77" t="str">
        <f>C76</f>
        <v>Σ [ A cos (B + Cτ) ]</v>
      </c>
      <c r="D77" s="7" t="s">
        <v>795</v>
      </c>
      <c r="E77" s="249">
        <f>SUM(AppIII!I203:I212)</f>
        <v>93301.12164066323</v>
      </c>
      <c r="F77" s="249">
        <f>SUM(AppIII!J203:J212)</f>
        <v>-42786.099711613213</v>
      </c>
      <c r="G77" s="249">
        <f>SUM(AppIII!K203:K212)</f>
        <v>46188.175938378692</v>
      </c>
      <c r="H77" s="249">
        <f>SUM(AppIII!L203:L212)</f>
        <v>46569.661702199694</v>
      </c>
      <c r="I77" s="249">
        <f>SUM(AppIII!M203:M212)</f>
        <v>590.38155652440207</v>
      </c>
      <c r="J77" s="249">
        <f>SUM(AppIII!N203:N212)</f>
        <v>-65048.091062946827</v>
      </c>
      <c r="K77" s="249">
        <f>SUM(AppIII!O203:O212)</f>
        <v>1077.0116250085168</v>
      </c>
      <c r="L77" s="249">
        <f>SUM(AppIII!P203:P212)</f>
        <v>-64094.231200459886</v>
      </c>
      <c r="M77" s="249">
        <f>SUM(AppIII!Q203:Q212)</f>
        <v>44356.981137276329</v>
      </c>
      <c r="N77" s="249">
        <f>SUM(AppIII!R203:R212)</f>
        <v>37761.734601457487</v>
      </c>
      <c r="O77" s="249">
        <f>SUM(AppIII!S203:S212)</f>
        <v>38166.607983163558</v>
      </c>
      <c r="P77" s="249">
        <f>SUM(AppIII!T203:T212)</f>
        <v>-102905.38801829595</v>
      </c>
      <c r="Q77" s="249">
        <f>SUM(AppIII!U203:U212)</f>
        <v>1170.123094377702</v>
      </c>
      <c r="R77" s="249">
        <f>SUM(AppIII!V203:V212)</f>
        <v>-657.63083527777405</v>
      </c>
      <c r="S77" s="249">
        <f>SUM(AppIII!W203:W212)</f>
        <v>25090.562675444758</v>
      </c>
      <c r="T77" s="249">
        <f>SUM(AppIII!X203:X212)</f>
        <v>-93078.373522143724</v>
      </c>
      <c r="U77" s="249">
        <f>SUM(AppIII!Y203:Y212)</f>
        <v>77312.546124668748</v>
      </c>
      <c r="V77" s="249">
        <f>SUM(AppIII!Z203:Z212)</f>
        <v>-51293.77432499038</v>
      </c>
      <c r="W77" s="249">
        <f>SUM(AppIII!AA203:AA212)</f>
        <v>-98431.585622693936</v>
      </c>
      <c r="X77" s="249">
        <f>SUM(AppIII!AB203:AB212)</f>
        <v>-99765.275092364274</v>
      </c>
      <c r="Y77" s="249">
        <f>SUM(AppIII!AC203:AC212)</f>
        <v>-34425.22411099961</v>
      </c>
      <c r="Z77" s="249">
        <f>SUM(AppIII!AD203:AD212)</f>
        <v>47496.474787556268</v>
      </c>
      <c r="AA77" s="249">
        <f>SUM(AppIII!AE203:AE212)</f>
        <v>47005.908597534486</v>
      </c>
      <c r="AB77" s="249">
        <f>SUM(AppIII!AF203:AF212)</f>
        <v>-49525.221440310714</v>
      </c>
      <c r="AC77" s="249">
        <f>SUM(AppIII!AG203:AG212)</f>
        <v>99780.485086452696</v>
      </c>
      <c r="AD77" s="249">
        <f>SUM(AppIII!AH203:AH212)</f>
        <v>-102723.34535264519</v>
      </c>
      <c r="AE77" s="249">
        <f>SUM(AppIII!AI203:AI212)</f>
        <v>-39764.15192975325</v>
      </c>
      <c r="AF77" s="249">
        <f>SUM(AppIII!AJ203:AJ212)</f>
        <v>64189.991865206473</v>
      </c>
      <c r="AG77" s="249">
        <f>SUM(AppIII!AK203:AK212)</f>
        <v>98558.880463617155</v>
      </c>
      <c r="AH77" s="249">
        <f>SUM(AppIII!AL203:AL212)</f>
        <v>-56133.670049726825</v>
      </c>
      <c r="AI77" s="249">
        <f>SUM(AppIII!AM203:AM212)</f>
        <v>-93132.104479130081</v>
      </c>
      <c r="AJ77" s="249">
        <f>SUM(AppIII!AN203:AN212)</f>
        <v>-102890.62489916252</v>
      </c>
      <c r="AK77" s="249">
        <f>SUM(AppIII!AO203:AO212)</f>
        <v>42658.884038020238</v>
      </c>
      <c r="AL77" s="249">
        <f>SUM(AppIII!AP203:AP212)</f>
        <v>78812.462689055974</v>
      </c>
      <c r="AM77" s="249">
        <f>SUM(AppIII!AQ203:AQ212)</f>
        <v>12733.749608008662</v>
      </c>
      <c r="AN77" s="249">
        <f>SUM(AppIII!AR203:AR212)</f>
        <v>-96572.352144258984</v>
      </c>
      <c r="AO77" s="249">
        <f>SUM(AppIII!AS203:AS212)</f>
        <v>-3371.7577829449588</v>
      </c>
      <c r="AP77" s="249">
        <f>SUM(AppIII!AT203:AT212)</f>
        <v>84596.025431953371</v>
      </c>
      <c r="AQ77" s="249">
        <f>SUM(AppIII!AU203:AU212)</f>
        <v>91078.616313090082</v>
      </c>
      <c r="AR77" s="249">
        <f>SUM(AppIII!AV203:AV212)</f>
        <v>96152.451532899402</v>
      </c>
      <c r="AS77" s="249">
        <f>SUM(AppIII!AW203:AW212)</f>
        <v>100269.14623236164</v>
      </c>
      <c r="AT77" s="249">
        <f>SUM(AppIII!AX203:AX212)</f>
        <v>103041.75762918219</v>
      </c>
      <c r="AU77" s="249">
        <f>SUM(AppIII!AY203:AY212)</f>
        <v>-85691.060324859805</v>
      </c>
      <c r="AV77" s="249">
        <f>SUM(AppIII!AZ203:AZ212)</f>
        <v>54020.07031709006</v>
      </c>
      <c r="AW77" s="249">
        <f>SUM(AppIII!BA203:BA212)</f>
        <v>39228.304424473652</v>
      </c>
      <c r="AX77" s="249">
        <f>SUM(AppIII!BB203:BB212)</f>
        <v>-100929.0838556954</v>
      </c>
      <c r="AY77" s="249">
        <f>SUM(AppIII!BC203:BC212)</f>
        <v>87932.089499727037</v>
      </c>
      <c r="AZ77" s="249">
        <f>SUM(AppIII!BD203:BD212)</f>
        <v>86967.326572275153</v>
      </c>
      <c r="BA77" s="249">
        <f>SUM(AppIII!BE203:BE212)</f>
        <v>85975.027106098292</v>
      </c>
      <c r="BB77" s="249">
        <f>SUM(AppIII!BF203:BF212)</f>
        <v>84955.484613050896</v>
      </c>
      <c r="BC77" s="249">
        <f>SUM(AppIII!BG203:BG212)</f>
        <v>83909.002654786047</v>
      </c>
      <c r="BD77" s="249">
        <f>SUM(AppIII!BH203:BH212)</f>
        <v>82835.894753318804</v>
      </c>
      <c r="BE77" s="249">
        <f>SUM(AppIII!BI203:BI212)</f>
        <v>81736.484296005307</v>
      </c>
      <c r="BF77" s="249">
        <f>SUM(AppIII!BJ203:BJ212)</f>
        <v>80611.104434979454</v>
      </c>
      <c r="BG77" s="249">
        <f>SUM(AppIII!BK203:BK212)</f>
        <v>-39510.872368235418</v>
      </c>
    </row>
    <row r="78" spans="1:59" x14ac:dyDescent="0.25">
      <c r="C78" t="str">
        <f>C77</f>
        <v>Σ [ A cos (B + Cτ) ]</v>
      </c>
      <c r="D78" s="7" t="s">
        <v>796</v>
      </c>
      <c r="E78" s="249">
        <f>SUM(AppIII!I215:I220)</f>
        <v>-1961.3502546684037</v>
      </c>
      <c r="F78" s="249">
        <f>SUM(AppIII!J215:J220)</f>
        <v>4112.2198148883472</v>
      </c>
      <c r="G78" s="249">
        <f>SUM(AppIII!K215:K220)</f>
        <v>3903.1855637236617</v>
      </c>
      <c r="H78" s="249">
        <f>SUM(AppIII!L215:L220)</f>
        <v>3901.1038293005286</v>
      </c>
      <c r="I78" s="249">
        <f>SUM(AppIII!M215:M220)</f>
        <v>4463.0814297119741</v>
      </c>
      <c r="J78" s="249">
        <f>SUM(AppIII!N215:N220)</f>
        <v>-3225.2553788632372</v>
      </c>
      <c r="K78" s="249">
        <f>SUM(AppIII!O215:O220)</f>
        <v>4471.877673063339</v>
      </c>
      <c r="L78" s="249">
        <f>SUM(AppIII!P215:P220)</f>
        <v>-3239.8263040183706</v>
      </c>
      <c r="M78" s="249">
        <f>SUM(AppIII!Q215:Q220)</f>
        <v>3950.7698346293691</v>
      </c>
      <c r="N78" s="249">
        <f>SUM(AppIII!R215:R220)</f>
        <v>4086.1270622005904</v>
      </c>
      <c r="O78" s="249">
        <f>SUM(AppIII!S215:S220)</f>
        <v>4072.1969716637373</v>
      </c>
      <c r="P78" s="249">
        <f>SUM(AppIII!T215:T220)</f>
        <v>-95.351715177294523</v>
      </c>
      <c r="Q78" s="249">
        <f>SUM(AppIII!U215:U220)</f>
        <v>4476.9117290886225</v>
      </c>
      <c r="R78" s="249">
        <f>SUM(AppIII!V215:V220)</f>
        <v>4480.0509550173992</v>
      </c>
      <c r="S78" s="249">
        <f>SUM(AppIII!W215:W220)</f>
        <v>-4153.3101614674215</v>
      </c>
      <c r="T78" s="249">
        <f>SUM(AppIII!X215:X220)</f>
        <v>2011.2487969093554</v>
      </c>
      <c r="U78" s="249">
        <f>SUM(AppIII!Y215:Y220)</f>
        <v>-2941.9462039721166</v>
      </c>
      <c r="V78" s="249">
        <f>SUM(AppIII!Z215:Z220)</f>
        <v>3930.7801473553181</v>
      </c>
      <c r="W78" s="249">
        <f>SUM(AppIII!AA215:AA220)</f>
        <v>1460.2144409770419</v>
      </c>
      <c r="X78" s="249">
        <f>SUM(AppIII!AB215:AB220)</f>
        <v>1254.792800145924</v>
      </c>
      <c r="Y78" s="249">
        <f>SUM(AppIII!AC215:AC220)</f>
        <v>4255.6650090326521</v>
      </c>
      <c r="Z78" s="249">
        <f>SUM(AppIII!AD215:AD220)</f>
        <v>3881.0893660471106</v>
      </c>
      <c r="AA78" s="249">
        <f>SUM(AppIII!AE215:AE220)</f>
        <v>3883.3046160217073</v>
      </c>
      <c r="AB78" s="249">
        <f>SUM(AppIII!AF215:AF220)</f>
        <v>-3663.7310997782761</v>
      </c>
      <c r="AC78" s="249">
        <f>SUM(AppIII!AG215:AG220)</f>
        <v>949.14446935013359</v>
      </c>
      <c r="AD78" s="249">
        <f>SUM(AppIII!AH215:AH220)</f>
        <v>529.73450317639742</v>
      </c>
      <c r="AE78" s="249">
        <f>SUM(AppIII!AI215:AI220)</f>
        <v>4178.0574442119896</v>
      </c>
      <c r="AF78" s="249">
        <f>SUM(AppIII!AJ215:AJ220)</f>
        <v>3376.3452198809055</v>
      </c>
      <c r="AG78" s="249">
        <f>SUM(AppIII!AK215:AK220)</f>
        <v>-1411.1054609365269</v>
      </c>
      <c r="AH78" s="249">
        <f>SUM(AppIII!AL215:AL220)</f>
        <v>3809.1016276748865</v>
      </c>
      <c r="AI78" s="249">
        <f>SUM(AppIII!AM215:AM220)</f>
        <v>2019.4756271274632</v>
      </c>
      <c r="AJ78" s="249">
        <f>SUM(AppIII!AN215:AN220)</f>
        <v>-124.81798732259479</v>
      </c>
      <c r="AK78" s="249">
        <f>SUM(AppIII!AO215:AO220)</f>
        <v>3988.866576537795</v>
      </c>
      <c r="AL78" s="249">
        <f>SUM(AppIII!AP215:AP220)</f>
        <v>-2875.3824730981105</v>
      </c>
      <c r="AM78" s="249">
        <f>SUM(AppIII!AQ215:AQ220)</f>
        <v>-4241.690762238758</v>
      </c>
      <c r="AN78" s="249">
        <f>SUM(AppIII!AR215:AR220)</f>
        <v>1682.3422117178027</v>
      </c>
      <c r="AO78" s="249">
        <f>SUM(AppIII!AS215:AS220)</f>
        <v>4461.8850645198881</v>
      </c>
      <c r="AP78" s="249">
        <f>SUM(AppIII!AT215:AT220)</f>
        <v>-2588.3726367958243</v>
      </c>
      <c r="AQ78" s="249">
        <f>SUM(AppIII!AU215:AU220)</f>
        <v>-2150.8075271151192</v>
      </c>
      <c r="AR78" s="249">
        <f>SUM(AppIII!AV215:AV220)</f>
        <v>-1704.4632914404315</v>
      </c>
      <c r="AS78" s="249">
        <f>SUM(AppIII!AW215:AW220)</f>
        <v>-1168.3078266137175</v>
      </c>
      <c r="AT78" s="249">
        <f>SUM(AppIII!AX215:AX220)</f>
        <v>-58.275996614041325</v>
      </c>
      <c r="AU78" s="249">
        <f>SUM(AppIII!AY215:AY220)</f>
        <v>-2260.4242849269635</v>
      </c>
      <c r="AV78" s="249">
        <f>SUM(AppIII!AZ215:AZ220)</f>
        <v>-3716.6076875349086</v>
      </c>
      <c r="AW78" s="249">
        <f>SUM(AppIII!BA215:BA220)</f>
        <v>4059.7170754413537</v>
      </c>
      <c r="AX78" s="249">
        <f>SUM(AppIII!BB215:BB220)</f>
        <v>1030.1136154310514</v>
      </c>
      <c r="AY78" s="249">
        <f>SUM(AppIII!BC215:BC220)</f>
        <v>2175.7423281589568</v>
      </c>
      <c r="AZ78" s="249">
        <f>SUM(AppIII!BD215:BD220)</f>
        <v>2244.2281647678319</v>
      </c>
      <c r="BA78" s="249">
        <f>SUM(AppIII!BE215:BE220)</f>
        <v>2311.6745682500705</v>
      </c>
      <c r="BB78" s="249">
        <f>SUM(AppIII!BF215:BF220)</f>
        <v>2378.0822577596964</v>
      </c>
      <c r="BC78" s="249">
        <f>SUM(AppIII!BG215:BG220)</f>
        <v>2443.468988375203</v>
      </c>
      <c r="BD78" s="249">
        <f>SUM(AppIII!BH215:BH220)</f>
        <v>2507.8676825552202</v>
      </c>
      <c r="BE78" s="249">
        <f>SUM(AppIII!BI215:BI220)</f>
        <v>2571.3238855329787</v>
      </c>
      <c r="BF78" s="249">
        <f>SUM(AppIII!BJ215:BJ220)</f>
        <v>2633.8926599545475</v>
      </c>
      <c r="BG78" s="249">
        <f>SUM(AppIII!BK215:BK220)</f>
        <v>4182.0517529261106</v>
      </c>
    </row>
    <row r="79" spans="1:59" x14ac:dyDescent="0.25">
      <c r="C79" t="str">
        <f>C78</f>
        <v>Σ [ A cos (B + Cτ) ]</v>
      </c>
      <c r="D79" s="7" t="s">
        <v>797</v>
      </c>
      <c r="E79" s="249">
        <f>SUM(AppIII!I223:I224)</f>
        <v>-130.22165934452985</v>
      </c>
      <c r="F79" s="249">
        <f>SUM(AppIII!J223:J224)</f>
        <v>65.664224904189268</v>
      </c>
      <c r="G79" s="249">
        <f>SUM(AppIII!K223:K224)</f>
        <v>-66.665280878309744</v>
      </c>
      <c r="H79" s="249">
        <f>SUM(AppIII!L223:L224)</f>
        <v>-67.255752608673603</v>
      </c>
      <c r="I79" s="249">
        <f>SUM(AppIII!M223:M224)</f>
        <v>1.3967451858000204</v>
      </c>
      <c r="J79" s="249">
        <f>SUM(AppIII!N223:N224)</f>
        <v>83.184558762951951</v>
      </c>
      <c r="K79" s="249">
        <f>SUM(AppIII!O223:O224)</f>
        <v>0.69583111473927439</v>
      </c>
      <c r="L79" s="249">
        <f>SUM(AppIII!P223:P224)</f>
        <v>81.779838470600097</v>
      </c>
      <c r="M79" s="249">
        <f>SUM(AppIII!Q223:Q224)</f>
        <v>-63.89378614274991</v>
      </c>
      <c r="N79" s="249">
        <f>SUM(AppIII!R223:R224)</f>
        <v>-54.139030617250143</v>
      </c>
      <c r="O79" s="249">
        <f>SUM(AppIII!S223:S224)</f>
        <v>-54.788782853263228</v>
      </c>
      <c r="P79" s="249">
        <f>SUM(AppIII!T223:T224)</f>
        <v>143.44117573847885</v>
      </c>
      <c r="Q79" s="249">
        <f>SUM(AppIII!U223:U224)</f>
        <v>0.47244874856262775</v>
      </c>
      <c r="R79" s="249">
        <f>SUM(AppIII!V223:V224)</f>
        <v>3.2061253357876578</v>
      </c>
      <c r="S79" s="249">
        <f>SUM(AppIII!W223:W224)</f>
        <v>-37.17700186028005</v>
      </c>
      <c r="T79" s="249">
        <f>SUM(AppIII!X223:X224)</f>
        <v>135.49945734280521</v>
      </c>
      <c r="U79" s="249">
        <f>SUM(AppIII!Y223:Y224)</f>
        <v>-107.31340137389844</v>
      </c>
      <c r="V79" s="249">
        <f>SUM(AppIII!Z223:Z224)</f>
        <v>78.13187110385357</v>
      </c>
      <c r="W79" s="249">
        <f>SUM(AppIII!AA223:AA224)</f>
        <v>141.64697934103538</v>
      </c>
      <c r="X79" s="249">
        <f>SUM(AppIII!AB223:AB224)</f>
        <v>142.98570605816957</v>
      </c>
      <c r="Y79" s="249">
        <f>SUM(AppIII!AC223:AC224)</f>
        <v>53.433841072963823</v>
      </c>
      <c r="Z79" s="249">
        <f>SUM(AppIII!AD223:AD224)</f>
        <v>-68.54994645379216</v>
      </c>
      <c r="AA79" s="249">
        <f>SUM(AppIII!AE223:AE224)</f>
        <v>-67.875481743191543</v>
      </c>
      <c r="AB79" s="249">
        <f>SUM(AppIII!AF223:AF224)</f>
        <v>61.540509121959509</v>
      </c>
      <c r="AC79" s="249">
        <f>SUM(AppIII!AG223:AG224)</f>
        <v>-142.84069850575634</v>
      </c>
      <c r="AD79" s="249">
        <f>SUM(AppIII!AH223:AH224)</f>
        <v>145.06801069243519</v>
      </c>
      <c r="AE79" s="249">
        <f>SUM(AppIII!AI223:AI224)</f>
        <v>61.280331591185487</v>
      </c>
      <c r="AF79" s="249">
        <f>SUM(AppIII!AJ223:AJ224)</f>
        <v>-93.192154787801982</v>
      </c>
      <c r="AG79" s="249">
        <f>SUM(AppIII!AK223:AK224)</f>
        <v>-138.17377719376677</v>
      </c>
      <c r="AH79" s="249">
        <f>SUM(AppIII!AL223:AL224)</f>
        <v>85.116811830679978</v>
      </c>
      <c r="AI79" s="249">
        <f>SUM(AppIII!AM223:AM224)</f>
        <v>135.51705557763384</v>
      </c>
      <c r="AJ79" s="249">
        <f>SUM(AppIII!AN223:AN224)</f>
        <v>143.32381360824462</v>
      </c>
      <c r="AK79" s="249">
        <f>SUM(AppIII!AO223:AO224)</f>
        <v>-61.376020429598931</v>
      </c>
      <c r="AL79" s="249">
        <f>SUM(AppIII!AP223:AP224)</f>
        <v>-109.45330493681836</v>
      </c>
      <c r="AM79" s="249">
        <f>SUM(AppIII!AQ223:AQ224)</f>
        <v>-20.953111190310903</v>
      </c>
      <c r="AN79" s="249">
        <f>SUM(AppIII!AR223:AR224)</f>
        <v>139.55150453340394</v>
      </c>
      <c r="AO79" s="249">
        <f>SUM(AppIII!AS223:AS224)</f>
        <v>7.2152331771541496</v>
      </c>
      <c r="AP79" s="249">
        <f>SUM(AppIII!AT223:AT224)</f>
        <v>-117.570377554096</v>
      </c>
      <c r="AQ79" s="249">
        <f>SUM(AppIII!AU223:AU224)</f>
        <v>-126.91705683170723</v>
      </c>
      <c r="AR79" s="249">
        <f>SUM(AppIII!AV223:AV224)</f>
        <v>-134.46335030511128</v>
      </c>
      <c r="AS79" s="249">
        <f>SUM(AppIII!AW223:AW224)</f>
        <v>-140.88890509711226</v>
      </c>
      <c r="AT79" s="249">
        <f>SUM(AppIII!AX223:AX224)</f>
        <v>-146.23214018876507</v>
      </c>
      <c r="AU79" s="249">
        <f>SUM(AppIII!AY223:AY224)</f>
        <v>113.41781196065642</v>
      </c>
      <c r="AV79" s="249">
        <f>SUM(AppIII!AZ223:AZ224)</f>
        <v>-75.589523001478213</v>
      </c>
      <c r="AW79" s="249">
        <f>SUM(AppIII!BA223:BA224)</f>
        <v>-56.364372498804642</v>
      </c>
      <c r="AX79" s="249">
        <f>SUM(AppIII!BB223:BB224)</f>
        <v>144.06898632821981</v>
      </c>
      <c r="AY79" s="249">
        <f>SUM(AppIII!BC223:BC224)</f>
        <v>-127.06287152105868</v>
      </c>
      <c r="AZ79" s="249">
        <f>SUM(AppIII!BD223:BD224)</f>
        <v>-125.72225958805231</v>
      </c>
      <c r="BA79" s="249">
        <f>SUM(AppIII!BE223:BE224)</f>
        <v>-124.33845311347244</v>
      </c>
      <c r="BB79" s="249">
        <f>SUM(AppIII!BF223:BF224)</f>
        <v>-122.91180864936572</v>
      </c>
      <c r="BC79" s="249">
        <f>SUM(AppIII!BG223:BG224)</f>
        <v>-121.44270257887541</v>
      </c>
      <c r="BD79" s="249">
        <f>SUM(AppIII!BH223:BH224)</f>
        <v>-119.93153105903396</v>
      </c>
      <c r="BE79" s="249">
        <f>SUM(AppIII!BI223:BI224)</f>
        <v>-118.37870994918784</v>
      </c>
      <c r="BF79" s="249">
        <f>SUM(AppIII!BJ223:BJ224)</f>
        <v>-116.78467472496729</v>
      </c>
      <c r="BG79" s="249">
        <f>SUM(AppIII!BK223:BK224)</f>
        <v>60.908922222937164</v>
      </c>
    </row>
    <row r="80" spans="1:59" x14ac:dyDescent="0.25">
      <c r="C80" t="str">
        <f>C79</f>
        <v>Σ [ A cos (B + Cτ) ]</v>
      </c>
      <c r="D80" s="7" t="s">
        <v>798</v>
      </c>
      <c r="E80" s="249">
        <f>AppIII!I227</f>
        <v>1.9994144741092306</v>
      </c>
      <c r="F80" s="249">
        <f>AppIII!J227</f>
        <v>-3.8467109544992963</v>
      </c>
      <c r="G80" s="249">
        <f>AppIII!K227</f>
        <v>-3.3423551085256307</v>
      </c>
      <c r="H80" s="249">
        <f>AppIII!L227</f>
        <v>-3.3331070406253667</v>
      </c>
      <c r="I80" s="249">
        <f>AppIII!M227</f>
        <v>-3.9623737615130743</v>
      </c>
      <c r="J80" s="249">
        <f>AppIII!N227</f>
        <v>2.7569654282490399</v>
      </c>
      <c r="K80" s="249">
        <f>AppIII!O227</f>
        <v>-3.9599237659320754</v>
      </c>
      <c r="L80" s="249">
        <f>AppIII!P227</f>
        <v>2.7938239892240952</v>
      </c>
      <c r="M80" s="249">
        <f>AppIII!Q227</f>
        <v>-3.3837818961038915</v>
      </c>
      <c r="N80" s="249">
        <f>AppIII!R227</f>
        <v>-3.5170884389867156</v>
      </c>
      <c r="O80" s="249">
        <f>AppIII!S227</f>
        <v>-3.5086599729055066</v>
      </c>
      <c r="P80" s="249">
        <f>AppIII!T227</f>
        <v>-0.37471526754928658</v>
      </c>
      <c r="Q80" s="249">
        <f>AppIII!U227</f>
        <v>-3.9540592792125606</v>
      </c>
      <c r="R80" s="249">
        <f>AppIII!V227</f>
        <v>-3.9638723704081227</v>
      </c>
      <c r="S80" s="249">
        <f>AppIII!W227</f>
        <v>3.9628607064108849</v>
      </c>
      <c r="T80" s="249">
        <f>AppIII!X227</f>
        <v>-2.280029238865485</v>
      </c>
      <c r="U80" s="249">
        <f>AppIII!Y227</f>
        <v>2.9274708553748927</v>
      </c>
      <c r="V80" s="249">
        <f>AppIII!Z227</f>
        <v>-3.7590562653470561</v>
      </c>
      <c r="W80" s="249">
        <f>AppIII!AA227</f>
        <v>-1.7481743949758726</v>
      </c>
      <c r="X80" s="249">
        <f>AppIII!AB227</f>
        <v>-1.5780224618124208</v>
      </c>
      <c r="Y80" s="249">
        <f>AppIII!AC227</f>
        <v>-3.9208801824632222</v>
      </c>
      <c r="Z80" s="249">
        <f>AppIII!AD227</f>
        <v>-3.3129812860486627</v>
      </c>
      <c r="AA80" s="249">
        <f>AppIII!AE227</f>
        <v>-3.323331537998985</v>
      </c>
      <c r="AB80" s="249">
        <f>AppIII!AF227</f>
        <v>3.2509597587489432</v>
      </c>
      <c r="AC80" s="249">
        <f>AppIII!AG227</f>
        <v>-0.6428483844519578</v>
      </c>
      <c r="AD80" s="249">
        <f>AppIII!AH227</f>
        <v>-0.92392927619377219</v>
      </c>
      <c r="AE80" s="249">
        <f>AppIII!AI227</f>
        <v>-3.8722298243215549</v>
      </c>
      <c r="AF80" s="249">
        <f>AppIII!AJ227</f>
        <v>-2.8352567664815012</v>
      </c>
      <c r="AG80" s="249">
        <f>AppIII!AK227</f>
        <v>1.490846487649091</v>
      </c>
      <c r="AH80" s="249">
        <f>AppIII!AL227</f>
        <v>-3.6358953921450508</v>
      </c>
      <c r="AI80" s="249">
        <f>AppIII!AM227</f>
        <v>-2.2412175938881935</v>
      </c>
      <c r="AJ80" s="249">
        <f>AppIII!AN227</f>
        <v>-0.33199776348159432</v>
      </c>
      <c r="AK80" s="249">
        <f>AppIII!AO227</f>
        <v>-3.4200433064292901</v>
      </c>
      <c r="AL80" s="249">
        <f>AppIII!AP227</f>
        <v>2.8300413890125795</v>
      </c>
      <c r="AM80" s="249">
        <f>AppIII!AQ227</f>
        <v>3.9994101006019886</v>
      </c>
      <c r="AN80" s="249">
        <f>AppIII!AR227</f>
        <v>-1.9512601958052549</v>
      </c>
      <c r="AO80" s="249">
        <f>AppIII!AS227</f>
        <v>-3.9763697277960928</v>
      </c>
      <c r="AP80" s="249">
        <f>AppIII!AT227</f>
        <v>2.5565161994540575</v>
      </c>
      <c r="AQ80" s="249">
        <f>AppIII!AU227</f>
        <v>2.1652411911030192</v>
      </c>
      <c r="AR80" s="249">
        <f>AppIII!AV227</f>
        <v>1.7515665141255747</v>
      </c>
      <c r="AS80" s="249">
        <f>AppIII!AW227</f>
        <v>1.2543470970831645</v>
      </c>
      <c r="AT80" s="249">
        <f>AppIII!AX227</f>
        <v>0.2671976577178149</v>
      </c>
      <c r="AU80" s="249">
        <f>AppIII!AY227</f>
        <v>1.7480600116103553</v>
      </c>
      <c r="AV80" s="249">
        <f>AppIII!AZ227</f>
        <v>3.5814530640500215</v>
      </c>
      <c r="AW80" s="249">
        <f>AppIII!BA227</f>
        <v>-3.4905099075587187</v>
      </c>
      <c r="AX80" s="249">
        <f>AppIII!BB227</f>
        <v>-1.3886290795587308</v>
      </c>
      <c r="AY80" s="249">
        <f>AppIII!BC227</f>
        <v>-1.7370337390221673</v>
      </c>
      <c r="AZ80" s="249">
        <f>AppIII!BD227</f>
        <v>-1.7987556142706336</v>
      </c>
      <c r="BA80" s="249">
        <f>AppIII!BE227</f>
        <v>-1.859945226635372</v>
      </c>
      <c r="BB80" s="249">
        <f>AppIII!BF227</f>
        <v>-1.9205844697323677</v>
      </c>
      <c r="BC80" s="249">
        <f>AppIII!BG227</f>
        <v>-1.9806554000355714</v>
      </c>
      <c r="BD80" s="249">
        <f>AppIII!BH227</f>
        <v>-2.0401402421861912</v>
      </c>
      <c r="BE80" s="249">
        <f>AppIII!BI227</f>
        <v>-2.099021394252242</v>
      </c>
      <c r="BF80" s="249">
        <f>AppIII!BJ227</f>
        <v>-2.1572814329376548</v>
      </c>
      <c r="BG80" s="249">
        <f>AppIII!BK227</f>
        <v>-3.8748245378228821</v>
      </c>
    </row>
    <row r="81" spans="2:59" x14ac:dyDescent="0.25">
      <c r="B81">
        <v>218</v>
      </c>
      <c r="C81" t="s">
        <v>814</v>
      </c>
      <c r="D81" s="19" t="s">
        <v>195</v>
      </c>
      <c r="E81" s="13">
        <f t="shared" ref="E81:AJ81" si="58" xml:space="preserve"> (E76 +E77 *E$7 + E78 * E$7^2 + E79* E$7^3 + E80* E$7^4 ) / 10^8</f>
        <v>0.9999305937072811</v>
      </c>
      <c r="F81" s="13">
        <f t="shared" si="58"/>
        <v>0.98965534123386001</v>
      </c>
      <c r="G81" s="13">
        <f t="shared" si="58"/>
        <v>0.98332758221176864</v>
      </c>
      <c r="H81" s="13">
        <f t="shared" si="58"/>
        <v>0.98330212826667085</v>
      </c>
      <c r="I81" s="13">
        <f t="shared" si="58"/>
        <v>0.98466545354335833</v>
      </c>
      <c r="J81" s="13">
        <f t="shared" si="58"/>
        <v>1.016144108953243</v>
      </c>
      <c r="K81" s="13">
        <f t="shared" si="58"/>
        <v>0.9846183681255426</v>
      </c>
      <c r="L81" s="13">
        <f t="shared" si="58"/>
        <v>1.0161996071985366</v>
      </c>
      <c r="M81" s="13">
        <f t="shared" si="58"/>
        <v>0.98326683334435139</v>
      </c>
      <c r="N81" s="13">
        <f t="shared" si="58"/>
        <v>0.98315319696067449</v>
      </c>
      <c r="O81" s="13">
        <f t="shared" si="58"/>
        <v>0.98319387911574263</v>
      </c>
      <c r="P81" s="13">
        <f t="shared" si="58"/>
        <v>1.0086903527592823</v>
      </c>
      <c r="Q81" s="13">
        <f t="shared" si="58"/>
        <v>0.9848275346133758</v>
      </c>
      <c r="R81" s="13">
        <f t="shared" si="58"/>
        <v>0.98497710823764895</v>
      </c>
      <c r="S81" s="13">
        <f t="shared" si="58"/>
        <v>1.0119229316756564</v>
      </c>
      <c r="T81" s="13">
        <f t="shared" si="58"/>
        <v>1.0022593424897337</v>
      </c>
      <c r="U81" s="13">
        <f t="shared" si="58"/>
        <v>1.0022217128221138</v>
      </c>
      <c r="V81" s="13">
        <f t="shared" si="58"/>
        <v>0.99487960324873892</v>
      </c>
      <c r="W81" s="13">
        <f t="shared" si="58"/>
        <v>1.0016653326775367</v>
      </c>
      <c r="X81" s="17">
        <f t="shared" si="58"/>
        <v>1.0024969397769039</v>
      </c>
      <c r="Y81" s="13">
        <f t="shared" si="58"/>
        <v>0.98781896963773963</v>
      </c>
      <c r="Z81" s="13">
        <f t="shared" si="58"/>
        <v>0.98333321066409396</v>
      </c>
      <c r="AA81" s="13">
        <f t="shared" si="58"/>
        <v>0.98333180415607269</v>
      </c>
      <c r="AB81" s="13">
        <f t="shared" si="58"/>
        <v>1.0166708311893458</v>
      </c>
      <c r="AC81" s="13">
        <f t="shared" si="58"/>
        <v>0.98937564201277661</v>
      </c>
      <c r="AD81" s="13">
        <f t="shared" si="58"/>
        <v>1.0052788405469686</v>
      </c>
      <c r="AE81" s="13">
        <f t="shared" si="58"/>
        <v>0.98847045812688494</v>
      </c>
      <c r="AF81" s="13">
        <f t="shared" si="58"/>
        <v>0.98382449625110546</v>
      </c>
      <c r="AG81" s="13">
        <f t="shared" si="58"/>
        <v>0.99760774951494113</v>
      </c>
      <c r="AH81" s="13">
        <f t="shared" si="58"/>
        <v>0.99069328564076442</v>
      </c>
      <c r="AI81" s="13">
        <f t="shared" si="58"/>
        <v>0.99938365815387042</v>
      </c>
      <c r="AJ81" s="13">
        <f t="shared" si="58"/>
        <v>1.0075807626072024</v>
      </c>
      <c r="AK81" s="13">
        <f t="shared" ref="AK81:BG81" si="59" xml:space="preserve"> (AK76 +AK77 *AK$7 + AK78 * AK$7^2 + AK79* AK$7^3 + AK80* AK$7^4 ) / 10^8</f>
        <v>0.98320482230095296</v>
      </c>
      <c r="AL81" s="13">
        <f t="shared" si="59"/>
        <v>1.0043944589102423</v>
      </c>
      <c r="AM81" s="13">
        <f t="shared" si="59"/>
        <v>1.0140071594830045</v>
      </c>
      <c r="AN81" s="13">
        <f t="shared" si="59"/>
        <v>1.0007811496036327</v>
      </c>
      <c r="AO81" s="13">
        <f t="shared" si="59"/>
        <v>0.98515662496233014</v>
      </c>
      <c r="AP81" s="13">
        <f t="shared" si="59"/>
        <v>1.0029304736174134</v>
      </c>
      <c r="AQ81" s="13">
        <f t="shared" si="59"/>
        <v>1.0008946104048624</v>
      </c>
      <c r="AR81" s="13">
        <f t="shared" si="59"/>
        <v>0.99888154177277078</v>
      </c>
      <c r="AS81" s="13">
        <f t="shared" si="59"/>
        <v>0.99668669149411948</v>
      </c>
      <c r="AT81" s="13">
        <f t="shared" si="59"/>
        <v>0.99269868752488766</v>
      </c>
      <c r="AU81" s="13">
        <f t="shared" si="59"/>
        <v>1.014133675893182</v>
      </c>
      <c r="AV81" s="13">
        <f t="shared" si="59"/>
        <v>1.0092484511657851</v>
      </c>
      <c r="AW81" s="13">
        <f t="shared" si="59"/>
        <v>0.98331547685750409</v>
      </c>
      <c r="AX81" s="13">
        <f t="shared" si="59"/>
        <v>1.0033603818353916</v>
      </c>
      <c r="AY81" s="13">
        <f t="shared" si="59"/>
        <v>0.98619706719364675</v>
      </c>
      <c r="AZ81" s="13">
        <f t="shared" si="59"/>
        <v>0.98602922010771166</v>
      </c>
      <c r="BA81" s="13">
        <f t="shared" si="59"/>
        <v>0.98586602246105004</v>
      </c>
      <c r="BB81" s="13">
        <f t="shared" si="59"/>
        <v>0.98570781791012396</v>
      </c>
      <c r="BC81" s="13">
        <f t="shared" si="59"/>
        <v>0.98555489224581283</v>
      </c>
      <c r="BD81" s="13">
        <f t="shared" si="59"/>
        <v>0.98540746527119261</v>
      </c>
      <c r="BE81" s="13">
        <f t="shared" si="59"/>
        <v>0.98526568969929706</v>
      </c>
      <c r="BF81" s="13">
        <f t="shared" si="59"/>
        <v>0.98512965585063483</v>
      </c>
      <c r="BG81" s="13">
        <f t="shared" si="59"/>
        <v>0.98843872159817692</v>
      </c>
    </row>
    <row r="82" spans="2:59" x14ac:dyDescent="0.25">
      <c r="C82" t="s">
        <v>774</v>
      </c>
      <c r="D82" s="7"/>
      <c r="H82"/>
      <c r="X82" s="247">
        <v>1.0024976999999999</v>
      </c>
      <c r="Y82" s="17"/>
      <c r="Z82" s="17"/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DA384-DB13-4EF9-B715-304C477ADF5D}">
  <dimension ref="A1:BK227"/>
  <sheetViews>
    <sheetView workbookViewId="0">
      <selection activeCell="J14" sqref="J14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8.85546875" bestFit="1" customWidth="1"/>
    <col min="4" max="4" width="14.42578125" bestFit="1" customWidth="1"/>
    <col min="5" max="6" width="11.140625" bestFit="1" customWidth="1"/>
    <col min="8" max="8" width="4" bestFit="1" customWidth="1"/>
    <col min="9" max="28" width="12.5703125" bestFit="1" customWidth="1"/>
    <col min="29" max="29" width="22.42578125" bestFit="1" customWidth="1"/>
    <col min="30" max="42" width="12.5703125" bestFit="1" customWidth="1"/>
    <col min="43" max="43" width="17.28515625" bestFit="1" customWidth="1"/>
    <col min="44" max="44" width="12.5703125" bestFit="1" customWidth="1"/>
    <col min="45" max="45" width="15.7109375" bestFit="1" customWidth="1"/>
    <col min="46" max="48" width="12.5703125" bestFit="1" customWidth="1"/>
    <col min="49" max="49" width="12.85546875" bestFit="1" customWidth="1"/>
    <col min="50" max="63" width="12.5703125" bestFit="1" customWidth="1"/>
  </cols>
  <sheetData>
    <row r="1" spans="1:63" ht="15.75" x14ac:dyDescent="0.25">
      <c r="A1" s="338" t="s">
        <v>1036</v>
      </c>
      <c r="B1" s="338"/>
      <c r="C1" s="338"/>
      <c r="D1" s="338"/>
      <c r="H1" s="7"/>
    </row>
    <row r="2" spans="1:63" x14ac:dyDescent="0.25">
      <c r="A2" s="8" t="s">
        <v>287</v>
      </c>
      <c r="B2" s="8" t="s">
        <v>91</v>
      </c>
      <c r="C2" s="8" t="s">
        <v>284</v>
      </c>
      <c r="D2" s="8"/>
      <c r="E2" s="8"/>
      <c r="F2" s="8"/>
      <c r="G2" s="8"/>
      <c r="H2" s="19" t="s">
        <v>285</v>
      </c>
      <c r="I2" s="19" t="str">
        <f>Examples!E2</f>
        <v>7.a</v>
      </c>
      <c r="J2" s="19" t="str">
        <f>Examples!F2</f>
        <v>7.b</v>
      </c>
      <c r="K2" s="19" t="str">
        <f>Examples!G2</f>
        <v>7.c.1/8</v>
      </c>
      <c r="L2" s="19" t="str">
        <f>Examples!H2</f>
        <v>7.c.2</v>
      </c>
      <c r="M2" s="19" t="str">
        <f>Examples!I2</f>
        <v>7.c.3</v>
      </c>
      <c r="N2" s="19" t="str">
        <f>Examples!J2</f>
        <v>7.c.4</v>
      </c>
      <c r="O2" s="19" t="str">
        <f>Examples!K2</f>
        <v>7.c.5</v>
      </c>
      <c r="P2" s="19" t="str">
        <f>Examples!L2</f>
        <v>7.c.6</v>
      </c>
      <c r="Q2" s="19" t="str">
        <f>Examples!M2</f>
        <v>7.c.7</v>
      </c>
      <c r="R2" s="19" t="str">
        <f>Examples!N2</f>
        <v>7.c.8</v>
      </c>
      <c r="S2" s="19" t="str">
        <f>Examples!O2</f>
        <v>7.c.9</v>
      </c>
      <c r="T2" s="19" t="str">
        <f>Examples!P2</f>
        <v>7.c.10</v>
      </c>
      <c r="U2" s="19" t="str">
        <f>Examples!Q2</f>
        <v>7.c.11</v>
      </c>
      <c r="V2" s="19" t="str">
        <f>Examples!R2</f>
        <v>7.c.12</v>
      </c>
      <c r="W2" s="19" t="str">
        <f>Examples!S2</f>
        <v>7.c.13</v>
      </c>
      <c r="X2" s="19" t="str">
        <f>Examples!T2</f>
        <v>7.c.14</v>
      </c>
      <c r="Y2" s="19" t="str">
        <f>Examples!U2</f>
        <v>7.c.15</v>
      </c>
      <c r="Z2" s="19" t="str">
        <f>Examples!V2</f>
        <v>7.c.16</v>
      </c>
      <c r="AA2" s="19" t="str">
        <f>Examples!W2</f>
        <v>22.a</v>
      </c>
      <c r="AB2" s="19" t="str">
        <f>Examples!X2</f>
        <v>47.a/48.a</v>
      </c>
      <c r="AC2" s="19" t="str">
        <f>Examples!Y2</f>
        <v>49.a</v>
      </c>
      <c r="AD2" s="19" t="str">
        <f>Examples!Z2</f>
        <v>49.b</v>
      </c>
      <c r="AE2" s="19" t="str">
        <f>Examples!AA2</f>
        <v>1/1/2000/8</v>
      </c>
      <c r="AF2" s="19" t="str">
        <f>Examples!AB2</f>
        <v>7.e/8</v>
      </c>
      <c r="AG2" s="19" t="str">
        <f>Examples!AC2</f>
        <v>7.f</v>
      </c>
      <c r="AH2" s="19" t="str">
        <f>Examples!AD2</f>
        <v>7.g</v>
      </c>
      <c r="AI2" s="19" t="str">
        <f>Examples!AE2</f>
        <v>10.a</v>
      </c>
      <c r="AJ2" s="19" t="str">
        <f>Examples!AF2</f>
        <v>32.a</v>
      </c>
      <c r="AK2" s="19" t="str">
        <f>Examples!AG2</f>
        <v>25.a</v>
      </c>
      <c r="AL2" s="19" t="str">
        <f>Examples!AH2</f>
        <v>8.a</v>
      </c>
      <c r="AM2" s="19" t="str">
        <f>Examples!AI2</f>
        <v>8.b</v>
      </c>
      <c r="AN2" s="19" t="str">
        <f>Examples!AJ2</f>
        <v>8.c</v>
      </c>
      <c r="AO2" s="19" t="str">
        <f>Examples!AK2</f>
        <v>8.d</v>
      </c>
      <c r="AP2" s="19" t="str">
        <f>Examples!AL2</f>
        <v>9.a</v>
      </c>
      <c r="AQ2" s="19" t="str">
        <f>Examples!AM2</f>
        <v>Muslim date 1-1-1</v>
      </c>
      <c r="AR2" s="19" t="str">
        <f>Examples!AN2</f>
        <v>9.b</v>
      </c>
      <c r="AS2" s="19" t="str">
        <f>Examples!AO2</f>
        <v>Gregorian Epoch</v>
      </c>
      <c r="AT2" s="19" t="str">
        <f>Examples!AP2</f>
        <v>New Moon</v>
      </c>
      <c r="AU2" s="19" t="str">
        <f>Examples!AQ2</f>
        <v>1st Qtr Moon</v>
      </c>
      <c r="AV2" s="19" t="str">
        <f>Examples!AR2</f>
        <v>Full Moon</v>
      </c>
      <c r="AW2" s="19" t="str">
        <f>Examples!AS2</f>
        <v>3rd Qtr Moon</v>
      </c>
      <c r="AX2" s="19" t="str">
        <f>Examples!AT2</f>
        <v>Eclipse</v>
      </c>
      <c r="AY2" s="19" t="str">
        <f>Examples!AU2</f>
        <v>54.c lunar eclipse</v>
      </c>
      <c r="AZ2" s="19" t="str">
        <f>Examples!AV2</f>
        <v>54.d lunar eclipse</v>
      </c>
      <c r="BA2" s="19" t="str">
        <f>Examples!AW2</f>
        <v>p 387 eclipse</v>
      </c>
      <c r="BB2" s="19" t="str">
        <f>Examples!AX2</f>
        <v>p 387</v>
      </c>
      <c r="BC2" s="19" t="str">
        <f>Examples!AY2</f>
        <v>new+16</v>
      </c>
      <c r="BD2" s="19" t="str">
        <f>Examples!AZ2</f>
        <v>new+17</v>
      </c>
      <c r="BE2" s="19" t="str">
        <f>Examples!BA2</f>
        <v>new+18</v>
      </c>
      <c r="BF2" s="19" t="str">
        <f>Examples!BB2</f>
        <v>new+19</v>
      </c>
      <c r="BG2" s="19" t="str">
        <f>Examples!BC2</f>
        <v>new+20</v>
      </c>
      <c r="BH2" s="19" t="str">
        <f>Examples!BD2</f>
        <v>new+21</v>
      </c>
      <c r="BI2" s="19" t="str">
        <f>Examples!BE2</f>
        <v>new+22 3rd</v>
      </c>
      <c r="BJ2" s="19" t="str">
        <f>Examples!BF2</f>
        <v>new+23</v>
      </c>
      <c r="BK2" s="19" t="str">
        <f>Examples!BG2</f>
        <v>z</v>
      </c>
    </row>
    <row r="3" spans="1:63" x14ac:dyDescent="0.25">
      <c r="A3" s="7"/>
      <c r="B3" s="7"/>
      <c r="C3" s="252" t="s">
        <v>291</v>
      </c>
      <c r="D3" s="252"/>
      <c r="E3" s="252"/>
      <c r="F3" s="252"/>
      <c r="G3" s="252"/>
      <c r="H3" s="253" t="s">
        <v>298</v>
      </c>
      <c r="I3" s="69">
        <f>Examples!E4</f>
        <v>2436116.31</v>
      </c>
      <c r="J3" s="69">
        <f>Examples!F4</f>
        <v>1842713</v>
      </c>
      <c r="K3" s="69">
        <f>Examples!G4</f>
        <v>2451545</v>
      </c>
      <c r="L3" s="69">
        <f>Examples!H4</f>
        <v>2451179.5</v>
      </c>
      <c r="M3" s="69">
        <f>Examples!I4</f>
        <v>2446822.5</v>
      </c>
      <c r="N3" s="69">
        <f>Examples!J4</f>
        <v>2446966</v>
      </c>
      <c r="O3" s="69">
        <f>Examples!K4</f>
        <v>2447187.5</v>
      </c>
      <c r="P3" s="69">
        <f>Examples!L4</f>
        <v>2447332</v>
      </c>
      <c r="Q3" s="69">
        <f>Examples!M4</f>
        <v>2415020.500011574</v>
      </c>
      <c r="R3" s="69">
        <f>Examples!N4</f>
        <v>2305447.5</v>
      </c>
      <c r="S3" s="69">
        <f>Examples!O4</f>
        <v>2305812.5</v>
      </c>
      <c r="T3" s="69">
        <f>Examples!P4</f>
        <v>2026871.8</v>
      </c>
      <c r="U3" s="69">
        <f>Examples!Q4</f>
        <v>1676496.5</v>
      </c>
      <c r="V3" s="69">
        <f>Examples!R4</f>
        <v>1676497.5</v>
      </c>
      <c r="W3" s="69">
        <f>Examples!S4</f>
        <v>1356001</v>
      </c>
      <c r="X3" s="69">
        <f>Examples!T4</f>
        <v>1355866.5</v>
      </c>
      <c r="Y3" s="69">
        <f>Examples!U4</f>
        <v>1355671.4</v>
      </c>
      <c r="Z3" s="69">
        <f>Examples!V4</f>
        <v>0</v>
      </c>
      <c r="AA3" s="69">
        <f>Examples!W4</f>
        <v>2446895.5</v>
      </c>
      <c r="AB3" s="69">
        <f>Examples!X4</f>
        <v>2448724.5</v>
      </c>
      <c r="AC3" s="69">
        <f>Examples!Y4</f>
        <v>2443189.5</v>
      </c>
      <c r="AD3" s="69">
        <f>Examples!Z4</f>
        <v>2467615.5</v>
      </c>
      <c r="AE3" s="69">
        <f>Examples!AA4</f>
        <v>2451544.5</v>
      </c>
      <c r="AF3" s="69">
        <f>Examples!AB4</f>
        <v>2434923.5</v>
      </c>
      <c r="AG3" s="69">
        <f>Examples!AC4</f>
        <v>2443826.5</v>
      </c>
      <c r="AH3" s="69">
        <f>Examples!AD4</f>
        <v>2447273.5</v>
      </c>
      <c r="AI3" s="69">
        <f>Examples!AE4</f>
        <v>2443192.6511574076</v>
      </c>
      <c r="AJ3" s="69">
        <f>Examples!AF4</f>
        <v>2448976.5</v>
      </c>
      <c r="AK3" s="69">
        <f>Examples!AG4</f>
        <v>2448908.5</v>
      </c>
      <c r="AL3" s="69">
        <f>Examples!AH4</f>
        <v>2448316.5</v>
      </c>
      <c r="AM3" s="69">
        <f>Examples!AI4</f>
        <v>2448713.5</v>
      </c>
      <c r="AN3" s="69">
        <f>Examples!AJ4</f>
        <v>2449108.5</v>
      </c>
      <c r="AO3" s="69">
        <f>Examples!AK4</f>
        <v>2385070.5</v>
      </c>
      <c r="AP3" s="69">
        <f>Examples!AL4</f>
        <v>2448154.5</v>
      </c>
      <c r="AQ3" s="69">
        <f>Examples!AM4</f>
        <v>1948439.5</v>
      </c>
      <c r="AR3" s="69">
        <f>Examples!AN4</f>
        <v>2451640.5</v>
      </c>
      <c r="AS3" s="69">
        <f>Examples!AO4</f>
        <v>1721425.5</v>
      </c>
      <c r="AT3" s="69">
        <f>Examples!AP4</f>
        <v>2459848.0791666666</v>
      </c>
      <c r="AU3" s="69">
        <f>Examples!AQ4</f>
        <v>2459855.1347222221</v>
      </c>
      <c r="AV3" s="69">
        <f>Examples!AR4</f>
        <v>2459862.0375000001</v>
      </c>
      <c r="AW3" s="69">
        <f>Examples!AS4</f>
        <v>2459869.84375</v>
      </c>
      <c r="AX3" s="69">
        <f>Examples!AT4</f>
        <v>2459884.5</v>
      </c>
      <c r="AY3" s="69">
        <f>Examples!AU4</f>
        <v>2441834.5</v>
      </c>
      <c r="AZ3" s="69">
        <f>Examples!AV4</f>
        <v>2450692.5</v>
      </c>
      <c r="BA3" s="69">
        <f>Examples!AW4</f>
        <v>2427807.5</v>
      </c>
      <c r="BB3" s="69">
        <f>Examples!AX4</f>
        <v>2435943.5</v>
      </c>
      <c r="BC3" s="69">
        <f>Examples!AY4</f>
        <v>2459914.5</v>
      </c>
      <c r="BD3" s="69">
        <f>Examples!AZ4</f>
        <v>2459915.5</v>
      </c>
      <c r="BE3" s="69">
        <f>Examples!BA4</f>
        <v>2459916.5</v>
      </c>
      <c r="BF3" s="69">
        <f>Examples!BB4</f>
        <v>2459917.5</v>
      </c>
      <c r="BG3" s="69">
        <f>Examples!BC4</f>
        <v>2459918.5</v>
      </c>
      <c r="BH3" s="69">
        <f>Examples!BD4</f>
        <v>2459919.5</v>
      </c>
      <c r="BI3" s="69">
        <f>Examples!BE4</f>
        <v>2459920.5</v>
      </c>
      <c r="BJ3" s="69">
        <f>Examples!BF4</f>
        <v>2459921.5</v>
      </c>
      <c r="BK3" s="69">
        <f>Examples!BG4</f>
        <v>2443192.5</v>
      </c>
    </row>
    <row r="4" spans="1:63" x14ac:dyDescent="0.25">
      <c r="A4" s="7"/>
      <c r="B4" s="7"/>
      <c r="C4" s="252"/>
      <c r="D4" s="252"/>
      <c r="E4" s="252"/>
      <c r="F4" s="252"/>
      <c r="G4" s="252"/>
      <c r="H4" s="251" t="s">
        <v>664</v>
      </c>
      <c r="I4" s="69">
        <f>'22Nutation'!E43</f>
        <v>23.443043119473113</v>
      </c>
      <c r="J4" s="69">
        <f>'22Nutation'!F43</f>
        <v>23.655717030923601</v>
      </c>
      <c r="K4" s="69">
        <f>'22Nutation'!G43</f>
        <v>23.437687247318291</v>
      </c>
      <c r="L4" s="69">
        <f>'22Nutation'!H43</f>
        <v>23.437158333391135</v>
      </c>
      <c r="M4" s="69">
        <f>'22Nutation'!I43</f>
        <v>23.443337644201826</v>
      </c>
      <c r="N4" s="69">
        <f>'22Nutation'!J43</f>
        <v>23.443308308838667</v>
      </c>
      <c r="O4" s="69">
        <f>'22Nutation'!K43</f>
        <v>23.443315172361388</v>
      </c>
      <c r="P4" s="69">
        <f>'22Nutation'!L43</f>
        <v>23.443126572341065</v>
      </c>
      <c r="Q4" s="69">
        <f>'22Nutation'!M43</f>
        <v>23.45165761740795</v>
      </c>
      <c r="R4" s="69">
        <f>'22Nutation'!N43</f>
        <v>23.49244046236787</v>
      </c>
      <c r="S4" s="69">
        <f>'22Nutation'!O43</f>
        <v>23.491541691654835</v>
      </c>
      <c r="T4" s="69">
        <f>'22Nutation'!P43</f>
        <v>23.590811213098522</v>
      </c>
      <c r="U4" s="69">
        <f>'22Nutation'!Q43</f>
        <v>23.708655145231432</v>
      </c>
      <c r="V4" s="69">
        <f>'22Nutation'!R43</f>
        <v>23.708662142657886</v>
      </c>
      <c r="W4" s="69">
        <f>'22Nutation'!S43</f>
        <v>23.812899068141359</v>
      </c>
      <c r="X4" s="69">
        <f>'22Nutation'!T43</f>
        <v>23.813188782024959</v>
      </c>
      <c r="Y4" s="69">
        <f>'22Nutation'!U43</f>
        <v>23.813268661988246</v>
      </c>
      <c r="Z4" s="69">
        <f>'22Nutation'!V43</f>
        <v>24.161474221642671</v>
      </c>
      <c r="AA4" s="69">
        <f>'22Nutation'!W43</f>
        <v>23.443569413074961</v>
      </c>
      <c r="AB4" s="69">
        <f>'22Nutation'!X43</f>
        <v>23.440635013964791</v>
      </c>
      <c r="AC4" s="69">
        <f>'22Nutation'!Y43</f>
        <v>23.440026762552865</v>
      </c>
      <c r="AD4" s="69">
        <f>'22Nutation'!Z43</f>
        <v>23.43591441649545</v>
      </c>
      <c r="AE4" s="69">
        <f>'22Nutation'!AA43</f>
        <v>23.437690141391833</v>
      </c>
      <c r="AF4" s="69">
        <f>'22Nutation'!AB43</f>
        <v>23.445717858790978</v>
      </c>
      <c r="AG4" s="69">
        <f>'22Nutation'!AC43</f>
        <v>23.43944105464222</v>
      </c>
      <c r="AH4" s="69">
        <f>'22Nutation'!AD43</f>
        <v>23.443353796383867</v>
      </c>
      <c r="AI4" s="69">
        <f>'22Nutation'!AE43</f>
        <v>23.440069236114311</v>
      </c>
      <c r="AJ4" s="69">
        <f>'22Nutation'!AF43</f>
        <v>23.439668707560312</v>
      </c>
      <c r="AK4" s="260">
        <f>'22Nutation'!AG43</f>
        <v>23.440144328354034</v>
      </c>
      <c r="AL4" s="69">
        <f>'22Nutation'!AH43</f>
        <v>23.441725592332503</v>
      </c>
      <c r="AM4" s="69">
        <f>'22Nutation'!AI43</f>
        <v>23.440720169380132</v>
      </c>
      <c r="AN4" s="69">
        <f>'22Nutation'!AJ43</f>
        <v>23.43952478757906</v>
      </c>
      <c r="AO4" s="69">
        <f>'22Nutation'!AK43</f>
        <v>23.464635053498736</v>
      </c>
      <c r="AP4" s="69">
        <f>'22Nutation'!AL43</f>
        <v>23.44214134975962</v>
      </c>
      <c r="AQ4" s="69">
        <f>'22Nutation'!AM43</f>
        <v>23.615440758222871</v>
      </c>
      <c r="AR4" s="69">
        <f>'22Nutation'!AN43</f>
        <v>23.438139860602295</v>
      </c>
      <c r="AS4" s="69">
        <f>'22Nutation'!AO43</f>
        <v>23.694977970087983</v>
      </c>
      <c r="AT4" s="69">
        <f>'22Nutation'!AP43</f>
        <v>23.438318064424823</v>
      </c>
      <c r="AU4" s="69">
        <f>'22Nutation'!AQ43</f>
        <v>23.438255471534546</v>
      </c>
      <c r="AV4" s="69">
        <f>'22Nutation'!AR43</f>
        <v>23.438313915068321</v>
      </c>
      <c r="AW4" s="69">
        <f>'22Nutation'!AS43</f>
        <v>23.438239250597245</v>
      </c>
      <c r="AX4" s="69">
        <f>'22Nutation'!AT43</f>
        <v>23.438195562079979</v>
      </c>
      <c r="AY4" s="69">
        <f>'22Nutation'!AU43</f>
        <v>23.443036350590067</v>
      </c>
      <c r="AZ4" s="69">
        <f>'22Nutation'!AV43</f>
        <v>23.437178550742651</v>
      </c>
      <c r="BA4" s="69">
        <f>'22Nutation'!AW43</f>
        <v>23.448937361252447</v>
      </c>
      <c r="BB4" s="69">
        <f>'22Nutation'!AX43</f>
        <v>23.443362294195751</v>
      </c>
      <c r="BC4" s="69">
        <f>'22Nutation'!AY43</f>
        <v>23.438120178554648</v>
      </c>
      <c r="BD4" s="69">
        <f>'22Nutation'!AZ43</f>
        <v>23.438124485965716</v>
      </c>
      <c r="BE4" s="69">
        <f>'22Nutation'!BA43</f>
        <v>23.438121872273811</v>
      </c>
      <c r="BF4" s="69">
        <f>'22Nutation'!BB43</f>
        <v>23.438112991814261</v>
      </c>
      <c r="BG4" s="69">
        <f>'22Nutation'!BC43</f>
        <v>23.438099685238441</v>
      </c>
      <c r="BH4" s="69">
        <f>'22Nutation'!BD43</f>
        <v>23.438084437844793</v>
      </c>
      <c r="BI4" s="69">
        <f>'22Nutation'!BE43</f>
        <v>23.438069837320658</v>
      </c>
      <c r="BJ4" s="69">
        <f>'22Nutation'!BF43</f>
        <v>23.438058122225598</v>
      </c>
      <c r="BK4" s="69">
        <f>'22Nutation'!BG43</f>
        <v>23.440067370916868</v>
      </c>
    </row>
    <row r="5" spans="1:63" x14ac:dyDescent="0.25">
      <c r="C5" s="339" t="s">
        <v>780</v>
      </c>
      <c r="D5" s="339"/>
      <c r="E5" s="339"/>
      <c r="F5" s="339"/>
      <c r="H5" s="7"/>
    </row>
    <row r="6" spans="1:63" x14ac:dyDescent="0.25">
      <c r="C6" s="339" t="s">
        <v>777</v>
      </c>
      <c r="D6" s="339"/>
      <c r="E6" s="339"/>
      <c r="F6" s="339"/>
      <c r="H6" s="7"/>
      <c r="AC6" t="s">
        <v>365</v>
      </c>
      <c r="AE6">
        <f>'25SolarCoords'!X73*Rad2Deg</f>
        <v>1.5214404266805569E-4</v>
      </c>
    </row>
    <row r="7" spans="1:63" x14ac:dyDescent="0.25">
      <c r="B7">
        <v>418</v>
      </c>
      <c r="C7" s="342" t="s">
        <v>776</v>
      </c>
      <c r="D7" s="342"/>
      <c r="E7" s="342"/>
      <c r="F7" s="342"/>
      <c r="H7" s="7"/>
      <c r="AC7" t="s">
        <v>366</v>
      </c>
      <c r="AE7">
        <f>AE6*3600</f>
        <v>0.54771855360500055</v>
      </c>
    </row>
    <row r="8" spans="1:63" x14ac:dyDescent="0.25">
      <c r="C8" s="19"/>
      <c r="D8" s="19" t="s">
        <v>783</v>
      </c>
      <c r="E8" s="19" t="s">
        <v>781</v>
      </c>
      <c r="F8" s="19" t="s">
        <v>782</v>
      </c>
      <c r="H8" s="7"/>
    </row>
    <row r="9" spans="1:63" x14ac:dyDescent="0.25">
      <c r="C9">
        <v>1</v>
      </c>
      <c r="D9">
        <v>175347046</v>
      </c>
      <c r="E9">
        <v>0</v>
      </c>
      <c r="F9">
        <v>0</v>
      </c>
      <c r="H9" s="7"/>
      <c r="I9" s="23">
        <f>$D9*COS($E9+$F9*'25SolarCoords'!E$7)</f>
        <v>175347046</v>
      </c>
      <c r="J9" s="23">
        <f>$D9*COS($E9+$F9*'25SolarCoords'!F$7)</f>
        <v>175347046</v>
      </c>
      <c r="K9" s="23">
        <f>$D9*COS($E9+$F9*'25SolarCoords'!G$7)</f>
        <v>175347046</v>
      </c>
      <c r="L9" s="23">
        <f>$D9*COS($E9+$F9*'25SolarCoords'!H$7)</f>
        <v>175347046</v>
      </c>
      <c r="M9" s="23">
        <f>$D9*COS($E9+$F9*'25SolarCoords'!I$7)</f>
        <v>175347046</v>
      </c>
      <c r="N9" s="23">
        <f>$D9*COS($E9+$F9*'25SolarCoords'!J$7)</f>
        <v>175347046</v>
      </c>
      <c r="O9" s="23">
        <f>$D9*COS($E9+$F9*'25SolarCoords'!K$7)</f>
        <v>175347046</v>
      </c>
      <c r="P9" s="23">
        <f>$D9*COS($E9+$F9*'25SolarCoords'!L$7)</f>
        <v>175347046</v>
      </c>
      <c r="Q9" s="23">
        <f>$D9*COS($E9+$F9*'25SolarCoords'!M$7)</f>
        <v>175347046</v>
      </c>
      <c r="R9" s="23">
        <f>$D9*COS($E9+$F9*'25SolarCoords'!N$7)</f>
        <v>175347046</v>
      </c>
      <c r="S9" s="23">
        <f>$D9*COS($E9+$F9*'25SolarCoords'!O$7)</f>
        <v>175347046</v>
      </c>
      <c r="T9" s="23">
        <f>$D9*COS($E9+$F9*'25SolarCoords'!P$7)</f>
        <v>175347046</v>
      </c>
      <c r="U9" s="23">
        <f>$D9*COS($E9+$F9*'25SolarCoords'!Q$7)</f>
        <v>175347046</v>
      </c>
      <c r="V9" s="23">
        <f>$D9*COS($E9+$F9*'25SolarCoords'!R$7)</f>
        <v>175347046</v>
      </c>
      <c r="W9" s="23">
        <f>$D9*COS($E9+$F9*'25SolarCoords'!S$7)</f>
        <v>175347046</v>
      </c>
      <c r="X9" s="23">
        <f>$D9*COS($E9+$F9*'25SolarCoords'!T$7)</f>
        <v>175347046</v>
      </c>
      <c r="Y9" s="23">
        <f>$D9*COS($E9+$F9*'25SolarCoords'!U$7)</f>
        <v>175347046</v>
      </c>
      <c r="Z9" s="23">
        <f>$D9*COS($E9+$F9*'25SolarCoords'!V$7)</f>
        <v>175347046</v>
      </c>
      <c r="AA9" s="23">
        <f>$D9*COS($E9+$F9*'25SolarCoords'!W$7)</f>
        <v>175347046</v>
      </c>
      <c r="AB9" s="23">
        <f>$D9*COS($E9+$F9*'25SolarCoords'!X$7)</f>
        <v>175347046</v>
      </c>
      <c r="AC9" s="23">
        <f>$D9*COS($E9+$F9*'25SolarCoords'!Y$7)</f>
        <v>175347046</v>
      </c>
      <c r="AD9" s="23">
        <f>$D9*COS($E9+$F9*'25SolarCoords'!Z$7)</f>
        <v>175347046</v>
      </c>
      <c r="AE9" s="23">
        <f>$D9*COS($E9+$F9*'25SolarCoords'!AA$7)</f>
        <v>175347046</v>
      </c>
      <c r="AF9" s="23">
        <f>$D9*COS($E9+$F9*'25SolarCoords'!AB$7)</f>
        <v>175347046</v>
      </c>
      <c r="AG9" s="23">
        <f>$D9*COS($E9+$F9*'25SolarCoords'!AC$7)</f>
        <v>175347046</v>
      </c>
      <c r="AH9" s="23">
        <f>$D9*COS($E9+$F9*'25SolarCoords'!AD$7)</f>
        <v>175347046</v>
      </c>
      <c r="AI9" s="23">
        <f>$D9*COS($E9+$F9*'25SolarCoords'!AE$7)</f>
        <v>175347046</v>
      </c>
      <c r="AJ9" s="23">
        <f>$D9*COS($E9+$F9*'25SolarCoords'!AF$7)</f>
        <v>175347046</v>
      </c>
      <c r="AK9" s="23">
        <f>$D9*COS($E9+$F9*'25SolarCoords'!AG$7)</f>
        <v>175347046</v>
      </c>
      <c r="AL9" s="23">
        <f>$D9*COS($E9+$F9*'25SolarCoords'!AH$7)</f>
        <v>175347046</v>
      </c>
      <c r="AM9" s="23">
        <f>$D9*COS($E9+$F9*'25SolarCoords'!AI$7)</f>
        <v>175347046</v>
      </c>
      <c r="AN9" s="23">
        <f>$D9*COS($E9+$F9*'25SolarCoords'!AJ$7)</f>
        <v>175347046</v>
      </c>
      <c r="AO9" s="23">
        <f>$D9*COS($E9+$F9*'25SolarCoords'!AK$7)</f>
        <v>175347046</v>
      </c>
      <c r="AP9" s="23">
        <f>$D9*COS($E9+$F9*'25SolarCoords'!AL$7)</f>
        <v>175347046</v>
      </c>
      <c r="AQ9" s="23">
        <f>$D9*COS($E9+$F9*'25SolarCoords'!AM$7)</f>
        <v>175347046</v>
      </c>
      <c r="AR9" s="23">
        <f>$D9*COS($E9+$F9*'25SolarCoords'!AN$7)</f>
        <v>175347046</v>
      </c>
      <c r="AS9" s="23">
        <f>$D9*COS($E9+$F9*'25SolarCoords'!AO$7)</f>
        <v>175347046</v>
      </c>
      <c r="AT9" s="23">
        <f>$D9*COS($E9+$F9*'25SolarCoords'!AP$7)</f>
        <v>175347046</v>
      </c>
      <c r="AU9" s="23">
        <f>$D9*COS($E9+$F9*'25SolarCoords'!AQ$7)</f>
        <v>175347046</v>
      </c>
      <c r="AV9" s="23">
        <f>$D9*COS($E9+$F9*'25SolarCoords'!AR$7)</f>
        <v>175347046</v>
      </c>
      <c r="AW9" s="23">
        <f>$D9*COS($E9+$F9*'25SolarCoords'!AS$7)</f>
        <v>175347046</v>
      </c>
      <c r="AX9" s="23">
        <f>$D9*COS($E9+$F9*'25SolarCoords'!AT$7)</f>
        <v>175347046</v>
      </c>
      <c r="AY9" s="23">
        <f>$D9*COS($E9+$F9*'25SolarCoords'!AU$7)</f>
        <v>175347046</v>
      </c>
      <c r="AZ9" s="23">
        <f>$D9*COS($E9+$F9*'25SolarCoords'!AV$7)</f>
        <v>175347046</v>
      </c>
      <c r="BA9" s="23">
        <f>$D9*COS($E9+$F9*'25SolarCoords'!AW$7)</f>
        <v>175347046</v>
      </c>
      <c r="BB9" s="23">
        <f>$D9*COS($E9+$F9*'25SolarCoords'!AX$7)</f>
        <v>175347046</v>
      </c>
      <c r="BC9" s="23">
        <f>$D9*COS($E9+$F9*'25SolarCoords'!AY$7)</f>
        <v>175347046</v>
      </c>
      <c r="BD9" s="23">
        <f>$D9*COS($E9+$F9*'25SolarCoords'!AZ$7)</f>
        <v>175347046</v>
      </c>
      <c r="BE9" s="23">
        <f>$D9*COS($E9+$F9*'25SolarCoords'!BA$7)</f>
        <v>175347046</v>
      </c>
      <c r="BF9" s="23">
        <f>$D9*COS($E9+$F9*'25SolarCoords'!BB$7)</f>
        <v>175347046</v>
      </c>
      <c r="BG9" s="23">
        <f>$D9*COS($E9+$F9*'25SolarCoords'!BC$7)</f>
        <v>175347046</v>
      </c>
      <c r="BH9" s="23">
        <f>$D9*COS($E9+$F9*'25SolarCoords'!BD$7)</f>
        <v>175347046</v>
      </c>
      <c r="BI9" s="23">
        <f>$D9*COS($E9+$F9*'25SolarCoords'!BE$7)</f>
        <v>175347046</v>
      </c>
      <c r="BJ9" s="23">
        <f>$D9*COS($E9+$F9*'25SolarCoords'!BF$7)</f>
        <v>175347046</v>
      </c>
      <c r="BK9" s="23">
        <f>$D9*COS($E9+$F9*'25SolarCoords'!BG$7)</f>
        <v>175347046</v>
      </c>
    </row>
    <row r="10" spans="1:63" x14ac:dyDescent="0.25">
      <c r="C10">
        <f t="shared" ref="C10:C41" si="0">C9+1</f>
        <v>2</v>
      </c>
      <c r="D10">
        <v>3341656</v>
      </c>
      <c r="E10">
        <v>4.6692568000000003</v>
      </c>
      <c r="F10">
        <v>6283.0758500000002</v>
      </c>
      <c r="H10" s="7"/>
      <c r="I10" s="23">
        <f>$D10*COS($E10+$F10*'25SolarCoords'!E$7)</f>
        <v>-3341269.6736015822</v>
      </c>
      <c r="J10" s="23">
        <f>$D10*COS($E10+$F10*'25SolarCoords'!F$7)</f>
        <v>2450332.7931972272</v>
      </c>
      <c r="K10" s="23">
        <f>$D10*COS($E10+$F10*'25SolarCoords'!G$7)</f>
        <v>-144088.22308239993</v>
      </c>
      <c r="L10" s="23">
        <f>$D10*COS($E10+$F10*'25SolarCoords'!H$7)</f>
        <v>-158079.0183289749</v>
      </c>
      <c r="M10" s="23">
        <f>$D10*COS($E10+$F10*'25SolarCoords'!I$7)</f>
        <v>1305134.4928815551</v>
      </c>
      <c r="N10" s="23">
        <f>$D10*COS($E10+$F10*'25SolarCoords'!J$7)</f>
        <v>897256.72986957454</v>
      </c>
      <c r="O10" s="23">
        <f>$D10*COS($E10+$F10*'25SolarCoords'!K$7)</f>
        <v>1291555.6376113314</v>
      </c>
      <c r="P10" s="23">
        <f>$D10*COS($E10+$F10*'25SolarCoords'!L$7)</f>
        <v>856007.28218915651</v>
      </c>
      <c r="Q10" s="23">
        <f>$D10*COS($E10+$F10*'25SolarCoords'!M$7)</f>
        <v>-78806.322629828981</v>
      </c>
      <c r="R10" s="23">
        <f>$D10*COS($E10+$F10*'25SolarCoords'!N$7)</f>
        <v>145837.00640418817</v>
      </c>
      <c r="S10" s="23">
        <f>$D10*COS($E10+$F10*'25SolarCoords'!O$7)</f>
        <v>131113.01309088647</v>
      </c>
      <c r="T10" s="23">
        <f>$D10*COS($E10+$F10*'25SolarCoords'!P$7)</f>
        <v>3009755.4615233163</v>
      </c>
      <c r="U10" s="23">
        <f>$D10*COS($E10+$F10*'25SolarCoords'!Q$7)</f>
        <v>1287628.0746851219</v>
      </c>
      <c r="V10" s="23">
        <f>$D10*COS($E10+$F10*'25SolarCoords'!R$7)</f>
        <v>1340479.6708776918</v>
      </c>
      <c r="W10" s="23">
        <f>$D10*COS($E10+$F10*'25SolarCoords'!S$7)</f>
        <v>-2120081.405194391</v>
      </c>
      <c r="X10" s="23">
        <f>$D10*COS($E10+$F10*'25SolarCoords'!T$7)</f>
        <v>3336491.2542039161</v>
      </c>
      <c r="Y10" s="23">
        <f>$D10*COS($E10+$F10*'25SolarCoords'!U$7)</f>
        <v>-3220459.8627199102</v>
      </c>
      <c r="Z10" s="23">
        <f>$D10*COS($E10+$F10*'25SolarCoords'!V$7)</f>
        <v>2648822.0178642045</v>
      </c>
      <c r="AA10" s="23">
        <f>$D10*COS($E10+$F10*'25SolarCoords'!W$7)</f>
        <v>3329247.4907810488</v>
      </c>
      <c r="AB10" s="23">
        <f>$D10*COS($E10+$F10*'25SolarCoords'!X$7)</f>
        <v>3312160.7679293081</v>
      </c>
      <c r="AC10" s="23">
        <f>$D10*COS($E10+$F10*'25SolarCoords'!Y$7)</f>
        <v>2247757.9791490645</v>
      </c>
      <c r="AD10" s="23">
        <f>$D10*COS($E10+$F10*'25SolarCoords'!Z$7)</f>
        <v>-188867.80393042334</v>
      </c>
      <c r="AE10" s="23">
        <f>$D10*COS($E10+$F10*'25SolarCoords'!AA$7)</f>
        <v>-172797.5988247304</v>
      </c>
      <c r="AF10" s="23">
        <f>$D10*COS($E10+$F10*'25SolarCoords'!AB$7)</f>
        <v>278062.96274606441</v>
      </c>
      <c r="AG10" s="23">
        <f>$D10*COS($E10+$F10*'25SolarCoords'!AC$7)</f>
        <v>-2555925.0403904794</v>
      </c>
      <c r="AH10" s="23">
        <f>$D10*COS($E10+$F10*'25SolarCoords'!AD$7)</f>
        <v>3187004.8191151819</v>
      </c>
      <c r="AI10" s="23">
        <f>$D10*COS($E10+$F10*'25SolarCoords'!AE$7)</f>
        <v>2378427.5016690926</v>
      </c>
      <c r="AJ10" s="23">
        <f>$D10*COS($E10+$F10*'25SolarCoords'!AF$7)</f>
        <v>-808889.38605197158</v>
      </c>
      <c r="AK10" s="23">
        <f>$D10*COS($E10+$F10*'25SolarCoords'!AG$7)</f>
        <v>-3300785.3696714677</v>
      </c>
      <c r="AL10" s="23">
        <f>$D10*COS($E10+$F10*'25SolarCoords'!AH$7)</f>
        <v>2753605.4744744557</v>
      </c>
      <c r="AM10" s="23">
        <f>$D10*COS($E10+$F10*'25SolarCoords'!AI$7)</f>
        <v>3336368.7954977234</v>
      </c>
      <c r="AN10" s="23">
        <f>$D10*COS($E10+$F10*'25SolarCoords'!AJ$7)</f>
        <v>3001101.8080506464</v>
      </c>
      <c r="AO10" s="23">
        <f>$D10*COS($E10+$F10*'25SolarCoords'!AK$7)</f>
        <v>-20079.387280194976</v>
      </c>
      <c r="AP10" s="23">
        <f>$D10*COS($E10+$F10*'25SolarCoords'!AL$7)</f>
        <v>-3239853.2444013734</v>
      </c>
      <c r="AQ10" s="23">
        <f>$D10*COS($E10+$F10*'25SolarCoords'!AM$7)</f>
        <v>-1778865.2320515336</v>
      </c>
      <c r="AR10" s="23">
        <f>$D10*COS($E10+$F10*'25SolarCoords'!AN$7)</f>
        <v>3340263.080522873</v>
      </c>
      <c r="AS10" s="23">
        <f>$D10*COS($E10+$F10*'25SolarCoords'!AO$7)</f>
        <v>1417309.0680350859</v>
      </c>
      <c r="AT10" s="23">
        <f>$D10*COS($E10+$F10*'25SolarCoords'!AP$7)</f>
        <v>-3301595.0877127904</v>
      </c>
      <c r="AU10" s="23">
        <f>$D10*COS($E10+$F10*'25SolarCoords'!AQ$7)</f>
        <v>-3339766.6643733927</v>
      </c>
      <c r="AV10" s="23">
        <f>$D10*COS($E10+$F10*'25SolarCoords'!AR$7)</f>
        <v>-3329559.224124488</v>
      </c>
      <c r="AW10" s="23">
        <f>$D10*COS($E10+$F10*'25SolarCoords'!AS$7)</f>
        <v>-3261552.0604757299</v>
      </c>
      <c r="AX10" s="23">
        <f>$D10*COS($E10+$F10*'25SolarCoords'!AT$7)</f>
        <v>-2977015.9984172224</v>
      </c>
      <c r="AY10" s="23">
        <f>$D10*COS($E10+$F10*'25SolarCoords'!AU$7)</f>
        <v>1831162.7141307949</v>
      </c>
      <c r="AZ10" s="23">
        <f>$D10*COS($E10+$F10*'25SolarCoords'!AV$7)</f>
        <v>-2811943.1077853958</v>
      </c>
      <c r="BA10" s="23">
        <f>$D10*COS($E10+$F10*'25SolarCoords'!AW$7)</f>
        <v>95192.577271105125</v>
      </c>
      <c r="BB10" s="23">
        <f>$D10*COS($E10+$F10*'25SolarCoords'!AX$7)</f>
        <v>3285186.9541342836</v>
      </c>
      <c r="BC10" s="23">
        <f>$D10*COS($E10+$F10*'25SolarCoords'!AY$7)</f>
        <v>-1840287.469622917</v>
      </c>
      <c r="BD10" s="23">
        <f>$D10*COS($E10+$F10*'25SolarCoords'!AZ$7)</f>
        <v>-1792036.2538024478</v>
      </c>
      <c r="BE10" s="23">
        <f>$D10*COS($E10+$F10*'25SolarCoords'!BA$7)</f>
        <v>-1743254.7640988468</v>
      </c>
      <c r="BF10" s="23">
        <f>$D10*COS($E10+$F10*'25SolarCoords'!BB$7)</f>
        <v>-1693957.4352368924</v>
      </c>
      <c r="BG10" s="23">
        <f>$D10*COS($E10+$F10*'25SolarCoords'!BC$7)</f>
        <v>-1644158.8545809065</v>
      </c>
      <c r="BH10" s="23">
        <f>$D10*COS($E10+$F10*'25SolarCoords'!BD$7)</f>
        <v>-1593873.7578187569</v>
      </c>
      <c r="BI10" s="23">
        <f>$D10*COS($E10+$F10*'25SolarCoords'!BE$7)</f>
        <v>-1543117.0246012418</v>
      </c>
      <c r="BJ10" s="23">
        <f>$D10*COS($E10+$F10*'25SolarCoords'!BF$7)</f>
        <v>-1491903.6741389455</v>
      </c>
      <c r="BK10" s="23">
        <f>$D10*COS($E10+$F10*'25SolarCoords'!BG$7)</f>
        <v>2372315.9903999316</v>
      </c>
    </row>
    <row r="11" spans="1:63" x14ac:dyDescent="0.25">
      <c r="C11">
        <f t="shared" si="0"/>
        <v>3</v>
      </c>
      <c r="D11">
        <v>34894</v>
      </c>
      <c r="E11">
        <v>4.6261000000000001</v>
      </c>
      <c r="F11">
        <v>12566.1517</v>
      </c>
      <c r="H11" s="7"/>
      <c r="I11" s="23">
        <f>$D11*COS($E11+$F11*'25SolarCoords'!E$7)</f>
        <v>-1060.1753399691224</v>
      </c>
      <c r="J11" s="23">
        <f>$D11*COS($E11+$F11*'25SolarCoords'!F$7)</f>
        <v>34794.821718792613</v>
      </c>
      <c r="K11" s="23">
        <f>$D11*COS($E11+$F11*'25SolarCoords'!G$7)</f>
        <v>-3007.2325677844192</v>
      </c>
      <c r="L11" s="23">
        <f>$D11*COS($E11+$F11*'25SolarCoords'!H$7)</f>
        <v>-3298.5219526473434</v>
      </c>
      <c r="M11" s="23">
        <f>$D11*COS($E11+$F11*'25SolarCoords'!I$7)</f>
        <v>25091.30519422438</v>
      </c>
      <c r="N11" s="23">
        <f>$D11*COS($E11+$F11*'25SolarCoords'!J$7)</f>
        <v>-18051.154995184745</v>
      </c>
      <c r="O11" s="23">
        <f>$D11*COS($E11+$F11*'25SolarCoords'!K$7)</f>
        <v>24876.455751880738</v>
      </c>
      <c r="P11" s="23">
        <f>$D11*COS($E11+$F11*'25SolarCoords'!L$7)</f>
        <v>-17281.329972906249</v>
      </c>
      <c r="Q11" s="23">
        <f>$D11*COS($E11+$F11*'25SolarCoords'!M$7)</f>
        <v>-1646.2118221892711</v>
      </c>
      <c r="R11" s="23">
        <f>$D11*COS($E11+$F11*'25SolarCoords'!N$7)</f>
        <v>3041.9397433591571</v>
      </c>
      <c r="S11" s="23">
        <f>$D11*COS($E11+$F11*'25SolarCoords'!O$7)</f>
        <v>2735.232839160356</v>
      </c>
      <c r="T11" s="23">
        <f>$D11*COS($E11+$F11*'25SolarCoords'!P$7)</f>
        <v>-27309.835376086663</v>
      </c>
      <c r="U11" s="23">
        <f>$D11*COS($E11+$F11*'25SolarCoords'!Q$7)</f>
        <v>24814.025612383226</v>
      </c>
      <c r="V11" s="23">
        <f>$D11*COS($E11+$F11*'25SolarCoords'!R$7)</f>
        <v>25643.205479960856</v>
      </c>
      <c r="W11" s="23">
        <f>$D11*COS($E11+$F11*'25SolarCoords'!S$7)</f>
        <v>34224.182818011359</v>
      </c>
      <c r="X11" s="23">
        <f>$D11*COS($E11+$F11*'25SolarCoords'!T$7)</f>
        <v>3873.4278420139749</v>
      </c>
      <c r="Y11" s="23">
        <f>$D11*COS($E11+$F11*'25SolarCoords'!U$7)</f>
        <v>17949.788005600021</v>
      </c>
      <c r="Z11" s="23">
        <f>$D11*COS($E11+$F11*'25SolarCoords'!V$7)</f>
        <v>33725.48612839578</v>
      </c>
      <c r="AA11" s="23">
        <f>$D11*COS($E11+$F11*'25SolarCoords'!W$7)</f>
        <v>-5985.4124178119155</v>
      </c>
      <c r="AB11" s="23">
        <f>$D11*COS($E11+$F11*'25SolarCoords'!X$7)</f>
        <v>-9169.3964604964076</v>
      </c>
      <c r="AC11" s="23">
        <f>$D11*COS($E11+$F11*'25SolarCoords'!Y$7)</f>
        <v>34735.803955874981</v>
      </c>
      <c r="AD11" s="23">
        <f>$D11*COS($E11+$F11*'25SolarCoords'!Z$7)</f>
        <v>-3938.912168793664</v>
      </c>
      <c r="AE11" s="23">
        <f>$D11*COS($E11+$F11*'25SolarCoords'!AA$7)</f>
        <v>-3604.7757820646984</v>
      </c>
      <c r="AF11" s="23">
        <f>$D11*COS($E11+$F11*'25SolarCoords'!AB$7)</f>
        <v>-5787.8458281148942</v>
      </c>
      <c r="AG11" s="23">
        <f>$D11*COS($E11+$F11*'25SolarCoords'!AC$7)</f>
        <v>-34385.665251541257</v>
      </c>
      <c r="AH11" s="23">
        <f>$D11*COS($E11+$F11*'25SolarCoords'!AD$7)</f>
        <v>-20013.055252915605</v>
      </c>
      <c r="AI11" s="23">
        <f>$D11*COS($E11+$F11*'25SolarCoords'!AE$7)</f>
        <v>34890.980695764229</v>
      </c>
      <c r="AJ11" s="23">
        <f>$D11*COS($E11+$F11*'25SolarCoords'!AF$7)</f>
        <v>-16391.423570411531</v>
      </c>
      <c r="AK11" s="23">
        <f>$D11*COS($E11+$F11*'25SolarCoords'!AG$7)</f>
        <v>-10747.589371857262</v>
      </c>
      <c r="AL11" s="23">
        <f>$D11*COS($E11+$F11*'25SolarCoords'!AH$7)</f>
        <v>32581.162772269145</v>
      </c>
      <c r="AM11" s="23">
        <f>$D11*COS($E11+$F11*'25SolarCoords'!AI$7)</f>
        <v>3918.8893573955265</v>
      </c>
      <c r="AN11" s="23">
        <f>$D11*COS($E11+$F11*'25SolarCoords'!AJ$7)</f>
        <v>-27565.246546721901</v>
      </c>
      <c r="AO11" s="23">
        <f>$D11*COS($E11+$F11*'25SolarCoords'!AK$7)</f>
        <v>-420.19451234755923</v>
      </c>
      <c r="AP11" s="23">
        <f>$D11*COS($E11+$F11*'25SolarCoords'!AL$7)</f>
        <v>16574.67165408871</v>
      </c>
      <c r="AQ11" s="23">
        <f>$D11*COS($E11+$F11*'25SolarCoords'!AM$7)</f>
        <v>31448.698931497067</v>
      </c>
      <c r="AR11" s="23">
        <f>$D11*COS($E11+$F11*'25SolarCoords'!AN$7)</f>
        <v>-2013.1056754081944</v>
      </c>
      <c r="AS11" s="23">
        <f>$D11*COS($E11+$F11*'25SolarCoords'!AO$7)</f>
        <v>26804.695050666767</v>
      </c>
      <c r="AT11" s="23">
        <f>$D11*COS($E11+$F11*'25SolarCoords'!AP$7)</f>
        <v>10645.479067282684</v>
      </c>
      <c r="AU11" s="23">
        <f>$D11*COS($E11+$F11*'25SolarCoords'!AQ$7)</f>
        <v>2345.9628609802185</v>
      </c>
      <c r="AV11" s="23">
        <f>$D11*COS($E11+$F11*'25SolarCoords'!AR$7)</f>
        <v>-5910.4303175316254</v>
      </c>
      <c r="AW11" s="23">
        <f>$D11*COS($E11+$F11*'25SolarCoords'!AS$7)</f>
        <v>-14823.925780066977</v>
      </c>
      <c r="AX11" s="23">
        <f>$D11*COS($E11+$F11*'25SolarCoords'!AT$7)</f>
        <v>-28240.718488057017</v>
      </c>
      <c r="AY11" s="23">
        <f>$D11*COS($E11+$F11*'25SolarCoords'!AU$7)</f>
        <v>-31989.827319385404</v>
      </c>
      <c r="AZ11" s="23">
        <f>$D11*COS($E11+$F11*'25SolarCoords'!AV$7)</f>
        <v>31728.79410272554</v>
      </c>
      <c r="BA11" s="23">
        <f>$D11*COS($E11+$F11*'25SolarCoords'!AW$7)</f>
        <v>1986.3616933435949</v>
      </c>
      <c r="BB11" s="23">
        <f>$D11*COS($E11+$F11*'25SolarCoords'!AX$7)</f>
        <v>-12558.801890724053</v>
      </c>
      <c r="BC11" s="23">
        <f>$D11*COS($E11+$F11*'25SolarCoords'!AY$7)</f>
        <v>-32080.232423129113</v>
      </c>
      <c r="BD11" s="23">
        <f>$D11*COS($E11+$F11*'25SolarCoords'!AZ$7)</f>
        <v>-31589.050120515032</v>
      </c>
      <c r="BE11" s="23">
        <f>$D11*COS($E11+$F11*'25SolarCoords'!BA$7)</f>
        <v>-31060.481053948806</v>
      </c>
      <c r="BF11" s="23">
        <f>$D11*COS($E11+$F11*'25SolarCoords'!BB$7)</f>
        <v>-30495.15080371471</v>
      </c>
      <c r="BG11" s="23">
        <f>$D11*COS($E11+$F11*'25SolarCoords'!BC$7)</f>
        <v>-29893.728458262103</v>
      </c>
      <c r="BH11" s="23">
        <f>$D11*COS($E11+$F11*'25SolarCoords'!BD$7)</f>
        <v>-29256.925822321024</v>
      </c>
      <c r="BI11" s="23">
        <f>$D11*COS($E11+$F11*'25SolarCoords'!BE$7)</f>
        <v>-28585.496574453482</v>
      </c>
      <c r="BJ11" s="23">
        <f>$D11*COS($E11+$F11*'25SolarCoords'!BF$7)</f>
        <v>-27880.235375045664</v>
      </c>
      <c r="BK11" s="23">
        <f>$D11*COS($E11+$F11*'25SolarCoords'!BG$7)</f>
        <v>34892.896006308212</v>
      </c>
    </row>
    <row r="12" spans="1:63" x14ac:dyDescent="0.25">
      <c r="C12">
        <f t="shared" si="0"/>
        <v>4</v>
      </c>
      <c r="D12">
        <v>3497</v>
      </c>
      <c r="E12">
        <v>2.7441</v>
      </c>
      <c r="F12">
        <v>5753.3849</v>
      </c>
      <c r="H12" s="7"/>
      <c r="I12" s="23">
        <f>$D12*COS($E12+$F12*'25SolarCoords'!E$7)</f>
        <v>155.95401568283393</v>
      </c>
      <c r="J12" s="23">
        <f>$D12*COS($E12+$F12*'25SolarCoords'!F$7)</f>
        <v>2849.4029232386547</v>
      </c>
      <c r="K12" s="23">
        <f>$D12*COS($E12+$F12*'25SolarCoords'!G$7)</f>
        <v>-3224.3546619122972</v>
      </c>
      <c r="L12" s="23">
        <f>$D12*COS($E12+$F12*'25SolarCoords'!H$7)</f>
        <v>-3468.2263646473139</v>
      </c>
      <c r="M12" s="23">
        <f>$D12*COS($E12+$F12*'25SolarCoords'!I$7)</f>
        <v>-2861.6155243118797</v>
      </c>
      <c r="N12" s="23">
        <f>$D12*COS($E12+$F12*'25SolarCoords'!J$7)</f>
        <v>3371.3729418971998</v>
      </c>
      <c r="O12" s="23">
        <f>$D12*COS($E12+$F12*'25SolarCoords'!K$7)</f>
        <v>-3486.203228340898</v>
      </c>
      <c r="P12" s="23">
        <f>$D12*COS($E12+$F12*'25SolarCoords'!L$7)</f>
        <v>2469.1817314451714</v>
      </c>
      <c r="Q12" s="23">
        <f>$D12*COS($E12+$F12*'25SolarCoords'!M$7)</f>
        <v>2394.2771772582282</v>
      </c>
      <c r="R12" s="23">
        <f>$D12*COS($E12+$F12*'25SolarCoords'!N$7)</f>
        <v>1662.5829714908248</v>
      </c>
      <c r="S12" s="23">
        <f>$D12*COS($E12+$F12*'25SolarCoords'!O$7)</f>
        <v>2996.5198466075626</v>
      </c>
      <c r="T12" s="23">
        <f>$D12*COS($E12+$F12*'25SolarCoords'!P$7)</f>
        <v>730.01667174018951</v>
      </c>
      <c r="U12" s="23">
        <f>$D12*COS($E12+$F12*'25SolarCoords'!Q$7)</f>
        <v>-2757.9314653839542</v>
      </c>
      <c r="V12" s="23">
        <f>$D12*COS($E12+$F12*'25SolarCoords'!R$7)</f>
        <v>-2791.4557077641089</v>
      </c>
      <c r="W12" s="23">
        <f>$D12*COS($E12+$F12*'25SolarCoords'!S$7)</f>
        <v>3001.4672402005872</v>
      </c>
      <c r="X12" s="23">
        <f>$D12*COS($E12+$F12*'25SolarCoords'!T$7)</f>
        <v>-3095.161826836857</v>
      </c>
      <c r="Y12" s="23">
        <f>$D12*COS($E12+$F12*'25SolarCoords'!U$7)</f>
        <v>2976.6941672298231</v>
      </c>
      <c r="Z12" s="23">
        <f>$D12*COS($E12+$F12*'25SolarCoords'!V$7)</f>
        <v>-3140.8057549236232</v>
      </c>
      <c r="AA12" s="23">
        <f>$D12*COS($E12+$F12*'25SolarCoords'!W$7)</f>
        <v>665.35665830541552</v>
      </c>
      <c r="AB12" s="23">
        <f>$D12*COS($E12+$F12*'25SolarCoords'!X$7)</f>
        <v>-2325.1043550515137</v>
      </c>
      <c r="AC12" s="23">
        <f>$D12*COS($E12+$F12*'25SolarCoords'!Y$7)</f>
        <v>-3489.4599219456745</v>
      </c>
      <c r="AD12" s="23">
        <f>$D12*COS($E12+$F12*'25SolarCoords'!Z$7)</f>
        <v>-538.62895012326624</v>
      </c>
      <c r="AE12" s="23">
        <f>$D12*COS($E12+$F12*'25SolarCoords'!AA$7)</f>
        <v>-3213.5929652435166</v>
      </c>
      <c r="AF12" s="23">
        <f>$D12*COS($E12+$F12*'25SolarCoords'!AB$7)</f>
        <v>366.97045493209504</v>
      </c>
      <c r="AG12" s="23">
        <f>$D12*COS($E12+$F12*'25SolarCoords'!AC$7)</f>
        <v>2993.08110655056</v>
      </c>
      <c r="AH12" s="23">
        <f>$D12*COS($E12+$F12*'25SolarCoords'!AD$7)</f>
        <v>-479.4329285187377</v>
      </c>
      <c r="AI12" s="23">
        <f>$D12*COS($E12+$F12*'25SolarCoords'!AE$7)</f>
        <v>-3496.5499700324676</v>
      </c>
      <c r="AJ12" s="23">
        <f>$D12*COS($E12+$F12*'25SolarCoords'!AF$7)</f>
        <v>3496.5762706033929</v>
      </c>
      <c r="AK12" s="23">
        <f>$D12*COS($E12+$F12*'25SolarCoords'!AG$7)</f>
        <v>1627.5428408147059</v>
      </c>
      <c r="AL12" s="23">
        <f>$D12*COS($E12+$F12*'25SolarCoords'!AH$7)</f>
        <v>-1927.3857583958165</v>
      </c>
      <c r="AM12" s="23">
        <f>$D12*COS($E12+$F12*'25SolarCoords'!AI$7)</f>
        <v>-1839.9541510264526</v>
      </c>
      <c r="AN12" s="23">
        <f>$D12*COS($E12+$F12*'25SolarCoords'!AJ$7)</f>
        <v>-1654.6838136114304</v>
      </c>
      <c r="AO12" s="23">
        <f>$D12*COS($E12+$F12*'25SolarCoords'!AK$7)</f>
        <v>774.60260856270349</v>
      </c>
      <c r="AP12" s="23">
        <f>$D12*COS($E12+$F12*'25SolarCoords'!AL$7)</f>
        <v>3224.6610169773849</v>
      </c>
      <c r="AQ12" s="23">
        <f>$D12*COS($E12+$F12*'25SolarCoords'!AM$7)</f>
        <v>1981.0929894003159</v>
      </c>
      <c r="AR12" s="23">
        <f>$D12*COS($E12+$F12*'25SolarCoords'!AN$7)</f>
        <v>-1564.9506262765697</v>
      </c>
      <c r="AS12" s="23">
        <f>$D12*COS($E12+$F12*'25SolarCoords'!AO$7)</f>
        <v>3429.3522889573469</v>
      </c>
      <c r="AT12" s="23">
        <f>$D12*COS($E12+$F12*'25SolarCoords'!AP$7)</f>
        <v>-55.120253345097389</v>
      </c>
      <c r="AU12" s="23">
        <f>$D12*COS($E12+$F12*'25SolarCoords'!AQ$7)</f>
        <v>-442.58364631487819</v>
      </c>
      <c r="AV12" s="23">
        <f>$D12*COS($E12+$F12*'25SolarCoords'!AR$7)</f>
        <v>-816.40522544232851</v>
      </c>
      <c r="AW12" s="23">
        <f>$D12*COS($E12+$F12*'25SolarCoords'!AS$7)</f>
        <v>-1227.3085312878402</v>
      </c>
      <c r="AX12" s="23">
        <f>$D12*COS($E12+$F12*'25SolarCoords'!AT$7)</f>
        <v>-1944.0264569589251</v>
      </c>
      <c r="AY12" s="23">
        <f>$D12*COS($E12+$F12*'25SolarCoords'!AU$7)</f>
        <v>2921.9795819480742</v>
      </c>
      <c r="AZ12" s="23">
        <f>$D12*COS($E12+$F12*'25SolarCoords'!AV$7)</f>
        <v>-1070.6909224476942</v>
      </c>
      <c r="BA12" s="23">
        <f>$D12*COS($E12+$F12*'25SolarCoords'!AW$7)</f>
        <v>3135.1770774687052</v>
      </c>
      <c r="BB12" s="23">
        <f>$D12*COS($E12+$F12*'25SolarCoords'!AX$7)</f>
        <v>-1565.372392392381</v>
      </c>
      <c r="BC12" s="23">
        <f>$D12*COS($E12+$F12*'25SolarCoords'!AY$7)</f>
        <v>-3054.0704333679532</v>
      </c>
      <c r="BD12" s="23">
        <f>$D12*COS($E12+$F12*'25SolarCoords'!AZ$7)</f>
        <v>-3080.5226638168333</v>
      </c>
      <c r="BE12" s="23">
        <f>$D12*COS($E12+$F12*'25SolarCoords'!BA$7)</f>
        <v>-3106.2105626261787</v>
      </c>
      <c r="BF12" s="23">
        <f>$D12*COS($E12+$F12*'25SolarCoords'!BB$7)</f>
        <v>-3131.1277561782772</v>
      </c>
      <c r="BG12" s="23">
        <f>$D12*COS($E12+$F12*'25SolarCoords'!BC$7)</f>
        <v>-3155.2680620808492</v>
      </c>
      <c r="BH12" s="23">
        <f>$D12*COS($E12+$F12*'25SolarCoords'!BD$7)</f>
        <v>-3178.625490701223</v>
      </c>
      <c r="BI12" s="23">
        <f>$D12*COS($E12+$F12*'25SolarCoords'!BE$7)</f>
        <v>-3201.194246651999</v>
      </c>
      <c r="BJ12" s="23">
        <f>$D12*COS($E12+$F12*'25SolarCoords'!BF$7)</f>
        <v>-3222.9687302295761</v>
      </c>
      <c r="BK12" s="23">
        <f>$D12*COS($E12+$F12*'25SolarCoords'!BG$7)</f>
        <v>-3496.4064816053256</v>
      </c>
    </row>
    <row r="13" spans="1:63" x14ac:dyDescent="0.25">
      <c r="C13">
        <f t="shared" si="0"/>
        <v>5</v>
      </c>
      <c r="D13">
        <v>3418</v>
      </c>
      <c r="E13">
        <v>2.8289</v>
      </c>
      <c r="F13">
        <v>3.5230999999999999</v>
      </c>
      <c r="H13" s="7"/>
      <c r="I13" s="23">
        <f>$D13*COS($E13+$F13*'25SolarCoords'!E$7)</f>
        <v>-3060.4073075826864</v>
      </c>
      <c r="J13" s="23">
        <f>$D13*COS($E13+$F13*'25SolarCoords'!F$7)</f>
        <v>-3401.6438868075161</v>
      </c>
      <c r="K13" s="23">
        <f>$D13*COS($E13+$F13*'25SolarCoords'!G$7)</f>
        <v>-3252.2567408935165</v>
      </c>
      <c r="L13" s="23">
        <f>$D13*COS($E13+$F13*'25SolarCoords'!H$7)</f>
        <v>-3248.5296330641695</v>
      </c>
      <c r="M13" s="23">
        <f>$D13*COS($E13+$F13*'25SolarCoords'!I$7)</f>
        <v>-3201.0040724532801</v>
      </c>
      <c r="N13" s="23">
        <f>$D13*COS($E13+$F13*'25SolarCoords'!J$7)</f>
        <v>-3202.6598618045182</v>
      </c>
      <c r="O13" s="23">
        <f>$D13*COS($E13+$F13*'25SolarCoords'!K$7)</f>
        <v>-3205.2036156894028</v>
      </c>
      <c r="P13" s="23">
        <f>$D13*COS($E13+$F13*'25SolarCoords'!L$7)</f>
        <v>-3206.8551998844855</v>
      </c>
      <c r="Q13" s="23">
        <f>$D13*COS($E13+$F13*'25SolarCoords'!M$7)</f>
        <v>-2689.6861470257222</v>
      </c>
      <c r="R13" s="23">
        <f>$D13*COS($E13+$F13*'25SolarCoords'!N$7)</f>
        <v>514.53807516589495</v>
      </c>
      <c r="S13" s="23">
        <f>$D13*COS($E13+$F13*'25SolarCoords'!O$7)</f>
        <v>502.63833037928322</v>
      </c>
      <c r="T13" s="23">
        <f>$D13*COS($E13+$F13*'25SolarCoords'!P$7)</f>
        <v>1021.2386825510673</v>
      </c>
      <c r="U13" s="23">
        <f>$D13*COS($E13+$F13*'25SolarCoords'!Q$7)</f>
        <v>-223.33193805221518</v>
      </c>
      <c r="V13" s="23">
        <f>$D13*COS($E13+$F13*'25SolarCoords'!R$7)</f>
        <v>-223.36483666712908</v>
      </c>
      <c r="W13" s="23">
        <f>$D13*COS($E13+$F13*'25SolarCoords'!S$7)</f>
        <v>394.13493417898945</v>
      </c>
      <c r="X13" s="23">
        <f>$D13*COS($E13+$F13*'25SolarCoords'!T$7)</f>
        <v>389.72984255024278</v>
      </c>
      <c r="Y13" s="23">
        <f>$D13*COS($E13+$F13*'25SolarCoords'!U$7)</f>
        <v>383.33883943399115</v>
      </c>
      <c r="Z13" s="23">
        <f>$D13*COS($E13+$F13*'25SolarCoords'!V$7)</f>
        <v>-1323.6916179997486</v>
      </c>
      <c r="AA13" s="23">
        <f>$D13*COS($E13+$F13*'25SolarCoords'!W$7)</f>
        <v>-3201.8471569491971</v>
      </c>
      <c r="AB13" s="23">
        <f>$D13*COS($E13+$F13*'25SolarCoords'!X$7)</f>
        <v>-3222.4512252253799</v>
      </c>
      <c r="AC13" s="23">
        <f>$D13*COS($E13+$F13*'25SolarCoords'!Y$7)</f>
        <v>-3157.0500573974609</v>
      </c>
      <c r="AD13" s="23">
        <f>$D13*COS($E13+$F13*'25SolarCoords'!Z$7)</f>
        <v>-3375.5965498049163</v>
      </c>
      <c r="AE13" s="23">
        <f>$D13*COS($E13+$F13*'25SolarCoords'!AA$7)</f>
        <v>-3252.2516698515828</v>
      </c>
      <c r="AF13" s="23">
        <f>$D13*COS($E13+$F13*'25SolarCoords'!AB$7)</f>
        <v>-3042.6931846221983</v>
      </c>
      <c r="AG13" s="23">
        <f>$D13*COS($E13+$F13*'25SolarCoords'!AC$7)</f>
        <v>-3165.0386791512574</v>
      </c>
      <c r="AH13" s="23">
        <f>$D13*COS($E13+$F13*'25SolarCoords'!AD$7)</f>
        <v>-3206.1873158105336</v>
      </c>
      <c r="AI13" s="23">
        <f>$D13*COS($E13+$F13*'25SolarCoords'!AE$7)</f>
        <v>-3157.0898696793024</v>
      </c>
      <c r="AJ13" s="23">
        <f>$D13*COS($E13+$F13*'25SolarCoords'!AF$7)</f>
        <v>-3225.211587041701</v>
      </c>
      <c r="AK13" s="23">
        <f>$D13*COS($E13+$F13*'25SolarCoords'!AG$7)</f>
        <v>-3224.4686040850611</v>
      </c>
      <c r="AL13" s="23">
        <f>$D13*COS($E13+$F13*'25SolarCoords'!AH$7)</f>
        <v>-3217.9417078758916</v>
      </c>
      <c r="AM13" s="23">
        <f>$D13*COS($E13+$F13*'25SolarCoords'!AI$7)</f>
        <v>-3222.3302994378228</v>
      </c>
      <c r="AN13" s="23">
        <f>$D13*COS($E13+$F13*'25SolarCoords'!AJ$7)</f>
        <v>-3226.6498868188414</v>
      </c>
      <c r="AO13" s="23">
        <f>$D13*COS($E13+$F13*'25SolarCoords'!AK$7)</f>
        <v>-1977.3703798620998</v>
      </c>
      <c r="AP13" s="23">
        <f>$D13*COS($E13+$F13*'25SolarCoords'!AL$7)</f>
        <v>-3216.1373371547184</v>
      </c>
      <c r="AQ13" s="23">
        <f>$D13*COS($E13+$F13*'25SolarCoords'!AM$7)</f>
        <v>-1496.3059724434197</v>
      </c>
      <c r="AR13" s="23">
        <f>$D13*COS($E13+$F13*'25SolarCoords'!AN$7)</f>
        <v>-3253.2239226942283</v>
      </c>
      <c r="AS13" s="23">
        <f>$D13*COS($E13+$F13*'25SolarCoords'!AO$7)</f>
        <v>-1634.9532879828755</v>
      </c>
      <c r="AT13" s="23">
        <f>$D13*COS($E13+$F13*'25SolarCoords'!AP$7)</f>
        <v>-3325.9517756203322</v>
      </c>
      <c r="AU13" s="23">
        <f>$D13*COS($E13+$F13*'25SolarCoords'!AQ$7)</f>
        <v>-3326.0053884227273</v>
      </c>
      <c r="AV13" s="23">
        <f>$D13*COS($E13+$F13*'25SolarCoords'!AR$7)</f>
        <v>-3326.0578254099696</v>
      </c>
      <c r="AW13" s="23">
        <f>$D13*COS($E13+$F13*'25SolarCoords'!AS$7)</f>
        <v>-3326.1171078623784</v>
      </c>
      <c r="AX13" s="23">
        <f>$D13*COS($E13+$F13*'25SolarCoords'!AT$7)</f>
        <v>-3326.2283598452836</v>
      </c>
      <c r="AY13" s="23">
        <f>$D13*COS($E13+$F13*'25SolarCoords'!AU$7)</f>
        <v>-3139.660961656944</v>
      </c>
      <c r="AZ13" s="23">
        <f>$D13*COS($E13+$F13*'25SolarCoords'!AV$7)</f>
        <v>-3243.5008224209105</v>
      </c>
      <c r="BA13" s="23">
        <f>$D13*COS($E13+$F13*'25SolarCoords'!AW$7)</f>
        <v>-2928.7306449396633</v>
      </c>
      <c r="BB13" s="23">
        <f>$D13*COS($E13+$F13*'25SolarCoords'!AX$7)</f>
        <v>-3057.8659894069647</v>
      </c>
      <c r="BC13" s="23">
        <f>$D13*COS($E13+$F13*'25SolarCoords'!AY$7)</f>
        <v>-3326.4558751538211</v>
      </c>
      <c r="BD13" s="23">
        <f>$D13*COS($E13+$F13*'25SolarCoords'!AZ$7)</f>
        <v>-3326.4634542003982</v>
      </c>
      <c r="BE13" s="23">
        <f>$D13*COS($E13+$F13*'25SolarCoords'!BA$7)</f>
        <v>-3326.4710329374816</v>
      </c>
      <c r="BF13" s="23">
        <f>$D13*COS($E13+$F13*'25SolarCoords'!BB$7)</f>
        <v>-3326.4786113650703</v>
      </c>
      <c r="BG13" s="23">
        <f>$D13*COS($E13+$F13*'25SolarCoords'!BC$7)</f>
        <v>-3326.4861894831638</v>
      </c>
      <c r="BH13" s="23">
        <f>$D13*COS($E13+$F13*'25SolarCoords'!BD$7)</f>
        <v>-3326.4937672917608</v>
      </c>
      <c r="BI13" s="23">
        <f>$D13*COS($E13+$F13*'25SolarCoords'!BE$7)</f>
        <v>-3326.5013447908609</v>
      </c>
      <c r="BJ13" s="23">
        <f>$D13*COS($E13+$F13*'25SolarCoords'!BF$7)</f>
        <v>-3326.5089219804636</v>
      </c>
      <c r="BK13" s="23">
        <f>$D13*COS($E13+$F13*'25SolarCoords'!BG$7)</f>
        <v>-3157.0879599963937</v>
      </c>
    </row>
    <row r="14" spans="1:63" x14ac:dyDescent="0.25">
      <c r="C14">
        <f t="shared" si="0"/>
        <v>6</v>
      </c>
      <c r="D14">
        <v>3136</v>
      </c>
      <c r="E14">
        <v>3.6276999999999999</v>
      </c>
      <c r="F14">
        <v>77713.771500000003</v>
      </c>
      <c r="H14" s="7"/>
      <c r="I14" s="23">
        <f>$D14*COS($E14+$F14*'25SolarCoords'!E$7)</f>
        <v>2382.3986220710049</v>
      </c>
      <c r="J14" s="23">
        <f>$D14*COS($E14+$F14*'25SolarCoords'!F$7)</f>
        <v>-2724.5124149529761</v>
      </c>
      <c r="K14" s="23">
        <f>$D14*COS($E14+$F14*'25SolarCoords'!G$7)</f>
        <v>-2772.7199667402729</v>
      </c>
      <c r="L14" s="23">
        <f>$D14*COS($E14+$F14*'25SolarCoords'!H$7)</f>
        <v>962.14646550766361</v>
      </c>
      <c r="M14" s="23">
        <f>$D14*COS($E14+$F14*'25SolarCoords'!I$7)</f>
        <v>-1706.1896558573851</v>
      </c>
      <c r="N14" s="23">
        <f>$D14*COS($E14+$F14*'25SolarCoords'!J$7)</f>
        <v>-3116.384946040936</v>
      </c>
      <c r="O14" s="23">
        <f>$D14*COS($E14+$F14*'25SolarCoords'!K$7)</f>
        <v>3114.8213348227673</v>
      </c>
      <c r="P14" s="23">
        <f>$D14*COS($E14+$F14*'25SolarCoords'!L$7)</f>
        <v>2666.0086749835432</v>
      </c>
      <c r="Q14" s="23">
        <f>$D14*COS($E14+$F14*'25SolarCoords'!M$7)</f>
        <v>-173.10441364591802</v>
      </c>
      <c r="R14" s="23">
        <f>$D14*COS($E14+$F14*'25SolarCoords'!N$7)</f>
        <v>6.459945940738395</v>
      </c>
      <c r="S14" s="23">
        <f>$D14*COS($E14+$F14*'25SolarCoords'!O$7)</f>
        <v>-2419.6265353635727</v>
      </c>
      <c r="T14" s="23">
        <f>$D14*COS($E14+$F14*'25SolarCoords'!P$7)</f>
        <v>727.38164248184455</v>
      </c>
      <c r="U14" s="23">
        <f>$D14*COS($E14+$F14*'25SolarCoords'!Q$7)</f>
        <v>3043.2525077094833</v>
      </c>
      <c r="V14" s="23">
        <f>$D14*COS($E14+$F14*'25SolarCoords'!R$7)</f>
        <v>3134.4891061540025</v>
      </c>
      <c r="W14" s="23">
        <f>$D14*COS($E14+$F14*'25SolarCoords'!S$7)</f>
        <v>3040.1166480331481</v>
      </c>
      <c r="X14" s="23">
        <f>$D14*COS($E14+$F14*'25SolarCoords'!T$7)</f>
        <v>-2604.1231102682509</v>
      </c>
      <c r="Y14" s="23">
        <f>$D14*COS($E14+$F14*'25SolarCoords'!U$7)</f>
        <v>954.71599196568729</v>
      </c>
      <c r="Z14" s="23">
        <f>$D14*COS($E14+$F14*'25SolarCoords'!V$7)</f>
        <v>-2903.4137869113383</v>
      </c>
      <c r="AA14" s="23">
        <f>$D14*COS($E14+$F14*'25SolarCoords'!W$7)</f>
        <v>2140.193329603349</v>
      </c>
      <c r="AB14" s="23">
        <f>$D14*COS($E14+$F14*'25SolarCoords'!X$7)</f>
        <v>2868.3408393245863</v>
      </c>
      <c r="AC14" s="23">
        <f>$D14*COS($E14+$F14*'25SolarCoords'!Y$7)</f>
        <v>-2096.4564754586409</v>
      </c>
      <c r="AD14" s="23">
        <f>$D14*COS($E14+$F14*'25SolarCoords'!Z$7)</f>
        <v>506.01568115597308</v>
      </c>
      <c r="AE14" s="23">
        <f>$D14*COS($E14+$F14*'25SolarCoords'!AA$7)</f>
        <v>-2912.6144039204473</v>
      </c>
      <c r="AF14" s="23">
        <f>$D14*COS($E14+$F14*'25SolarCoords'!AB$7)</f>
        <v>-581.42441364140552</v>
      </c>
      <c r="AG14" s="23">
        <f>$D14*COS($E14+$F14*'25SolarCoords'!AC$7)</f>
        <v>887.79597437580935</v>
      </c>
      <c r="AH14" s="23">
        <f>$D14*COS($E14+$F14*'25SolarCoords'!AD$7)</f>
        <v>2843.7296002706835</v>
      </c>
      <c r="AI14" s="23">
        <f>$D14*COS($E14+$F14*'25SolarCoords'!AE$7)</f>
        <v>-193.49272387065247</v>
      </c>
      <c r="AJ14" s="23">
        <f>$D14*COS($E14+$F14*'25SolarCoords'!AF$7)</f>
        <v>-2539.8804150881642</v>
      </c>
      <c r="AK14" s="23">
        <f>$D14*COS($E14+$F14*'25SolarCoords'!AG$7)</f>
        <v>-913.83287551460364</v>
      </c>
      <c r="AL14" s="23">
        <f>$D14*COS($E14+$F14*'25SolarCoords'!AH$7)</f>
        <v>-1.0047619215874448</v>
      </c>
      <c r="AM14" s="23">
        <f>$D14*COS($E14+$F14*'25SolarCoords'!AI$7)</f>
        <v>-1085.6408669289524</v>
      </c>
      <c r="AN14" s="23">
        <f>$D14*COS($E14+$F14*'25SolarCoords'!AJ$7)</f>
        <v>2840.0573063215143</v>
      </c>
      <c r="AO14" s="23">
        <f>$D14*COS($E14+$F14*'25SolarCoords'!AK$7)</f>
        <v>-3044.1753596971698</v>
      </c>
      <c r="AP14" s="23">
        <f>$D14*COS($E14+$F14*'25SolarCoords'!AL$7)</f>
        <v>279.69926140188943</v>
      </c>
      <c r="AQ14" s="23">
        <f>$D14*COS($E14+$F14*'25SolarCoords'!AM$7)</f>
        <v>1321.3238232200881</v>
      </c>
      <c r="AR14" s="23">
        <f>$D14*COS($E14+$F14*'25SolarCoords'!AN$7)</f>
        <v>1178.2386612717166</v>
      </c>
      <c r="AS14" s="23">
        <f>$D14*COS($E14+$F14*'25SolarCoords'!AO$7)</f>
        <v>-2543.4305749398177</v>
      </c>
      <c r="AT14" s="23">
        <f>$D14*COS($E14+$F14*'25SolarCoords'!AP$7)</f>
        <v>-76.238235019098624</v>
      </c>
      <c r="AU14" s="23">
        <f>$D14*COS($E14+$F14*'25SolarCoords'!AQ$7)</f>
        <v>3122.1824393798065</v>
      </c>
      <c r="AV14" s="23">
        <f>$D14*COS($E14+$F14*'25SolarCoords'!AR$7)</f>
        <v>610.75618849777254</v>
      </c>
      <c r="AW14" s="23">
        <f>$D14*COS($E14+$F14*'25SolarCoords'!AS$7)</f>
        <v>-3118.4383319308931</v>
      </c>
      <c r="AX14" s="23">
        <f>$D14*COS($E14+$F14*'25SolarCoords'!AT$7)</f>
        <v>3109.9104099547435</v>
      </c>
      <c r="AY14" s="23">
        <f>$D14*COS($E14+$F14*'25SolarCoords'!AU$7)</f>
        <v>-22.848566424144412</v>
      </c>
      <c r="AZ14" s="23">
        <f>$D14*COS($E14+$F14*'25SolarCoords'!AV$7)</f>
        <v>-799.05243243001132</v>
      </c>
      <c r="BA14" s="23">
        <f>$D14*COS($E14+$F14*'25SolarCoords'!AW$7)</f>
        <v>-3.0320214506870116</v>
      </c>
      <c r="BB14" s="23">
        <f>$D14*COS($E14+$F14*'25SolarCoords'!AX$7)</f>
        <v>-212.17456669387485</v>
      </c>
      <c r="BC14" s="23">
        <f>$D14*COS($E14+$F14*'25SolarCoords'!AY$7)</f>
        <v>3134.6627030201189</v>
      </c>
      <c r="BD14" s="23">
        <f>$D14*COS($E14+$F14*'25SolarCoords'!AZ$7)</f>
        <v>3083.3134012979667</v>
      </c>
      <c r="BE14" s="23">
        <f>$D14*COS($E14+$F14*'25SolarCoords'!BA$7)</f>
        <v>2892.9066755506401</v>
      </c>
      <c r="BF14" s="23">
        <f>$D14*COS($E14+$F14*'25SolarCoords'!BB$7)</f>
        <v>2572.0298684691561</v>
      </c>
      <c r="BG14" s="23">
        <f>$D14*COS($E14+$F14*'25SolarCoords'!BC$7)</f>
        <v>2135.1545229726621</v>
      </c>
      <c r="BH14" s="23">
        <f>$D14*COS($E14+$F14*'25SolarCoords'!BD$7)</f>
        <v>1601.9837156735214</v>
      </c>
      <c r="BI14" s="23">
        <f>$D14*COS($E14+$F14*'25SolarCoords'!BE$7)</f>
        <v>996.56344818782463</v>
      </c>
      <c r="BJ14" s="23">
        <f>$D14*COS($E14+$F14*'25SolarCoords'!BF$7)</f>
        <v>346.1981725410381</v>
      </c>
      <c r="BK14" s="23">
        <f>$D14*COS($E14+$F14*'25SolarCoords'!BG$7)</f>
        <v>-294.0418159627032</v>
      </c>
    </row>
    <row r="15" spans="1:63" x14ac:dyDescent="0.25">
      <c r="C15">
        <f t="shared" si="0"/>
        <v>7</v>
      </c>
      <c r="D15">
        <v>2676</v>
      </c>
      <c r="E15">
        <v>4.4180999999999999</v>
      </c>
      <c r="F15">
        <v>7860.4193999999998</v>
      </c>
      <c r="H15" s="7"/>
      <c r="I15" s="23">
        <f>$D15*COS($E15+$F15*'25SolarCoords'!E$7)</f>
        <v>1680.5911987148806</v>
      </c>
      <c r="J15" s="23">
        <f>$D15*COS($E15+$F15*'25SolarCoords'!F$7)</f>
        <v>-1965.6051891055208</v>
      </c>
      <c r="K15" s="23">
        <f>$D15*COS($E15+$F15*'25SolarCoords'!G$7)</f>
        <v>-776.19914599678702</v>
      </c>
      <c r="L15" s="23">
        <f>$D15*COS($E15+$F15*'25SolarCoords'!H$7)</f>
        <v>-2551.6033855535611</v>
      </c>
      <c r="M15" s="23">
        <f>$D15*COS($E15+$F15*'25SolarCoords'!I$7)</f>
        <v>-2634.5780415888803</v>
      </c>
      <c r="N15" s="23">
        <f>$D15*COS($E15+$F15*'25SolarCoords'!J$7)</f>
        <v>2655.8490603559358</v>
      </c>
      <c r="O15" s="23">
        <f>$D15*COS($E15+$F15*'25SolarCoords'!K$7)</f>
        <v>471.80051032716204</v>
      </c>
      <c r="P15" s="23">
        <f>$D15*COS($E15+$F15*'25SolarCoords'!L$7)</f>
        <v>-387.6589170521458</v>
      </c>
      <c r="Q15" s="23">
        <f>$D15*COS($E15+$F15*'25SolarCoords'!M$7)</f>
        <v>-2140.8157157250198</v>
      </c>
      <c r="R15" s="23">
        <f>$D15*COS($E15+$F15*'25SolarCoords'!N$7)</f>
        <v>-857.00301213657065</v>
      </c>
      <c r="S15" s="23">
        <f>$D15*COS($E15+$F15*'25SolarCoords'!O$7)</f>
        <v>-2534.1507612608225</v>
      </c>
      <c r="T15" s="23">
        <f>$D15*COS($E15+$F15*'25SolarCoords'!P$7)</f>
        <v>1612.8075195058884</v>
      </c>
      <c r="U15" s="23">
        <f>$D15*COS($E15+$F15*'25SolarCoords'!Q$7)</f>
        <v>2420.9030386978529</v>
      </c>
      <c r="V15" s="23">
        <f>$D15*COS($E15+$F15*'25SolarCoords'!R$7)</f>
        <v>2395.8050955076778</v>
      </c>
      <c r="W15" s="23">
        <f>$D15*COS($E15+$F15*'25SolarCoords'!S$7)</f>
        <v>-1361.1823324783807</v>
      </c>
      <c r="X15" s="23">
        <f>$D15*COS($E15+$F15*'25SolarCoords'!T$7)</f>
        <v>1883.2988276373628</v>
      </c>
      <c r="Y15" s="23">
        <f>$D15*COS($E15+$F15*'25SolarCoords'!U$7)</f>
        <v>730.24262259049408</v>
      </c>
      <c r="Z15" s="23">
        <f>$D15*COS($E15+$F15*'25SolarCoords'!V$7)</f>
        <v>1838.6816273035365</v>
      </c>
      <c r="AA15" s="23">
        <f>$D15*COS($E15+$F15*'25SolarCoords'!W$7)</f>
        <v>469.57169429909709</v>
      </c>
      <c r="AB15" s="23">
        <f>$D15*COS($E15+$F15*'25SolarCoords'!X$7)</f>
        <v>2580.6439421749315</v>
      </c>
      <c r="AC15" s="23">
        <f>$D15*COS($E15+$F15*'25SolarCoords'!Y$7)</f>
        <v>2306.9049303637057</v>
      </c>
      <c r="AD15" s="23">
        <f>$D15*COS($E15+$F15*'25SolarCoords'!Z$7)</f>
        <v>-58.29901290608116</v>
      </c>
      <c r="AE15" s="23">
        <f>$D15*COS($E15+$F15*'25SolarCoords'!AA$7)</f>
        <v>-803.71039454826371</v>
      </c>
      <c r="AF15" s="23">
        <f>$D15*COS($E15+$F15*'25SolarCoords'!AB$7)</f>
        <v>377.91916141408683</v>
      </c>
      <c r="AG15" s="23">
        <f>$D15*COS($E15+$F15*'25SolarCoords'!AC$7)</f>
        <v>-274.9882061146281</v>
      </c>
      <c r="AH15" s="23">
        <f>$D15*COS($E15+$F15*'25SolarCoords'!AD$7)</f>
        <v>2401.1362678367282</v>
      </c>
      <c r="AI15" s="23">
        <f>$D15*COS($E15+$F15*'25SolarCoords'!AE$7)</f>
        <v>2209.7050136473749</v>
      </c>
      <c r="AJ15" s="23">
        <f>$D15*COS($E15+$F15*'25SolarCoords'!AF$7)</f>
        <v>2220.2850360625312</v>
      </c>
      <c r="AK15" s="23">
        <f>$D15*COS($E15+$F15*'25SolarCoords'!AG$7)</f>
        <v>-1247.1694079664178</v>
      </c>
      <c r="AL15" s="23">
        <f>$D15*COS($E15+$F15*'25SolarCoords'!AH$7)</f>
        <v>-1637.9229281174169</v>
      </c>
      <c r="AM15" s="23">
        <f>$D15*COS($E15+$F15*'25SolarCoords'!AI$7)</f>
        <v>2674.7116392244993</v>
      </c>
      <c r="AN15" s="23">
        <f>$D15*COS($E15+$F15*'25SolarCoords'!AJ$7)</f>
        <v>-1677.8789505315362</v>
      </c>
      <c r="AO15" s="23">
        <f>$D15*COS($E15+$F15*'25SolarCoords'!AK$7)</f>
        <v>2654.6665919992633</v>
      </c>
      <c r="AP15" s="23">
        <f>$D15*COS($E15+$F15*'25SolarCoords'!AL$7)</f>
        <v>2256.7370621733862</v>
      </c>
      <c r="AQ15" s="23">
        <f>$D15*COS($E15+$F15*'25SolarCoords'!AM$7)</f>
        <v>-2673.329941002276</v>
      </c>
      <c r="AR15" s="23">
        <f>$D15*COS($E15+$F15*'25SolarCoords'!AN$7)</f>
        <v>2627.7739251829321</v>
      </c>
      <c r="AS15" s="23">
        <f>$D15*COS($E15+$F15*'25SolarCoords'!AO$7)</f>
        <v>2579.8894880813987</v>
      </c>
      <c r="AT15" s="23">
        <f>$D15*COS($E15+$F15*'25SolarCoords'!AP$7)</f>
        <v>1677.1601490770011</v>
      </c>
      <c r="AU15" s="23">
        <f>$D15*COS($E15+$F15*'25SolarCoords'!AQ$7)</f>
        <v>1342.4596707083563</v>
      </c>
      <c r="AV15" s="23">
        <f>$D15*COS($E15+$F15*'25SolarCoords'!AR$7)</f>
        <v>985.05349484374415</v>
      </c>
      <c r="AW15" s="23">
        <f>$D15*COS($E15+$F15*'25SolarCoords'!AS$7)</f>
        <v>555.1591277878922</v>
      </c>
      <c r="AX15" s="23">
        <f>$D15*COS($E15+$F15*'25SolarCoords'!AT$7)</f>
        <v>-284.28478460804951</v>
      </c>
      <c r="AY15" s="23">
        <f>$D15*COS($E15+$F15*'25SolarCoords'!AU$7)</f>
        <v>-2509.4189095550159</v>
      </c>
      <c r="AZ15" s="23">
        <f>$D15*COS($E15+$F15*'25SolarCoords'!AV$7)</f>
        <v>554.98082996285314</v>
      </c>
      <c r="BA15" s="23">
        <f>$D15*COS($E15+$F15*'25SolarCoords'!AW$7)</f>
        <v>-2159.0588728007692</v>
      </c>
      <c r="BB15" s="23">
        <f>$D15*COS($E15+$F15*'25SolarCoords'!AX$7)</f>
        <v>-271.46489304851445</v>
      </c>
      <c r="BC15" s="23">
        <f>$D15*COS($E15+$F15*'25SolarCoords'!AY$7)</f>
        <v>-1828.0860990769243</v>
      </c>
      <c r="BD15" s="23">
        <f>$D15*COS($E15+$F15*'25SolarCoords'!AZ$7)</f>
        <v>-1869.7161941534889</v>
      </c>
      <c r="BE15" s="23">
        <f>$D15*COS($E15+$F15*'25SolarCoords'!BA$7)</f>
        <v>-1910.4803848899251</v>
      </c>
      <c r="BF15" s="23">
        <f>$D15*COS($E15+$F15*'25SolarCoords'!BB$7)</f>
        <v>-1950.3597925441043</v>
      </c>
      <c r="BG15" s="23">
        <f>$D15*COS($E15+$F15*'25SolarCoords'!BC$7)</f>
        <v>-1989.3359481355021</v>
      </c>
      <c r="BH15" s="23">
        <f>$D15*COS($E15+$F15*'25SolarCoords'!BD$7)</f>
        <v>-2027.3908009981974</v>
      </c>
      <c r="BI15" s="23">
        <f>$D15*COS($E15+$F15*'25SolarCoords'!BE$7)</f>
        <v>-2064.5067271406706</v>
      </c>
      <c r="BJ15" s="23">
        <f>$D15*COS($E15+$F15*'25SolarCoords'!BF$7)</f>
        <v>-2100.6665374079344</v>
      </c>
      <c r="BK15" s="23">
        <f>$D15*COS($E15+$F15*'25SolarCoords'!BG$7)</f>
        <v>2214.6032843466473</v>
      </c>
    </row>
    <row r="16" spans="1:63" x14ac:dyDescent="0.25">
      <c r="C16">
        <f t="shared" si="0"/>
        <v>8</v>
      </c>
      <c r="D16">
        <v>2343</v>
      </c>
      <c r="E16">
        <v>6.1352000000000002</v>
      </c>
      <c r="F16">
        <v>3930.2096999999999</v>
      </c>
      <c r="H16" s="7"/>
      <c r="I16" s="23">
        <f>$D16*COS($E16+$F16*'25SolarCoords'!E$7)</f>
        <v>-2209.915615542252</v>
      </c>
      <c r="J16" s="23">
        <f>$D16*COS($E16+$F16*'25SolarCoords'!F$7)</f>
        <v>-937.47922893792031</v>
      </c>
      <c r="K16" s="23">
        <f>$D16*COS($E16+$F16*'25SolarCoords'!G$7)</f>
        <v>2317.3913449578154</v>
      </c>
      <c r="L16" s="23">
        <f>$D16*COS($E16+$F16*'25SolarCoords'!H$7)</f>
        <v>-1383.2117854788555</v>
      </c>
      <c r="M16" s="23">
        <f>$D16*COS($E16+$F16*'25SolarCoords'!I$7)</f>
        <v>1794.8138008789606</v>
      </c>
      <c r="N16" s="23">
        <f>$D16*COS($E16+$F16*'25SolarCoords'!J$7)</f>
        <v>1553.4453912075769</v>
      </c>
      <c r="O16" s="23">
        <f>$D16*COS($E16+$F16*'25SolarCoords'!K$7)</f>
        <v>-2333.9797309337187</v>
      </c>
      <c r="P16" s="23">
        <f>$D16*COS($E16+$F16*'25SolarCoords'!L$7)</f>
        <v>168.19385957818767</v>
      </c>
      <c r="Q16" s="23">
        <f>$D16*COS($E16+$F16*'25SolarCoords'!M$7)</f>
        <v>-2094.7560050014845</v>
      </c>
      <c r="R16" s="23">
        <f>$D16*COS($E16+$F16*'25SolarCoords'!N$7)</f>
        <v>378.27476325206067</v>
      </c>
      <c r="S16" s="23">
        <f>$D16*COS($E16+$F16*'25SolarCoords'!O$7)</f>
        <v>-1903.2199304844532</v>
      </c>
      <c r="T16" s="23">
        <f>$D16*COS($E16+$F16*'25SolarCoords'!P$7)</f>
        <v>-746.53470424923796</v>
      </c>
      <c r="U16" s="23">
        <f>$D16*COS($E16+$F16*'25SolarCoords'!Q$7)</f>
        <v>-1256.7458638234323</v>
      </c>
      <c r="V16" s="23">
        <f>$D16*COS($E16+$F16*'25SolarCoords'!R$7)</f>
        <v>-1235.3956986931364</v>
      </c>
      <c r="W16" s="23">
        <f>$D16*COS($E16+$F16*'25SolarCoords'!S$7)</f>
        <v>615.85735028703266</v>
      </c>
      <c r="X16" s="23">
        <f>$D16*COS($E16+$F16*'25SolarCoords'!T$7)</f>
        <v>-2167.5007770087591</v>
      </c>
      <c r="Y16" s="23">
        <f>$D16*COS($E16+$F16*'25SolarCoords'!U$7)</f>
        <v>324.71412180491728</v>
      </c>
      <c r="Z16" s="23">
        <f>$D16*COS($E16+$F16*'25SolarCoords'!V$7)</f>
        <v>-2177.6773785145101</v>
      </c>
      <c r="AA16" s="23">
        <f>$D16*COS($E16+$F16*'25SolarCoords'!W$7)</f>
        <v>2334.0664130858968</v>
      </c>
      <c r="AB16" s="23">
        <f>$D16*COS($E16+$F16*'25SolarCoords'!X$7)</f>
        <v>1422.3486722501702</v>
      </c>
      <c r="AC16" s="23">
        <f>$D16*COS($E16+$F16*'25SolarCoords'!Y$7)</f>
        <v>-1165.2329922016197</v>
      </c>
      <c r="AD16" s="23">
        <f>$D16*COS($E16+$F16*'25SolarCoords'!Z$7)</f>
        <v>-2342.838684812335</v>
      </c>
      <c r="AE16" s="23">
        <f>$D16*COS($E16+$F16*'25SolarCoords'!AA$7)</f>
        <v>2315.4991536602315</v>
      </c>
      <c r="AF16" s="23">
        <f>$D16*COS($E16+$F16*'25SolarCoords'!AB$7)</f>
        <v>-2337.2605616906781</v>
      </c>
      <c r="AG16" s="23">
        <f>$D16*COS($E16+$F16*'25SolarCoords'!AC$7)</f>
        <v>118.57658652840097</v>
      </c>
      <c r="AH16" s="23">
        <f>$D16*COS($E16+$F16*'25SolarCoords'!AD$7)</f>
        <v>-1239.8643978089833</v>
      </c>
      <c r="AI16" s="23">
        <f>$D16*COS($E16+$F16*'25SolarCoords'!AE$7)</f>
        <v>-1095.6525724194255</v>
      </c>
      <c r="AJ16" s="23">
        <f>$D16*COS($E16+$F16*'25SolarCoords'!AF$7)</f>
        <v>-2069.0160436534343</v>
      </c>
      <c r="AK16" s="23">
        <f>$D16*COS($E16+$F16*'25SolarCoords'!AG$7)</f>
        <v>-2274.0197312761175</v>
      </c>
      <c r="AL16" s="23">
        <f>$D16*COS($E16+$F16*'25SolarCoords'!AH$7)</f>
        <v>-2216.4373498716523</v>
      </c>
      <c r="AM16" s="23">
        <f>$D16*COS($E16+$F16*'25SolarCoords'!AI$7)</f>
        <v>1632.260636620281</v>
      </c>
      <c r="AN16" s="23">
        <f>$D16*COS($E16+$F16*'25SolarCoords'!AJ$7)</f>
        <v>776.97135704760899</v>
      </c>
      <c r="AO16" s="23">
        <f>$D16*COS($E16+$F16*'25SolarCoords'!AK$7)</f>
        <v>1550.3241412487278</v>
      </c>
      <c r="AP16" s="23">
        <f>$D16*COS($E16+$F16*'25SolarCoords'!AL$7)</f>
        <v>1128.5560663910026</v>
      </c>
      <c r="AQ16" s="23">
        <f>$D16*COS($E16+$F16*'25SolarCoords'!AM$7)</f>
        <v>-1691.9806442886259</v>
      </c>
      <c r="AR16" s="23">
        <f>$D16*COS($E16+$F16*'25SolarCoords'!AN$7)</f>
        <v>1493.52042882142</v>
      </c>
      <c r="AS16" s="23">
        <f>$D16*COS($E16+$F16*'25SolarCoords'!AO$7)</f>
        <v>-1865.017272737651</v>
      </c>
      <c r="AT16" s="23">
        <f>$D16*COS($E16+$F16*'25SolarCoords'!AP$7)</f>
        <v>780.30655695221742</v>
      </c>
      <c r="AU16" s="23">
        <f>$D16*COS($E16+$F16*'25SolarCoords'!AQ$7)</f>
        <v>610.49372348365137</v>
      </c>
      <c r="AV16" s="23">
        <f>$D16*COS($E16+$F16*'25SolarCoords'!AR$7)</f>
        <v>440.94729626219674</v>
      </c>
      <c r="AW16" s="23">
        <f>$D16*COS($E16+$F16*'25SolarCoords'!AS$7)</f>
        <v>246.32969293082837</v>
      </c>
      <c r="AX16" s="23">
        <f>$D16*COS($E16+$F16*'25SolarCoords'!AT$7)</f>
        <v>-122.66342505816321</v>
      </c>
      <c r="AY16" s="23">
        <f>$D16*COS($E16+$F16*'25SolarCoords'!AU$7)</f>
        <v>-1336.8580230274945</v>
      </c>
      <c r="AZ16" s="23">
        <f>$D16*COS($E16+$F16*'25SolarCoords'!AV$7)</f>
        <v>-2330.4343634495608</v>
      </c>
      <c r="BA16" s="23">
        <f>$D16*COS($E16+$F16*'25SolarCoords'!AW$7)</f>
        <v>-1058.0546569146863</v>
      </c>
      <c r="BB16" s="23">
        <f>$D16*COS($E16+$F16*'25SolarCoords'!AX$7)</f>
        <v>-117.02800723817485</v>
      </c>
      <c r="BC16" s="23">
        <f>$D16*COS($E16+$F16*'25SolarCoords'!AY$7)</f>
        <v>-858.58404901927543</v>
      </c>
      <c r="BD16" s="23">
        <f>$D16*COS($E16+$F16*'25SolarCoords'!AZ$7)</f>
        <v>-881.99160926616241</v>
      </c>
      <c r="BE16" s="23">
        <f>$D16*COS($E16+$F16*'25SolarCoords'!BA$7)</f>
        <v>-905.29704940628869</v>
      </c>
      <c r="BF16" s="23">
        <f>$D16*COS($E16+$F16*'25SolarCoords'!BB$7)</f>
        <v>-928.49767105333694</v>
      </c>
      <c r="BG16" s="23">
        <f>$D16*COS($E16+$F16*'25SolarCoords'!BC$7)</f>
        <v>-951.59078795736866</v>
      </c>
      <c r="BH16" s="23">
        <f>$D16*COS($E16+$F16*'25SolarCoords'!BD$7)</f>
        <v>-974.57372631563248</v>
      </c>
      <c r="BI16" s="23">
        <f>$D16*COS($E16+$F16*'25SolarCoords'!BE$7)</f>
        <v>-997.44382508223941</v>
      </c>
      <c r="BJ16" s="23">
        <f>$D16*COS($E16+$F16*'25SolarCoords'!BF$7)</f>
        <v>-1020.1984362763274</v>
      </c>
      <c r="BK16" s="23">
        <f>$D16*COS($E16+$F16*'25SolarCoords'!BG$7)</f>
        <v>-1099.0196701220443</v>
      </c>
    </row>
    <row r="17" spans="3:63" x14ac:dyDescent="0.25">
      <c r="C17">
        <f t="shared" si="0"/>
        <v>9</v>
      </c>
      <c r="D17">
        <v>1324</v>
      </c>
      <c r="E17">
        <v>0.74250000000000005</v>
      </c>
      <c r="F17">
        <v>11506.7698</v>
      </c>
      <c r="H17" s="7"/>
      <c r="I17" s="23">
        <f>$D17*COS($E17+$F17*'25SolarCoords'!E$7)</f>
        <v>73.988399933896659</v>
      </c>
      <c r="J17" s="23">
        <f>$D17*COS($E17+$F17*'25SolarCoords'!F$7)</f>
        <v>-1235.6755153153547</v>
      </c>
      <c r="K17" s="23">
        <f>$D17*COS($E17+$F17*'25SolarCoords'!G$7)</f>
        <v>975.49742568330259</v>
      </c>
      <c r="L17" s="23">
        <f>$D17*COS($E17+$F17*'25SolarCoords'!H$7)</f>
        <v>-293.36428103437606</v>
      </c>
      <c r="M17" s="23">
        <f>$D17*COS($E17+$F17*'25SolarCoords'!I$7)</f>
        <v>-1229.8320235712686</v>
      </c>
      <c r="N17" s="23">
        <f>$D17*COS($E17+$F17*'25SolarCoords'!J$7)</f>
        <v>715.60980704725955</v>
      </c>
      <c r="O17" s="23">
        <f>$D17*COS($E17+$F17*'25SolarCoords'!K$7)</f>
        <v>-163.61134733847152</v>
      </c>
      <c r="P17" s="23">
        <f>$D17*COS($E17+$F17*'25SolarCoords'!L$7)</f>
        <v>1323.1327290686204</v>
      </c>
      <c r="Q17" s="23">
        <f>$D17*COS($E17+$F17*'25SolarCoords'!M$7)</f>
        <v>1317.9269561727961</v>
      </c>
      <c r="R17" s="23">
        <f>$D17*COS($E17+$F17*'25SolarCoords'!N$7)</f>
        <v>-1131.1046570994124</v>
      </c>
      <c r="S17" s="23">
        <f>$D17*COS($E17+$F17*'25SolarCoords'!O$7)</f>
        <v>-1148.4002352886332</v>
      </c>
      <c r="T17" s="23">
        <f>$D17*COS($E17+$F17*'25SolarCoords'!P$7)</f>
        <v>500.05233246972699</v>
      </c>
      <c r="U17" s="23">
        <f>$D17*COS($E17+$F17*'25SolarCoords'!Q$7)</f>
        <v>1294.0416074083257</v>
      </c>
      <c r="V17" s="23">
        <f>$D17*COS($E17+$F17*'25SolarCoords'!R$7)</f>
        <v>1284.5780706340636</v>
      </c>
      <c r="W17" s="23">
        <f>$D17*COS($E17+$F17*'25SolarCoords'!S$7)</f>
        <v>1186.503378240905</v>
      </c>
      <c r="X17" s="23">
        <f>$D17*COS($E17+$F17*'25SolarCoords'!T$7)</f>
        <v>-1065.2139799334832</v>
      </c>
      <c r="Y17" s="23">
        <f>$D17*COS($E17+$F17*'25SolarCoords'!U$7)</f>
        <v>-1162.4890475749248</v>
      </c>
      <c r="Z17" s="23">
        <f>$D17*COS($E17+$F17*'25SolarCoords'!V$7)</f>
        <v>1072.2041605088061</v>
      </c>
      <c r="AA17" s="23">
        <f>$D17*COS($E17+$F17*'25SolarCoords'!W$7)</f>
        <v>453.44082147741483</v>
      </c>
      <c r="AB17" s="23">
        <f>$D17*COS($E17+$F17*'25SolarCoords'!X$7)</f>
        <v>1309.2461631617414</v>
      </c>
      <c r="AC17" s="23">
        <f>$D17*COS($E17+$F17*'25SolarCoords'!Y$7)</f>
        <v>217.04042934931218</v>
      </c>
      <c r="AD17" s="23">
        <f>$D17*COS($E17+$F17*'25SolarCoords'!Z$7)</f>
        <v>-444.77359965068547</v>
      </c>
      <c r="AE17" s="23">
        <f>$D17*COS($E17+$F17*'25SolarCoords'!AA$7)</f>
        <v>989.47691288174599</v>
      </c>
      <c r="AF17" s="23">
        <f>$D17*COS($E17+$F17*'25SolarCoords'!AB$7)</f>
        <v>233.06553057982543</v>
      </c>
      <c r="AG17" s="23">
        <f>$D17*COS($E17+$F17*'25SolarCoords'!AC$7)</f>
        <v>-1150.9016491658724</v>
      </c>
      <c r="AH17" s="23">
        <f>$D17*COS($E17+$F17*'25SolarCoords'!AD$7)</f>
        <v>-401.84693458822051</v>
      </c>
      <c r="AI17" s="23">
        <f>$D17*COS($E17+$F17*'25SolarCoords'!AE$7)</f>
        <v>86.524629972950891</v>
      </c>
      <c r="AJ17" s="23">
        <f>$D17*COS($E17+$F17*'25SolarCoords'!AF$7)</f>
        <v>85.267192823101908</v>
      </c>
      <c r="AK17" s="23">
        <f>$D17*COS($E17+$F17*'25SolarCoords'!AG$7)</f>
        <v>1065.2004674533209</v>
      </c>
      <c r="AL17" s="23">
        <f>$D17*COS($E17+$F17*'25SolarCoords'!AH$7)</f>
        <v>1199.7938827712635</v>
      </c>
      <c r="AM17" s="23">
        <f>$D17*COS($E17+$F17*'25SolarCoords'!AI$7)</f>
        <v>1164.4688938637823</v>
      </c>
      <c r="AN17" s="23">
        <f>$D17*COS($E17+$F17*'25SolarCoords'!AJ$7)</f>
        <v>1078.857744745914</v>
      </c>
      <c r="AO17" s="23">
        <f>$D17*COS($E17+$F17*'25SolarCoords'!AK$7)</f>
        <v>531.88885439427702</v>
      </c>
      <c r="AP17" s="23">
        <f>$D17*COS($E17+$F17*'25SolarCoords'!AL$7)</f>
        <v>975.09203732171193</v>
      </c>
      <c r="AQ17" s="23">
        <f>$D17*COS($E17+$F17*'25SolarCoords'!AM$7)</f>
        <v>-1251.2884997981403</v>
      </c>
      <c r="AR17" s="23">
        <f>$D17*COS($E17+$F17*'25SolarCoords'!AN$7)</f>
        <v>-1085.5763750310286</v>
      </c>
      <c r="AS17" s="23">
        <f>$D17*COS($E17+$F17*'25SolarCoords'!AO$7)</f>
        <v>-467.29854424583516</v>
      </c>
      <c r="AT17" s="23">
        <f>$D17*COS($E17+$F17*'25SolarCoords'!AP$7)</f>
        <v>-2.3638758409999228</v>
      </c>
      <c r="AU17" s="23">
        <f>$D17*COS($E17+$F17*'25SolarCoords'!AQ$7)</f>
        <v>289.57109619115244</v>
      </c>
      <c r="AV17" s="23">
        <f>$D17*COS($E17+$F17*'25SolarCoords'!AR$7)</f>
        <v>561.49346369737339</v>
      </c>
      <c r="AW17" s="23">
        <f>$D17*COS($E17+$F17*'25SolarCoords'!AS$7)</f>
        <v>836.51230924032018</v>
      </c>
      <c r="AX17" s="23">
        <f>$D17*COS($E17+$F17*'25SolarCoords'!AT$7)</f>
        <v>1206.1135032144348</v>
      </c>
      <c r="AY17" s="23">
        <f>$D17*COS($E17+$F17*'25SolarCoords'!AU$7)</f>
        <v>-1197.4144593349142</v>
      </c>
      <c r="AZ17" s="23">
        <f>$D17*COS($E17+$F17*'25SolarCoords'!AV$7)</f>
        <v>735.55676352191836</v>
      </c>
      <c r="BA17" s="23">
        <f>$D17*COS($E17+$F17*'25SolarCoords'!AW$7)</f>
        <v>1077.8412829914998</v>
      </c>
      <c r="BB17" s="23">
        <f>$D17*COS($E17+$F17*'25SolarCoords'!AX$7)</f>
        <v>1032.9322150689347</v>
      </c>
      <c r="BC17" s="23">
        <f>$D17*COS($E17+$F17*'25SolarCoords'!AY$7)</f>
        <v>1149.039850689293</v>
      </c>
      <c r="BD17" s="23">
        <f>$D17*COS($E17+$F17*'25SolarCoords'!AZ$7)</f>
        <v>1127.7503250543982</v>
      </c>
      <c r="BE17" s="23">
        <f>$D17*COS($E17+$F17*'25SolarCoords'!BA$7)</f>
        <v>1105.3416103971103</v>
      </c>
      <c r="BF17" s="23">
        <f>$D17*COS($E17+$F17*'25SolarCoords'!BB$7)</f>
        <v>1081.8359453166058</v>
      </c>
      <c r="BG17" s="23">
        <f>$D17*COS($E17+$F17*'25SolarCoords'!BC$7)</f>
        <v>1057.2566570350448</v>
      </c>
      <c r="BH17" s="23">
        <f>$D17*COS($E17+$F17*'25SolarCoords'!BD$7)</f>
        <v>1031.6281382472091</v>
      </c>
      <c r="BI17" s="23">
        <f>$D17*COS($E17+$F17*'25SolarCoords'!BE$7)</f>
        <v>1004.9758229134881</v>
      </c>
      <c r="BJ17" s="23">
        <f>$D17*COS($E17+$F17*'25SolarCoords'!BF$7)</f>
        <v>977.32616101835117</v>
      </c>
      <c r="BK17" s="23">
        <f>$D17*COS($E17+$F17*'25SolarCoords'!BG$7)</f>
        <v>92.815082446455762</v>
      </c>
    </row>
    <row r="18" spans="3:63" x14ac:dyDescent="0.25">
      <c r="C18">
        <f t="shared" si="0"/>
        <v>10</v>
      </c>
      <c r="D18">
        <v>1273</v>
      </c>
      <c r="E18">
        <v>2.0371000000000001</v>
      </c>
      <c r="F18">
        <v>529.69100000000003</v>
      </c>
      <c r="H18" s="7"/>
      <c r="I18" s="23">
        <f>$D18*COS($E18+$F18*'25SolarCoords'!E$7)</f>
        <v>104.94881689458175</v>
      </c>
      <c r="J18" s="23">
        <f>$D18*COS($E18+$F18*'25SolarCoords'!F$7)</f>
        <v>396.31838120206652</v>
      </c>
      <c r="K18" s="23">
        <f>$D18*COS($E18+$F18*'25SolarCoords'!G$7)</f>
        <v>-572.32510553849522</v>
      </c>
      <c r="L18" s="23">
        <f>$D18*COS($E18+$F18*'25SolarCoords'!H$7)</f>
        <v>81.098640400989254</v>
      </c>
      <c r="M18" s="23">
        <f>$D18*COS($E18+$F18*'25SolarCoords'!I$7)</f>
        <v>126.0124975968827</v>
      </c>
      <c r="N18" s="23">
        <f>$D18*COS($E18+$F18*'25SolarCoords'!J$7)</f>
        <v>-138.42527355227162</v>
      </c>
      <c r="O18" s="23">
        <f>$D18*COS($E18+$F18*'25SolarCoords'!K$7)</f>
        <v>-530.88186549439422</v>
      </c>
      <c r="P18" s="23">
        <f>$D18*COS($E18+$F18*'25SolarCoords'!L$7)</f>
        <v>-759.95767263075311</v>
      </c>
      <c r="Q18" s="23">
        <f>$D18*COS($E18+$F18*'25SolarCoords'!M$7)</f>
        <v>1001.1222955363152</v>
      </c>
      <c r="R18" s="23">
        <f>$D18*COS($E18+$F18*'25SolarCoords'!N$7)</f>
        <v>-1012.6180565265873</v>
      </c>
      <c r="S18" s="23">
        <f>$D18*COS($E18+$F18*'25SolarCoords'!O$7)</f>
        <v>-484.49145310745405</v>
      </c>
      <c r="T18" s="23">
        <f>$D18*COS($E18+$F18*'25SolarCoords'!P$7)</f>
        <v>-437.76722856724672</v>
      </c>
      <c r="U18" s="23">
        <f>$D18*COS($E18+$F18*'25SolarCoords'!Q$7)</f>
        <v>-1171.9039441205239</v>
      </c>
      <c r="V18" s="23">
        <f>$D18*COS($E18+$F18*'25SolarCoords'!R$7)</f>
        <v>-1172.6237034228232</v>
      </c>
      <c r="W18" s="23">
        <f>$D18*COS($E18+$F18*'25SolarCoords'!S$7)</f>
        <v>-1238.6405730681904</v>
      </c>
      <c r="X18" s="23">
        <f>$D18*COS($E18+$F18*'25SolarCoords'!T$7)</f>
        <v>-1158.2149296651241</v>
      </c>
      <c r="Y18" s="23">
        <f>$D18*COS($E18+$F18*'25SolarCoords'!U$7)</f>
        <v>-964.68360260501152</v>
      </c>
      <c r="Z18" s="23">
        <f>$D18*COS($E18+$F18*'25SolarCoords'!V$7)</f>
        <v>-1267.9900839359168</v>
      </c>
      <c r="AA18" s="23">
        <f>$D18*COS($E18+$F18*'25SolarCoords'!W$7)</f>
        <v>-8.5477537832344836</v>
      </c>
      <c r="AB18" s="23">
        <f>$D18*COS($E18+$F18*'25SolarCoords'!X$7)</f>
        <v>-590.59245261107628</v>
      </c>
      <c r="AC18" s="23">
        <f>$D18*COS($E18+$F18*'25SolarCoords'!Y$7)</f>
        <v>-1009.2453231269612</v>
      </c>
      <c r="AD18" s="23">
        <f>$D18*COS($E18+$F18*'25SolarCoords'!Z$7)</f>
        <v>1245.0233587332027</v>
      </c>
      <c r="AE18" s="23">
        <f>$D18*COS($E18+$F18*'25SolarCoords'!AA$7)</f>
        <v>-571.50044293099256</v>
      </c>
      <c r="AF18" s="23">
        <f>$D18*COS($E18+$F18*'25SolarCoords'!AB$7)</f>
        <v>-1269.2769818129168</v>
      </c>
      <c r="AG18" s="23">
        <f>$D18*COS($E18+$F18*'25SolarCoords'!AC$7)</f>
        <v>-1227.4240538597255</v>
      </c>
      <c r="AH18" s="23">
        <f>$D18*COS($E18+$F18*'25SolarCoords'!AD$7)</f>
        <v>-670.68623703766229</v>
      </c>
      <c r="AI18" s="23">
        <f>$D18*COS($E18+$F18*'25SolarCoords'!AE$7)</f>
        <v>-1012.7803232958393</v>
      </c>
      <c r="AJ18" s="23">
        <f>$D18*COS($E18+$F18*'25SolarCoords'!AF$7)</f>
        <v>-148.57702079908481</v>
      </c>
      <c r="AK18" s="23">
        <f>$D18*COS($E18+$F18*'25SolarCoords'!AG$7)</f>
        <v>-272.33161366894115</v>
      </c>
      <c r="AL18" s="23">
        <f>$D18*COS($E18+$F18*'25SolarCoords'!AH$7)</f>
        <v>-1119.1864384597413</v>
      </c>
      <c r="AM18" s="23">
        <f>$D18*COS($E18+$F18*'25SolarCoords'!AI$7)</f>
        <v>-608.50618336254956</v>
      </c>
      <c r="AN18" s="23">
        <f>$D18*COS($E18+$F18*'25SolarCoords'!AJ$7)</f>
        <v>94.684364712078704</v>
      </c>
      <c r="AO18" s="23">
        <f>$D18*COS($E18+$F18*'25SolarCoords'!AK$7)</f>
        <v>1264.2325461322059</v>
      </c>
      <c r="AP18" s="23">
        <f>$D18*COS($E18+$F18*'25SolarCoords'!AL$7)</f>
        <v>-1229.6434831921538</v>
      </c>
      <c r="AQ18" s="23">
        <f>$D18*COS($E18+$F18*'25SolarCoords'!AM$7)</f>
        <v>370.48181335167243</v>
      </c>
      <c r="AR18" s="23">
        <f>$D18*COS($E18+$F18*'25SolarCoords'!AN$7)</f>
        <v>-723.82385991452213</v>
      </c>
      <c r="AS18" s="23">
        <f>$D18*COS($E18+$F18*'25SolarCoords'!AO$7)</f>
        <v>439.89695822678561</v>
      </c>
      <c r="AT18" s="23">
        <f>$D18*COS($E18+$F18*'25SolarCoords'!AP$7)</f>
        <v>74.831692716016974</v>
      </c>
      <c r="AU18" s="23">
        <f>$D18*COS($E18+$F18*'25SolarCoords'!AQ$7)</f>
        <v>61.825099126581009</v>
      </c>
      <c r="AV18" s="23">
        <f>$D18*COS($E18+$F18*'25SolarCoords'!AR$7)</f>
        <v>49.093870837425939</v>
      </c>
      <c r="AW18" s="23">
        <f>$D18*COS($E18+$F18*'25SolarCoords'!AS$7)</f>
        <v>34.690451169296409</v>
      </c>
      <c r="AX18" s="23">
        <f>$D18*COS($E18+$F18*'25SolarCoords'!AT$7)</f>
        <v>7.637451451643452</v>
      </c>
      <c r="AY18" s="23">
        <f>$D18*COS($E18+$F18*'25SolarCoords'!AU$7)</f>
        <v>1104.0002135604757</v>
      </c>
      <c r="AZ18" s="23">
        <f>$D18*COS($E18+$F18*'25SolarCoords'!AV$7)</f>
        <v>886.18431444341127</v>
      </c>
      <c r="BA18" s="23">
        <f>$D18*COS($E18+$F18*'25SolarCoords'!AW$7)</f>
        <v>718.10276566766447</v>
      </c>
      <c r="BB18" s="23">
        <f>$D18*COS($E18+$F18*'25SolarCoords'!AX$7)</f>
        <v>-212.95459463996389</v>
      </c>
      <c r="BC18" s="23">
        <f>$D18*COS($E18+$F18*'25SolarCoords'!AY$7)</f>
        <v>-47.735016758510042</v>
      </c>
      <c r="BD18" s="23">
        <f>$D18*COS($E18+$F18*'25SolarCoords'!AZ$7)</f>
        <v>-49.57979113317014</v>
      </c>
      <c r="BE18" s="23">
        <f>$D18*COS($E18+$F18*'25SolarCoords'!BA$7)</f>
        <v>-51.424461235435942</v>
      </c>
      <c r="BF18" s="23">
        <f>$D18*COS($E18+$F18*'25SolarCoords'!BB$7)</f>
        <v>-53.269023185734902</v>
      </c>
      <c r="BG18" s="23">
        <f>$D18*COS($E18+$F18*'25SolarCoords'!BC$7)</f>
        <v>-55.113473104728705</v>
      </c>
      <c r="BH18" s="23">
        <f>$D18*COS($E18+$F18*'25SolarCoords'!BD$7)</f>
        <v>-56.957807113314672</v>
      </c>
      <c r="BI18" s="23">
        <f>$D18*COS($E18+$F18*'25SolarCoords'!BE$7)</f>
        <v>-58.802021332627099</v>
      </c>
      <c r="BJ18" s="23">
        <f>$D18*COS($E18+$F18*'25SolarCoords'!BF$7)</f>
        <v>-60.646111884058982</v>
      </c>
      <c r="BK18" s="23">
        <f>$D18*COS($E18+$F18*'25SolarCoords'!BG$7)</f>
        <v>-1012.6112357515408</v>
      </c>
    </row>
    <row r="19" spans="3:63" x14ac:dyDescent="0.25">
      <c r="C19">
        <f t="shared" si="0"/>
        <v>11</v>
      </c>
      <c r="D19">
        <v>1199</v>
      </c>
      <c r="E19">
        <v>1.1095999999999999</v>
      </c>
      <c r="F19">
        <v>1577.3434999999999</v>
      </c>
      <c r="H19" s="7"/>
      <c r="I19" s="23">
        <f>$D19*COS($E19+$F19*'25SolarCoords'!E$7)</f>
        <v>-1077.6635967076102</v>
      </c>
      <c r="J19" s="23">
        <f>$D19*COS($E19+$F19*'25SolarCoords'!F$7)</f>
        <v>-247.71275838216343</v>
      </c>
      <c r="K19" s="23">
        <f>$D19*COS($E19+$F19*'25SolarCoords'!G$7)</f>
        <v>533.57869299957122</v>
      </c>
      <c r="L19" s="23">
        <f>$D19*COS($E19+$F19*'25SolarCoords'!H$7)</f>
        <v>1069.6286885523725</v>
      </c>
      <c r="M19" s="23">
        <f>$D19*COS($E19+$F19*'25SolarCoords'!I$7)</f>
        <v>1087.2829075608236</v>
      </c>
      <c r="N19" s="23">
        <f>$D19*COS($E19+$F19*'25SolarCoords'!J$7)</f>
        <v>1178.6282909792533</v>
      </c>
      <c r="O19" s="23">
        <f>$D19*COS($E19+$F19*'25SolarCoords'!K$7)</f>
        <v>499.43556235994436</v>
      </c>
      <c r="P19" s="23">
        <f>$D19*COS($E19+$F19*'25SolarCoords'!L$7)</f>
        <v>-231.60602044086434</v>
      </c>
      <c r="Q19" s="23">
        <f>$D19*COS($E19+$F19*'25SolarCoords'!M$7)</f>
        <v>1075.9367696361251</v>
      </c>
      <c r="R19" s="23">
        <f>$D19*COS($E19+$F19*'25SolarCoords'!N$7)</f>
        <v>86.640146637169011</v>
      </c>
      <c r="S19" s="23">
        <f>$D19*COS($E19+$F19*'25SolarCoords'!O$7)</f>
        <v>1195.3739991161124</v>
      </c>
      <c r="T19" s="23">
        <f>$D19*COS($E19+$F19*'25SolarCoords'!P$7)</f>
        <v>-313.41998932213517</v>
      </c>
      <c r="U19" s="23">
        <f>$D19*COS($E19+$F19*'25SolarCoords'!Q$7)</f>
        <v>-1182.6547857518985</v>
      </c>
      <c r="V19" s="23">
        <f>$D19*COS($E19+$F19*'25SolarCoords'!R$7)</f>
        <v>-1183.4958161984532</v>
      </c>
      <c r="W19" s="23">
        <f>$D19*COS($E19+$F19*'25SolarCoords'!S$7)</f>
        <v>426.34944687650801</v>
      </c>
      <c r="X19" s="23">
        <f>$D19*COS($E19+$F19*'25SolarCoords'!T$7)</f>
        <v>971.35375266305255</v>
      </c>
      <c r="Y19" s="23">
        <f>$D19*COS($E19+$F19*'25SolarCoords'!U$7)</f>
        <v>1171.1038255071619</v>
      </c>
      <c r="Z19" s="23">
        <f>$D19*COS($E19+$F19*'25SolarCoords'!V$7)</f>
        <v>430.65202206401659</v>
      </c>
      <c r="AA19" s="23">
        <f>$D19*COS($E19+$F19*'25SolarCoords'!W$7)</f>
        <v>1190.3984077592165</v>
      </c>
      <c r="AB19" s="23">
        <f>$D19*COS($E19+$F19*'25SolarCoords'!X$7)</f>
        <v>90.131016878456592</v>
      </c>
      <c r="AC19" s="23">
        <f>$D19*COS($E19+$F19*'25SolarCoords'!Y$7)</f>
        <v>-1096.56222525052</v>
      </c>
      <c r="AD19" s="23">
        <f>$D19*COS($E19+$F19*'25SolarCoords'!Z$7)</f>
        <v>209.08620734622508</v>
      </c>
      <c r="AE19" s="23">
        <f>$D19*COS($E19+$F19*'25SolarCoords'!AA$7)</f>
        <v>535.89591419262774</v>
      </c>
      <c r="AF19" s="23">
        <f>$D19*COS($E19+$F19*'25SolarCoords'!AB$7)</f>
        <v>17.947534213322111</v>
      </c>
      <c r="AG19" s="23">
        <f>$D19*COS($E19+$F19*'25SolarCoords'!AC$7)</f>
        <v>829.26158479107721</v>
      </c>
      <c r="AH19" s="23">
        <f>$D19*COS($E19+$F19*'25SolarCoords'!AD$7)</f>
        <v>69.797691409090874</v>
      </c>
      <c r="AI19" s="23">
        <f>$D19*COS($E19+$F19*'25SolarCoords'!AE$7)</f>
        <v>-1103.0595281146982</v>
      </c>
      <c r="AJ19" s="23">
        <f>$D19*COS($E19+$F19*'25SolarCoords'!AF$7)</f>
        <v>-1017.2770775945679</v>
      </c>
      <c r="AK19" s="23">
        <f>$D19*COS($E19+$F19*'25SolarCoords'!AG$7)</f>
        <v>-790.03140347934186</v>
      </c>
      <c r="AL19" s="23">
        <f>$D19*COS($E19+$F19*'25SolarCoords'!AH$7)</f>
        <v>1156.7028670996417</v>
      </c>
      <c r="AM19" s="23">
        <f>$D19*COS($E19+$F19*'25SolarCoords'!AI$7)</f>
        <v>146.80393436616586</v>
      </c>
      <c r="AN19" s="23">
        <f>$D19*COS($E19+$F19*'25SolarCoords'!AJ$7)</f>
        <v>-1198.9096441516303</v>
      </c>
      <c r="AO19" s="23">
        <f>$D19*COS($E19+$F19*'25SolarCoords'!AK$7)</f>
        <v>-1195.3855365428535</v>
      </c>
      <c r="AP19" s="23">
        <f>$D19*COS($E19+$F19*'25SolarCoords'!AL$7)</f>
        <v>681.73575688093547</v>
      </c>
      <c r="AQ19" s="23">
        <f>$D19*COS($E19+$F19*'25SolarCoords'!AM$7)</f>
        <v>-896.14057097492525</v>
      </c>
      <c r="AR19" s="23">
        <f>$D19*COS($E19+$F19*'25SolarCoords'!AN$7)</f>
        <v>58.459959218318062</v>
      </c>
      <c r="AS19" s="23">
        <f>$D19*COS($E19+$F19*'25SolarCoords'!AO$7)</f>
        <v>-729.45827757249731</v>
      </c>
      <c r="AT19" s="23">
        <f>$D19*COS($E19+$F19*'25SolarCoords'!AP$7)</f>
        <v>891.53784002112968</v>
      </c>
      <c r="AU19" s="23">
        <f>$D19*COS($E19+$F19*'25SolarCoords'!AQ$7)</f>
        <v>915.54847806811404</v>
      </c>
      <c r="AV19" s="23">
        <f>$D19*COS($E19+$F19*'25SolarCoords'!AR$7)</f>
        <v>938.21683072584824</v>
      </c>
      <c r="AW19" s="23">
        <f>$D19*COS($E19+$F19*'25SolarCoords'!AS$7)</f>
        <v>962.84663323596806</v>
      </c>
      <c r="AX19" s="23">
        <f>$D19*COS($E19+$F19*'25SolarCoords'!AT$7)</f>
        <v>1006.1124192772323</v>
      </c>
      <c r="AY19" s="23">
        <f>$D19*COS($E19+$F19*'25SolarCoords'!AU$7)</f>
        <v>-1198.8613514178376</v>
      </c>
      <c r="AZ19" s="23">
        <f>$D19*COS($E19+$F19*'25SolarCoords'!AV$7)</f>
        <v>-1009.668991614413</v>
      </c>
      <c r="BA19" s="23">
        <f>$D19*COS($E19+$F19*'25SolarCoords'!AW$7)</f>
        <v>772.62628740548996</v>
      </c>
      <c r="BB19" s="23">
        <f>$D19*COS($E19+$F19*'25SolarCoords'!AX$7)</f>
        <v>-1148.0674856845817</v>
      </c>
      <c r="BC19" s="23">
        <f>$D19*COS($E19+$F19*'25SolarCoords'!AY$7)</f>
        <v>1081.9381798217303</v>
      </c>
      <c r="BD19" s="23">
        <f>$D19*COS($E19+$F19*'25SolarCoords'!AZ$7)</f>
        <v>1084.1596022676781</v>
      </c>
      <c r="BE19" s="23">
        <f>$D19*COS($E19+$F19*'25SolarCoords'!BA$7)</f>
        <v>1086.36080548154</v>
      </c>
      <c r="BF19" s="23">
        <f>$D19*COS($E19+$F19*'25SolarCoords'!BB$7)</f>
        <v>1088.5417484115712</v>
      </c>
      <c r="BG19" s="23">
        <f>$D19*COS($E19+$F19*'25SolarCoords'!BC$7)</f>
        <v>1090.7023903838763</v>
      </c>
      <c r="BH19" s="23">
        <f>$D19*COS($E19+$F19*'25SolarCoords'!BD$7)</f>
        <v>1092.8426911031759</v>
      </c>
      <c r="BI19" s="23">
        <f>$D19*COS($E19+$F19*'25SolarCoords'!BE$7)</f>
        <v>1094.9626106535343</v>
      </c>
      <c r="BJ19" s="23">
        <f>$D19*COS($E19+$F19*'25SolarCoords'!BF$7)</f>
        <v>1097.0621094991295</v>
      </c>
      <c r="BK19" s="23">
        <f>$D19*COS($E19+$F19*'25SolarCoords'!BG$7)</f>
        <v>-1102.752514780841</v>
      </c>
    </row>
    <row r="20" spans="3:63" x14ac:dyDescent="0.25">
      <c r="C20">
        <f t="shared" si="0"/>
        <v>12</v>
      </c>
      <c r="D20">
        <v>990</v>
      </c>
      <c r="E20">
        <v>5.2329999999999997</v>
      </c>
      <c r="F20">
        <v>5884.9269999999997</v>
      </c>
      <c r="H20" s="7"/>
      <c r="I20" s="23">
        <f>$D20*COS($E20+$F20*'25SolarCoords'!E$7)</f>
        <v>-117.11414985064864</v>
      </c>
      <c r="J20" s="23">
        <f>$D20*COS($E20+$F20*'25SolarCoords'!F$7)</f>
        <v>-810.98795908213526</v>
      </c>
      <c r="K20" s="23">
        <f>$D20*COS($E20+$F20*'25SolarCoords'!G$7)</f>
        <v>492.43619660223771</v>
      </c>
      <c r="L20" s="23">
        <f>$D20*COS($E20+$F20*'25SolarCoords'!H$7)</f>
        <v>784.54115342572152</v>
      </c>
      <c r="M20" s="23">
        <f>$D20*COS($E20+$F20*'25SolarCoords'!I$7)</f>
        <v>-167.81343850475406</v>
      </c>
      <c r="N20" s="23">
        <f>$D20*COS($E20+$F20*'25SolarCoords'!J$7)</f>
        <v>832.9728973526328</v>
      </c>
      <c r="O20" s="23">
        <f>$D20*COS($E20+$F20*'25SolarCoords'!K$7)</f>
        <v>-536.41534741035343</v>
      </c>
      <c r="P20" s="23">
        <f>$D20*COS($E20+$F20*'25SolarCoords'!L$7)</f>
        <v>973.14730736436479</v>
      </c>
      <c r="Q20" s="23">
        <f>$D20*COS($E20+$F20*'25SolarCoords'!M$7)</f>
        <v>462.60266718755861</v>
      </c>
      <c r="R20" s="23">
        <f>$D20*COS($E20+$F20*'25SolarCoords'!N$7)</f>
        <v>345.98080453845023</v>
      </c>
      <c r="S20" s="23">
        <f>$D20*COS($E20+$F20*'25SolarCoords'!O$7)</f>
        <v>681.52805169934265</v>
      </c>
      <c r="T20" s="23">
        <f>$D20*COS($E20+$F20*'25SolarCoords'!P$7)</f>
        <v>519.75495429763328</v>
      </c>
      <c r="U20" s="23">
        <f>$D20*COS($E20+$F20*'25SolarCoords'!Q$7)</f>
        <v>-659.94982630847494</v>
      </c>
      <c r="V20" s="23">
        <f>$D20*COS($E20+$F20*'25SolarCoords'!R$7)</f>
        <v>-671.75349822254702</v>
      </c>
      <c r="W20" s="23">
        <f>$D20*COS($E20+$F20*'25SolarCoords'!S$7)</f>
        <v>-985.34447642764223</v>
      </c>
      <c r="X20" s="23">
        <f>$D20*COS($E20+$F20*'25SolarCoords'!T$7)</f>
        <v>473.98540284918846</v>
      </c>
      <c r="Y20" s="23">
        <f>$D20*COS($E20+$F20*'25SolarCoords'!U$7)</f>
        <v>-475.60876821132319</v>
      </c>
      <c r="Z20" s="23">
        <f>$D20*COS($E20+$F20*'25SolarCoords'!V$7)</f>
        <v>-334.32766529584183</v>
      </c>
      <c r="AA20" s="23">
        <f>$D20*COS($E20+$F20*'25SolarCoords'!W$7)</f>
        <v>836.17054991415887</v>
      </c>
      <c r="AB20" s="23">
        <f>$D20*COS($E20+$F20*'25SolarCoords'!X$7)</f>
        <v>-800.14445738063284</v>
      </c>
      <c r="AC20" s="23">
        <f>$D20*COS($E20+$F20*'25SolarCoords'!Y$7)</f>
        <v>-824.85423690621644</v>
      </c>
      <c r="AD20" s="23">
        <f>$D20*COS($E20+$F20*'25SolarCoords'!Z$7)</f>
        <v>954.67275672024755</v>
      </c>
      <c r="AE20" s="23">
        <f>$D20*COS($E20+$F20*'25SolarCoords'!AA$7)</f>
        <v>485.50145260864667</v>
      </c>
      <c r="AF20" s="23">
        <f>$D20*COS($E20+$F20*'25SolarCoords'!AB$7)</f>
        <v>245.39613251553564</v>
      </c>
      <c r="AG20" s="23">
        <f>$D20*COS($E20+$F20*'25SolarCoords'!AC$7)</f>
        <v>958.57152750867249</v>
      </c>
      <c r="AH20" s="23">
        <f>$D20*COS($E20+$F20*'25SolarCoords'!AD$7)</f>
        <v>719.10194683090015</v>
      </c>
      <c r="AI20" s="23">
        <f>$D20*COS($E20+$F20*'25SolarCoords'!AE$7)</f>
        <v>-851.5749559124389</v>
      </c>
      <c r="AJ20" s="23">
        <f>$D20*COS($E20+$F20*'25SolarCoords'!AF$7)</f>
        <v>22.263317068536381</v>
      </c>
      <c r="AK20" s="23">
        <f>$D20*COS($E20+$F20*'25SolarCoords'!AG$7)</f>
        <v>890.28248202620932</v>
      </c>
      <c r="AL20" s="23">
        <f>$D20*COS($E20+$F20*'25SolarCoords'!AH$7)</f>
        <v>-933.61404416821529</v>
      </c>
      <c r="AM20" s="23">
        <f>$D20*COS($E20+$F20*'25SolarCoords'!AI$7)</f>
        <v>-890.39394815442768</v>
      </c>
      <c r="AN20" s="23">
        <f>$D20*COS($E20+$F20*'25SolarCoords'!AJ$7)</f>
        <v>-852.41986071379779</v>
      </c>
      <c r="AO20" s="23">
        <f>$D20*COS($E20+$F20*'25SolarCoords'!AK$7)</f>
        <v>-684.25629471410537</v>
      </c>
      <c r="AP20" s="23">
        <f>$D20*COS($E20+$F20*'25SolarCoords'!AL$7)</f>
        <v>637.94680181433671</v>
      </c>
      <c r="AQ20" s="23">
        <f>$D20*COS($E20+$F20*'25SolarCoords'!AM$7)</f>
        <v>-227.94294221828937</v>
      </c>
      <c r="AR20" s="23">
        <f>$D20*COS($E20+$F20*'25SolarCoords'!AN$7)</f>
        <v>874.20015032387528</v>
      </c>
      <c r="AS20" s="23">
        <f>$D20*COS($E20+$F20*'25SolarCoords'!AO$7)</f>
        <v>-873.0720292379367</v>
      </c>
      <c r="AT20" s="23">
        <f>$D20*COS($E20+$F20*'25SolarCoords'!AP$7)</f>
        <v>702.01503382062469</v>
      </c>
      <c r="AU20" s="23">
        <f>$D20*COS($E20+$F20*'25SolarCoords'!AQ$7)</f>
        <v>618.30059508322358</v>
      </c>
      <c r="AV20" s="23">
        <f>$D20*COS($E20+$F20*'25SolarCoords'!AR$7)</f>
        <v>528.66643545798081</v>
      </c>
      <c r="AW20" s="23">
        <f>$D20*COS($E20+$F20*'25SolarCoords'!AS$7)</f>
        <v>419.49108726648672</v>
      </c>
      <c r="AX20" s="23">
        <f>$D20*COS($E20+$F20*'25SolarCoords'!AT$7)</f>
        <v>198.05562918157449</v>
      </c>
      <c r="AY20" s="23">
        <f>$D20*COS($E20+$F20*'25SolarCoords'!AU$7)</f>
        <v>901.26024543777703</v>
      </c>
      <c r="AZ20" s="23">
        <f>$D20*COS($E20+$F20*'25SolarCoords'!AV$7)</f>
        <v>-597.98538405175316</v>
      </c>
      <c r="BA20" s="23">
        <f>$D20*COS($E20+$F20*'25SolarCoords'!AW$7)</f>
        <v>962.62381621609927</v>
      </c>
      <c r="BB20" s="23">
        <f>$D20*COS($E20+$F20*'25SolarCoords'!AX$7)</f>
        <v>453.50772100142876</v>
      </c>
      <c r="BC20" s="23">
        <f>$D20*COS($E20+$F20*'25SolarCoords'!AY$7)</f>
        <v>-275.44336005532693</v>
      </c>
      <c r="BD20" s="23">
        <f>$D20*COS($E20+$F20*'25SolarCoords'!AZ$7)</f>
        <v>-290.72806658098727</v>
      </c>
      <c r="BE20" s="23">
        <f>$D20*COS($E20+$F20*'25SolarCoords'!BA$7)</f>
        <v>-305.93730225067736</v>
      </c>
      <c r="BF20" s="23">
        <f>$D20*COS($E20+$F20*'25SolarCoords'!BB$7)</f>
        <v>-321.067118859299</v>
      </c>
      <c r="BG20" s="23">
        <f>$D20*COS($E20+$F20*'25SolarCoords'!BC$7)</f>
        <v>-336.11358881835497</v>
      </c>
      <c r="BH20" s="23">
        <f>$D20*COS($E20+$F20*'25SolarCoords'!BD$7)</f>
        <v>-351.07280617552186</v>
      </c>
      <c r="BI20" s="23">
        <f>$D20*COS($E20+$F20*'25SolarCoords'!BE$7)</f>
        <v>-365.94088762860645</v>
      </c>
      <c r="BJ20" s="23">
        <f>$D20*COS($E20+$F20*'25SolarCoords'!BF$7)</f>
        <v>-380.71397353362215</v>
      </c>
      <c r="BK20" s="23">
        <f>$D20*COS($E20+$F20*'25SolarCoords'!BG$7)</f>
        <v>-850.34277929619316</v>
      </c>
    </row>
    <row r="21" spans="3:63" x14ac:dyDescent="0.25">
      <c r="C21">
        <f t="shared" si="0"/>
        <v>13</v>
      </c>
      <c r="D21">
        <v>902</v>
      </c>
      <c r="E21">
        <v>2.0449999999999999</v>
      </c>
      <c r="F21">
        <v>26.297999999999998</v>
      </c>
      <c r="H21" s="7"/>
      <c r="I21" s="23">
        <f>$D21*COS($E21+$F21*'25SolarCoords'!E$7)</f>
        <v>536.25228565965631</v>
      </c>
      <c r="J21" s="23">
        <f>$D21*COS($E21+$F21*'25SolarCoords'!F$7)</f>
        <v>-524.53176050401908</v>
      </c>
      <c r="K21" s="23">
        <f>$D21*COS($E21+$F21*'25SolarCoords'!G$7)</f>
        <v>-411.88038143049056</v>
      </c>
      <c r="L21" s="23">
        <f>$D21*COS($E21+$F21*'25SolarCoords'!H$7)</f>
        <v>-390.62239898659612</v>
      </c>
      <c r="M21" s="23">
        <f>$D21*COS($E21+$F21*'25SolarCoords'!I$7)</f>
        <v>-120.67079298407371</v>
      </c>
      <c r="N21" s="23">
        <f>$D21*COS($E21+$F21*'25SolarCoords'!J$7)</f>
        <v>-129.89987803964911</v>
      </c>
      <c r="O21" s="23">
        <f>$D21*COS($E21+$F21*'25SolarCoords'!K$7)</f>
        <v>-144.11789815994061</v>
      </c>
      <c r="P21" s="23">
        <f>$D21*COS($E21+$F21*'25SolarCoords'!L$7)</f>
        <v>-153.37378059297282</v>
      </c>
      <c r="Q21" s="23">
        <f>$D21*COS($E21+$F21*'25SolarCoords'!M$7)</f>
        <v>752.12582872892472</v>
      </c>
      <c r="R21" s="23">
        <f>$D21*COS($E21+$F21*'25SolarCoords'!N$7)</f>
        <v>-524.12187962295718</v>
      </c>
      <c r="S21" s="23">
        <f>$D21*COS($E21+$F21*'25SolarCoords'!O$7)</f>
        <v>-504.65101898663687</v>
      </c>
      <c r="T21" s="23">
        <f>$D21*COS($E21+$F21*'25SolarCoords'!P$7)</f>
        <v>-872.34418901550134</v>
      </c>
      <c r="U21" s="23">
        <f>$D21*COS($E21+$F21*'25SolarCoords'!Q$7)</f>
        <v>-846.87510160556258</v>
      </c>
      <c r="V21" s="23">
        <f>$D21*COS($E21+$F21*'25SolarCoords'!R$7)</f>
        <v>-846.89745498287596</v>
      </c>
      <c r="W21" s="23">
        <f>$D21*COS($E21+$F21*'25SolarCoords'!S$7)</f>
        <v>121.2681894102239</v>
      </c>
      <c r="X21" s="23">
        <f>$D21*COS($E21+$F21*'25SolarCoords'!T$7)</f>
        <v>112.6069731809414</v>
      </c>
      <c r="Y21" s="23">
        <f>$D21*COS($E21+$F21*'25SolarCoords'!U$7)</f>
        <v>100.02482800655567</v>
      </c>
      <c r="Z21" s="23">
        <f>$D21*COS($E21+$F21*'25SolarCoords'!V$7)</f>
        <v>97.090181479316726</v>
      </c>
      <c r="AA21" s="23">
        <f>$D21*COS($E21+$F21*'25SolarCoords'!W$7)</f>
        <v>-125.36739988718138</v>
      </c>
      <c r="AB21" s="23">
        <f>$D21*COS($E21+$F21*'25SolarCoords'!X$7)</f>
        <v>-241.5719131030512</v>
      </c>
      <c r="AC21" s="23">
        <f>$D21*COS($E21+$F21*'25SolarCoords'!Y$7)</f>
        <v>114.59732794473324</v>
      </c>
      <c r="AD21" s="23">
        <f>$D21*COS($E21+$F21*'25SolarCoords'!Z$7)</f>
        <v>-900.35063883254008</v>
      </c>
      <c r="AE21" s="23">
        <f>$D21*COS($E21+$F21*'25SolarCoords'!AA$7)</f>
        <v>-411.85149223349333</v>
      </c>
      <c r="AF21" s="23">
        <f>$D21*COS($E21+$F21*'25SolarCoords'!AB$7)</f>
        <v>596.48842831682532</v>
      </c>
      <c r="AG21" s="23">
        <f>$D21*COS($E21+$F21*'25SolarCoords'!AC$7)</f>
        <v>73.457110998842964</v>
      </c>
      <c r="AH21" s="23">
        <f>$D21*COS($E21+$F21*'25SolarCoords'!AD$7)</f>
        <v>-149.6285329832219</v>
      </c>
      <c r="AI21" s="23">
        <f>$D21*COS($E21+$F21*'25SolarCoords'!AE$7)</f>
        <v>114.39433458816137</v>
      </c>
      <c r="AJ21" s="23">
        <f>$D21*COS($E21+$F21*'25SolarCoords'!AF$7)</f>
        <v>-257.29931963884223</v>
      </c>
      <c r="AK21" s="23">
        <f>$D21*COS($E21+$F21*'25SolarCoords'!AG$7)</f>
        <v>-253.06354515769948</v>
      </c>
      <c r="AL21" s="23">
        <f>$D21*COS($E21+$F21*'25SolarCoords'!AH$7)</f>
        <v>-215.94216227919728</v>
      </c>
      <c r="AM21" s="23">
        <f>$D21*COS($E21+$F21*'25SolarCoords'!AI$7)</f>
        <v>-240.88355021665041</v>
      </c>
      <c r="AN21" s="23">
        <f>$D21*COS($E21+$F21*'25SolarCoords'!AJ$7)</f>
        <v>-265.50400794544845</v>
      </c>
      <c r="AO21" s="23">
        <f>$D21*COS($E21+$F21*'25SolarCoords'!AK$7)</f>
        <v>-830.64637340380591</v>
      </c>
      <c r="AP21" s="23">
        <f>$D21*COS($E21+$F21*'25SolarCoords'!AL$7)</f>
        <v>-205.7127241754259</v>
      </c>
      <c r="AQ21" s="23">
        <f>$D21*COS($E21+$F21*'25SolarCoords'!AM$7)</f>
        <v>-838.01528435764635</v>
      </c>
      <c r="AR21" s="23">
        <f>$D21*COS($E21+$F21*'25SolarCoords'!AN$7)</f>
        <v>-417.38838691570112</v>
      </c>
      <c r="AS21" s="23">
        <f>$D21*COS($E21+$F21*'25SolarCoords'!AO$7)</f>
        <v>872.11781132576277</v>
      </c>
      <c r="AT21" s="23">
        <f>$D21*COS($E21+$F21*'25SolarCoords'!AP$7)</f>
        <v>-792.11036391512584</v>
      </c>
      <c r="AU21" s="23">
        <f>$D21*COS($E21+$F21*'25SolarCoords'!AQ$7)</f>
        <v>-792.32944775785973</v>
      </c>
      <c r="AV21" s="23">
        <f>$D21*COS($E21+$F21*'25SolarCoords'!AR$7)</f>
        <v>-792.54358978118682</v>
      </c>
      <c r="AW21" s="23">
        <f>$D21*COS($E21+$F21*'25SolarCoords'!AS$7)</f>
        <v>-792.78552397079022</v>
      </c>
      <c r="AX21" s="23">
        <f>$D21*COS($E21+$F21*'25SolarCoords'!AT$7)</f>
        <v>-793.23907932970735</v>
      </c>
      <c r="AY21" s="23">
        <f>$D21*COS($E21+$F21*'25SolarCoords'!AU$7)</f>
        <v>201.20002106758682</v>
      </c>
      <c r="AZ21" s="23">
        <f>$D21*COS($E21+$F21*'25SolarCoords'!AV$7)</f>
        <v>-361.88004122974519</v>
      </c>
      <c r="BA21" s="23">
        <f>$D21*COS($E21+$F21*'25SolarCoords'!AW$7)</f>
        <v>851.59085951006421</v>
      </c>
      <c r="BB21" s="23">
        <f>$D21*COS($E21+$F21*'25SolarCoords'!AX$7)</f>
        <v>545.23476520337772</v>
      </c>
      <c r="BC21" s="23">
        <f>$D21*COS($E21+$F21*'25SolarCoords'!AY$7)</f>
        <v>-794.16471051826488</v>
      </c>
      <c r="BD21" s="23">
        <f>$D21*COS($E21+$F21*'25SolarCoords'!AZ$7)</f>
        <v>-794.19550110243574</v>
      </c>
      <c r="BE21" s="23">
        <f>$D21*COS($E21+$F21*'25SolarCoords'!BA$7)</f>
        <v>-794.22628756949723</v>
      </c>
      <c r="BF21" s="23">
        <f>$D21*COS($E21+$F21*'25SolarCoords'!BB$7)</f>
        <v>-794.25706991928951</v>
      </c>
      <c r="BG21" s="23">
        <f>$D21*COS($E21+$F21*'25SolarCoords'!BC$7)</f>
        <v>-794.28784815165307</v>
      </c>
      <c r="BH21" s="23">
        <f>$D21*COS($E21+$F21*'25SolarCoords'!BD$7)</f>
        <v>-794.31862226642875</v>
      </c>
      <c r="BI21" s="23">
        <f>$D21*COS($E21+$F21*'25SolarCoords'!BE$7)</f>
        <v>-794.34939226345637</v>
      </c>
      <c r="BJ21" s="23">
        <f>$D21*COS($E21+$F21*'25SolarCoords'!BF$7)</f>
        <v>-794.38015814257676</v>
      </c>
      <c r="BK21" s="23">
        <f>$D21*COS($E21+$F21*'25SolarCoords'!BG$7)</f>
        <v>114.40407208125545</v>
      </c>
    </row>
    <row r="22" spans="3:63" x14ac:dyDescent="0.25">
      <c r="C22">
        <f t="shared" si="0"/>
        <v>14</v>
      </c>
      <c r="D22">
        <v>857</v>
      </c>
      <c r="E22">
        <v>3.508</v>
      </c>
      <c r="F22">
        <v>398.149</v>
      </c>
      <c r="H22" s="7"/>
      <c r="I22" s="23">
        <f>$D22*COS($E22+$F22*'25SolarCoords'!E$7)</f>
        <v>630.53891801062639</v>
      </c>
      <c r="J22" s="23">
        <f>$D22*COS($E22+$F22*'25SolarCoords'!F$7)</f>
        <v>779.48469733178752</v>
      </c>
      <c r="K22" s="23">
        <f>$D22*COS($E22+$F22*'25SolarCoords'!G$7)</f>
        <v>-800.11275560087654</v>
      </c>
      <c r="L22" s="23">
        <f>$D22*COS($E22+$F22*'25SolarCoords'!H$7)</f>
        <v>-856.56086477646363</v>
      </c>
      <c r="M22" s="23">
        <f>$D22*COS($E22+$F22*'25SolarCoords'!I$7)</f>
        <v>-59.147051926328565</v>
      </c>
      <c r="N22" s="23">
        <f>$D22*COS($E22+$F22*'25SolarCoords'!J$7)</f>
        <v>74.767296163801888</v>
      </c>
      <c r="O22" s="23">
        <f>$D22*COS($E22+$F22*'25SolarCoords'!K$7)</f>
        <v>276.73596460538852</v>
      </c>
      <c r="P22" s="23">
        <f>$D22*COS($E22+$F22*'25SolarCoords'!L$7)</f>
        <v>400.54149602359564</v>
      </c>
      <c r="Q22" s="23">
        <f>$D22*COS($E22+$F22*'25SolarCoords'!M$7)</f>
        <v>151.77499215209161</v>
      </c>
      <c r="R22" s="23">
        <f>$D22*COS($E22+$F22*'25SolarCoords'!N$7)</f>
        <v>203.74317114087401</v>
      </c>
      <c r="S22" s="23">
        <f>$D22*COS($E22+$F22*'25SolarCoords'!O$7)</f>
        <v>-134.70623060661291</v>
      </c>
      <c r="T22" s="23">
        <f>$D22*COS($E22+$F22*'25SolarCoords'!P$7)</f>
        <v>630.50930148550333</v>
      </c>
      <c r="U22" s="23">
        <f>$D22*COS($E22+$F22*'25SolarCoords'!Q$7)</f>
        <v>709.37047532222596</v>
      </c>
      <c r="V22" s="23">
        <f>$D22*COS($E22+$F22*'25SolarCoords'!R$7)</f>
        <v>708.84586333117431</v>
      </c>
      <c r="W22" s="23">
        <f>$D22*COS($E22+$F22*'25SolarCoords'!S$7)</f>
        <v>-855.89315623867992</v>
      </c>
      <c r="X22" s="23">
        <f>$D22*COS($E22+$F22*'25SolarCoords'!T$7)</f>
        <v>-840.34947953622714</v>
      </c>
      <c r="Y22" s="23">
        <f>$D22*COS($E22+$F22*'25SolarCoords'!U$7)</f>
        <v>-785.93248379010345</v>
      </c>
      <c r="Z22" s="23">
        <f>$D22*COS($E22+$F22*'25SolarCoords'!V$7)</f>
        <v>60.759844520370407</v>
      </c>
      <c r="AA22" s="23">
        <f>$D22*COS($E22+$F22*'25SolarCoords'!W$7)</f>
        <v>9.0017551016474773</v>
      </c>
      <c r="AB22" s="23">
        <f>$D22*COS($E22+$F22*'25SolarCoords'!X$7)</f>
        <v>777.74634186876767</v>
      </c>
      <c r="AC22" s="23">
        <f>$D22*COS($E22+$F22*'25SolarCoords'!Y$7)</f>
        <v>664.71471240720973</v>
      </c>
      <c r="AD22" s="23">
        <f>$D22*COS($E22+$F22*'25SolarCoords'!Z$7)</f>
        <v>-487.89331170602389</v>
      </c>
      <c r="AE22" s="23">
        <f>$D22*COS($E22+$F22*'25SolarCoords'!AA$7)</f>
        <v>-800.27998026533066</v>
      </c>
      <c r="AF22" s="23">
        <f>$D22*COS($E22+$F22*'25SolarCoords'!AB$7)</f>
        <v>-390.77559178455255</v>
      </c>
      <c r="AG22" s="23">
        <f>$D22*COS($E22+$F22*'25SolarCoords'!AC$7)</f>
        <v>164.65868721563049</v>
      </c>
      <c r="AH22" s="23">
        <f>$D22*COS($E22+$F22*'25SolarCoords'!AD$7)</f>
        <v>351.44609601202859</v>
      </c>
      <c r="AI22" s="23">
        <f>$D22*COS($E22+$F22*'25SolarCoords'!AE$7)</f>
        <v>662.85271135557741</v>
      </c>
      <c r="AJ22" s="23">
        <f>$D22*COS($E22+$F22*'25SolarCoords'!AF$7)</f>
        <v>650.94921872460088</v>
      </c>
      <c r="AK22" s="23">
        <f>$D22*COS($E22+$F22*'25SolarCoords'!AG$7)</f>
        <v>690.44241309031077</v>
      </c>
      <c r="AL22" s="23">
        <f>$D22*COS($E22+$F22*'25SolarCoords'!AH$7)</f>
        <v>856.94529280084964</v>
      </c>
      <c r="AM22" s="23">
        <f>$D22*COS($E22+$F22*'25SolarCoords'!AI$7)</f>
        <v>782.00634212756916</v>
      </c>
      <c r="AN22" s="23">
        <f>$D22*COS($E22+$F22*'25SolarCoords'!AJ$7)</f>
        <v>564.29207670993696</v>
      </c>
      <c r="AO22" s="23">
        <f>$D22*COS($E22+$F22*'25SolarCoords'!AK$7)</f>
        <v>845.91538725091141</v>
      </c>
      <c r="AP22" s="23">
        <f>$D22*COS($E22+$F22*'25SolarCoords'!AL$7)</f>
        <v>841.91710507088806</v>
      </c>
      <c r="AQ22" s="23">
        <f>$D22*COS($E22+$F22*'25SolarCoords'!AM$7)</f>
        <v>-130.46482137161073</v>
      </c>
      <c r="AR22" s="23">
        <f>$D22*COS($E22+$F22*'25SolarCoords'!AN$7)</f>
        <v>-763.87626219941546</v>
      </c>
      <c r="AS22" s="23">
        <f>$D22*COS($E22+$F22*'25SolarCoords'!AO$7)</f>
        <v>658.83699558753563</v>
      </c>
      <c r="AT22" s="23">
        <f>$D22*COS($E22+$F22*'25SolarCoords'!AP$7)</f>
        <v>856.97645986244254</v>
      </c>
      <c r="AU22" s="23">
        <f>$D22*COS($E22+$F22*'25SolarCoords'!AQ$7)</f>
        <v>856.99996660723548</v>
      </c>
      <c r="AV22" s="23">
        <f>$D22*COS($E22+$F22*'25SolarCoords'!AR$7)</f>
        <v>856.97390554018443</v>
      </c>
      <c r="AW22" s="23">
        <f>$D22*COS($E22+$F22*'25SolarCoords'!AS$7)</f>
        <v>856.88597177159011</v>
      </c>
      <c r="AX22" s="23">
        <f>$D22*COS($E22+$F22*'25SolarCoords'!AT$7)</f>
        <v>856.55328126547818</v>
      </c>
      <c r="AY22" s="23">
        <f>$D22*COS($E22+$F22*'25SolarCoords'!AU$7)</f>
        <v>600.77739359799034</v>
      </c>
      <c r="AZ22" s="23">
        <f>$D22*COS($E22+$F22*'25SolarCoords'!AV$7)</f>
        <v>-724.78379449780448</v>
      </c>
      <c r="BA22" s="23">
        <f>$D22*COS($E22+$F22*'25SolarCoords'!AW$7)</f>
        <v>-796.98946970360112</v>
      </c>
      <c r="BB22" s="23">
        <f>$D22*COS($E22+$F22*'25SolarCoords'!AX$7)</f>
        <v>510.69600822393892</v>
      </c>
      <c r="BC22" s="23">
        <f>$D22*COS($E22+$F22*'25SolarCoords'!AY$7)</f>
        <v>855.19069136691962</v>
      </c>
      <c r="BD22" s="23">
        <f>$D22*COS($E22+$F22*'25SolarCoords'!AZ$7)</f>
        <v>855.12951135700871</v>
      </c>
      <c r="BE22" s="23">
        <f>$D22*COS($E22+$F22*'25SolarCoords'!BA$7)</f>
        <v>855.06731523256917</v>
      </c>
      <c r="BF22" s="23">
        <f>$D22*COS($E22+$F22*'25SolarCoords'!BB$7)</f>
        <v>855.00410306750655</v>
      </c>
      <c r="BG22" s="23">
        <f>$D22*COS($E22+$F22*'25SolarCoords'!BC$7)</f>
        <v>854.9398749369326</v>
      </c>
      <c r="BH22" s="23">
        <f>$D22*COS($E22+$F22*'25SolarCoords'!BD$7)</f>
        <v>854.87463091716745</v>
      </c>
      <c r="BI22" s="23">
        <f>$D22*COS($E22+$F22*'25SolarCoords'!BE$7)</f>
        <v>854.80837108573735</v>
      </c>
      <c r="BJ22" s="23">
        <f>$D22*COS($E22+$F22*'25SolarCoords'!BF$7)</f>
        <v>854.74109552137645</v>
      </c>
      <c r="BK22" s="23">
        <f>$D22*COS($E22+$F22*'25SolarCoords'!BG$7)</f>
        <v>662.94220817284508</v>
      </c>
    </row>
    <row r="23" spans="3:63" x14ac:dyDescent="0.25">
      <c r="C23">
        <f t="shared" si="0"/>
        <v>15</v>
      </c>
      <c r="D23">
        <v>780</v>
      </c>
      <c r="E23">
        <v>1.179</v>
      </c>
      <c r="F23">
        <v>5223.6940000000004</v>
      </c>
      <c r="H23" s="7"/>
      <c r="I23" s="23">
        <f>$D23*COS($E23+$F23*'25SolarCoords'!E$7)</f>
        <v>707.66359397217093</v>
      </c>
      <c r="J23" s="23">
        <f>$D23*COS($E23+$F23*'25SolarCoords'!F$7)</f>
        <v>-545.01671109118558</v>
      </c>
      <c r="K23" s="23">
        <f>$D23*COS($E23+$F23*'25SolarCoords'!G$7)</f>
        <v>297.84240701497811</v>
      </c>
      <c r="L23" s="23">
        <f>$D23*COS($E23+$F23*'25SolarCoords'!H$7)</f>
        <v>-480.76552527292529</v>
      </c>
      <c r="M23" s="23">
        <f>$D23*COS($E23+$F23*'25SolarCoords'!I$7)</f>
        <v>-722.22486353769762</v>
      </c>
      <c r="N23" s="23">
        <f>$D23*COS($E23+$F23*'25SolarCoords'!J$7)</f>
        <v>73.359019476309683</v>
      </c>
      <c r="O23" s="23">
        <f>$D23*COS($E23+$F23*'25SolarCoords'!K$7)</f>
        <v>-93.702275747653673</v>
      </c>
      <c r="P23" s="23">
        <f>$D23*COS($E23+$F23*'25SolarCoords'!L$7)</f>
        <v>-636.53354544146555</v>
      </c>
      <c r="Q23" s="23">
        <f>$D23*COS($E23+$F23*'25SolarCoords'!M$7)</f>
        <v>740.12552302151778</v>
      </c>
      <c r="R23" s="23">
        <f>$D23*COS($E23+$F23*'25SolarCoords'!N$7)</f>
        <v>-487.13209432288835</v>
      </c>
      <c r="S23" s="23">
        <f>$D23*COS($E23+$F23*'25SolarCoords'!O$7)</f>
        <v>-769.17473812670573</v>
      </c>
      <c r="T23" s="23">
        <f>$D23*COS($E23+$F23*'25SolarCoords'!P$7)</f>
        <v>-737.62615140965772</v>
      </c>
      <c r="U23" s="23">
        <f>$D23*COS($E23+$F23*'25SolarCoords'!Q$7)</f>
        <v>762.72820796009114</v>
      </c>
      <c r="V23" s="23">
        <f>$D23*COS($E23+$F23*'25SolarCoords'!R$7)</f>
        <v>760.31574742079658</v>
      </c>
      <c r="W23" s="23">
        <f>$D23*COS($E23+$F23*'25SolarCoords'!S$7)</f>
        <v>-769.31483007845122</v>
      </c>
      <c r="X23" s="23">
        <f>$D23*COS($E23+$F23*'25SolarCoords'!T$7)</f>
        <v>145.06430668758543</v>
      </c>
      <c r="Y23" s="23">
        <f>$D23*COS($E23+$F23*'25SolarCoords'!U$7)</f>
        <v>127.54970334612518</v>
      </c>
      <c r="Z23" s="23">
        <f>$D23*COS($E23+$F23*'25SolarCoords'!V$7)</f>
        <v>775.71987293232485</v>
      </c>
      <c r="AA23" s="23">
        <f>$D23*COS($E23+$F23*'25SolarCoords'!W$7)</f>
        <v>-617.76108804029525</v>
      </c>
      <c r="AB23" s="23">
        <f>$D23*COS($E23+$F23*'25SolarCoords'!X$7)</f>
        <v>86.385406409928095</v>
      </c>
      <c r="AC23" s="23">
        <f>$D23*COS($E23+$F23*'25SolarCoords'!Y$7)</f>
        <v>380.15576300645222</v>
      </c>
      <c r="AD23" s="23">
        <f>$D23*COS($E23+$F23*'25SolarCoords'!Z$7)</f>
        <v>83.552969612457389</v>
      </c>
      <c r="AE23" s="23">
        <f>$D23*COS($E23+$F23*'25SolarCoords'!AA$7)</f>
        <v>302.98975968220424</v>
      </c>
      <c r="AF23" s="23">
        <f>$D23*COS($E23+$F23*'25SolarCoords'!AB$7)</f>
        <v>-474.29408229184298</v>
      </c>
      <c r="AG23" s="23">
        <f>$D23*COS($E23+$F23*'25SolarCoords'!AC$7)</f>
        <v>-572.25036665877246</v>
      </c>
      <c r="AH23" s="23">
        <f>$D23*COS($E23+$F23*'25SolarCoords'!AD$7)</f>
        <v>-761.12698134053323</v>
      </c>
      <c r="AI23" s="23">
        <f>$D23*COS($E23+$F23*'25SolarCoords'!AE$7)</f>
        <v>349.08562157097504</v>
      </c>
      <c r="AJ23" s="23">
        <f>$D23*COS($E23+$F23*'25SolarCoords'!AF$7)</f>
        <v>-423.15154041455276</v>
      </c>
      <c r="AK23" s="23">
        <f>$D23*COS($E23+$F23*'25SolarCoords'!AG$7)</f>
        <v>303.1014954760297</v>
      </c>
      <c r="AL23" s="23">
        <f>$D23*COS($E23+$F23*'25SolarCoords'!AH$7)</f>
        <v>413.71180697037562</v>
      </c>
      <c r="AM23" s="23">
        <f>$D23*COS($E23+$F23*'25SolarCoords'!AI$7)</f>
        <v>-36.132621200008408</v>
      </c>
      <c r="AN23" s="23">
        <f>$D23*COS($E23+$F23*'25SolarCoords'!AJ$7)</f>
        <v>-490.67465387528875</v>
      </c>
      <c r="AO23" s="23">
        <f>$D23*COS($E23+$F23*'25SolarCoords'!AK$7)</f>
        <v>566.43231080333919</v>
      </c>
      <c r="AP23" s="23">
        <f>$D23*COS($E23+$F23*'25SolarCoords'!AL$7)</f>
        <v>-766.40088996229042</v>
      </c>
      <c r="AQ23" s="23">
        <f>$D23*COS($E23+$F23*'25SolarCoords'!AM$7)</f>
        <v>769.4192634001779</v>
      </c>
      <c r="AR23" s="23">
        <f>$D23*COS($E23+$F23*'25SolarCoords'!AN$7)</f>
        <v>-645.17624212244368</v>
      </c>
      <c r="AS23" s="23">
        <f>$D23*COS($E23+$F23*'25SolarCoords'!AO$7)</f>
        <v>-242.38281606092451</v>
      </c>
      <c r="AT23" s="23">
        <f>$D23*COS($E23+$F23*'25SolarCoords'!AP$7)</f>
        <v>666.35845281555191</v>
      </c>
      <c r="AU23" s="23">
        <f>$D23*COS($E23+$F23*'25SolarCoords'!AQ$7)</f>
        <v>622.12865219225125</v>
      </c>
      <c r="AV23" s="23">
        <f>$D23*COS($E23+$F23*'25SolarCoords'!AR$7)</f>
        <v>572.72798667670702</v>
      </c>
      <c r="AW23" s="23">
        <f>$D23*COS($E23+$F23*'25SolarCoords'!AS$7)</f>
        <v>510.16909256884361</v>
      </c>
      <c r="AX23" s="23">
        <f>$D23*COS($E23+$F23*'25SolarCoords'!AT$7)</f>
        <v>376.23198490460499</v>
      </c>
      <c r="AY23" s="23">
        <f>$D23*COS($E23+$F23*'25SolarCoords'!AU$7)</f>
        <v>672.01346855865017</v>
      </c>
      <c r="AZ23" s="23">
        <f>$D23*COS($E23+$F23*'25SolarCoords'!AV$7)</f>
        <v>13.743254976586789</v>
      </c>
      <c r="BA23" s="23">
        <f>$D23*COS($E23+$F23*'25SolarCoords'!AW$7)</f>
        <v>431.53999575395676</v>
      </c>
      <c r="BB23" s="23">
        <f>$D23*COS($E23+$F23*'25SolarCoords'!AX$7)</f>
        <v>-350.89057082659377</v>
      </c>
      <c r="BC23" s="23">
        <f>$D23*COS($E23+$F23*'25SolarCoords'!AY$7)</f>
        <v>57.887564949810624</v>
      </c>
      <c r="BD23" s="23">
        <f>$D23*COS($E23+$F23*'25SolarCoords'!AZ$7)</f>
        <v>46.757465559351864</v>
      </c>
      <c r="BE23" s="23">
        <f>$D23*COS($E23+$F23*'25SolarCoords'!BA$7)</f>
        <v>35.617802631315278</v>
      </c>
      <c r="BF23" s="23">
        <f>$D23*COS($E23+$F23*'25SolarCoords'!BB$7)</f>
        <v>24.470854616544301</v>
      </c>
      <c r="BG23" s="23">
        <f>$D23*COS($E23+$F23*'25SolarCoords'!BC$7)</f>
        <v>13.318901455859969</v>
      </c>
      <c r="BH23" s="23">
        <f>$D23*COS($E23+$F23*'25SolarCoords'!BD$7)</f>
        <v>2.1642241138550791</v>
      </c>
      <c r="BI23" s="23">
        <f>$D23*COS($E23+$F23*'25SolarCoords'!BE$7)</f>
        <v>-8.9908958876982759</v>
      </c>
      <c r="BJ23" s="23">
        <f>$D23*COS($E23+$F23*'25SolarCoords'!BF$7)</f>
        <v>-20.144176936477546</v>
      </c>
      <c r="BK23" s="23">
        <f>$D23*COS($E23+$F23*'25SolarCoords'!BG$7)</f>
        <v>350.59271624402794</v>
      </c>
    </row>
    <row r="24" spans="3:63" x14ac:dyDescent="0.25">
      <c r="C24">
        <f t="shared" si="0"/>
        <v>16</v>
      </c>
      <c r="D24">
        <v>753</v>
      </c>
      <c r="E24">
        <v>2.5329999999999999</v>
      </c>
      <c r="F24">
        <v>5507.5529999999999</v>
      </c>
      <c r="H24" s="7"/>
      <c r="I24" s="23">
        <f>$D24*COS($E24+$F24*'25SolarCoords'!E$7)</f>
        <v>-536.49919116001797</v>
      </c>
      <c r="J24" s="23">
        <f>$D24*COS($E24+$F24*'25SolarCoords'!F$7)</f>
        <v>-152.89611322858406</v>
      </c>
      <c r="K24" s="23">
        <f>$D24*COS($E24+$F24*'25SolarCoords'!G$7)</f>
        <v>-617.80143191331103</v>
      </c>
      <c r="L24" s="23">
        <f>$D24*COS($E24+$F24*'25SolarCoords'!H$7)</f>
        <v>-742.98588728060577</v>
      </c>
      <c r="M24" s="23">
        <f>$D24*COS($E24+$F24*'25SolarCoords'!I$7)</f>
        <v>681.8765866867335</v>
      </c>
      <c r="N24" s="23">
        <f>$D24*COS($E24+$F24*'25SolarCoords'!J$7)</f>
        <v>-645.99145047897446</v>
      </c>
      <c r="O24" s="23">
        <f>$D24*COS($E24+$F24*'25SolarCoords'!K$7)</f>
        <v>709.57425928946657</v>
      </c>
      <c r="P24" s="23">
        <f>$D24*COS($E24+$F24*'25SolarCoords'!L$7)</f>
        <v>-198.54480883835973</v>
      </c>
      <c r="Q24" s="23">
        <f>$D24*COS($E24+$F24*'25SolarCoords'!M$7)</f>
        <v>-5.152245506824995</v>
      </c>
      <c r="R24" s="23">
        <f>$D24*COS($E24+$F24*'25SolarCoords'!N$7)</f>
        <v>175.44133322834006</v>
      </c>
      <c r="S24" s="23">
        <f>$D24*COS($E24+$F24*'25SolarCoords'!O$7)</f>
        <v>-389.88644686582768</v>
      </c>
      <c r="T24" s="23">
        <f>$D24*COS($E24+$F24*'25SolarCoords'!P$7)</f>
        <v>44.387554150839811</v>
      </c>
      <c r="U24" s="23">
        <f>$D24*COS($E24+$F24*'25SolarCoords'!Q$7)</f>
        <v>-560.89482112712039</v>
      </c>
      <c r="V24" s="23">
        <f>$D24*COS($E24+$F24*'25SolarCoords'!R$7)</f>
        <v>-568.40639139228779</v>
      </c>
      <c r="W24" s="23">
        <f>$D24*COS($E24+$F24*'25SolarCoords'!S$7)</f>
        <v>72.461038462131199</v>
      </c>
      <c r="X24" s="23">
        <f>$D24*COS($E24+$F24*'25SolarCoords'!T$7)</f>
        <v>640.49464899322447</v>
      </c>
      <c r="Y24" s="23">
        <f>$D24*COS($E24+$F24*'25SolarCoords'!U$7)</f>
        <v>-706.31397593613838</v>
      </c>
      <c r="Z24" s="23">
        <f>$D24*COS($E24+$F24*'25SolarCoords'!V$7)</f>
        <v>752.94163016599214</v>
      </c>
      <c r="AA24" s="23">
        <f>$D24*COS($E24+$F24*'25SolarCoords'!W$7)</f>
        <v>24.023918430210905</v>
      </c>
      <c r="AB24" s="23">
        <f>$D24*COS($E24+$F24*'25SolarCoords'!X$7)</f>
        <v>-500.47381785082683</v>
      </c>
      <c r="AC24" s="23">
        <f>$D24*COS($E24+$F24*'25SolarCoords'!Y$7)</f>
        <v>-446.36505532345274</v>
      </c>
      <c r="AD24" s="23">
        <f>$D24*COS($E24+$F24*'25SolarCoords'!Z$7)</f>
        <v>739.95155284298096</v>
      </c>
      <c r="AE24" s="23">
        <f>$D24*COS($E24+$F24*'25SolarCoords'!AA$7)</f>
        <v>-614.53817842007493</v>
      </c>
      <c r="AF24" s="23">
        <f>$D24*COS($E24+$F24*'25SolarCoords'!AB$7)</f>
        <v>-750.24446953753898</v>
      </c>
      <c r="AG24" s="23">
        <f>$D24*COS($E24+$F24*'25SolarCoords'!AC$7)</f>
        <v>547.95875305352615</v>
      </c>
      <c r="AH24" s="23">
        <f>$D24*COS($E24+$F24*'25SolarCoords'!AD$7)</f>
        <v>434.62598808969045</v>
      </c>
      <c r="AI24" s="23">
        <f>$D24*COS($E24+$F24*'25SolarCoords'!AE$7)</f>
        <v>-474.66584464384039</v>
      </c>
      <c r="AJ24" s="23">
        <f>$D24*COS($E24+$F24*'25SolarCoords'!AF$7)</f>
        <v>51.714508059525301</v>
      </c>
      <c r="AK24" s="23">
        <f>$D24*COS($E24+$F24*'25SolarCoords'!AG$7)</f>
        <v>669.05035925499146</v>
      </c>
      <c r="AL24" s="23">
        <f>$D24*COS($E24+$F24*'25SolarCoords'!AH$7)</f>
        <v>-422.68684877515977</v>
      </c>
      <c r="AM24" s="23">
        <f>$D24*COS($E24+$F24*'25SolarCoords'!AI$7)</f>
        <v>-586.49716519161905</v>
      </c>
      <c r="AN24" s="23">
        <f>$D24*COS($E24+$F24*'25SolarCoords'!AJ$7)</f>
        <v>-707.11992765190087</v>
      </c>
      <c r="AO24" s="23">
        <f>$D24*COS($E24+$F24*'25SolarCoords'!AK$7)</f>
        <v>524.56434979773076</v>
      </c>
      <c r="AP24" s="23">
        <f>$D24*COS($E24+$F24*'25SolarCoords'!AL$7)</f>
        <v>-77.284872610401464</v>
      </c>
      <c r="AQ24" s="23">
        <f>$D24*COS($E24+$F24*'25SolarCoords'!AM$7)</f>
        <v>750.52423494227219</v>
      </c>
      <c r="AR24" s="23">
        <f>$D24*COS($E24+$F24*'25SolarCoords'!AN$7)</f>
        <v>-507.3817041667574</v>
      </c>
      <c r="AS24" s="23">
        <f>$D24*COS($E24+$F24*'25SolarCoords'!AO$7)</f>
        <v>197.67732920542372</v>
      </c>
      <c r="AT24" s="23">
        <f>$D24*COS($E24+$F24*'25SolarCoords'!AP$7)</f>
        <v>-360.64516269254585</v>
      </c>
      <c r="AU24" s="23">
        <f>$D24*COS($E24+$F24*'25SolarCoords'!AQ$7)</f>
        <v>-428.79892839513201</v>
      </c>
      <c r="AV24" s="23">
        <f>$D24*COS($E24+$F24*'25SolarCoords'!AR$7)</f>
        <v>-490.78948613612187</v>
      </c>
      <c r="AW24" s="23">
        <f>$D24*COS($E24+$F24*'25SolarCoords'!AS$7)</f>
        <v>-554.45990916842561</v>
      </c>
      <c r="AX24" s="23">
        <f>$D24*COS($E24+$F24*'25SolarCoords'!AT$7)</f>
        <v>-652.65820208961577</v>
      </c>
      <c r="AY24" s="23">
        <f>$D24*COS($E24+$F24*'25SolarCoords'!AU$7)</f>
        <v>611.53147935929053</v>
      </c>
      <c r="AZ24" s="23">
        <f>$D24*COS($E24+$F24*'25SolarCoords'!AV$7)</f>
        <v>-469.86988722240591</v>
      </c>
      <c r="BA24" s="23">
        <f>$D24*COS($E24+$F24*'25SolarCoords'!AW$7)</f>
        <v>-693.13906670307131</v>
      </c>
      <c r="BB24" s="23">
        <f>$D24*COS($E24+$F24*'25SolarCoords'!AX$7)</f>
        <v>731.06677545670016</v>
      </c>
      <c r="BC24" s="23">
        <f>$D24*COS($E24+$F24*'25SolarCoords'!AY$7)</f>
        <v>-751.16673036866098</v>
      </c>
      <c r="BD24" s="23">
        <f>$D24*COS($E24+$F24*'25SolarCoords'!AZ$7)</f>
        <v>-751.87313060371878</v>
      </c>
      <c r="BE24" s="23">
        <f>$D24*COS($E24+$F24*'25SolarCoords'!BA$7)</f>
        <v>-752.4085792044649</v>
      </c>
      <c r="BF24" s="23">
        <f>$D24*COS($E24+$F24*'25SolarCoords'!BB$7)</f>
        <v>-752.77295442720379</v>
      </c>
      <c r="BG24" s="23">
        <f>$D24*COS($E24+$F24*'25SolarCoords'!BC$7)</f>
        <v>-752.96617342479396</v>
      </c>
      <c r="BH24" s="23">
        <f>$D24*COS($E24+$F24*'25SolarCoords'!BD$7)</f>
        <v>-752.98819226548426</v>
      </c>
      <c r="BI24" s="23">
        <f>$D24*COS($E24+$F24*'25SolarCoords'!BE$7)</f>
        <v>-752.8390059429023</v>
      </c>
      <c r="BJ24" s="23">
        <f>$D24*COS($E24+$F24*'25SolarCoords'!BF$7)</f>
        <v>-752.5186483771937</v>
      </c>
      <c r="BK24" s="23">
        <f>$D24*COS($E24+$F24*'25SolarCoords'!BG$7)</f>
        <v>-473.33225390457471</v>
      </c>
    </row>
    <row r="25" spans="3:63" x14ac:dyDescent="0.25">
      <c r="C25">
        <f t="shared" si="0"/>
        <v>17</v>
      </c>
      <c r="D25">
        <v>505</v>
      </c>
      <c r="E25">
        <v>4.5830000000000002</v>
      </c>
      <c r="F25">
        <v>18849.227999999999</v>
      </c>
      <c r="H25" s="7"/>
      <c r="I25" s="23">
        <f>$D25*COS($E25+$F25*'25SolarCoords'!E$7)</f>
        <v>504.4749004781707</v>
      </c>
      <c r="J25" s="23">
        <f>$D25*COS($E25+$F25*'25SolarCoords'!F$7)</f>
        <v>314.77731624938002</v>
      </c>
      <c r="K25" s="23">
        <f>$D25*COS($E25+$F25*'25SolarCoords'!G$7)</f>
        <v>-65.159268619163782</v>
      </c>
      <c r="L25" s="23">
        <f>$D25*COS($E25+$F25*'25SolarCoords'!H$7)</f>
        <v>-71.450578628623475</v>
      </c>
      <c r="M25" s="23">
        <f>$D25*COS($E25+$F25*'25SolarCoords'!I$7)</f>
        <v>471.36048987280196</v>
      </c>
      <c r="N25" s="23">
        <f>$D25*COS($E25+$F25*'25SolarCoords'!J$7)</f>
        <v>367.683290056798</v>
      </c>
      <c r="O25" s="23">
        <f>$D25*COS($E25+$F25*'25SolarCoords'!K$7)</f>
        <v>468.92172752904276</v>
      </c>
      <c r="P25" s="23">
        <f>$D25*COS($E25+$F25*'25SolarCoords'!L$7)</f>
        <v>354.13088966822335</v>
      </c>
      <c r="Q25" s="23">
        <f>$D25*COS($E25+$F25*'25SolarCoords'!M$7)</f>
        <v>-35.720632356090604</v>
      </c>
      <c r="R25" s="23">
        <f>$D25*COS($E25+$F25*'25SolarCoords'!N$7)</f>
        <v>65.863593700885218</v>
      </c>
      <c r="S25" s="23">
        <f>$D25*COS($E25+$F25*'25SolarCoords'!O$7)</f>
        <v>59.23418352115764</v>
      </c>
      <c r="T25" s="23">
        <f>$D25*COS($E25+$F25*'25SolarCoords'!P$7)</f>
        <v>-111.63675284639598</v>
      </c>
      <c r="U25" s="23">
        <f>$D25*COS($E25+$F25*'25SolarCoords'!Q$7)</f>
        <v>468.02195770828303</v>
      </c>
      <c r="V25" s="23">
        <f>$D25*COS($E25+$F25*'25SolarCoords'!R$7)</f>
        <v>477.18349087032965</v>
      </c>
      <c r="W25" s="23">
        <f>$D25*COS($E25+$F25*'25SolarCoords'!S$7)</f>
        <v>-445.64596854305842</v>
      </c>
      <c r="X25" s="23">
        <f>$D25*COS($E25+$F25*'25SolarCoords'!T$7)</f>
        <v>-497.87686974083533</v>
      </c>
      <c r="Y25" s="23">
        <f>$D25*COS($E25+$F25*'25SolarCoords'!U$7)</f>
        <v>347.5439323188952</v>
      </c>
      <c r="Z25" s="23">
        <f>$D25*COS($E25+$F25*'25SolarCoords'!V$7)</f>
        <v>196.23263221762275</v>
      </c>
      <c r="AA25" s="23">
        <f>$D25*COS($E25+$F25*'25SolarCoords'!W$7)</f>
        <v>-488.20635381493372</v>
      </c>
      <c r="AB25" s="23">
        <f>$D25*COS($E25+$F25*'25SolarCoords'!X$7)</f>
        <v>-465.35334412183227</v>
      </c>
      <c r="AC25" s="23">
        <f>$D25*COS($E25+$F25*'25SolarCoords'!Y$7)</f>
        <v>404.28942581509028</v>
      </c>
      <c r="AD25" s="23">
        <f>$D25*COS($E25+$F25*'25SolarCoords'!Z$7)</f>
        <v>-85.248302265565727</v>
      </c>
      <c r="AE25" s="23">
        <f>$D25*COS($E25+$F25*'25SolarCoords'!AA$7)</f>
        <v>-78.057829745161214</v>
      </c>
      <c r="AF25" s="23">
        <f>$D25*COS($E25+$F25*'25SolarCoords'!AB$7)</f>
        <v>124.90733228980669</v>
      </c>
      <c r="AG25" s="23">
        <f>$D25*COS($E25+$F25*'25SolarCoords'!AC$7)</f>
        <v>-254.89445628915786</v>
      </c>
      <c r="AH25" s="23">
        <f>$D25*COS($E25+$F25*'25SolarCoords'!AD$7)</f>
        <v>-307.4365769500817</v>
      </c>
      <c r="AI25" s="23">
        <f>$D25*COS($E25+$F25*'25SolarCoords'!AE$7)</f>
        <v>349.96106722397167</v>
      </c>
      <c r="AJ25" s="23">
        <f>$D25*COS($E25+$F25*'25SolarCoords'!AF$7)</f>
        <v>-338.07234948932529</v>
      </c>
      <c r="AK25" s="23">
        <f>$D25*COS($E25+$F25*'25SolarCoords'!AG$7)</f>
        <v>450.31351538373167</v>
      </c>
      <c r="AL25" s="23">
        <f>$D25*COS($E25+$F25*'25SolarCoords'!AH$7)</f>
        <v>118.15330659269978</v>
      </c>
      <c r="AM25" s="23">
        <f>$D25*COS($E25+$F25*'25SolarCoords'!AI$7)</f>
        <v>-497.82435952020779</v>
      </c>
      <c r="AN25" s="23">
        <f>$D25*COS($E25+$F25*'25SolarCoords'!AJ$7)</f>
        <v>-102.60976729412258</v>
      </c>
      <c r="AO25" s="23">
        <f>$D25*COS($E25+$F25*'25SolarCoords'!AK$7)</f>
        <v>-9.1404485880750457</v>
      </c>
      <c r="AP25" s="23">
        <f>$D25*COS($E25+$F25*'25SolarCoords'!AL$7)</f>
        <v>372.1059929701259</v>
      </c>
      <c r="AQ25" s="23">
        <f>$D25*COS($E25+$F25*'25SolarCoords'!AM$7)</f>
        <v>-501.79945613706036</v>
      </c>
      <c r="AR25" s="23">
        <f>$D25*COS($E25+$F25*'25SolarCoords'!AN$7)</f>
        <v>-503.10620182190627</v>
      </c>
      <c r="AS25" s="23">
        <f>$D25*COS($E25+$F25*'25SolarCoords'!AO$7)</f>
        <v>488.3277278994392</v>
      </c>
      <c r="AT25" s="23">
        <f>$D25*COS($E25+$F25*'25SolarCoords'!AP$7)</f>
        <v>451.3844826513747</v>
      </c>
      <c r="AU25" s="23">
        <f>$D25*COS($E25+$F25*'25SolarCoords'!AQ$7)</f>
        <v>502.43314888793157</v>
      </c>
      <c r="AV25" s="23">
        <f>$D25*COS($E25+$F25*'25SolarCoords'!AR$7)</f>
        <v>488.62417076805491</v>
      </c>
      <c r="AW25" s="23">
        <f>$D25*COS($E25+$F25*'25SolarCoords'!AS$7)</f>
        <v>399.49920119132605</v>
      </c>
      <c r="AX25" s="23">
        <f>$D25*COS($E25+$F25*'25SolarCoords'!AT$7)</f>
        <v>78.575051791634607</v>
      </c>
      <c r="AY25" s="23">
        <f>$D25*COS($E25+$F25*'25SolarCoords'!AU$7)</f>
        <v>497.80101781328875</v>
      </c>
      <c r="AZ25" s="23">
        <f>$D25*COS($E25+$F25*'25SolarCoords'!AV$7)</f>
        <v>-71.231992508928272</v>
      </c>
      <c r="BA25" s="23">
        <f>$D25*COS($E25+$F25*'25SolarCoords'!AW$7)</f>
        <v>43.099664991400317</v>
      </c>
      <c r="BB25" s="23">
        <f>$D25*COS($E25+$F25*'25SolarCoords'!AX$7)</f>
        <v>-429.92005527802689</v>
      </c>
      <c r="BC25" s="23">
        <f>$D25*COS($E25+$F25*'25SolarCoords'!AY$7)</f>
        <v>-496.94614259458564</v>
      </c>
      <c r="BD25" s="23">
        <f>$D25*COS($E25+$F25*'25SolarCoords'!AZ$7)</f>
        <v>-500.91832408778947</v>
      </c>
      <c r="BE25" s="23">
        <f>$D25*COS($E25+$F25*'25SolarCoords'!BA$7)</f>
        <v>-503.55674702671962</v>
      </c>
      <c r="BF25" s="23">
        <f>$D25*COS($E25+$F25*'25SolarCoords'!BB$7)</f>
        <v>-504.8543862757486</v>
      </c>
      <c r="BG25" s="23">
        <f>$D25*COS($E25+$F25*'25SolarCoords'!BC$7)</f>
        <v>-504.80778670583834</v>
      </c>
      <c r="BH25" s="23">
        <f>$D25*COS($E25+$F25*'25SolarCoords'!BD$7)</f>
        <v>-503.41707239425034</v>
      </c>
      <c r="BI25" s="23">
        <f>$D25*COS($E25+$F25*'25SolarCoords'!BE$7)</f>
        <v>-500.68594629418538</v>
      </c>
      <c r="BJ25" s="23">
        <f>$D25*COS($E25+$F25*'25SolarCoords'!BF$7)</f>
        <v>-496.62168037518535</v>
      </c>
      <c r="BK25" s="23">
        <f>$D25*COS($E25+$F25*'25SolarCoords'!BG$7)</f>
        <v>352.79044305215984</v>
      </c>
    </row>
    <row r="26" spans="3:63" x14ac:dyDescent="0.25">
      <c r="C26">
        <f t="shared" si="0"/>
        <v>18</v>
      </c>
      <c r="D26">
        <v>492</v>
      </c>
      <c r="E26">
        <v>4.2050000000000001</v>
      </c>
      <c r="F26">
        <v>775.52300000000002</v>
      </c>
      <c r="H26" s="7"/>
      <c r="I26" s="23">
        <f>$D26*COS($E26+$F26*'25SolarCoords'!E$7)</f>
        <v>-472.8551847885031</v>
      </c>
      <c r="J26" s="23">
        <f>$D26*COS($E26+$F26*'25SolarCoords'!F$7)</f>
        <v>442.06258758793007</v>
      </c>
      <c r="K26" s="23">
        <f>$D26*COS($E26+$F26*'25SolarCoords'!G$7)</f>
        <v>-239.06124153535742</v>
      </c>
      <c r="L26" s="23">
        <f>$D26*COS($E26+$F26*'25SolarCoords'!H$7)</f>
        <v>-471.82666322820609</v>
      </c>
      <c r="M26" s="23">
        <f>$D26*COS($E26+$F26*'25SolarCoords'!I$7)</f>
        <v>440.62596287441551</v>
      </c>
      <c r="N26" s="23">
        <f>$D26*COS($E26+$F26*'25SolarCoords'!J$7)</f>
        <v>354.66477364091429</v>
      </c>
      <c r="O26" s="23">
        <f>$D26*COS($E26+$F26*'25SolarCoords'!K$7)</f>
        <v>161.63535048562596</v>
      </c>
      <c r="P26" s="23">
        <f>$D26*COS($E26+$F26*'25SolarCoords'!L$7)</f>
        <v>13.740637135252788</v>
      </c>
      <c r="Q26" s="23">
        <f>$D26*COS($E26+$F26*'25SolarCoords'!M$7)</f>
        <v>-227.71408247627053</v>
      </c>
      <c r="R26" s="23">
        <f>$D26*COS($E26+$F26*'25SolarCoords'!N$7)</f>
        <v>-148.3973029949251</v>
      </c>
      <c r="S26" s="23">
        <f>$D26*COS($E26+$F26*'25SolarCoords'!O$7)</f>
        <v>-434.24378311927188</v>
      </c>
      <c r="T26" s="23">
        <f>$D26*COS($E26+$F26*'25SolarCoords'!P$7)</f>
        <v>263.24703272134843</v>
      </c>
      <c r="U26" s="23">
        <f>$D26*COS($E26+$F26*'25SolarCoords'!Q$7)</f>
        <v>25.982577949038138</v>
      </c>
      <c r="V26" s="23">
        <f>$D26*COS($E26+$F26*'25SolarCoords'!R$7)</f>
        <v>27.025707865385577</v>
      </c>
      <c r="W26" s="23">
        <f>$D26*COS($E26+$F26*'25SolarCoords'!S$7)</f>
        <v>-471.50714527622659</v>
      </c>
      <c r="X26" s="23">
        <f>$D26*COS($E26+$F26*'25SolarCoords'!T$7)</f>
        <v>-412.82495332581414</v>
      </c>
      <c r="Y26" s="23">
        <f>$D26*COS($E26+$F26*'25SolarCoords'!U$7)</f>
        <v>-270.17555224895534</v>
      </c>
      <c r="Z26" s="23">
        <f>$D26*COS($E26+$F26*'25SolarCoords'!V$7)</f>
        <v>83.788284729929686</v>
      </c>
      <c r="AA26" s="23">
        <f>$D26*COS($E26+$F26*'25SolarCoords'!W$7)</f>
        <v>401.55174170661456</v>
      </c>
      <c r="AB26" s="23">
        <f>$D26*COS($E26+$F26*'25SolarCoords'!X$7)</f>
        <v>-103.94582185051792</v>
      </c>
      <c r="AC26" s="23">
        <f>$D26*COS($E26+$F26*'25SolarCoords'!Y$7)</f>
        <v>278.29756079098206</v>
      </c>
      <c r="AD26" s="23">
        <f>$D26*COS($E26+$F26*'25SolarCoords'!Z$7)</f>
        <v>398.17512873941564</v>
      </c>
      <c r="AE26" s="23">
        <f>$D26*COS($E26+$F26*'25SolarCoords'!AA$7)</f>
        <v>-239.5176259157748</v>
      </c>
      <c r="AF26" s="23">
        <f>$D26*COS($E26+$F26*'25SolarCoords'!AB$7)</f>
        <v>465.60305328971867</v>
      </c>
      <c r="AG26" s="23">
        <f>$D26*COS($E26+$F26*'25SolarCoords'!AC$7)</f>
        <v>456.36449457546883</v>
      </c>
      <c r="AH26" s="23">
        <f>$D26*COS($E26+$F26*'25SolarCoords'!AD$7)</f>
        <v>74.565826605238357</v>
      </c>
      <c r="AI26" s="23">
        <f>$D26*COS($E26+$F26*'25SolarCoords'!AE$7)</f>
        <v>281.00592836413193</v>
      </c>
      <c r="AJ26" s="23">
        <f>$D26*COS($E26+$F26*'25SolarCoords'!AF$7)</f>
        <v>155.78773385996158</v>
      </c>
      <c r="AK26" s="23">
        <f>$D26*COS($E26+$F26*'25SolarCoords'!AG$7)</f>
        <v>87.019770544806747</v>
      </c>
      <c r="AL26" s="23">
        <f>$D26*COS($E26+$F26*'25SolarCoords'!AH$7)</f>
        <v>-433.7303366987166</v>
      </c>
      <c r="AM26" s="23">
        <f>$D26*COS($E26+$F26*'25SolarCoords'!AI$7)</f>
        <v>-115.14818236596126</v>
      </c>
      <c r="AN26" s="23">
        <f>$D26*COS($E26+$F26*'25SolarCoords'!AJ$7)</f>
        <v>278.8014029007881</v>
      </c>
      <c r="AO26" s="23">
        <f>$D26*COS($E26+$F26*'25SolarCoords'!AK$7)</f>
        <v>135.39110326856454</v>
      </c>
      <c r="AP26" s="23">
        <f>$D26*COS($E26+$F26*'25SolarCoords'!AL$7)</f>
        <v>-486.64619834810179</v>
      </c>
      <c r="AQ26" s="23">
        <f>$D26*COS($E26+$F26*'25SolarCoords'!AM$7)</f>
        <v>-274.88064342451599</v>
      </c>
      <c r="AR26" s="23">
        <f>$D26*COS($E26+$F26*'25SolarCoords'!AN$7)</f>
        <v>-147.5645171130559</v>
      </c>
      <c r="AS26" s="23">
        <f>$D26*COS($E26+$F26*'25SolarCoords'!AO$7)</f>
        <v>458.7918887497292</v>
      </c>
      <c r="AT26" s="23">
        <f>$D26*COS($E26+$F26*'25SolarCoords'!AP$7)</f>
        <v>-485.98713554601852</v>
      </c>
      <c r="AU26" s="23">
        <f>$D26*COS($E26+$F26*'25SolarCoords'!AQ$7)</f>
        <v>-487.08135584842637</v>
      </c>
      <c r="AV26" s="23">
        <f>$D26*COS($E26+$F26*'25SolarCoords'!AR$7)</f>
        <v>-488.04609761054166</v>
      </c>
      <c r="AW26" s="23">
        <f>$D26*COS($E26+$F26*'25SolarCoords'!AS$7)</f>
        <v>-489.01078391716823</v>
      </c>
      <c r="AX26" s="23">
        <f>$D26*COS($E26+$F26*'25SolarCoords'!AT$7)</f>
        <v>-490.45891880250377</v>
      </c>
      <c r="AY26" s="23">
        <f>$D26*COS($E26+$F26*'25SolarCoords'!AU$7)</f>
        <v>-374.70851197067384</v>
      </c>
      <c r="AZ26" s="23">
        <f>$D26*COS($E26+$F26*'25SolarCoords'!AV$7)</f>
        <v>-361.1033102616106</v>
      </c>
      <c r="BA26" s="23">
        <f>$D26*COS($E26+$F26*'25SolarCoords'!AW$7)</f>
        <v>-294.97881543800014</v>
      </c>
      <c r="BB26" s="23">
        <f>$D26*COS($E26+$F26*'25SolarCoords'!AX$7)</f>
        <v>-392.62266036766914</v>
      </c>
      <c r="BC26" s="23">
        <f>$D26*COS($E26+$F26*'25SolarCoords'!AY$7)</f>
        <v>-491.94111570727995</v>
      </c>
      <c r="BD26" s="23">
        <f>$D26*COS($E26+$F26*'25SolarCoords'!AZ$7)</f>
        <v>-491.95616855978813</v>
      </c>
      <c r="BE26" s="23">
        <f>$D26*COS($E26+$F26*'25SolarCoords'!BA$7)</f>
        <v>-491.96900354701279</v>
      </c>
      <c r="BF26" s="23">
        <f>$D26*COS($E26+$F26*'25SolarCoords'!BB$7)</f>
        <v>-491.97962061109064</v>
      </c>
      <c r="BG26" s="23">
        <f>$D26*COS($E26+$F26*'25SolarCoords'!BC$7)</f>
        <v>-491.98801970415724</v>
      </c>
      <c r="BH26" s="23">
        <f>$D26*COS($E26+$F26*'25SolarCoords'!BD$7)</f>
        <v>-491.99420078834714</v>
      </c>
      <c r="BI26" s="23">
        <f>$D26*COS($E26+$F26*'25SolarCoords'!BE$7)</f>
        <v>-491.99816383579463</v>
      </c>
      <c r="BJ26" s="23">
        <f>$D26*COS($E26+$F26*'25SolarCoords'!BF$7)</f>
        <v>-491.99990882863307</v>
      </c>
      <c r="BK26" s="23">
        <f>$D26*COS($E26+$F26*'25SolarCoords'!BG$7)</f>
        <v>280.87629735135317</v>
      </c>
    </row>
    <row r="27" spans="3:63" x14ac:dyDescent="0.25">
      <c r="C27">
        <f t="shared" si="0"/>
        <v>19</v>
      </c>
      <c r="D27">
        <v>357</v>
      </c>
      <c r="E27">
        <v>2.92</v>
      </c>
      <c r="F27">
        <v>6.7000000000000004E-2</v>
      </c>
      <c r="H27" s="7"/>
      <c r="I27" s="23">
        <f>$D27*COS($E27+$F27*'25SolarCoords'!E$7)</f>
        <v>-348.04740918935823</v>
      </c>
      <c r="J27" s="23">
        <f>$D27*COS($E27+$F27*'25SolarCoords'!F$7)</f>
        <v>-337.35651760014457</v>
      </c>
      <c r="K27" s="23">
        <f>$D27*COS($E27+$F27*'25SolarCoords'!G$7)</f>
        <v>-348.27086718644648</v>
      </c>
      <c r="L27" s="23">
        <f>$D27*COS($E27+$F27*'25SolarCoords'!H$7)</f>
        <v>-348.26560580124192</v>
      </c>
      <c r="M27" s="23">
        <f>$D27*COS($E27+$F27*'25SolarCoords'!I$7)</f>
        <v>-348.20276607975723</v>
      </c>
      <c r="N27" s="23">
        <f>$D27*COS($E27+$F27*'25SolarCoords'!J$7)</f>
        <v>-348.20483928015125</v>
      </c>
      <c r="O27" s="23">
        <f>$D27*COS($E27+$F27*'25SolarCoords'!K$7)</f>
        <v>-348.20803890329455</v>
      </c>
      <c r="P27" s="23">
        <f>$D27*COS($E27+$F27*'25SolarCoords'!L$7)</f>
        <v>-348.21012593226254</v>
      </c>
      <c r="Q27" s="23">
        <f>$D27*COS($E27+$F27*'25SolarCoords'!M$7)</f>
        <v>-347.73736119756927</v>
      </c>
      <c r="R27" s="23">
        <f>$D27*COS($E27+$F27*'25SolarCoords'!N$7)</f>
        <v>-346.0432939094635</v>
      </c>
      <c r="S27" s="23">
        <f>$D27*COS($E27+$F27*'25SolarCoords'!O$7)</f>
        <v>-346.04916949504161</v>
      </c>
      <c r="T27" s="23">
        <f>$D27*COS($E27+$F27*'25SolarCoords'!P$7)</f>
        <v>-341.10857081481072</v>
      </c>
      <c r="U27" s="23">
        <f>$D27*COS($E27+$F27*'25SolarCoords'!Q$7)</f>
        <v>-333.63937509821454</v>
      </c>
      <c r="V27" s="23">
        <f>$D27*COS($E27+$F27*'25SolarCoords'!R$7)</f>
        <v>-333.63939839802396</v>
      </c>
      <c r="W27" s="23">
        <f>$D27*COS($E27+$F27*'25SolarCoords'!S$7)</f>
        <v>-325.59977518793028</v>
      </c>
      <c r="X27" s="23">
        <f>$D27*COS($E27+$F27*'25SolarCoords'!T$7)</f>
        <v>-325.5961630175554</v>
      </c>
      <c r="Y27" s="23">
        <f>$D27*COS($E27+$F27*'25SolarCoords'!U$7)</f>
        <v>-325.59092300403131</v>
      </c>
      <c r="Z27" s="23">
        <f>$D27*COS($E27+$F27*'25SolarCoords'!V$7)</f>
        <v>-279.53717136584754</v>
      </c>
      <c r="AA27" s="23">
        <f>$D27*COS($E27+$F27*'25SolarCoords'!W$7)</f>
        <v>-348.20382076934095</v>
      </c>
      <c r="AB27" s="23">
        <f>$D27*COS($E27+$F27*'25SolarCoords'!X$7)</f>
        <v>-348.23022541998949</v>
      </c>
      <c r="AC27" s="23">
        <f>$D27*COS($E27+$F27*'25SolarCoords'!Y$7)</f>
        <v>-348.15019834159062</v>
      </c>
      <c r="AD27" s="23">
        <f>$D27*COS($E27+$F27*'25SolarCoords'!Z$7)</f>
        <v>-348.50065457646087</v>
      </c>
      <c r="AE27" s="23">
        <f>$D27*COS($E27+$F27*'25SolarCoords'!AA$7)</f>
        <v>-348.27085998999848</v>
      </c>
      <c r="AF27" s="23">
        <f>$D27*COS($E27+$F27*'25SolarCoords'!AB$7)</f>
        <v>-348.03001727177474</v>
      </c>
      <c r="AG27" s="23">
        <f>$D27*COS($E27+$F27*'25SolarCoords'!AC$7)</f>
        <v>-348.15942660017464</v>
      </c>
      <c r="AH27" s="23">
        <f>$D27*COS($E27+$F27*'25SolarCoords'!AD$7)</f>
        <v>-348.20928103997409</v>
      </c>
      <c r="AI27" s="23">
        <f>$D27*COS($E27+$F27*'25SolarCoords'!AE$7)</f>
        <v>-348.1502440043032</v>
      </c>
      <c r="AJ27" s="23">
        <f>$D27*COS($E27+$F27*'25SolarCoords'!AF$7)</f>
        <v>-348.23386038590519</v>
      </c>
      <c r="AK27" s="23">
        <f>$D27*COS($E27+$F27*'25SolarCoords'!AG$7)</f>
        <v>-348.23287959539192</v>
      </c>
      <c r="AL27" s="23">
        <f>$D27*COS($E27+$F27*'25SolarCoords'!AH$7)</f>
        <v>-348.22433865943503</v>
      </c>
      <c r="AM27" s="23">
        <f>$D27*COS($E27+$F27*'25SolarCoords'!AI$7)</f>
        <v>-348.2300667338929</v>
      </c>
      <c r="AN27" s="23">
        <f>$D27*COS($E27+$F27*'25SolarCoords'!AJ$7)</f>
        <v>-348.23576411869919</v>
      </c>
      <c r="AO27" s="23">
        <f>$D27*COS($E27+$F27*'25SolarCoords'!AK$7)</f>
        <v>-347.28823879001482</v>
      </c>
      <c r="AP27" s="23">
        <f>$D27*COS($E27+$F27*'25SolarCoords'!AL$7)</f>
        <v>-348.22200072822437</v>
      </c>
      <c r="AQ27" s="23">
        <f>$D27*COS($E27+$F27*'25SolarCoords'!AM$7)</f>
        <v>-339.55793659916628</v>
      </c>
      <c r="AR27" s="23">
        <f>$D27*COS($E27+$F27*'25SolarCoords'!AN$7)</f>
        <v>-348.27224165430209</v>
      </c>
      <c r="AS27" s="23">
        <f>$D27*COS($E27+$F27*'25SolarCoords'!AO$7)</f>
        <v>-334.67486965668871</v>
      </c>
      <c r="AT27" s="23">
        <f>$D27*COS($E27+$F27*'25SolarCoords'!AP$7)</f>
        <v>-348.38996851497126</v>
      </c>
      <c r="AU27" s="23">
        <f>$D27*COS($E27+$F27*'25SolarCoords'!AQ$7)</f>
        <v>-348.39006937789361</v>
      </c>
      <c r="AV27" s="23">
        <f>$D27*COS($E27+$F27*'25SolarCoords'!AR$7)</f>
        <v>-348.39016805621151</v>
      </c>
      <c r="AW27" s="23">
        <f>$D27*COS($E27+$F27*'25SolarCoords'!AS$7)</f>
        <v>-348.39027964939885</v>
      </c>
      <c r="AX27" s="23">
        <f>$D27*COS($E27+$F27*'25SolarCoords'!AT$7)</f>
        <v>-348.39048916390169</v>
      </c>
      <c r="AY27" s="23">
        <f>$D27*COS($E27+$F27*'25SolarCoords'!AU$7)</f>
        <v>-348.13055256245326</v>
      </c>
      <c r="AZ27" s="23">
        <f>$D27*COS($E27+$F27*'25SolarCoords'!AV$7)</f>
        <v>-348.2585929867048</v>
      </c>
      <c r="BA27" s="23">
        <f>$D27*COS($E27+$F27*'25SolarCoords'!AW$7)</f>
        <v>-347.92591535653793</v>
      </c>
      <c r="BB27" s="23">
        <f>$D27*COS($E27+$F27*'25SolarCoords'!AX$7)</f>
        <v>-348.04489054336142</v>
      </c>
      <c r="BC27" s="23">
        <f>$D27*COS($E27+$F27*'25SolarCoords'!AY$7)</f>
        <v>-348.39091801302726</v>
      </c>
      <c r="BD27" s="23">
        <f>$D27*COS($E27+$F27*'25SolarCoords'!AZ$7)</f>
        <v>-348.3909323078164</v>
      </c>
      <c r="BE27" s="23">
        <f>$D27*COS($E27+$F27*'25SolarCoords'!BA$7)</f>
        <v>-348.39094660259389</v>
      </c>
      <c r="BF27" s="23">
        <f>$D27*COS($E27+$F27*'25SolarCoords'!BB$7)</f>
        <v>-348.39096089735955</v>
      </c>
      <c r="BG27" s="23">
        <f>$D27*COS($E27+$F27*'25SolarCoords'!BC$7)</f>
        <v>-348.3909751921135</v>
      </c>
      <c r="BH27" s="23">
        <f>$D27*COS($E27+$F27*'25SolarCoords'!BD$7)</f>
        <v>-348.3909894868558</v>
      </c>
      <c r="BI27" s="23">
        <f>$D27*COS($E27+$F27*'25SolarCoords'!BE$7)</f>
        <v>-348.39100378158633</v>
      </c>
      <c r="BJ27" s="23">
        <f>$D27*COS($E27+$F27*'25SolarCoords'!BF$7)</f>
        <v>-348.39101807630516</v>
      </c>
      <c r="BK27" s="23">
        <f>$D27*COS($E27+$F27*'25SolarCoords'!BG$7)</f>
        <v>-348.15024181391794</v>
      </c>
    </row>
    <row r="28" spans="3:63" x14ac:dyDescent="0.25">
      <c r="C28">
        <f t="shared" si="0"/>
        <v>20</v>
      </c>
      <c r="D28">
        <v>317</v>
      </c>
      <c r="E28">
        <v>5.8490000000000002</v>
      </c>
      <c r="F28">
        <v>11790.629000000001</v>
      </c>
      <c r="H28" s="7"/>
      <c r="I28" s="23">
        <f>$D28*COS($E28+$F28*'25SolarCoords'!E$7)</f>
        <v>-164.34601471488767</v>
      </c>
      <c r="J28" s="23">
        <f>$D28*COS($E28+$F28*'25SolarCoords'!F$7)</f>
        <v>300.31219440438952</v>
      </c>
      <c r="K28" s="23">
        <f>$D28*COS($E28+$F28*'25SolarCoords'!G$7)</f>
        <v>287.58654044285657</v>
      </c>
      <c r="L28" s="23">
        <f>$D28*COS($E28+$F28*'25SolarCoords'!H$7)</f>
        <v>299.53550741735381</v>
      </c>
      <c r="M28" s="23">
        <f>$D28*COS($E28+$F28*'25SolarCoords'!I$7)</f>
        <v>-155.825371183274</v>
      </c>
      <c r="N28" s="23">
        <f>$D28*COS($E28+$F28*'25SolarCoords'!J$7)</f>
        <v>-262.70927569730691</v>
      </c>
      <c r="O28" s="23">
        <f>$D28*COS($E28+$F28*'25SolarCoords'!K$7)</f>
        <v>-305.2516897185435</v>
      </c>
      <c r="P28" s="23">
        <f>$D28*COS($E28+$F28*'25SolarCoords'!L$7)</f>
        <v>-70.821808798794663</v>
      </c>
      <c r="Q28" s="23">
        <f>$D28*COS($E28+$F28*'25SolarCoords'!M$7)</f>
        <v>-58.964322366554697</v>
      </c>
      <c r="R28" s="23">
        <f>$D28*COS($E28+$F28*'25SolarCoords'!N$7)</f>
        <v>-150.94378223151239</v>
      </c>
      <c r="S28" s="23">
        <f>$D28*COS($E28+$F28*'25SolarCoords'!O$7)</f>
        <v>89.894869167965012</v>
      </c>
      <c r="T28" s="23">
        <f>$D28*COS($E28+$F28*'25SolarCoords'!P$7)</f>
        <v>260.21779105995142</v>
      </c>
      <c r="U28" s="23">
        <f>$D28*COS($E28+$F28*'25SolarCoords'!Q$7)</f>
        <v>314.80833835409373</v>
      </c>
      <c r="V28" s="23">
        <f>$D28*COS($E28+$F28*'25SolarCoords'!R$7)</f>
        <v>315.84534912931923</v>
      </c>
      <c r="W28" s="23">
        <f>$D28*COS($E28+$F28*'25SolarCoords'!S$7)</f>
        <v>-229.16032833969092</v>
      </c>
      <c r="X28" s="23">
        <f>$D28*COS($E28+$F28*'25SolarCoords'!T$7)</f>
        <v>-121.16581153497242</v>
      </c>
      <c r="Y28" s="23">
        <f>$D28*COS($E28+$F28*'25SolarCoords'!U$7)</f>
        <v>-125.49777366828201</v>
      </c>
      <c r="Z28" s="23">
        <f>$D28*COS($E28+$F28*'25SolarCoords'!V$7)</f>
        <v>-131.17922227969476</v>
      </c>
      <c r="AA28" s="23">
        <f>$D28*COS($E28+$F28*'25SolarCoords'!W$7)</f>
        <v>305.35994819420171</v>
      </c>
      <c r="AB28" s="23">
        <f>$D28*COS($E28+$F28*'25SolarCoords'!X$7)</f>
        <v>-294.79518750478246</v>
      </c>
      <c r="AC28" s="23">
        <f>$D28*COS($E28+$F28*'25SolarCoords'!Y$7)</f>
        <v>316.94260012393516</v>
      </c>
      <c r="AD28" s="23">
        <f>$D28*COS($E28+$F28*'25SolarCoords'!Z$7)</f>
        <v>-316.89744436837924</v>
      </c>
      <c r="AE28" s="23">
        <f>$D28*COS($E28+$F28*'25SolarCoords'!AA$7)</f>
        <v>285.39679385586828</v>
      </c>
      <c r="AF28" s="23">
        <f>$D28*COS($E28+$F28*'25SolarCoords'!AB$7)</f>
        <v>-309.37322586246859</v>
      </c>
      <c r="AG28" s="23">
        <f>$D28*COS($E28+$F28*'25SolarCoords'!AC$7)</f>
        <v>-51.024623478717245</v>
      </c>
      <c r="AH28" s="23">
        <f>$D28*COS($E28+$F28*'25SolarCoords'!AD$7)</f>
        <v>315.64986316348404</v>
      </c>
      <c r="AI28" s="23">
        <f>$D28*COS($E28+$F28*'25SolarCoords'!AE$7)</f>
        <v>314.69167919803158</v>
      </c>
      <c r="AJ28" s="23">
        <f>$D28*COS($E28+$F28*'25SolarCoords'!AF$7)</f>
        <v>-30.285734836826688</v>
      </c>
      <c r="AK28" s="23">
        <f>$D28*COS($E28+$F28*'25SolarCoords'!AG$7)</f>
        <v>-238.32345172630218</v>
      </c>
      <c r="AL28" s="23">
        <f>$D28*COS($E28+$F28*'25SolarCoords'!AH$7)</f>
        <v>-176.37048302091887</v>
      </c>
      <c r="AM28" s="23">
        <f>$D28*COS($E28+$F28*'25SolarCoords'!AI$7)</f>
        <v>-235.88145020695092</v>
      </c>
      <c r="AN28" s="23">
        <f>$D28*COS($E28+$F28*'25SolarCoords'!AJ$7)</f>
        <v>-270.74880730817824</v>
      </c>
      <c r="AO28" s="23">
        <f>$D28*COS($E28+$F28*'25SolarCoords'!AK$7)</f>
        <v>-263.65486372252133</v>
      </c>
      <c r="AP28" s="23">
        <f>$D28*COS($E28+$F28*'25SolarCoords'!AL$7)</f>
        <v>-316.15838332073588</v>
      </c>
      <c r="AQ28" s="23">
        <f>$D28*COS($E28+$F28*'25SolarCoords'!AM$7)</f>
        <v>206.87139886295361</v>
      </c>
      <c r="AR28" s="23">
        <f>$D28*COS($E28+$F28*'25SolarCoords'!AN$7)</f>
        <v>-279.2590798093027</v>
      </c>
      <c r="AS28" s="23">
        <f>$D28*COS($E28+$F28*'25SolarCoords'!AO$7)</f>
        <v>120.4060285805074</v>
      </c>
      <c r="AT28" s="23">
        <f>$D28*COS($E28+$F28*'25SolarCoords'!AP$7)</f>
        <v>-268.24329801966633</v>
      </c>
      <c r="AU28" s="23">
        <f>$D28*COS($E28+$F28*'25SolarCoords'!AQ$7)</f>
        <v>-223.17392391668008</v>
      </c>
      <c r="AV28" s="23">
        <f>$D28*COS($E28+$F28*'25SolarCoords'!AR$7)</f>
        <v>-167.90552673414214</v>
      </c>
      <c r="AW28" s="23">
        <f>$D28*COS($E28+$F28*'25SolarCoords'!AS$7)</f>
        <v>-95.561317047224392</v>
      </c>
      <c r="AX28" s="23">
        <f>$D28*COS($E28+$F28*'25SolarCoords'!AT$7)</f>
        <v>52.661892127237174</v>
      </c>
      <c r="AY28" s="23">
        <f>$D28*COS($E28+$F28*'25SolarCoords'!AU$7)</f>
        <v>306.29702130542591</v>
      </c>
      <c r="AZ28" s="23">
        <f>$D28*COS($E28+$F28*'25SolarCoords'!AV$7)</f>
        <v>-300.84667760769531</v>
      </c>
      <c r="BA28" s="23">
        <f>$D28*COS($E28+$F28*'25SolarCoords'!AW$7)</f>
        <v>313.17960608063402</v>
      </c>
      <c r="BB28" s="23">
        <f>$D28*COS($E28+$F28*'25SolarCoords'!AX$7)</f>
        <v>50.40405635389186</v>
      </c>
      <c r="BC28" s="23">
        <f>$D28*COS($E28+$F28*'25SolarCoords'!AY$7)</f>
        <v>287.4153559771363</v>
      </c>
      <c r="BD28" s="23">
        <f>$D28*COS($E28+$F28*'25SolarCoords'!AZ$7)</f>
        <v>291.58152529129183</v>
      </c>
      <c r="BE28" s="23">
        <f>$D28*COS($E28+$F28*'25SolarCoords'!BA$7)</f>
        <v>295.44387500456548</v>
      </c>
      <c r="BF28" s="23">
        <f>$D28*COS($E28+$F28*'25SolarCoords'!BB$7)</f>
        <v>298.99838065914156</v>
      </c>
      <c r="BG28" s="23">
        <f>$D28*COS($E28+$F28*'25SolarCoords'!BC$7)</f>
        <v>302.24133856189417</v>
      </c>
      <c r="BH28" s="23">
        <f>$D28*COS($E28+$F28*'25SolarCoords'!BD$7)</f>
        <v>305.16936964355614</v>
      </c>
      <c r="BI28" s="23">
        <f>$D28*COS($E28+$F28*'25SolarCoords'!BE$7)</f>
        <v>307.7794229795544</v>
      </c>
      <c r="BJ28" s="23">
        <f>$D28*COS($E28+$F28*'25SolarCoords'!BF$7)</f>
        <v>310.06877896905763</v>
      </c>
      <c r="BK28" s="23">
        <f>$D28*COS($E28+$F28*'25SolarCoords'!BG$7)</f>
        <v>314.87425957433271</v>
      </c>
    </row>
    <row r="29" spans="3:63" x14ac:dyDescent="0.25">
      <c r="C29">
        <f t="shared" si="0"/>
        <v>21</v>
      </c>
      <c r="D29">
        <v>284</v>
      </c>
      <c r="E29">
        <v>1.899</v>
      </c>
      <c r="F29">
        <v>796.298</v>
      </c>
      <c r="H29" s="7"/>
      <c r="I29" s="23">
        <f>$D29*COS($E29+$F29*'25SolarCoords'!E$7)</f>
        <v>269.41654380182155</v>
      </c>
      <c r="J29" s="23">
        <f>$D29*COS($E29+$F29*'25SolarCoords'!F$7)</f>
        <v>270.54970310804475</v>
      </c>
      <c r="K29" s="23">
        <f>$D29*COS($E29+$F29*'25SolarCoords'!G$7)</f>
        <v>-91.545441902008619</v>
      </c>
      <c r="L29" s="23">
        <f>$D29*COS($E29+$F29*'25SolarCoords'!H$7)</f>
        <v>128.27506548565017</v>
      </c>
      <c r="M29" s="23">
        <f>$D29*COS($E29+$F29*'25SolarCoords'!I$7)</f>
        <v>-146.68482180403157</v>
      </c>
      <c r="N29" s="23">
        <f>$D29*COS($E29+$F29*'25SolarCoords'!J$7)</f>
        <v>-64.718740397859719</v>
      </c>
      <c r="O29" s="23">
        <f>$D29*COS($E29+$F29*'25SolarCoords'!K$7)</f>
        <v>71.087737317955884</v>
      </c>
      <c r="P29" s="23">
        <f>$D29*COS($E29+$F29*'25SolarCoords'!L$7)</f>
        <v>152.78425030459456</v>
      </c>
      <c r="Q29" s="23">
        <f>$D29*COS($E29+$F29*'25SolarCoords'!M$7)</f>
        <v>-195.7956599089984</v>
      </c>
      <c r="R29" s="23">
        <f>$D29*COS($E29+$F29*'25SolarCoords'!N$7)</f>
        <v>-219.73572239863995</v>
      </c>
      <c r="S29" s="23">
        <f>$D29*COS($E29+$F29*'25SolarCoords'!O$7)</f>
        <v>-25.224254220804458</v>
      </c>
      <c r="T29" s="23">
        <f>$D29*COS($E29+$F29*'25SolarCoords'!P$7)</f>
        <v>269.40737433983719</v>
      </c>
      <c r="U29" s="23">
        <f>$D29*COS($E29+$F29*'25SolarCoords'!Q$7)</f>
        <v>-201.11108236752636</v>
      </c>
      <c r="V29" s="23">
        <f>$D29*COS($E29+$F29*'25SolarCoords'!R$7)</f>
        <v>-201.547777984443</v>
      </c>
      <c r="W29" s="23">
        <f>$D29*COS($E29+$F29*'25SolarCoords'!S$7)</f>
        <v>137.71678724026603</v>
      </c>
      <c r="X29" s="23">
        <f>$D29*COS($E29+$F29*'25SolarCoords'!T$7)</f>
        <v>203.63001827300485</v>
      </c>
      <c r="Y29" s="23">
        <f>$D29*COS($E29+$F29*'25SolarCoords'!U$7)</f>
        <v>267.17398610714037</v>
      </c>
      <c r="Z29" s="23">
        <f>$D29*COS($E29+$F29*'25SolarCoords'!V$7)</f>
        <v>-147.60133062158752</v>
      </c>
      <c r="AA29" s="23">
        <f>$D29*COS($E29+$F29*'25SolarCoords'!W$7)</f>
        <v>-106.29099514456782</v>
      </c>
      <c r="AB29" s="23">
        <f>$D29*COS($E29+$F29*'25SolarCoords'!X$7)</f>
        <v>-126.66361392257141</v>
      </c>
      <c r="AC29" s="23">
        <f>$D29*COS($E29+$F29*'25SolarCoords'!Y$7)</f>
        <v>-232.90375308129734</v>
      </c>
      <c r="AD29" s="23">
        <f>$D29*COS($E29+$F29*'25SolarCoords'!Z$7)</f>
        <v>205.05150049979932</v>
      </c>
      <c r="AE29" s="23">
        <f>$D29*COS($E29+$F29*'25SolarCoords'!AA$7)</f>
        <v>-91.252331478837732</v>
      </c>
      <c r="AF29" s="23">
        <f>$D29*COS($E29+$F29*'25SolarCoords'!AB$7)</f>
        <v>-277.20206448336114</v>
      </c>
      <c r="AG29" s="23">
        <f>$D29*COS($E29+$F29*'25SolarCoords'!AC$7)</f>
        <v>-201.99663680122643</v>
      </c>
      <c r="AH29" s="23">
        <f>$D29*COS($E29+$F29*'25SolarCoords'!AD$7)</f>
        <v>121.09316461278941</v>
      </c>
      <c r="AI29" s="23">
        <f>$D29*COS($E29+$F29*'25SolarCoords'!AE$7)</f>
        <v>-234.01473819486193</v>
      </c>
      <c r="AJ29" s="23">
        <f>$D29*COS($E29+$F29*'25SolarCoords'!AF$7)</f>
        <v>-240.75461109169277</v>
      </c>
      <c r="AK29" s="23">
        <f>$D29*COS($E29+$F29*'25SolarCoords'!AG$7)</f>
        <v>-215.86275558281403</v>
      </c>
      <c r="AL29" s="23">
        <f>$D29*COS($E29+$F29*'25SolarCoords'!AH$7)</f>
        <v>117.67048931308751</v>
      </c>
      <c r="AM29" s="23">
        <f>$D29*COS($E29+$F29*'25SolarCoords'!AI$7)</f>
        <v>-120.53190554944052</v>
      </c>
      <c r="AN29" s="23">
        <f>$D29*COS($E29+$F29*'25SolarCoords'!AJ$7)</f>
        <v>-273.60987440920911</v>
      </c>
      <c r="AO29" s="23">
        <f>$D29*COS($E29+$F29*'25SolarCoords'!AK$7)</f>
        <v>23.428936597607176</v>
      </c>
      <c r="AP29" s="23">
        <f>$D29*COS($E29+$F29*'25SolarCoords'!AL$7)</f>
        <v>199.81068647569373</v>
      </c>
      <c r="AQ29" s="23">
        <f>$D29*COS($E29+$F29*'25SolarCoords'!AM$7)</f>
        <v>-28.057065783749017</v>
      </c>
      <c r="AR29" s="23">
        <f>$D29*COS($E29+$F29*'25SolarCoords'!AN$7)</f>
        <v>-145.13859436769334</v>
      </c>
      <c r="AS29" s="23">
        <f>$D29*COS($E29+$F29*'25SolarCoords'!AO$7)</f>
        <v>277.05710060859178</v>
      </c>
      <c r="AT29" s="23">
        <f>$D29*COS($E29+$F29*'25SolarCoords'!AP$7)</f>
        <v>115.65739382649878</v>
      </c>
      <c r="AU29" s="23">
        <f>$D29*COS($E29+$F29*'25SolarCoords'!AQ$7)</f>
        <v>111.65400942421888</v>
      </c>
      <c r="AV29" s="23">
        <f>$D29*COS($E29+$F29*'25SolarCoords'!AR$7)</f>
        <v>107.71173975726376</v>
      </c>
      <c r="AW29" s="23">
        <f>$D29*COS($E29+$F29*'25SolarCoords'!AS$7)</f>
        <v>103.22414053525033</v>
      </c>
      <c r="AX29" s="23">
        <f>$D29*COS($E29+$F29*'25SolarCoords'!AT$7)</f>
        <v>94.718938308335481</v>
      </c>
      <c r="AY29" s="23">
        <f>$D29*COS($E29+$F29*'25SolarCoords'!AU$7)</f>
        <v>259.11500367566236</v>
      </c>
      <c r="AZ29" s="23">
        <f>$D29*COS($E29+$F29*'25SolarCoords'!AV$7)</f>
        <v>283.76796306368999</v>
      </c>
      <c r="BA29" s="23">
        <f>$D29*COS($E29+$F29*'25SolarCoords'!AW$7)</f>
        <v>260.08868804778052</v>
      </c>
      <c r="BB29" s="23">
        <f>$D29*COS($E29+$F29*'25SolarCoords'!AX$7)</f>
        <v>217.46976908981952</v>
      </c>
      <c r="BC29" s="23">
        <f>$D29*COS($E29+$F29*'25SolarCoords'!AY$7)</f>
        <v>77.017587118394673</v>
      </c>
      <c r="BD29" s="23">
        <f>$D29*COS($E29+$F29*'25SolarCoords'!AZ$7)</f>
        <v>76.421445666916128</v>
      </c>
      <c r="BE29" s="23">
        <f>$D29*COS($E29+$F29*'25SolarCoords'!BA$7)</f>
        <v>75.824940981952452</v>
      </c>
      <c r="BF29" s="23">
        <f>$D29*COS($E29+$F29*'25SolarCoords'!BB$7)</f>
        <v>75.228075898708809</v>
      </c>
      <c r="BG29" s="23">
        <f>$D29*COS($E29+$F29*'25SolarCoords'!BC$7)</f>
        <v>74.630853254103343</v>
      </c>
      <c r="BH29" s="23">
        <f>$D29*COS($E29+$F29*'25SolarCoords'!BD$7)</f>
        <v>74.033275886753628</v>
      </c>
      <c r="BI29" s="23">
        <f>$D29*COS($E29+$F29*'25SolarCoords'!BE$7)</f>
        <v>73.435346636963331</v>
      </c>
      <c r="BJ29" s="23">
        <f>$D29*COS($E29+$F29*'25SolarCoords'!BF$7)</f>
        <v>72.837068346708577</v>
      </c>
      <c r="BK29" s="23">
        <f>$D29*COS($E29+$F29*'25SolarCoords'!BG$7)</f>
        <v>-233.96169728964651</v>
      </c>
    </row>
    <row r="30" spans="3:63" x14ac:dyDescent="0.25">
      <c r="C30">
        <f t="shared" si="0"/>
        <v>22</v>
      </c>
      <c r="D30">
        <v>271</v>
      </c>
      <c r="E30">
        <v>0.315</v>
      </c>
      <c r="F30">
        <v>10977.079</v>
      </c>
      <c r="H30" s="7"/>
      <c r="I30" s="23">
        <f>$D30*COS($E30+$F30*'25SolarCoords'!E$7)</f>
        <v>-3.2982688288864512</v>
      </c>
      <c r="J30" s="23">
        <f>$D30*COS($E30+$F30*'25SolarCoords'!F$7)</f>
        <v>216.48307063473501</v>
      </c>
      <c r="K30" s="23">
        <f>$D30*COS($E30+$F30*'25SolarCoords'!G$7)</f>
        <v>257.66581868570842</v>
      </c>
      <c r="L30" s="23">
        <f>$D30*COS($E30+$F30*'25SolarCoords'!H$7)</f>
        <v>-86.784800763982759</v>
      </c>
      <c r="M30" s="23">
        <f>$D30*COS($E30+$F30*'25SolarCoords'!I$7)</f>
        <v>-263.13714171314757</v>
      </c>
      <c r="N30" s="23">
        <f>$D30*COS($E30+$F30*'25SolarCoords'!J$7)</f>
        <v>162.09504895233874</v>
      </c>
      <c r="O30" s="23">
        <f>$D30*COS($E30+$F30*'25SolarCoords'!K$7)</f>
        <v>71.627370954543963</v>
      </c>
      <c r="P30" s="23">
        <f>$D30*COS($E30+$F30*'25SolarCoords'!L$7)</f>
        <v>217.83167843453407</v>
      </c>
      <c r="Q30" s="23">
        <f>$D30*COS($E30+$F30*'25SolarCoords'!M$7)</f>
        <v>-154.97143443607251</v>
      </c>
      <c r="R30" s="23">
        <f>$D30*COS($E30+$F30*'25SolarCoords'!N$7)</f>
        <v>17.800708599505036</v>
      </c>
      <c r="S30" s="23">
        <f>$D30*COS($E30+$F30*'25SolarCoords'!O$7)</f>
        <v>269.86036883056272</v>
      </c>
      <c r="T30" s="23">
        <f>$D30*COS($E30+$F30*'25SolarCoords'!P$7)</f>
        <v>20.254978410096662</v>
      </c>
      <c r="U30" s="23">
        <f>$D30*COS($E30+$F30*'25SolarCoords'!Q$7)</f>
        <v>164.5950105045689</v>
      </c>
      <c r="V30" s="23">
        <f>$D30*COS($E30+$F30*'25SolarCoords'!R$7)</f>
        <v>170.98992889355446</v>
      </c>
      <c r="W30" s="23">
        <f>$D30*COS($E30+$F30*'25SolarCoords'!S$7)</f>
        <v>180.89294397621177</v>
      </c>
      <c r="X30" s="23">
        <f>$D30*COS($E30+$F30*'25SolarCoords'!T$7)</f>
        <v>45.786632743686027</v>
      </c>
      <c r="Y30" s="23">
        <f>$D30*COS($E30+$F30*'25SolarCoords'!U$7)</f>
        <v>-67.035551649224686</v>
      </c>
      <c r="Z30" s="23">
        <f>$D30*COS($E30+$F30*'25SolarCoords'!V$7)</f>
        <v>185.34921052417729</v>
      </c>
      <c r="AA30" s="23">
        <f>$D30*COS($E30+$F30*'25SolarCoords'!W$7)</f>
        <v>100.9319261641356</v>
      </c>
      <c r="AB30" s="23">
        <f>$D30*COS($E30+$F30*'25SolarCoords'!X$7)</f>
        <v>-252.48287250409629</v>
      </c>
      <c r="AC30" s="23">
        <f>$D30*COS($E30+$F30*'25SolarCoords'!Y$7)</f>
        <v>233.8863277472295</v>
      </c>
      <c r="AD30" s="23">
        <f>$D30*COS($E30+$F30*'25SolarCoords'!Z$7)</f>
        <v>236.0067388926816</v>
      </c>
      <c r="AE30" s="23">
        <f>$D30*COS($E30+$F30*'25SolarCoords'!AA$7)</f>
        <v>258.89833493961669</v>
      </c>
      <c r="AF30" s="23">
        <f>$D30*COS($E30+$F30*'25SolarCoords'!AB$7)</f>
        <v>-259.50933064548394</v>
      </c>
      <c r="AG30" s="23">
        <f>$D30*COS($E30+$F30*'25SolarCoords'!AC$7)</f>
        <v>184.06584060539819</v>
      </c>
      <c r="AH30" s="23">
        <f>$D30*COS($E30+$F30*'25SolarCoords'!AD$7)</f>
        <v>-198.96470988276351</v>
      </c>
      <c r="AI30" s="23">
        <f>$D30*COS($E30+$F30*'25SolarCoords'!AE$7)</f>
        <v>219.89389990619853</v>
      </c>
      <c r="AJ30" s="23">
        <f>$D30*COS($E30+$F30*'25SolarCoords'!AF$7)</f>
        <v>24.717969099283497</v>
      </c>
      <c r="AK30" s="23">
        <f>$D30*COS($E30+$F30*'25SolarCoords'!AG$7)</f>
        <v>-251.51588261102597</v>
      </c>
      <c r="AL30" s="23">
        <f>$D30*COS($E30+$F30*'25SolarCoords'!AH$7)</f>
        <v>-211.34946951077967</v>
      </c>
      <c r="AM30" s="23">
        <f>$D30*COS($E30+$F30*'25SolarCoords'!AI$7)</f>
        <v>-270.76979669954113</v>
      </c>
      <c r="AN30" s="23">
        <f>$D30*COS($E30+$F30*'25SolarCoords'!AJ$7)</f>
        <v>-215.08491322949234</v>
      </c>
      <c r="AO30" s="23">
        <f>$D30*COS($E30+$F30*'25SolarCoords'!AK$7)</f>
        <v>228.21316166455784</v>
      </c>
      <c r="AP30" s="23">
        <f>$D30*COS($E30+$F30*'25SolarCoords'!AL$7)</f>
        <v>134.65818363295443</v>
      </c>
      <c r="AQ30" s="23">
        <f>$D30*COS($E30+$F30*'25SolarCoords'!AM$7)</f>
        <v>-212.95594405434673</v>
      </c>
      <c r="AR30" s="23">
        <f>$D30*COS($E30+$F30*'25SolarCoords'!AN$7)</f>
        <v>-270.74332739812803</v>
      </c>
      <c r="AS30" s="23">
        <f>$D30*COS($E30+$F30*'25SolarCoords'!AO$7)</f>
        <v>12.538882717832289</v>
      </c>
      <c r="AT30" s="23">
        <f>$D30*COS($E30+$F30*'25SolarCoords'!AP$7)</f>
        <v>25.933019914330455</v>
      </c>
      <c r="AU30" s="23">
        <f>$D30*COS($E30+$F30*'25SolarCoords'!AQ$7)</f>
        <v>82.124947048187266</v>
      </c>
      <c r="AV30" s="23">
        <f>$D30*COS($E30+$F30*'25SolarCoords'!AR$7)</f>
        <v>133.55681456775673</v>
      </c>
      <c r="AW30" s="23">
        <f>$D30*COS($E30+$F30*'25SolarCoords'!AS$7)</f>
        <v>184.71312491044287</v>
      </c>
      <c r="AX30" s="23">
        <f>$D30*COS($E30+$F30*'25SolarCoords'!AT$7)</f>
        <v>251.63004602070529</v>
      </c>
      <c r="AY30" s="23">
        <f>$D30*COS($E30+$F30*'25SolarCoords'!AU$7)</f>
        <v>-216.13309933510649</v>
      </c>
      <c r="AZ30" s="23">
        <f>$D30*COS($E30+$F30*'25SolarCoords'!AV$7)</f>
        <v>266.95675360320718</v>
      </c>
      <c r="BA30" s="23">
        <f>$D30*COS($E30+$F30*'25SolarCoords'!AW$7)</f>
        <v>-270.52688789380545</v>
      </c>
      <c r="BB30" s="23">
        <f>$D30*COS($E30+$F30*'25SolarCoords'!AX$7)</f>
        <v>-241.73720607704828</v>
      </c>
      <c r="BC30" s="23">
        <f>$D30*COS($E30+$F30*'25SolarCoords'!AY$7)</f>
        <v>235.01325200328674</v>
      </c>
      <c r="BD30" s="23">
        <f>$D30*COS($E30+$F30*'25SolarCoords'!AZ$7)</f>
        <v>230.85219509269055</v>
      </c>
      <c r="BE30" s="23">
        <f>$D30*COS($E30+$F30*'25SolarCoords'!BA$7)</f>
        <v>226.48264375555581</v>
      </c>
      <c r="BF30" s="23">
        <f>$D30*COS($E30+$F30*'25SolarCoords'!BB$7)</f>
        <v>221.90854435722599</v>
      </c>
      <c r="BG30" s="23">
        <f>$D30*COS($E30+$F30*'25SolarCoords'!BC$7)</f>
        <v>217.1340280008497</v>
      </c>
      <c r="BH30" s="23">
        <f>$D30*COS($E30+$F30*'25SolarCoords'!BD$7)</f>
        <v>212.16340679638196</v>
      </c>
      <c r="BI30" s="23">
        <f>$D30*COS($E30+$F30*'25SolarCoords'!BE$7)</f>
        <v>207.001169966112</v>
      </c>
      <c r="BJ30" s="23">
        <f>$D30*COS($E30+$F30*'25SolarCoords'!BF$7)</f>
        <v>201.65197979019376</v>
      </c>
      <c r="BK30" s="23">
        <f>$D30*COS($E30+$F30*'25SolarCoords'!BG$7)</f>
        <v>220.61117049678347</v>
      </c>
    </row>
    <row r="31" spans="3:63" x14ac:dyDescent="0.25">
      <c r="C31">
        <f t="shared" si="0"/>
        <v>23</v>
      </c>
      <c r="D31">
        <v>243</v>
      </c>
      <c r="E31">
        <v>0.34499999999999997</v>
      </c>
      <c r="F31">
        <v>5486.7780000000002</v>
      </c>
      <c r="H31" s="7"/>
      <c r="I31" s="23">
        <f>$D31*COS($E31+$F31*'25SolarCoords'!E$7)</f>
        <v>120.19409237076589</v>
      </c>
      <c r="J31" s="23">
        <f>$D31*COS($E31+$F31*'25SolarCoords'!F$7)</f>
        <v>-229.04171717904859</v>
      </c>
      <c r="K31" s="23">
        <f>$D31*COS($E31+$F31*'25SolarCoords'!G$7)</f>
        <v>228.68133498338267</v>
      </c>
      <c r="L31" s="23">
        <f>$D31*COS($E31+$F31*'25SolarCoords'!H$7)</f>
        <v>101.99365922138537</v>
      </c>
      <c r="M31" s="23">
        <f>$D31*COS($E31+$F31*'25SolarCoords'!I$7)</f>
        <v>21.728353303071088</v>
      </c>
      <c r="N31" s="23">
        <f>$D31*COS($E31+$F31*'25SolarCoords'!J$7)</f>
        <v>189.80371417139418</v>
      </c>
      <c r="O31" s="23">
        <f>$D31*COS($E31+$F31*'25SolarCoords'!K$7)</f>
        <v>-158.51095883394891</v>
      </c>
      <c r="P31" s="23">
        <f>$D31*COS($E31+$F31*'25SolarCoords'!L$7)</f>
        <v>241.51135295463982</v>
      </c>
      <c r="Q31" s="23">
        <f>$D31*COS($E31+$F31*'25SolarCoords'!M$7)</f>
        <v>-28.45566186370273</v>
      </c>
      <c r="R31" s="23">
        <f>$D31*COS($E31+$F31*'25SolarCoords'!N$7)</f>
        <v>17.922815947566136</v>
      </c>
      <c r="S31" s="23">
        <f>$D31*COS($E31+$F31*'25SolarCoords'!O$7)</f>
        <v>-161.38537083310533</v>
      </c>
      <c r="T31" s="23">
        <f>$D31*COS($E31+$F31*'25SolarCoords'!P$7)</f>
        <v>-20.196001500044741</v>
      </c>
      <c r="U31" s="23">
        <f>$D31*COS($E31+$F31*'25SolarCoords'!Q$7)</f>
        <v>230.30069151111977</v>
      </c>
      <c r="V31" s="23">
        <f>$D31*COS($E31+$F31*'25SolarCoords'!R$7)</f>
        <v>229.11012689672512</v>
      </c>
      <c r="W31" s="23">
        <f>$D31*COS($E31+$F31*'25SolarCoords'!S$7)</f>
        <v>80.726552133483551</v>
      </c>
      <c r="X31" s="23">
        <f>$D31*COS($E31+$F31*'25SolarCoords'!T$7)</f>
        <v>-241.50409582268856</v>
      </c>
      <c r="Y31" s="23">
        <f>$D31*COS($E31+$F31*'25SolarCoords'!U$7)</f>
        <v>241.79114615240024</v>
      </c>
      <c r="Z31" s="23">
        <f>$D31*COS($E31+$F31*'25SolarCoords'!V$7)</f>
        <v>138.45520502012297</v>
      </c>
      <c r="AA31" s="23">
        <f>$D31*COS($E31+$F31*'25SolarCoords'!W$7)</f>
        <v>225.24347717318969</v>
      </c>
      <c r="AB31" s="23">
        <f>$D31*COS($E31+$F31*'25SolarCoords'!X$7)</f>
        <v>-91.712853004508418</v>
      </c>
      <c r="AC31" s="23">
        <f>$D31*COS($E31+$F31*'25SolarCoords'!Y$7)</f>
        <v>214.11379298666975</v>
      </c>
      <c r="AD31" s="23">
        <f>$D31*COS($E31+$F31*'25SolarCoords'!Z$7)</f>
        <v>-240.38231534428377</v>
      </c>
      <c r="AE31" s="23">
        <f>$D31*COS($E31+$F31*'25SolarCoords'!AA$7)</f>
        <v>229.29214528516849</v>
      </c>
      <c r="AF31" s="23">
        <f>$D31*COS($E31+$F31*'25SolarCoords'!AB$7)</f>
        <v>-97.70473362573685</v>
      </c>
      <c r="AG31" s="23">
        <f>$D31*COS($E31+$F31*'25SolarCoords'!AC$7)</f>
        <v>-195.3755866198338</v>
      </c>
      <c r="AH31" s="23">
        <f>$D31*COS($E31+$F31*'25SolarCoords'!AD$7)</f>
        <v>133.42665351525301</v>
      </c>
      <c r="AI31" s="23">
        <f>$D31*COS($E31+$F31*'25SolarCoords'!AE$7)</f>
        <v>208.43653441946594</v>
      </c>
      <c r="AJ31" s="23">
        <f>$D31*COS($E31+$F31*'25SolarCoords'!AF$7)</f>
        <v>208.44289479154807</v>
      </c>
      <c r="AK31" s="23">
        <f>$D31*COS($E31+$F31*'25SolarCoords'!AG$7)</f>
        <v>2.2985774309749947</v>
      </c>
      <c r="AL31" s="23">
        <f>$D31*COS($E31+$F31*'25SolarCoords'!AH$7)</f>
        <v>-125.1903589632748</v>
      </c>
      <c r="AM31" s="23">
        <f>$D31*COS($E31+$F31*'25SolarCoords'!AI$7)</f>
        <v>-53.448501914983595</v>
      </c>
      <c r="AN31" s="23">
        <f>$D31*COS($E31+$F31*'25SolarCoords'!AJ$7)</f>
        <v>30.95585681343297</v>
      </c>
      <c r="AO31" s="23">
        <f>$D31*COS($E31+$F31*'25SolarCoords'!AK$7)</f>
        <v>170.53486934058907</v>
      </c>
      <c r="AP31" s="23">
        <f>$D31*COS($E31+$F31*'25SolarCoords'!AL$7)</f>
        <v>230.54629877155608</v>
      </c>
      <c r="AQ31" s="23">
        <f>$D31*COS($E31+$F31*'25SolarCoords'!AM$7)</f>
        <v>46.933182070721173</v>
      </c>
      <c r="AR31" s="23">
        <f>$D31*COS($E31+$F31*'25SolarCoords'!AN$7)</f>
        <v>-50.371170198576067</v>
      </c>
      <c r="AS31" s="23">
        <f>$D31*COS($E31+$F31*'25SolarCoords'!AO$7)</f>
        <v>-238.38595692265778</v>
      </c>
      <c r="AT31" s="23">
        <f>$D31*COS($E31+$F31*'25SolarCoords'!AP$7)</f>
        <v>201.91569227800281</v>
      </c>
      <c r="AU31" s="23">
        <f>$D31*COS($E31+$F31*'25SolarCoords'!AQ$7)</f>
        <v>215.08546383038913</v>
      </c>
      <c r="AV31" s="23">
        <f>$D31*COS($E31+$F31*'25SolarCoords'!AR$7)</f>
        <v>225.63488406894268</v>
      </c>
      <c r="AW31" s="23">
        <f>$D31*COS($E31+$F31*'25SolarCoords'!AS$7)</f>
        <v>234.6396037057026</v>
      </c>
      <c r="AX31" s="23">
        <f>$D31*COS($E31+$F31*'25SolarCoords'!AT$7)</f>
        <v>242.77633707524714</v>
      </c>
      <c r="AY31" s="23">
        <f>$D31*COS($E31+$F31*'25SolarCoords'!AU$7)</f>
        <v>128.69235699039962</v>
      </c>
      <c r="AZ31" s="23">
        <f>$D31*COS($E31+$F31*'25SolarCoords'!AV$7)</f>
        <v>241.6583003005307</v>
      </c>
      <c r="BA31" s="23">
        <f>$D31*COS($E31+$F31*'25SolarCoords'!AW$7)</f>
        <v>-79.093772256718893</v>
      </c>
      <c r="BB31" s="23">
        <f>$D31*COS($E31+$F31*'25SolarCoords'!AX$7)</f>
        <v>6.8614205005442583</v>
      </c>
      <c r="BC31" s="23">
        <f>$D31*COS($E31+$F31*'25SolarCoords'!AY$7)</f>
        <v>223.0776391189294</v>
      </c>
      <c r="BD31" s="23">
        <f>$D31*COS($E31+$F31*'25SolarCoords'!AZ$7)</f>
        <v>221.6049971114079</v>
      </c>
      <c r="BE31" s="23">
        <f>$D31*COS($E31+$F31*'25SolarCoords'!BA$7)</f>
        <v>220.08234869007171</v>
      </c>
      <c r="BF31" s="23">
        <f>$D31*COS($E31+$F31*'25SolarCoords'!BB$7)</f>
        <v>218.51003744910551</v>
      </c>
      <c r="BG31" s="23">
        <f>$D31*COS($E31+$F31*'25SolarCoords'!BC$7)</f>
        <v>216.88841818938005</v>
      </c>
      <c r="BH31" s="23">
        <f>$D31*COS($E31+$F31*'25SolarCoords'!BD$7)</f>
        <v>215.21785683839894</v>
      </c>
      <c r="BI31" s="23">
        <f>$D31*COS($E31+$F31*'25SolarCoords'!BE$7)</f>
        <v>213.49873036772883</v>
      </c>
      <c r="BJ31" s="23">
        <f>$D31*COS($E31+$F31*'25SolarCoords'!BF$7)</f>
        <v>211.73142670792382</v>
      </c>
      <c r="BK31" s="23">
        <f>$D31*COS($E31+$F31*'25SolarCoords'!BG$7)</f>
        <v>208.71963428862256</v>
      </c>
    </row>
    <row r="32" spans="3:63" x14ac:dyDescent="0.25">
      <c r="C32">
        <f t="shared" si="0"/>
        <v>24</v>
      </c>
      <c r="D32">
        <v>206</v>
      </c>
      <c r="E32">
        <v>4.806</v>
      </c>
      <c r="F32">
        <v>2544.3139999999999</v>
      </c>
      <c r="H32" s="7"/>
      <c r="I32" s="23">
        <f>$D32*COS($E32+$F32*'25SolarCoords'!E$7)</f>
        <v>-110.77440727432133</v>
      </c>
      <c r="J32" s="23">
        <f>$D32*COS($E32+$F32*'25SolarCoords'!F$7)</f>
        <v>30.611509919742723</v>
      </c>
      <c r="K32" s="23">
        <f>$D32*COS($E32+$F32*'25SolarCoords'!G$7)</f>
        <v>19.255718212246403</v>
      </c>
      <c r="L32" s="23">
        <f>$D32*COS($E32+$F32*'25SolarCoords'!H$7)</f>
        <v>-130.99127847280525</v>
      </c>
      <c r="M32" s="23">
        <f>$D32*COS($E32+$F32*'25SolarCoords'!I$7)</f>
        <v>-202.53677346941285</v>
      </c>
      <c r="N32" s="23">
        <f>$D32*COS($E32+$F32*'25SolarCoords'!J$7)</f>
        <v>-77.853122615624599</v>
      </c>
      <c r="O32" s="23">
        <f>$D32*COS($E32+$F32*'25SolarCoords'!K$7)</f>
        <v>188.48114032963366</v>
      </c>
      <c r="P32" s="23">
        <f>$D32*COS($E32+$F32*'25SolarCoords'!L$7)</f>
        <v>171.03783685409374</v>
      </c>
      <c r="Q32" s="23">
        <f>$D32*COS($E32+$F32*'25SolarCoords'!M$7)</f>
        <v>-27.664164466305603</v>
      </c>
      <c r="R32" s="23">
        <f>$D32*COS($E32+$F32*'25SolarCoords'!N$7)</f>
        <v>53.24633552733863</v>
      </c>
      <c r="S32" s="23">
        <f>$D32*COS($E32+$F32*'25SolarCoords'!O$7)</f>
        <v>68.227085024966286</v>
      </c>
      <c r="T32" s="23">
        <f>$D32*COS($E32+$F32*'25SolarCoords'!P$7)</f>
        <v>193.50585370009128</v>
      </c>
      <c r="U32" s="23">
        <f>$D32*COS($E32+$F32*'25SolarCoords'!Q$7)</f>
        <v>-205.90649969086098</v>
      </c>
      <c r="V32" s="23">
        <f>$D32*COS($E32+$F32*'25SolarCoords'!R$7)</f>
        <v>-205.94473371648695</v>
      </c>
      <c r="W32" s="23">
        <f>$D32*COS($E32+$F32*'25SolarCoords'!S$7)</f>
        <v>96.01108890233391</v>
      </c>
      <c r="X32" s="23">
        <f>$D32*COS($E32+$F32*'25SolarCoords'!T$7)</f>
        <v>203.71665313030266</v>
      </c>
      <c r="Y32" s="23">
        <f>$D32*COS($E32+$F32*'25SolarCoords'!U$7)</f>
        <v>72.716453120155904</v>
      </c>
      <c r="Z32" s="23">
        <f>$D32*COS($E32+$F32*'25SolarCoords'!V$7)</f>
        <v>88.909521411167717</v>
      </c>
      <c r="AA32" s="23">
        <f>$D32*COS($E32+$F32*'25SolarCoords'!W$7)</f>
        <v>-158.59575034353259</v>
      </c>
      <c r="AB32" s="23">
        <f>$D32*COS($E32+$F32*'25SolarCoords'!X$7)</f>
        <v>-133.38525653442724</v>
      </c>
      <c r="AC32" s="23">
        <f>$D32*COS($E32+$F32*'25SolarCoords'!Y$7)</f>
        <v>-205.99154088697912</v>
      </c>
      <c r="AD32" s="23">
        <f>$D32*COS($E32+$F32*'25SolarCoords'!Z$7)</f>
        <v>-179.44192092685307</v>
      </c>
      <c r="AE32" s="23">
        <f>$D32*COS($E32+$F32*'25SolarCoords'!AA$7)</f>
        <v>18.541251204007285</v>
      </c>
      <c r="AF32" s="23">
        <f>$D32*COS($E32+$F32*'25SolarCoords'!AB$7)</f>
        <v>-107.31623716135013</v>
      </c>
      <c r="AG32" s="23">
        <f>$D32*COS($E32+$F32*'25SolarCoords'!AC$7)</f>
        <v>54.155084048489712</v>
      </c>
      <c r="AH32" s="23">
        <f>$D32*COS($E32+$F32*'25SolarCoords'!AD$7)</f>
        <v>202.53482709894828</v>
      </c>
      <c r="AI32" s="23">
        <f>$D32*COS($E32+$F32*'25SolarCoords'!AE$7)</f>
        <v>-205.90094027878803</v>
      </c>
      <c r="AJ32" s="23">
        <f>$D32*COS($E32+$F32*'25SolarCoords'!AF$7)</f>
        <v>178.80377008911137</v>
      </c>
      <c r="AK32" s="23">
        <f>$D32*COS($E32+$F32*'25SolarCoords'!AG$7)</f>
        <v>112.45045424016851</v>
      </c>
      <c r="AL32" s="23">
        <f>$D32*COS($E32+$F32*'25SolarCoords'!AH$7)</f>
        <v>81.133161957937602</v>
      </c>
      <c r="AM32" s="23">
        <f>$D32*COS($E32+$F32*'25SolarCoords'!AI$7)</f>
        <v>-145.01116702698752</v>
      </c>
      <c r="AN32" s="23">
        <f>$D32*COS($E32+$F32*'25SolarCoords'!AJ$7)</f>
        <v>189.75233153086972</v>
      </c>
      <c r="AO32" s="23">
        <f>$D32*COS($E32+$F32*'25SolarCoords'!AK$7)</f>
        <v>188.06729935092537</v>
      </c>
      <c r="AP32" s="23">
        <f>$D32*COS($E32+$F32*'25SolarCoords'!AL$7)</f>
        <v>205.85520899088081</v>
      </c>
      <c r="AQ32" s="23">
        <f>$D32*COS($E32+$F32*'25SolarCoords'!AM$7)</f>
        <v>205.51559033968681</v>
      </c>
      <c r="AR32" s="23">
        <f>$D32*COS($E32+$F32*'25SolarCoords'!AN$7)</f>
        <v>141.74742191029119</v>
      </c>
      <c r="AS32" s="23">
        <f>$D32*COS($E32+$F32*'25SolarCoords'!AO$7)</f>
        <v>-71.538315200670766</v>
      </c>
      <c r="AT32" s="23">
        <f>$D32*COS($E32+$F32*'25SolarCoords'!AP$7)</f>
        <v>202.4086224647657</v>
      </c>
      <c r="AU32" s="23">
        <f>$D32*COS($E32+$F32*'25SolarCoords'!AQ$7)</f>
        <v>204.04574936571152</v>
      </c>
      <c r="AV32" s="23">
        <f>$D32*COS($E32+$F32*'25SolarCoords'!AR$7)</f>
        <v>205.17054675087331</v>
      </c>
      <c r="AW32" s="23">
        <f>$D32*COS($E32+$F32*'25SolarCoords'!AS$7)</f>
        <v>205.87100818255951</v>
      </c>
      <c r="AX32" s="23">
        <f>$D32*COS($E32+$F32*'25SolarCoords'!AT$7)</f>
        <v>205.54187428769976</v>
      </c>
      <c r="AY32" s="23">
        <f>$D32*COS($E32+$F32*'25SolarCoords'!AU$7)</f>
        <v>205.99739952755786</v>
      </c>
      <c r="AZ32" s="23">
        <f>$D32*COS($E32+$F32*'25SolarCoords'!AV$7)</f>
        <v>87.430694825712607</v>
      </c>
      <c r="BA32" s="23">
        <f>$D32*COS($E32+$F32*'25SolarCoords'!AW$7)</f>
        <v>-195.07997835456311</v>
      </c>
      <c r="BB32" s="23">
        <f>$D32*COS($E32+$F32*'25SolarCoords'!AX$7)</f>
        <v>-201.86321332713416</v>
      </c>
      <c r="BC32" s="23">
        <f>$D32*COS($E32+$F32*'25SolarCoords'!AY$7)</f>
        <v>198.22134253990245</v>
      </c>
      <c r="BD32" s="23">
        <f>$D32*COS($E32+$F32*'25SolarCoords'!AZ$7)</f>
        <v>197.82592726079076</v>
      </c>
      <c r="BE32" s="23">
        <f>$D32*COS($E32+$F32*'25SolarCoords'!BA$7)</f>
        <v>197.42091261856555</v>
      </c>
      <c r="BF32" s="23">
        <f>$D32*COS($E32+$F32*'25SolarCoords'!BB$7)</f>
        <v>197.00631826627696</v>
      </c>
      <c r="BG32" s="23">
        <f>$D32*COS($E32+$F32*'25SolarCoords'!BC$7)</f>
        <v>196.58216432182257</v>
      </c>
      <c r="BH32" s="23">
        <f>$D32*COS($E32+$F32*'25SolarCoords'!BD$7)</f>
        <v>196.14847136697097</v>
      </c>
      <c r="BI32" s="23">
        <f>$D32*COS($E32+$F32*'25SolarCoords'!BE$7)</f>
        <v>195.70526044636765</v>
      </c>
      <c r="BJ32" s="23">
        <f>$D32*COS($E32+$F32*'25SolarCoords'!BF$7)</f>
        <v>195.25255306650757</v>
      </c>
      <c r="BK32" s="23">
        <f>$D32*COS($E32+$F32*'25SolarCoords'!BG$7)</f>
        <v>-205.90755210383207</v>
      </c>
    </row>
    <row r="33" spans="3:63" x14ac:dyDescent="0.25">
      <c r="C33">
        <f t="shared" si="0"/>
        <v>25</v>
      </c>
      <c r="D33">
        <v>205</v>
      </c>
      <c r="E33">
        <v>1.869</v>
      </c>
      <c r="F33">
        <v>5573.143</v>
      </c>
      <c r="H33" s="7"/>
      <c r="I33" s="23">
        <f>$D33*COS($E33+$F33*'25SolarCoords'!E$7)</f>
        <v>98.283207336599716</v>
      </c>
      <c r="J33" s="23">
        <f>$D33*COS($E33+$F33*'25SolarCoords'!F$7)</f>
        <v>33.635750651243221</v>
      </c>
      <c r="K33" s="23">
        <f>$D33*COS($E33+$F33*'25SolarCoords'!G$7)</f>
        <v>-60.229745023301163</v>
      </c>
      <c r="L33" s="23">
        <f>$D33*COS($E33+$F33*'25SolarCoords'!H$7)</f>
        <v>-172.99068406372777</v>
      </c>
      <c r="M33" s="23">
        <f>$D33*COS($E33+$F33*'25SolarCoords'!I$7)</f>
        <v>97.720524632780098</v>
      </c>
      <c r="N33" s="23">
        <f>$D33*COS($E33+$F33*'25SolarCoords'!J$7)</f>
        <v>90.113160177852848</v>
      </c>
      <c r="O33" s="23">
        <f>$D33*COS($E33+$F33*'25SolarCoords'!K$7)</f>
        <v>-44.131997999941824</v>
      </c>
      <c r="P33" s="23">
        <f>$D33*COS($E33+$F33*'25SolarCoords'!L$7)</f>
        <v>187.42728023568634</v>
      </c>
      <c r="Q33" s="23">
        <f>$D33*COS($E33+$F33*'25SolarCoords'!M$7)</f>
        <v>-166.3398581648857</v>
      </c>
      <c r="R33" s="23">
        <f>$D33*COS($E33+$F33*'25SolarCoords'!N$7)</f>
        <v>-204.84301644950699</v>
      </c>
      <c r="S33" s="23">
        <f>$D33*COS($E33+$F33*'25SolarCoords'!O$7)</f>
        <v>-160.08086008659751</v>
      </c>
      <c r="T33" s="23">
        <f>$D33*COS($E33+$F33*'25SolarCoords'!P$7)</f>
        <v>204.97718156412466</v>
      </c>
      <c r="U33" s="23">
        <f>$D33*COS($E33+$F33*'25SolarCoords'!Q$7)</f>
        <v>143.20625612699405</v>
      </c>
      <c r="V33" s="23">
        <f>$D33*COS($E33+$F33*'25SolarCoords'!R$7)</f>
        <v>140.95146437703903</v>
      </c>
      <c r="W33" s="23">
        <f>$D33*COS($E33+$F33*'25SolarCoords'!S$7)</f>
        <v>84.889939703924199</v>
      </c>
      <c r="X33" s="23">
        <f>$D33*COS($E33+$F33*'25SolarCoords'!T$7)</f>
        <v>-204.69548823487889</v>
      </c>
      <c r="Y33" s="23">
        <f>$D33*COS($E33+$F33*'25SolarCoords'!U$7)</f>
        <v>203.75739744935885</v>
      </c>
      <c r="Z33" s="23">
        <f>$D33*COS($E33+$F33*'25SolarCoords'!V$7)</f>
        <v>99.086071175979029</v>
      </c>
      <c r="AA33" s="23">
        <f>$D33*COS($E33+$F33*'25SolarCoords'!W$7)</f>
        <v>204.83643369870134</v>
      </c>
      <c r="AB33" s="23">
        <f>$D33*COS($E33+$F33*'25SolarCoords'!X$7)</f>
        <v>-194.15628272786108</v>
      </c>
      <c r="AC33" s="23">
        <f>$D33*COS($E33+$F33*'25SolarCoords'!Y$7)</f>
        <v>204.82888528122402</v>
      </c>
      <c r="AD33" s="23">
        <f>$D33*COS($E33+$F33*'25SolarCoords'!Z$7)</f>
        <v>-91.860608319250147</v>
      </c>
      <c r="AE33" s="23">
        <f>$D33*COS($E33+$F33*'25SolarCoords'!AA$7)</f>
        <v>-58.733042646686606</v>
      </c>
      <c r="AF33" s="23">
        <f>$D33*COS($E33+$F33*'25SolarCoords'!AB$7)</f>
        <v>187.04525424659241</v>
      </c>
      <c r="AG33" s="23">
        <f>$D33*COS($E33+$F33*'25SolarCoords'!AC$7)</f>
        <v>-193.55649970410155</v>
      </c>
      <c r="AH33" s="23">
        <f>$D33*COS($E33+$F33*'25SolarCoords'!AD$7)</f>
        <v>182.25364606601084</v>
      </c>
      <c r="AI33" s="23">
        <f>$D33*COS($E33+$F33*'25SolarCoords'!AE$7)</f>
        <v>204.18967141587456</v>
      </c>
      <c r="AJ33" s="23">
        <f>$D33*COS($E33+$F33*'25SolarCoords'!AF$7)</f>
        <v>190.61677020803674</v>
      </c>
      <c r="AK33" s="23">
        <f>$D33*COS($E33+$F33*'25SolarCoords'!AG$7)</f>
        <v>161.85418775001401</v>
      </c>
      <c r="AL33" s="23">
        <f>$D33*COS($E33+$F33*'25SolarCoords'!AH$7)</f>
        <v>-197.62956515645465</v>
      </c>
      <c r="AM33" s="23">
        <f>$D33*COS($E33+$F33*'25SolarCoords'!AI$7)</f>
        <v>-180.43726915123548</v>
      </c>
      <c r="AN33" s="23">
        <f>$D33*COS($E33+$F33*'25SolarCoords'!AJ$7)</f>
        <v>-149.90464099194094</v>
      </c>
      <c r="AO33" s="23">
        <f>$D33*COS($E33+$F33*'25SolarCoords'!AK$7)</f>
        <v>137.60158960796667</v>
      </c>
      <c r="AP33" s="23">
        <f>$D33*COS($E33+$F33*'25SolarCoords'!AL$7)</f>
        <v>188.75660574990806</v>
      </c>
      <c r="AQ33" s="23">
        <f>$D33*COS($E33+$F33*'25SolarCoords'!AM$7)</f>
        <v>-201.76779730948846</v>
      </c>
      <c r="AR33" s="23">
        <f>$D33*COS($E33+$F33*'25SolarCoords'!AN$7)</f>
        <v>-201.51745835625539</v>
      </c>
      <c r="AS33" s="23">
        <f>$D33*COS($E33+$F33*'25SolarCoords'!AO$7)</f>
        <v>19.325838044258578</v>
      </c>
      <c r="AT33" s="23">
        <f>$D33*COS($E33+$F33*'25SolarCoords'!AP$7)</f>
        <v>-198.91222759771131</v>
      </c>
      <c r="AU33" s="23">
        <f>$D33*COS($E33+$F33*'25SolarCoords'!AQ$7)</f>
        <v>-203.08877495894535</v>
      </c>
      <c r="AV33" s="23">
        <f>$D33*COS($E33+$F33*'25SolarCoords'!AR$7)</f>
        <v>-204.89938811101194</v>
      </c>
      <c r="AW33" s="23">
        <f>$D33*COS($E33+$F33*'25SolarCoords'!AS$7)</f>
        <v>-204.21071622157169</v>
      </c>
      <c r="AX33" s="23">
        <f>$D33*COS($E33+$F33*'25SolarCoords'!AT$7)</f>
        <v>-195.13994002549518</v>
      </c>
      <c r="AY33" s="23">
        <f>$D33*COS($E33+$F33*'25SolarCoords'!AU$7)</f>
        <v>-43.528803922281668</v>
      </c>
      <c r="AZ33" s="23">
        <f>$D33*COS($E33+$F33*'25SolarCoords'!AV$7)</f>
        <v>29.264021416183461</v>
      </c>
      <c r="BA33" s="23">
        <f>$D33*COS($E33+$F33*'25SolarCoords'!AW$7)</f>
        <v>-118.39652623594057</v>
      </c>
      <c r="BB33" s="23">
        <f>$D33*COS($E33+$F33*'25SolarCoords'!AX$7)</f>
        <v>-173.02991026603789</v>
      </c>
      <c r="BC33" s="23">
        <f>$D33*COS($E33+$F33*'25SolarCoords'!AY$7)</f>
        <v>-147.29091925174697</v>
      </c>
      <c r="BD33" s="23">
        <f>$D33*COS($E33+$F33*'25SolarCoords'!AZ$7)</f>
        <v>-145.09823927477396</v>
      </c>
      <c r="BE33" s="23">
        <f>$D33*COS($E33+$F33*'25SolarCoords'!BA$7)</f>
        <v>-142.8717782092134</v>
      </c>
      <c r="BF33" s="23">
        <f>$D33*COS($E33+$F33*'25SolarCoords'!BB$7)</f>
        <v>-140.61205440924294</v>
      </c>
      <c r="BG33" s="23">
        <f>$D33*COS($E33+$F33*'25SolarCoords'!BC$7)</f>
        <v>-138.31959397311758</v>
      </c>
      <c r="BH33" s="23">
        <f>$D33*COS($E33+$F33*'25SolarCoords'!BD$7)</f>
        <v>-135.99493062066898</v>
      </c>
      <c r="BI33" s="23">
        <f>$D33*COS($E33+$F33*'25SolarCoords'!BE$7)</f>
        <v>-133.63860556907287</v>
      </c>
      <c r="BJ33" s="23">
        <f>$D33*COS($E33+$F33*'25SolarCoords'!BF$7)</f>
        <v>-131.25116740682839</v>
      </c>
      <c r="BK33" s="23">
        <f>$D33*COS($E33+$F33*'25SolarCoords'!BG$7)</f>
        <v>204.23112663308973</v>
      </c>
    </row>
    <row r="34" spans="3:63" x14ac:dyDescent="0.25">
      <c r="C34">
        <f t="shared" si="0"/>
        <v>26</v>
      </c>
      <c r="D34">
        <v>202</v>
      </c>
      <c r="E34">
        <v>2.4580000000000002</v>
      </c>
      <c r="F34">
        <v>6069.777</v>
      </c>
      <c r="H34" s="7"/>
      <c r="I34" s="23">
        <f>$D34*COS($E34+$F34*'25SolarCoords'!E$7)</f>
        <v>-174.20355578838291</v>
      </c>
      <c r="J34" s="23">
        <f>$D34*COS($E34+$F34*'25SolarCoords'!F$7)</f>
        <v>150.7060364426338</v>
      </c>
      <c r="K34" s="23">
        <f>$D34*COS($E34+$F34*'25SolarCoords'!G$7)</f>
        <v>-156.61235133460514</v>
      </c>
      <c r="L34" s="23">
        <f>$D34*COS($E34+$F34*'25SolarCoords'!H$7)</f>
        <v>-179.69816611928132</v>
      </c>
      <c r="M34" s="23">
        <f>$D34*COS($E34+$F34*'25SolarCoords'!I$7)</f>
        <v>164.05530271983375</v>
      </c>
      <c r="N34" s="23">
        <f>$D34*COS($E34+$F34*'25SolarCoords'!J$7)</f>
        <v>-38.337368231694896</v>
      </c>
      <c r="O34" s="23">
        <f>$D34*COS($E34+$F34*'25SolarCoords'!K$7)</f>
        <v>134.74881047946707</v>
      </c>
      <c r="P34" s="23">
        <f>$D34*COS($E34+$F34*'25SolarCoords'!L$7)</f>
        <v>2.0194638838548848</v>
      </c>
      <c r="Q34" s="23">
        <f>$D34*COS($E34+$F34*'25SolarCoords'!M$7)</f>
        <v>49.034606108865418</v>
      </c>
      <c r="R34" s="23">
        <f>$D34*COS($E34+$F34*'25SolarCoords'!N$7)</f>
        <v>200.95573347732648</v>
      </c>
      <c r="S34" s="23">
        <f>$D34*COS($E34+$F34*'25SolarCoords'!O$7)</f>
        <v>191.79069021289564</v>
      </c>
      <c r="T34" s="23">
        <f>$D34*COS($E34+$F34*'25SolarCoords'!P$7)</f>
        <v>74.170332986304885</v>
      </c>
      <c r="U34" s="23">
        <f>$D34*COS($E34+$F34*'25SolarCoords'!Q$7)</f>
        <v>-201.95508142970667</v>
      </c>
      <c r="V34" s="23">
        <f>$D34*COS($E34+$F34*'25SolarCoords'!R$7)</f>
        <v>-201.99798096904169</v>
      </c>
      <c r="W34" s="23">
        <f>$D34*COS($E34+$F34*'25SolarCoords'!S$7)</f>
        <v>98.429963031490772</v>
      </c>
      <c r="X34" s="23">
        <f>$D34*COS($E34+$F34*'25SolarCoords'!T$7)</f>
        <v>-199.56661557898622</v>
      </c>
      <c r="Y34" s="23">
        <f>$D34*COS($E34+$F34*'25SolarCoords'!U$7)</f>
        <v>195.4178366961049</v>
      </c>
      <c r="Z34" s="23">
        <f>$D34*COS($E34+$F34*'25SolarCoords'!V$7)</f>
        <v>-162.35458836475624</v>
      </c>
      <c r="AA34" s="23">
        <f>$D34*COS($E34+$F34*'25SolarCoords'!W$7)</f>
        <v>167.8315410538514</v>
      </c>
      <c r="AB34" s="23">
        <f>$D34*COS($E34+$F34*'25SolarCoords'!X$7)</f>
        <v>183.51181958985137</v>
      </c>
      <c r="AC34" s="23">
        <f>$D34*COS($E34+$F34*'25SolarCoords'!Y$7)</f>
        <v>-52.784878688827114</v>
      </c>
      <c r="AD34" s="23">
        <f>$D34*COS($E34+$F34*'25SolarCoords'!Z$7)</f>
        <v>159.9382457032188</v>
      </c>
      <c r="AE34" s="23">
        <f>$D34*COS($E34+$F34*'25SolarCoords'!AA$7)</f>
        <v>-155.5468886310496</v>
      </c>
      <c r="AF34" s="23">
        <f>$D34*COS($E34+$F34*'25SolarCoords'!AB$7)</f>
        <v>-182.59471190417077</v>
      </c>
      <c r="AG34" s="23">
        <f>$D34*COS($E34+$F34*'25SolarCoords'!AC$7)</f>
        <v>199.86743971095402</v>
      </c>
      <c r="AH34" s="23">
        <f>$D34*COS($E34+$F34*'25SolarCoords'!AD$7)</f>
        <v>168.00299637424402</v>
      </c>
      <c r="AI34" s="23">
        <f>$D34*COS($E34+$F34*'25SolarCoords'!AE$7)</f>
        <v>-62.918327685507812</v>
      </c>
      <c r="AJ34" s="23">
        <f>$D34*COS($E34+$F34*'25SolarCoords'!AF$7)</f>
        <v>-164.98796731471526</v>
      </c>
      <c r="AK34" s="23">
        <f>$D34*COS($E34+$F34*'25SolarCoords'!AG$7)</f>
        <v>-175.79599916368079</v>
      </c>
      <c r="AL34" s="23">
        <f>$D34*COS($E34+$F34*'25SolarCoords'!AH$7)</f>
        <v>121.05461119268932</v>
      </c>
      <c r="AM34" s="23">
        <f>$D34*COS($E34+$F34*'25SolarCoords'!AI$7)</f>
        <v>165.10739453378906</v>
      </c>
      <c r="AN34" s="23">
        <f>$D34*COS($E34+$F34*'25SolarCoords'!AJ$7)</f>
        <v>190.90362920875558</v>
      </c>
      <c r="AO34" s="23">
        <f>$D34*COS($E34+$F34*'25SolarCoords'!AK$7)</f>
        <v>-179.70862106725886</v>
      </c>
      <c r="AP34" s="23">
        <f>$D34*COS($E34+$F34*'25SolarCoords'!AL$7)</f>
        <v>-179.29024973783694</v>
      </c>
      <c r="AQ34" s="23">
        <f>$D34*COS($E34+$F34*'25SolarCoords'!AM$7)</f>
        <v>-2.8802372192602377</v>
      </c>
      <c r="AR34" s="23">
        <f>$D34*COS($E34+$F34*'25SolarCoords'!AN$7)</f>
        <v>-125.02014188620603</v>
      </c>
      <c r="AS34" s="23">
        <f>$D34*COS($E34+$F34*'25SolarCoords'!AO$7)</f>
        <v>-94.573351684473806</v>
      </c>
      <c r="AT34" s="23">
        <f>$D34*COS($E34+$F34*'25SolarCoords'!AP$7)</f>
        <v>-120.45355377457011</v>
      </c>
      <c r="AU34" s="23">
        <f>$D34*COS($E34+$F34*'25SolarCoords'!AQ$7)</f>
        <v>-138.59595748373638</v>
      </c>
      <c r="AV34" s="23">
        <f>$D34*COS($E34+$F34*'25SolarCoords'!AR$7)</f>
        <v>-154.50530889702137</v>
      </c>
      <c r="AW34" s="23">
        <f>$D34*COS($E34+$F34*'25SolarCoords'!AS$7)</f>
        <v>-170.04007872535109</v>
      </c>
      <c r="AX34" s="23">
        <f>$D34*COS($E34+$F34*'25SolarCoords'!AT$7)</f>
        <v>-191.31813086145195</v>
      </c>
      <c r="AY34" s="23">
        <f>$D34*COS($E34+$F34*'25SolarCoords'!AU$7)</f>
        <v>-52.331466696851983</v>
      </c>
      <c r="AZ34" s="23">
        <f>$D34*COS($E34+$F34*'25SolarCoords'!AV$7)</f>
        <v>132.18947137439724</v>
      </c>
      <c r="BA34" s="23">
        <f>$D34*COS($E34+$F34*'25SolarCoords'!AW$7)</f>
        <v>-156.57380439428889</v>
      </c>
      <c r="BB34" s="23">
        <f>$D34*COS($E34+$F34*'25SolarCoords'!AX$7)</f>
        <v>140.64371516893968</v>
      </c>
      <c r="BC34" s="23">
        <f>$D34*COS($E34+$F34*'25SolarCoords'!AY$7)</f>
        <v>-199.02336362344187</v>
      </c>
      <c r="BD34" s="23">
        <f>$D34*COS($E34+$F34*'25SolarCoords'!AZ$7)</f>
        <v>-198.42175282649706</v>
      </c>
      <c r="BE34" s="23">
        <f>$D34*COS($E34+$F34*'25SolarCoords'!BA$7)</f>
        <v>-197.76534660335633</v>
      </c>
      <c r="BF34" s="23">
        <f>$D34*COS($E34+$F34*'25SolarCoords'!BB$7)</f>
        <v>-197.05432622476366</v>
      </c>
      <c r="BG34" s="23">
        <f>$D34*COS($E34+$F34*'25SolarCoords'!BC$7)</f>
        <v>-196.28888804350854</v>
      </c>
      <c r="BH34" s="23">
        <f>$D34*COS($E34+$F34*'25SolarCoords'!BD$7)</f>
        <v>-195.46924344020073</v>
      </c>
      <c r="BI34" s="23">
        <f>$D34*COS($E34+$F34*'25SolarCoords'!BE$7)</f>
        <v>-194.5956187649015</v>
      </c>
      <c r="BJ34" s="23">
        <f>$D34*COS($E34+$F34*'25SolarCoords'!BF$7)</f>
        <v>-193.66825527460747</v>
      </c>
      <c r="BK34" s="23">
        <f>$D34*COS($E34+$F34*'25SolarCoords'!BG$7)</f>
        <v>-62.43595667387563</v>
      </c>
    </row>
    <row r="35" spans="3:63" x14ac:dyDescent="0.25">
      <c r="C35">
        <f t="shared" si="0"/>
        <v>27</v>
      </c>
      <c r="D35">
        <v>156</v>
      </c>
      <c r="E35">
        <v>0.83299999999999996</v>
      </c>
      <c r="F35">
        <v>213.29900000000001</v>
      </c>
      <c r="H35" s="7"/>
      <c r="I35" s="23">
        <f>$D35*COS($E35+$F35*'25SolarCoords'!E$7)</f>
        <v>-49.527888885214118</v>
      </c>
      <c r="J35" s="23">
        <f>$D35*COS($E35+$F35*'25SolarCoords'!F$7)</f>
        <v>-149.63022848996931</v>
      </c>
      <c r="K35" s="23">
        <f>$D35*COS($E35+$F35*'25SolarCoords'!G$7)</f>
        <v>104.93479344503756</v>
      </c>
      <c r="L35" s="23">
        <f>$D35*COS($E35+$F35*'25SolarCoords'!H$7)</f>
        <v>127.00536169372856</v>
      </c>
      <c r="M35" s="23">
        <f>$D35*COS($E35+$F35*'25SolarCoords'!I$7)</f>
        <v>-54.085576684702339</v>
      </c>
      <c r="N35" s="23">
        <f>$D35*COS($E35+$F35*'25SolarCoords'!J$7)</f>
        <v>-41.647978066326445</v>
      </c>
      <c r="O35" s="23">
        <f>$D35*COS($E35+$F35*'25SolarCoords'!K$7)</f>
        <v>-21.907768383147598</v>
      </c>
      <c r="P35" s="23">
        <f>$D35*COS($E35+$F35*'25SolarCoords'!L$7)</f>
        <v>-8.8116368899920516</v>
      </c>
      <c r="Q35" s="23">
        <f>$D35*COS($E35+$F35*'25SolarCoords'!M$7)</f>
        <v>-11.884372063220843</v>
      </c>
      <c r="R35" s="23">
        <f>$D35*COS($E35+$F35*'25SolarCoords'!N$7)</f>
        <v>-147.18063962443065</v>
      </c>
      <c r="S35" s="23">
        <f>$D35*COS($E35+$F35*'25SolarCoords'!O$7)</f>
        <v>-132.91102701191193</v>
      </c>
      <c r="T35" s="23">
        <f>$D35*COS($E35+$F35*'25SolarCoords'!P$7)</f>
        <v>-81.936049492438826</v>
      </c>
      <c r="U35" s="23">
        <f>$D35*COS($E35+$F35*'25SolarCoords'!Q$7)</f>
        <v>127.96582584359309</v>
      </c>
      <c r="V35" s="23">
        <f>$D35*COS($E35+$F35*'25SolarCoords'!R$7)</f>
        <v>127.91369949212179</v>
      </c>
      <c r="W35" s="23">
        <f>$D35*COS($E35+$F35*'25SolarCoords'!S$7)</f>
        <v>-56.470915567916428</v>
      </c>
      <c r="X35" s="23">
        <f>$D35*COS($E35+$F35*'25SolarCoords'!T$7)</f>
        <v>-44.886459337222455</v>
      </c>
      <c r="Y35" s="23">
        <f>$D35*COS($E35+$F35*'25SolarCoords'!U$7)</f>
        <v>-27.610079410383541</v>
      </c>
      <c r="Z35" s="23">
        <f>$D35*COS($E35+$F35*'25SolarCoords'!V$7)</f>
        <v>-26.877777580720032</v>
      </c>
      <c r="AA35" s="23">
        <f>$D35*COS($E35+$F35*'25SolarCoords'!W$7)</f>
        <v>-47.800441170739937</v>
      </c>
      <c r="AB35" s="23">
        <f>$D35*COS($E35+$F35*'25SolarCoords'!X$7)</f>
        <v>107.09556318079311</v>
      </c>
      <c r="AC35" s="23">
        <f>$D35*COS($E35+$F35*'25SolarCoords'!Y$7)</f>
        <v>-96.376221514362811</v>
      </c>
      <c r="AD35" s="23">
        <f>$D35*COS($E35+$F35*'25SolarCoords'!Z$7)</f>
        <v>-109.4573660944028</v>
      </c>
      <c r="AE35" s="23">
        <f>$D35*COS($E35+$F35*'25SolarCoords'!AA$7)</f>
        <v>104.96849418937796</v>
      </c>
      <c r="AF35" s="23">
        <f>$D35*COS($E35+$F35*'25SolarCoords'!AB$7)</f>
        <v>-132.900742594924</v>
      </c>
      <c r="AG35" s="23">
        <f>$D35*COS($E35+$F35*'25SolarCoords'!AC$7)</f>
        <v>-134.37153291097758</v>
      </c>
      <c r="AH35" s="23">
        <f>$D35*COS($E35+$F35*'25SolarCoords'!AD$7)</f>
        <v>-14.126360869800939</v>
      </c>
      <c r="AI35" s="23">
        <f>$D35*COS($E35+$F35*'25SolarCoords'!AE$7)</f>
        <v>-96.601795155177058</v>
      </c>
      <c r="AJ35" s="23">
        <f>$D35*COS($E35+$F35*'25SolarCoords'!AF$7)</f>
        <v>122.57061504256338</v>
      </c>
      <c r="AK35" s="23">
        <f>$D35*COS($E35+$F35*'25SolarCoords'!AG$7)</f>
        <v>118.64286939153465</v>
      </c>
      <c r="AL35" s="23">
        <f>$D35*COS($E35+$F35*'25SolarCoords'!AH$7)</f>
        <v>77.298518971371095</v>
      </c>
      <c r="AM35" s="23">
        <f>$D35*COS($E35+$F35*'25SolarCoords'!AI$7)</f>
        <v>106.36470317162835</v>
      </c>
      <c r="AN35" s="23">
        <f>$D35*COS($E35+$F35*'25SolarCoords'!AJ$7)</f>
        <v>129.63808819064457</v>
      </c>
      <c r="AO35" s="23">
        <f>$D35*COS($E35+$F35*'25SolarCoords'!AK$7)</f>
        <v>149.58726710479826</v>
      </c>
      <c r="AP35" s="23">
        <f>$D35*COS($E35+$F35*'25SolarCoords'!AL$7)</f>
        <v>64.152772472311071</v>
      </c>
      <c r="AQ35" s="23">
        <f>$D35*COS($E35+$F35*'25SolarCoords'!AM$7)</f>
        <v>-108.36650764901718</v>
      </c>
      <c r="AR35" s="23">
        <f>$D35*COS($E35+$F35*'25SolarCoords'!AN$7)</f>
        <v>98.337285803575242</v>
      </c>
      <c r="AS35" s="23">
        <f>$D35*COS($E35+$F35*'25SolarCoords'!AO$7)</f>
        <v>-22.233479543755326</v>
      </c>
      <c r="AT35" s="23">
        <f>$D35*COS($E35+$F35*'25SolarCoords'!AP$7)</f>
        <v>128.6336601353361</v>
      </c>
      <c r="AU35" s="23">
        <f>$D35*COS($E35+$F35*'25SolarCoords'!AQ$7)</f>
        <v>128.99621528322928</v>
      </c>
      <c r="AV35" s="23">
        <f>$D35*COS($E35+$F35*'25SolarCoords'!AR$7)</f>
        <v>129.34880052853217</v>
      </c>
      <c r="AW35" s="23">
        <f>$D35*COS($E35+$F35*'25SolarCoords'!AS$7)</f>
        <v>129.74500116895589</v>
      </c>
      <c r="AX35" s="23">
        <f>$D35*COS($E35+$F35*'25SolarCoords'!AT$7)</f>
        <v>130.48157873679779</v>
      </c>
      <c r="AY35" s="23">
        <f>$D35*COS($E35+$F35*'25SolarCoords'!AU$7)</f>
        <v>19.504501997116659</v>
      </c>
      <c r="AZ35" s="23">
        <f>$D35*COS($E35+$F35*'25SolarCoords'!AV$7)</f>
        <v>147.31998823401028</v>
      </c>
      <c r="BA35" s="23">
        <f>$D35*COS($E35+$F35*'25SolarCoords'!AW$7)</f>
        <v>139.58453924937177</v>
      </c>
      <c r="BB35" s="23">
        <f>$D35*COS($E35+$F35*'25SolarCoords'!AX$7)</f>
        <v>-64.179228591993919</v>
      </c>
      <c r="BC35" s="23">
        <f>$D35*COS($E35+$F35*'25SolarCoords'!AY$7)</f>
        <v>131.95942060787002</v>
      </c>
      <c r="BD35" s="23">
        <f>$D35*COS($E35+$F35*'25SolarCoords'!AZ$7)</f>
        <v>132.00798696332973</v>
      </c>
      <c r="BE35" s="23">
        <f>$D35*COS($E35+$F35*'25SolarCoords'!BA$7)</f>
        <v>132.05650829962974</v>
      </c>
      <c r="BF35" s="23">
        <f>$D35*COS($E35+$F35*'25SolarCoords'!BB$7)</f>
        <v>132.10498460022245</v>
      </c>
      <c r="BG35" s="23">
        <f>$D35*COS($E35+$F35*'25SolarCoords'!BC$7)</f>
        <v>132.15341584857589</v>
      </c>
      <c r="BH35" s="23">
        <f>$D35*COS($E35+$F35*'25SolarCoords'!BD$7)</f>
        <v>132.20180202817343</v>
      </c>
      <c r="BI35" s="23">
        <f>$D35*COS($E35+$F35*'25SolarCoords'!BE$7)</f>
        <v>132.25014312251372</v>
      </c>
      <c r="BJ35" s="23">
        <f>$D35*COS($E35+$F35*'25SolarCoords'!BF$7)</f>
        <v>132.29843911511071</v>
      </c>
      <c r="BK35" s="23">
        <f>$D35*COS($E35+$F35*'25SolarCoords'!BG$7)</f>
        <v>-96.590982109889779</v>
      </c>
    </row>
    <row r="36" spans="3:63" x14ac:dyDescent="0.25">
      <c r="C36">
        <f t="shared" si="0"/>
        <v>28</v>
      </c>
      <c r="D36">
        <v>132</v>
      </c>
      <c r="E36">
        <v>3.411</v>
      </c>
      <c r="F36">
        <v>2942.4630000000002</v>
      </c>
      <c r="H36" s="7"/>
      <c r="I36" s="23">
        <f>$D36*COS($E36+$F36*'25SolarCoords'!E$7)</f>
        <v>9.0231243739707025</v>
      </c>
      <c r="J36" s="23">
        <f>$D36*COS($E36+$F36*'25SolarCoords'!F$7)</f>
        <v>117.6837605587628</v>
      </c>
      <c r="K36" s="23">
        <f>$D36*COS($E36+$F36*'25SolarCoords'!G$7)</f>
        <v>-127.23860245054082</v>
      </c>
      <c r="L36" s="23">
        <f>$D36*COS($E36+$F36*'25SolarCoords'!H$7)</f>
        <v>117.8941611002177</v>
      </c>
      <c r="M36" s="23">
        <f>$D36*COS($E36+$F36*'25SolarCoords'!I$7)</f>
        <v>-131.61839420373633</v>
      </c>
      <c r="N36" s="23">
        <f>$D36*COS($E36+$F36*'25SolarCoords'!J$7)</f>
        <v>-62.217397691805424</v>
      </c>
      <c r="O36" s="23">
        <f>$D36*COS($E36+$F36*'25SolarCoords'!K$7)</f>
        <v>126.96093129217205</v>
      </c>
      <c r="P36" s="23">
        <f>$D36*COS($E36+$F36*'25SolarCoords'!L$7)</f>
        <v>83.400505279141555</v>
      </c>
      <c r="Q36" s="23">
        <f>$D36*COS($E36+$F36*'25SolarCoords'!M$7)</f>
        <v>-30.600651247748289</v>
      </c>
      <c r="R36" s="23">
        <f>$D36*COS($E36+$F36*'25SolarCoords'!N$7)</f>
        <v>22.228482569150032</v>
      </c>
      <c r="S36" s="23">
        <f>$D36*COS($E36+$F36*'25SolarCoords'!O$7)</f>
        <v>-47.775997821272114</v>
      </c>
      <c r="T36" s="23">
        <f>$D36*COS($E36+$F36*'25SolarCoords'!P$7)</f>
        <v>126.636535333374</v>
      </c>
      <c r="U36" s="23">
        <f>$D36*COS($E36+$F36*'25SolarCoords'!Q$7)</f>
        <v>48.347071282093765</v>
      </c>
      <c r="V36" s="23">
        <f>$D36*COS($E36+$F36*'25SolarCoords'!R$7)</f>
        <v>49.334991985960393</v>
      </c>
      <c r="W36" s="23">
        <f>$D36*COS($E36+$F36*'25SolarCoords'!S$7)</f>
        <v>98.689129359271817</v>
      </c>
      <c r="X36" s="23">
        <f>$D36*COS($E36+$F36*'25SolarCoords'!T$7)</f>
        <v>-31.251929801274144</v>
      </c>
      <c r="Y36" s="23">
        <f>$D36*COS($E36+$F36*'25SolarCoords'!U$7)</f>
        <v>-128.21784531556921</v>
      </c>
      <c r="Z36" s="23">
        <f>$D36*COS($E36+$F36*'25SolarCoords'!V$7)</f>
        <v>-24.241557592558802</v>
      </c>
      <c r="AA36" s="23">
        <f>$D36*COS($E36+$F36*'25SolarCoords'!W$7)</f>
        <v>-115.07105613356087</v>
      </c>
      <c r="AB36" s="23">
        <f>$D36*COS($E36+$F36*'25SolarCoords'!X$7)</f>
        <v>118.19315325100013</v>
      </c>
      <c r="AC36" s="23">
        <f>$D36*COS($E36+$F36*'25SolarCoords'!Y$7)</f>
        <v>63.461971692414174</v>
      </c>
      <c r="AD36" s="23">
        <f>$D36*COS($E36+$F36*'25SolarCoords'!Z$7)</f>
        <v>79.077734111006905</v>
      </c>
      <c r="AE36" s="23">
        <f>$D36*COS($E36+$F36*'25SolarCoords'!AA$7)</f>
        <v>-127.37908660411041</v>
      </c>
      <c r="AF36" s="23">
        <f>$D36*COS($E36+$F36*'25SolarCoords'!AB$7)</f>
        <v>15.293212381441595</v>
      </c>
      <c r="AG36" s="23">
        <f>$D36*COS($E36+$F36*'25SolarCoords'!AC$7)</f>
        <v>-79.880622589098138</v>
      </c>
      <c r="AH36" s="23">
        <f>$D36*COS($E36+$F36*'25SolarCoords'!AD$7)</f>
        <v>120.76247881364547</v>
      </c>
      <c r="AI36" s="23">
        <f>$D36*COS($E36+$F36*'25SolarCoords'!AE$7)</f>
        <v>66.379452305724243</v>
      </c>
      <c r="AJ36" s="23">
        <f>$D36*COS($E36+$F36*'25SolarCoords'!AF$7)</f>
        <v>0.28243949595396173</v>
      </c>
      <c r="AK36" s="23">
        <f>$D36*COS($E36+$F36*'25SolarCoords'!AG$7)</f>
        <v>68.989016611857764</v>
      </c>
      <c r="AL36" s="23">
        <f>$D36*COS($E36+$F36*'25SolarCoords'!AH$7)</f>
        <v>-108.44045948056026</v>
      </c>
      <c r="AM36" s="23">
        <f>$D36*COS($E36+$F36*'25SolarCoords'!AI$7)</f>
        <v>112.52786543711021</v>
      </c>
      <c r="AN36" s="23">
        <f>$D36*COS($E36+$F36*'25SolarCoords'!AJ$7)</f>
        <v>-115.23185542827702</v>
      </c>
      <c r="AO36" s="23">
        <f>$D36*COS($E36+$F36*'25SolarCoords'!AK$7)</f>
        <v>-50.2757889976481</v>
      </c>
      <c r="AP36" s="23">
        <f>$D36*COS($E36+$F36*'25SolarCoords'!AL$7)</f>
        <v>44.145544036191936</v>
      </c>
      <c r="AQ36" s="23">
        <f>$D36*COS($E36+$F36*'25SolarCoords'!AM$7)</f>
        <v>-131.25388048302096</v>
      </c>
      <c r="AR36" s="23">
        <f>$D36*COS($E36+$F36*'25SolarCoords'!AN$7)</f>
        <v>-66.962442551706786</v>
      </c>
      <c r="AS36" s="23">
        <f>$D36*COS($E36+$F36*'25SolarCoords'!AO$7)</f>
        <v>-113.90202541441916</v>
      </c>
      <c r="AT36" s="23">
        <f>$D36*COS($E36+$F36*'25SolarCoords'!AP$7)</f>
        <v>49.576784434953026</v>
      </c>
      <c r="AU36" s="23">
        <f>$D36*COS($E36+$F36*'25SolarCoords'!AQ$7)</f>
        <v>42.546908658239886</v>
      </c>
      <c r="AV36" s="23">
        <f>$D36*COS($E36+$F36*'25SolarCoords'!AR$7)</f>
        <v>35.536103265555418</v>
      </c>
      <c r="AW36" s="23">
        <f>$D36*COS($E36+$F36*'25SolarCoords'!AS$7)</f>
        <v>27.476468324669174</v>
      </c>
      <c r="AX36" s="23">
        <f>$D36*COS($E36+$F36*'25SolarCoords'!AT$7)</f>
        <v>12.076561288721866</v>
      </c>
      <c r="AY36" s="23">
        <f>$D36*COS($E36+$F36*'25SolarCoords'!AU$7)</f>
        <v>110.32644327163715</v>
      </c>
      <c r="AZ36" s="23">
        <f>$D36*COS($E36+$F36*'25SolarCoords'!AV$7)</f>
        <v>-125.49823532941333</v>
      </c>
      <c r="BA36" s="23">
        <f>$D36*COS($E36+$F36*'25SolarCoords'!AW$7)</f>
        <v>102.91506547022985</v>
      </c>
      <c r="BB36" s="23">
        <f>$D36*COS($E36+$F36*'25SolarCoords'!AX$7)</f>
        <v>-127.99238161894954</v>
      </c>
      <c r="BC36" s="23">
        <f>$D36*COS($E36+$F36*'25SolarCoords'!AY$7)</f>
        <v>-19.734124485606614</v>
      </c>
      <c r="BD36" s="23">
        <f>$D36*COS($E36+$F36*'25SolarCoords'!AZ$7)</f>
        <v>-20.784917121617486</v>
      </c>
      <c r="BE36" s="23">
        <f>$D36*COS($E36+$F36*'25SolarCoords'!BA$7)</f>
        <v>-21.834360833510747</v>
      </c>
      <c r="BF36" s="23">
        <f>$D36*COS($E36+$F36*'25SolarCoords'!BB$7)</f>
        <v>-22.882387513244222</v>
      </c>
      <c r="BG36" s="23">
        <f>$D36*COS($E36+$F36*'25SolarCoords'!BC$7)</f>
        <v>-23.928929144745524</v>
      </c>
      <c r="BH36" s="23">
        <f>$D36*COS($E36+$F36*'25SolarCoords'!BD$7)</f>
        <v>-24.97391780832066</v>
      </c>
      <c r="BI36" s="23">
        <f>$D36*COS($E36+$F36*'25SolarCoords'!BE$7)</f>
        <v>-26.017285685056464</v>
      </c>
      <c r="BJ36" s="23">
        <f>$D36*COS($E36+$F36*'25SolarCoords'!BF$7)</f>
        <v>-27.058965061233032</v>
      </c>
      <c r="BK36" s="23">
        <f>$D36*COS($E36+$F36*'25SolarCoords'!BG$7)</f>
        <v>66.240465941151413</v>
      </c>
    </row>
    <row r="37" spans="3:63" x14ac:dyDescent="0.25">
      <c r="C37">
        <f t="shared" si="0"/>
        <v>29</v>
      </c>
      <c r="D37">
        <v>126</v>
      </c>
      <c r="E37">
        <v>1.083</v>
      </c>
      <c r="F37">
        <v>20.774999999999999</v>
      </c>
      <c r="H37" s="7"/>
      <c r="I37" s="23">
        <f>$D37*COS($E37+$F37*'25SolarCoords'!E$7)</f>
        <v>123.35054431253141</v>
      </c>
      <c r="J37" s="23">
        <f>$D37*COS($E37+$F37*'25SolarCoords'!F$7)</f>
        <v>-66.923184000604849</v>
      </c>
      <c r="K37" s="23">
        <f>$D37*COS($E37+$F37*'25SolarCoords'!G$7)</f>
        <v>59.05372709197654</v>
      </c>
      <c r="L37" s="23">
        <f>$D37*COS($E37+$F37*'25SolarCoords'!H$7)</f>
        <v>61.354730106777353</v>
      </c>
      <c r="M37" s="23">
        <f>$D37*COS($E37+$F37*'25SolarCoords'!I$7)</f>
        <v>86.475368354553652</v>
      </c>
      <c r="N37" s="23">
        <f>$D37*COS($E37+$F37*'25SolarCoords'!J$7)</f>
        <v>85.724514566636572</v>
      </c>
      <c r="O37" s="23">
        <f>$D37*COS($E37+$F37*'25SolarCoords'!K$7)</f>
        <v>84.554338195840799</v>
      </c>
      <c r="P37" s="23">
        <f>$D37*COS($E37+$F37*'25SolarCoords'!L$7)</f>
        <v>83.783704773512795</v>
      </c>
      <c r="Q37" s="23">
        <f>$D37*COS($E37+$F37*'25SolarCoords'!M$7)</f>
        <v>68.663201960840922</v>
      </c>
      <c r="R37" s="23">
        <f>$D37*COS($E37+$F37*'25SolarCoords'!N$7)</f>
        <v>73.939105894888115</v>
      </c>
      <c r="S37" s="23">
        <f>$D37*COS($E37+$F37*'25SolarCoords'!O$7)</f>
        <v>76.04112931698765</v>
      </c>
      <c r="T37" s="23">
        <f>$D37*COS($E37+$F37*'25SolarCoords'!P$7)</f>
        <v>-59.301265087467897</v>
      </c>
      <c r="U37" s="23">
        <f>$D37*COS($E37+$F37*'25SolarCoords'!Q$7)</f>
        <v>70.035161960688015</v>
      </c>
      <c r="V37" s="23">
        <f>$D37*COS($E37+$F37*'25SolarCoords'!R$7)</f>
        <v>70.029204191425336</v>
      </c>
      <c r="W37" s="23">
        <f>$D37*COS($E37+$F37*'25SolarCoords'!S$7)</f>
        <v>-3.8768853172167903</v>
      </c>
      <c r="X37" s="23">
        <f>$D37*COS($E37+$F37*'25SolarCoords'!T$7)</f>
        <v>-2.9133117898254817</v>
      </c>
      <c r="Y37" s="23">
        <f>$D37*COS($E37+$F37*'25SolarCoords'!U$7)</f>
        <v>-1.5153048813131007</v>
      </c>
      <c r="Z37" s="23">
        <f>$D37*COS($E37+$F37*'25SolarCoords'!V$7)</f>
        <v>124.96947678768808</v>
      </c>
      <c r="AA37" s="23">
        <f>$D37*COS($E37+$F37*'25SolarCoords'!W$7)</f>
        <v>86.094117690144813</v>
      </c>
      <c r="AB37" s="23">
        <f>$D37*COS($E37+$F37*'25SolarCoords'!X$7)</f>
        <v>76.07513447352035</v>
      </c>
      <c r="AC37" s="23">
        <f>$D37*COS($E37+$F37*'25SolarCoords'!Y$7)</f>
        <v>103.43788526319977</v>
      </c>
      <c r="AD37" s="23">
        <f>$D37*COS($E37+$F37*'25SolarCoords'!Z$7)</f>
        <v>-52.098761425206497</v>
      </c>
      <c r="AE37" s="23">
        <f>$D37*COS($E37+$F37*'25SolarCoords'!AA$7)</f>
        <v>59.056892499685134</v>
      </c>
      <c r="AF37" s="23">
        <f>$D37*COS($E37+$F37*'25SolarCoords'!AB$7)</f>
        <v>124.80925804140544</v>
      </c>
      <c r="AG37" s="23">
        <f>$D37*COS($E37+$F37*'25SolarCoords'!AC$7)</f>
        <v>100.76373922034378</v>
      </c>
      <c r="AH37" s="23">
        <f>$D37*COS($E37+$F37*'25SolarCoords'!AD$7)</f>
        <v>84.096376101104454</v>
      </c>
      <c r="AI37" s="23">
        <f>$D37*COS($E37+$F37*'25SolarCoords'!AE$7)</f>
        <v>103.42498794778291</v>
      </c>
      <c r="AJ37" s="23">
        <f>$D37*COS($E37+$F37*'25SolarCoords'!AF$7)</f>
        <v>74.627688261363929</v>
      </c>
      <c r="AK37" s="23">
        <f>$D37*COS($E37+$F37*'25SolarCoords'!AG$7)</f>
        <v>75.019791838875548</v>
      </c>
      <c r="AL37" s="23">
        <f>$D37*COS($E37+$F37*'25SolarCoords'!AH$7)</f>
        <v>78.385353153327117</v>
      </c>
      <c r="AM37" s="23">
        <f>$D37*COS($E37+$F37*'25SolarCoords'!AI$7)</f>
        <v>76.137962792525755</v>
      </c>
      <c r="AN37" s="23">
        <f>$D37*COS($E37+$F37*'25SolarCoords'!AJ$7)</f>
        <v>73.863364342499423</v>
      </c>
      <c r="AO37" s="23">
        <f>$D37*COS($E37+$F37*'25SolarCoords'!AK$7)</f>
        <v>-113.80479041574515</v>
      </c>
      <c r="AP37" s="23">
        <f>$D37*COS($E37+$F37*'25SolarCoords'!AL$7)</f>
        <v>79.291006618751524</v>
      </c>
      <c r="AQ37" s="23">
        <f>$D37*COS($E37+$F37*'25SolarCoords'!AM$7)</f>
        <v>-92.938930948736271</v>
      </c>
      <c r="AR37" s="23">
        <f>$D37*COS($E37+$F37*'25SolarCoords'!AN$7)</f>
        <v>58.448261417882165</v>
      </c>
      <c r="AS37" s="23">
        <f>$D37*COS($E37+$F37*'25SolarCoords'!AO$7)</f>
        <v>-116.28074041959113</v>
      </c>
      <c r="AT37" s="23">
        <f>$D37*COS($E37+$F37*'25SolarCoords'!AP$7)</f>
        <v>1.9562895611904783</v>
      </c>
      <c r="AU37" s="23">
        <f>$D37*COS($E37+$F37*'25SolarCoords'!AQ$7)</f>
        <v>1.9057302022783777</v>
      </c>
      <c r="AV37" s="23">
        <f>$D37*COS($E37+$F37*'25SolarCoords'!AR$7)</f>
        <v>1.8562653355520897</v>
      </c>
      <c r="AW37" s="23">
        <f>$D37*COS($E37+$F37*'25SolarCoords'!AS$7)</f>
        <v>1.8003258999439635</v>
      </c>
      <c r="AX37" s="23">
        <f>$D37*COS($E37+$F37*'25SolarCoords'!AT$7)</f>
        <v>1.6952985475873852</v>
      </c>
      <c r="AY37" s="23">
        <f>$D37*COS($E37+$F37*'25SolarCoords'!AU$7)</f>
        <v>108.67048391299487</v>
      </c>
      <c r="AZ37" s="23">
        <f>$D37*COS($E37+$F37*'25SolarCoords'!AV$7)</f>
        <v>64.379263179003985</v>
      </c>
      <c r="BA37" s="23">
        <f>$D37*COS($E37+$F37*'25SolarCoords'!AW$7)</f>
        <v>121.53003357685924</v>
      </c>
      <c r="BB37" s="23">
        <f>$D37*COS($E37+$F37*'25SolarCoords'!AX$7)</f>
        <v>123.59722222157832</v>
      </c>
      <c r="BC37" s="23">
        <f>$D37*COS($E37+$F37*'25SolarCoords'!AY$7)</f>
        <v>1.4803135922653579</v>
      </c>
      <c r="BD37" s="23">
        <f>$D37*COS($E37+$F37*'25SolarCoords'!AZ$7)</f>
        <v>1.4731473493828962</v>
      </c>
      <c r="BE37" s="23">
        <f>$D37*COS($E37+$F37*'25SolarCoords'!BA$7)</f>
        <v>1.4659811017345026</v>
      </c>
      <c r="BF37" s="23">
        <f>$D37*COS($E37+$F37*'25SolarCoords'!BB$7)</f>
        <v>1.4588148493433899</v>
      </c>
      <c r="BG37" s="23">
        <f>$D37*COS($E37+$F37*'25SolarCoords'!BC$7)</f>
        <v>1.4516485922326861</v>
      </c>
      <c r="BH37" s="23">
        <f>$D37*COS($E37+$F37*'25SolarCoords'!BD$7)</f>
        <v>1.4444823304256036</v>
      </c>
      <c r="BI37" s="23">
        <f>$D37*COS($E37+$F37*'25SolarCoords'!BE$7)</f>
        <v>1.4373160639453546</v>
      </c>
      <c r="BJ37" s="23">
        <f>$D37*COS($E37+$F37*'25SolarCoords'!BF$7)</f>
        <v>1.4301497928150675</v>
      </c>
      <c r="BK37" s="23">
        <f>$D37*COS($E37+$F37*'25SolarCoords'!BG$7)</f>
        <v>103.42560669308411</v>
      </c>
    </row>
    <row r="38" spans="3:63" x14ac:dyDescent="0.25">
      <c r="C38">
        <f t="shared" si="0"/>
        <v>30</v>
      </c>
      <c r="D38">
        <v>115</v>
      </c>
      <c r="E38">
        <v>0.64500000000000002</v>
      </c>
      <c r="F38">
        <v>0.98</v>
      </c>
      <c r="H38" s="7"/>
      <c r="I38" s="23">
        <f>$D38*COS($E38+$F38*'25SolarCoords'!E$7)</f>
        <v>94.678998698705158</v>
      </c>
      <c r="J38" s="23">
        <f>$D38*COS($E38+$F38*'25SolarCoords'!F$7)</f>
        <v>63.238353430266017</v>
      </c>
      <c r="K38" s="23">
        <f>$D38*COS($E38+$F38*'25SolarCoords'!G$7)</f>
        <v>91.896473198439381</v>
      </c>
      <c r="L38" s="23">
        <f>$D38*COS($E38+$F38*'25SolarCoords'!H$7)</f>
        <v>91.964230438293711</v>
      </c>
      <c r="M38" s="23">
        <f>$D38*COS($E38+$F38*'25SolarCoords'!I$7)</f>
        <v>92.765111899288911</v>
      </c>
      <c r="N38" s="23">
        <f>$D38*COS($E38+$F38*'25SolarCoords'!J$7)</f>
        <v>92.738935758284342</v>
      </c>
      <c r="O38" s="23">
        <f>$D38*COS($E38+$F38*'25SolarCoords'!K$7)</f>
        <v>92.698504484349044</v>
      </c>
      <c r="P38" s="23">
        <f>$D38*COS($E38+$F38*'25SolarCoords'!L$7)</f>
        <v>92.672110678371524</v>
      </c>
      <c r="Q38" s="23">
        <f>$D38*COS($E38+$F38*'25SolarCoords'!M$7)</f>
        <v>98.220125433134115</v>
      </c>
      <c r="R38" s="23">
        <f>$D38*COS($E38+$F38*'25SolarCoords'!N$7)</f>
        <v>111.3388797583352</v>
      </c>
      <c r="S38" s="23">
        <f>$D38*COS($E38+$F38*'25SolarCoords'!O$7)</f>
        <v>111.31063505876701</v>
      </c>
      <c r="T38" s="23">
        <f>$D38*COS($E38+$F38*'25SolarCoords'!P$7)</f>
        <v>101.22708597287058</v>
      </c>
      <c r="U38" s="23">
        <f>$D38*COS($E38+$F38*'25SolarCoords'!Q$7)</f>
        <v>15.622426208667756</v>
      </c>
      <c r="V38" s="23">
        <f>$D38*COS($E38+$F38*'25SolarCoords'!R$7)</f>
        <v>15.622731904022293</v>
      </c>
      <c r="W38" s="23">
        <f>$D38*COS($E38+$F38*'25SolarCoords'!S$7)</f>
        <v>-76.144384292586182</v>
      </c>
      <c r="X38" s="23">
        <f>$D38*COS($E38+$F38*'25SolarCoords'!T$7)</f>
        <v>-76.175479721526372</v>
      </c>
      <c r="Y38" s="23">
        <f>$D38*COS($E38+$F38*'25SolarCoords'!U$7)</f>
        <v>-76.22056779987588</v>
      </c>
      <c r="Z38" s="23">
        <f>$D38*COS($E38+$F38*'25SolarCoords'!V$7)</f>
        <v>108.00970385567682</v>
      </c>
      <c r="AA38" s="23">
        <f>$D38*COS($E38+$F38*'25SolarCoords'!W$7)</f>
        <v>92.751797531833006</v>
      </c>
      <c r="AB38" s="23">
        <f>$D38*COS($E38+$F38*'25SolarCoords'!X$7)</f>
        <v>92.417048713057355</v>
      </c>
      <c r="AC38" s="23">
        <f>$D38*COS($E38+$F38*'25SolarCoords'!Y$7)</f>
        <v>93.42322351454871</v>
      </c>
      <c r="AD38" s="23">
        <f>$D38*COS($E38+$F38*'25SolarCoords'!Z$7)</f>
        <v>88.830852223324868</v>
      </c>
      <c r="AE38" s="23">
        <f>$D38*COS($E38+$F38*'25SolarCoords'!AA$7)</f>
        <v>91.896565949984364</v>
      </c>
      <c r="AF38" s="23">
        <f>$D38*COS($E38+$F38*'25SolarCoords'!AB$7)</f>
        <v>94.887422454153693</v>
      </c>
      <c r="AG38" s="23">
        <f>$D38*COS($E38+$F38*'25SolarCoords'!AC$7)</f>
        <v>93.308472077489569</v>
      </c>
      <c r="AH38" s="23">
        <f>$D38*COS($E38+$F38*'25SolarCoords'!AD$7)</f>
        <v>92.682797738459357</v>
      </c>
      <c r="AI38" s="23">
        <f>$D38*COS($E38+$F38*'25SolarCoords'!AE$7)</f>
        <v>93.422656525276167</v>
      </c>
      <c r="AJ38" s="23">
        <f>$D38*COS($E38+$F38*'25SolarCoords'!AF$7)</f>
        <v>92.370752321184057</v>
      </c>
      <c r="AK38" s="23">
        <f>$D38*COS($E38+$F38*'25SolarCoords'!AG$7)</f>
        <v>92.383249159330859</v>
      </c>
      <c r="AL38" s="23">
        <f>$D38*COS($E38+$F38*'25SolarCoords'!AH$7)</f>
        <v>92.491915189555584</v>
      </c>
      <c r="AM38" s="23">
        <f>$D38*COS($E38+$F38*'25SolarCoords'!AI$7)</f>
        <v>92.419068625089096</v>
      </c>
      <c r="AN38" s="23">
        <f>$D38*COS($E38+$F38*'25SolarCoords'!AJ$7)</f>
        <v>92.346484975701969</v>
      </c>
      <c r="AO38" s="23">
        <f>$D38*COS($E38+$F38*'25SolarCoords'!AK$7)</f>
        <v>102.70463049513528</v>
      </c>
      <c r="AP38" s="23">
        <f>$D38*COS($E38+$F38*'25SolarCoords'!AL$7)</f>
        <v>92.521610847406876</v>
      </c>
      <c r="AQ38" s="23">
        <f>$D38*COS($E38+$F38*'25SolarCoords'!AM$7)</f>
        <v>87.594327810647343</v>
      </c>
      <c r="AR38" s="23">
        <f>$D38*COS($E38+$F38*'25SolarCoords'!AN$7)</f>
        <v>91.878754620940924</v>
      </c>
      <c r="AS38" s="23">
        <f>$D38*COS($E38+$F38*'25SolarCoords'!AO$7)</f>
        <v>29.210399217430218</v>
      </c>
      <c r="AT38" s="23">
        <f>$D38*COS($E38+$F38*'25SolarCoords'!AP$7)</f>
        <v>90.333548915825062</v>
      </c>
      <c r="AU38" s="23">
        <f>$D38*COS($E38+$F38*'25SolarCoords'!AQ$7)</f>
        <v>90.332201642919202</v>
      </c>
      <c r="AV38" s="23">
        <f>$D38*COS($E38+$F38*'25SolarCoords'!AR$7)</f>
        <v>90.330883511916852</v>
      </c>
      <c r="AW38" s="23">
        <f>$D38*COS($E38+$F38*'25SolarCoords'!AS$7)</f>
        <v>90.329392819593281</v>
      </c>
      <c r="AX38" s="23">
        <f>$D38*COS($E38+$F38*'25SolarCoords'!AT$7)</f>
        <v>90.326593934731079</v>
      </c>
      <c r="AY38" s="23">
        <f>$D38*COS($E38+$F38*'25SolarCoords'!AU$7)</f>
        <v>93.666409933884367</v>
      </c>
      <c r="AZ38" s="23">
        <f>$D38*COS($E38+$F38*'25SolarCoords'!AV$7)</f>
        <v>92.054374188685799</v>
      </c>
      <c r="BA38" s="23">
        <f>$D38*COS($E38+$F38*'25SolarCoords'!AW$7)</f>
        <v>96.110558529150182</v>
      </c>
      <c r="BB38" s="23">
        <f>$D38*COS($E38+$F38*'25SolarCoords'!AX$7)</f>
        <v>94.709254500264393</v>
      </c>
      <c r="BC38" s="23">
        <f>$D38*COS($E38+$F38*'25SolarCoords'!AY$7)</f>
        <v>90.320864438464127</v>
      </c>
      <c r="BD38" s="23">
        <f>$D38*COS($E38+$F38*'25SolarCoords'!AZ$7)</f>
        <v>90.320673445176638</v>
      </c>
      <c r="BE38" s="23">
        <f>$D38*COS($E38+$F38*'25SolarCoords'!BA$7)</f>
        <v>90.320482451238917</v>
      </c>
      <c r="BF38" s="23">
        <f>$D38*COS($E38+$F38*'25SolarCoords'!BB$7)</f>
        <v>90.320291456650978</v>
      </c>
      <c r="BG38" s="23">
        <f>$D38*COS($E38+$F38*'25SolarCoords'!BC$7)</f>
        <v>90.320100461412835</v>
      </c>
      <c r="BH38" s="23">
        <f>$D38*COS($E38+$F38*'25SolarCoords'!BD$7)</f>
        <v>90.319909465524461</v>
      </c>
      <c r="BI38" s="23">
        <f>$D38*COS($E38+$F38*'25SolarCoords'!BE$7)</f>
        <v>90.319718468985897</v>
      </c>
      <c r="BJ38" s="23">
        <f>$D38*COS($E38+$F38*'25SolarCoords'!BF$7)</f>
        <v>90.319527471797102</v>
      </c>
      <c r="BK38" s="23">
        <f>$D38*COS($E38+$F38*'25SolarCoords'!BG$7)</f>
        <v>93.422683723253911</v>
      </c>
    </row>
    <row r="39" spans="3:63" x14ac:dyDescent="0.25">
      <c r="C39">
        <f t="shared" si="0"/>
        <v>31</v>
      </c>
      <c r="D39">
        <v>103</v>
      </c>
      <c r="E39">
        <v>0.63600000000000001</v>
      </c>
      <c r="F39">
        <v>4694.0029999999997</v>
      </c>
      <c r="H39" s="7"/>
      <c r="I39" s="23">
        <f>$D39*COS($E39+$F39*'25SolarCoords'!E$7)</f>
        <v>-99.134292329725014</v>
      </c>
      <c r="J39" s="23">
        <f>$D39*COS($E39+$F39*'25SolarCoords'!F$7)</f>
        <v>38.238197123413329</v>
      </c>
      <c r="K39" s="23">
        <f>$D39*COS($E39+$F39*'25SolarCoords'!G$7)</f>
        <v>82.861246001781979</v>
      </c>
      <c r="L39" s="23">
        <f>$D39*COS($E39+$F39*'25SolarCoords'!H$7)</f>
        <v>-62.430347980520878</v>
      </c>
      <c r="M39" s="23">
        <f>$D39*COS($E39+$F39*'25SolarCoords'!I$7)</f>
        <v>-96.220151784908253</v>
      </c>
      <c r="N39" s="23">
        <f>$D39*COS($E39+$F39*'25SolarCoords'!J$7)</f>
        <v>-9.4074521352493345</v>
      </c>
      <c r="O39" s="23">
        <f>$D39*COS($E39+$F39*'25SolarCoords'!K$7)</f>
        <v>38.821142026739153</v>
      </c>
      <c r="P39" s="23">
        <f>$D39*COS($E39+$F39*'25SolarCoords'!L$7)</f>
        <v>-102.48327435797819</v>
      </c>
      <c r="Q39" s="23">
        <f>$D39*COS($E39+$F39*'25SolarCoords'!M$7)</f>
        <v>-81.333271020881156</v>
      </c>
      <c r="R39" s="23">
        <f>$D39*COS($E39+$F39*'25SolarCoords'!N$7)</f>
        <v>-17.277471936621797</v>
      </c>
      <c r="S39" s="23">
        <f>$D39*COS($E39+$F39*'25SolarCoords'!O$7)</f>
        <v>101.89003848837375</v>
      </c>
      <c r="T39" s="23">
        <f>$D39*COS($E39+$F39*'25SolarCoords'!P$7)</f>
        <v>-102.51964264850467</v>
      </c>
      <c r="U39" s="23">
        <f>$D39*COS($E39+$F39*'25SolarCoords'!Q$7)</f>
        <v>52.545519241561969</v>
      </c>
      <c r="V39" s="23">
        <f>$D39*COS($E39+$F39*'25SolarCoords'!R$7)</f>
        <v>53.679645400542569</v>
      </c>
      <c r="W39" s="23">
        <f>$D39*COS($E39+$F39*'25SolarCoords'!S$7)</f>
        <v>-32.584294283660519</v>
      </c>
      <c r="X39" s="23">
        <f>$D39*COS($E39+$F39*'25SolarCoords'!T$7)</f>
        <v>101.61536356490528</v>
      </c>
      <c r="Y39" s="23">
        <f>$D39*COS($E39+$F39*'25SolarCoords'!U$7)</f>
        <v>-71.877212414893947</v>
      </c>
      <c r="Z39" s="23">
        <f>$D39*COS($E39+$F39*'25SolarCoords'!V$7)</f>
        <v>12.00917865339007</v>
      </c>
      <c r="AA39" s="23">
        <f>$D39*COS($E39+$F39*'25SolarCoords'!W$7)</f>
        <v>-86.531625580038636</v>
      </c>
      <c r="AB39" s="23">
        <f>$D39*COS($E39+$F39*'25SolarCoords'!X$7)</f>
        <v>-50.884901374778281</v>
      </c>
      <c r="AC39" s="23">
        <f>$D39*COS($E39+$F39*'25SolarCoords'!Y$7)</f>
        <v>102.75054992043528</v>
      </c>
      <c r="AD39" s="23">
        <f>$D39*COS($E39+$F39*'25SolarCoords'!Z$7)</f>
        <v>101.3467829902863</v>
      </c>
      <c r="AE39" s="23">
        <f>$D39*COS($E39+$F39*'25SolarCoords'!AA$7)</f>
        <v>83.25266052333123</v>
      </c>
      <c r="AF39" s="23">
        <f>$D39*COS($E39+$F39*'25SolarCoords'!AB$7)</f>
        <v>81.782417560263241</v>
      </c>
      <c r="AG39" s="23">
        <f>$D39*COS($E39+$F39*'25SolarCoords'!AC$7)</f>
        <v>-40.301803183572794</v>
      </c>
      <c r="AH39" s="23">
        <f>$D39*COS($E39+$F39*'25SolarCoords'!AD$7)</f>
        <v>-67.821745023636822</v>
      </c>
      <c r="AI39" s="23">
        <f>$D39*COS($E39+$F39*'25SolarCoords'!AE$7)</f>
        <v>102.37625949707153</v>
      </c>
      <c r="AJ39" s="23">
        <f>$D39*COS($E39+$F39*'25SolarCoords'!AF$7)</f>
        <v>59.317056921488835</v>
      </c>
      <c r="AK39" s="23">
        <f>$D39*COS($E39+$F39*'25SolarCoords'!AG$7)</f>
        <v>-26.499567444887823</v>
      </c>
      <c r="AL39" s="23">
        <f>$D39*COS($E39+$F39*'25SolarCoords'!AH$7)</f>
        <v>-102.98947179483206</v>
      </c>
      <c r="AM39" s="23">
        <f>$D39*COS($E39+$F39*'25SolarCoords'!AI$7)</f>
        <v>-37.759655047278052</v>
      </c>
      <c r="AN39" s="23">
        <f>$D39*COS($E39+$F39*'25SolarCoords'!AJ$7)</f>
        <v>76.111137851354101</v>
      </c>
      <c r="AO39" s="23">
        <f>$D39*COS($E39+$F39*'25SolarCoords'!AK$7)</f>
        <v>67.70644840094414</v>
      </c>
      <c r="AP39" s="23">
        <f>$D39*COS($E39+$F39*'25SolarCoords'!AL$7)</f>
        <v>51.664281659518906</v>
      </c>
      <c r="AQ39" s="23">
        <f>$D39*COS($E39+$F39*'25SolarCoords'!AM$7)</f>
        <v>95.517909626901783</v>
      </c>
      <c r="AR39" s="23">
        <f>$D39*COS($E39+$F39*'25SolarCoords'!AN$7)</f>
        <v>-29.701706680779722</v>
      </c>
      <c r="AS39" s="23">
        <f>$D39*COS($E39+$F39*'25SolarCoords'!AO$7)</f>
        <v>-11.670736364227816</v>
      </c>
      <c r="AT39" s="23">
        <f>$D39*COS($E39+$F39*'25SolarCoords'!AP$7)</f>
        <v>88.936534401490789</v>
      </c>
      <c r="AU39" s="23">
        <f>$D39*COS($E39+$F39*'25SolarCoords'!AQ$7)</f>
        <v>83.866667575977857</v>
      </c>
      <c r="AV39" s="23">
        <f>$D39*COS($E39+$F39*'25SolarCoords'!AR$7)</f>
        <v>78.239414529467226</v>
      </c>
      <c r="AW39" s="23">
        <f>$D39*COS($E39+$F39*'25SolarCoords'!AS$7)</f>
        <v>71.136780460400914</v>
      </c>
      <c r="AX39" s="23">
        <f>$D39*COS($E39+$F39*'25SolarCoords'!AT$7)</f>
        <v>55.93117282721208</v>
      </c>
      <c r="AY39" s="23">
        <f>$D39*COS($E39+$F39*'25SolarCoords'!AU$7)</f>
        <v>6.7298431973913129</v>
      </c>
      <c r="AZ39" s="23">
        <f>$D39*COS($E39+$F39*'25SolarCoords'!AV$7)</f>
        <v>-64.419712386577046</v>
      </c>
      <c r="BA39" s="23">
        <f>$D39*COS($E39+$F39*'25SolarCoords'!AW$7)</f>
        <v>-98.137833991107129</v>
      </c>
      <c r="BB39" s="23">
        <f>$D39*COS($E39+$F39*'25SolarCoords'!AX$7)</f>
        <v>37.747991229811845</v>
      </c>
      <c r="BC39" s="23">
        <f>$D39*COS($E39+$F39*'25SolarCoords'!AY$7)</f>
        <v>19.299337872438461</v>
      </c>
      <c r="BD39" s="23">
        <f>$D39*COS($E39+$F39*'25SolarCoords'!AZ$7)</f>
        <v>17.997521631979122</v>
      </c>
      <c r="BE39" s="23">
        <f>$D39*COS($E39+$F39*'25SolarCoords'!BA$7)</f>
        <v>16.692732952159307</v>
      </c>
      <c r="BF39" s="23">
        <f>$D39*COS($E39+$F39*'25SolarCoords'!BB$7)</f>
        <v>15.385187329610075</v>
      </c>
      <c r="BG39" s="23">
        <f>$D39*COS($E39+$F39*'25SolarCoords'!BC$7)</f>
        <v>14.075100716290013</v>
      </c>
      <c r="BH39" s="23">
        <f>$D39*COS($E39+$F39*'25SolarCoords'!BD$7)</f>
        <v>12.762689483823326</v>
      </c>
      <c r="BI39" s="23">
        <f>$D39*COS($E39+$F39*'25SolarCoords'!BE$7)</f>
        <v>11.44817038777007</v>
      </c>
      <c r="BJ39" s="23">
        <f>$D39*COS($E39+$F39*'25SolarCoords'!BF$7)</f>
        <v>10.131760531812674</v>
      </c>
      <c r="BK39" s="23">
        <f>$D39*COS($E39+$F39*'25SolarCoords'!BG$7)</f>
        <v>102.39805299617763</v>
      </c>
    </row>
    <row r="40" spans="3:63" x14ac:dyDescent="0.25">
      <c r="C40">
        <f t="shared" si="0"/>
        <v>32</v>
      </c>
      <c r="D40">
        <v>102</v>
      </c>
      <c r="E40">
        <v>0.97599999999999998</v>
      </c>
      <c r="F40">
        <v>15720.839</v>
      </c>
      <c r="H40" s="7"/>
      <c r="I40" s="23">
        <f>$D40*COS($E40+$F40*'25SolarCoords'!E$7)</f>
        <v>-99.563719615862809</v>
      </c>
      <c r="J40" s="23">
        <f>$D40*COS($E40+$F40*'25SolarCoords'!F$7)</f>
        <v>-101.73128914978086</v>
      </c>
      <c r="K40" s="23">
        <f>$D40*COS($E40+$F40*'25SolarCoords'!G$7)</f>
        <v>57.15468726394235</v>
      </c>
      <c r="L40" s="23">
        <f>$D40*COS($E40+$F40*'25SolarCoords'!H$7)</f>
        <v>-59.135377245738987</v>
      </c>
      <c r="M40" s="23">
        <f>$D40*COS($E40+$F40*'25SolarCoords'!I$7)</f>
        <v>34.604788128583117</v>
      </c>
      <c r="N40" s="23">
        <f>$D40*COS($E40+$F40*'25SolarCoords'!J$7)</f>
        <v>24.18382053122081</v>
      </c>
      <c r="O40" s="23">
        <f>$D40*COS($E40+$F40*'25SolarCoords'!K$7)</f>
        <v>-34.807684752514533</v>
      </c>
      <c r="P40" s="23">
        <f>$D40*COS($E40+$F40*'25SolarCoords'!L$7)</f>
        <v>-28.632297842574101</v>
      </c>
      <c r="Q40" s="23">
        <f>$D40*COS($E40+$F40*'25SolarCoords'!M$7)</f>
        <v>97.739356985131153</v>
      </c>
      <c r="R40" s="23">
        <f>$D40*COS($E40+$F40*'25SolarCoords'!N$7)</f>
        <v>-61.379235684298457</v>
      </c>
      <c r="S40" s="23">
        <f>$D40*COS($E40+$F40*'25SolarCoords'!O$7)</f>
        <v>61.551430185284211</v>
      </c>
      <c r="T40" s="23">
        <f>$D40*COS($E40+$F40*'25SolarCoords'!P$7)</f>
        <v>98.28825740933847</v>
      </c>
      <c r="U40" s="23">
        <f>$D40*COS($E40+$F40*'25SolarCoords'!Q$7)</f>
        <v>78.206331548619687</v>
      </c>
      <c r="V40" s="23">
        <f>$D40*COS($E40+$F40*'25SolarCoords'!R$7)</f>
        <v>80.951422719089109</v>
      </c>
      <c r="W40" s="23">
        <f>$D40*COS($E40+$F40*'25SolarCoords'!S$7)</f>
        <v>-89.002400964824233</v>
      </c>
      <c r="X40" s="23">
        <f>$D40*COS($E40+$F40*'25SolarCoords'!T$7)</f>
        <v>-101.98657749734303</v>
      </c>
      <c r="Y40" s="23">
        <f>$D40*COS($E40+$F40*'25SolarCoords'!U$7)</f>
        <v>54.146542805657091</v>
      </c>
      <c r="Z40" s="23">
        <f>$D40*COS($E40+$F40*'25SolarCoords'!V$7)</f>
        <v>-101.79523371894204</v>
      </c>
      <c r="AA40" s="23">
        <f>$D40*COS($E40+$F40*'25SolarCoords'!W$7)</f>
        <v>-34.645379870764714</v>
      </c>
      <c r="AB40" s="23">
        <f>$D40*COS($E40+$F40*'25SolarCoords'!X$7)</f>
        <v>51.502631736224643</v>
      </c>
      <c r="AC40" s="23">
        <f>$D40*COS($E40+$F40*'25SolarCoords'!Y$7)</f>
        <v>88.814276575664493</v>
      </c>
      <c r="AD40" s="23">
        <f>$D40*COS($E40+$F40*'25SolarCoords'!Z$7)</f>
        <v>5.0759493545193743</v>
      </c>
      <c r="AE40" s="23">
        <f>$D40*COS($E40+$F40*'25SolarCoords'!AA$7)</f>
        <v>58.959437192739607</v>
      </c>
      <c r="AF40" s="23">
        <f>$D40*COS($E40+$F40*'25SolarCoords'!AB$7)</f>
        <v>-27.910818881666749</v>
      </c>
      <c r="AG40" s="23">
        <f>$D40*COS($E40+$F40*'25SolarCoords'!AC$7)</f>
        <v>-20.230549511032098</v>
      </c>
      <c r="AH40" s="23">
        <f>$D40*COS($E40+$F40*'25SolarCoords'!AD$7)</f>
        <v>80.417098137147121</v>
      </c>
      <c r="AI40" s="23">
        <f>$D40*COS($E40+$F40*'25SolarCoords'!AE$7)</f>
        <v>94.780994858019199</v>
      </c>
      <c r="AJ40" s="23">
        <f>$D40*COS($E40+$F40*'25SolarCoords'!AF$7)</f>
        <v>-94.718704588252535</v>
      </c>
      <c r="AK40" s="23">
        <f>$D40*COS($E40+$F40*'25SolarCoords'!AG$7)</f>
        <v>84.475837971386923</v>
      </c>
      <c r="AL40" s="23">
        <f>$D40*COS($E40+$F40*'25SolarCoords'!AH$7)</f>
        <v>98.899268087196063</v>
      </c>
      <c r="AM40" s="23">
        <f>$D40*COS($E40+$F40*'25SolarCoords'!AI$7)</f>
        <v>5.6931123567150363</v>
      </c>
      <c r="AN40" s="23">
        <f>$D40*COS($E40+$F40*'25SolarCoords'!AJ$7)</f>
        <v>-99.505848204193057</v>
      </c>
      <c r="AO40" s="23">
        <f>$D40*COS($E40+$F40*'25SolarCoords'!AK$7)</f>
        <v>24.884638107305602</v>
      </c>
      <c r="AP40" s="23">
        <f>$D40*COS($E40+$F40*'25SolarCoords'!AL$7)</f>
        <v>92.184310765633825</v>
      </c>
      <c r="AQ40" s="23">
        <f>$D40*COS($E40+$F40*'25SolarCoords'!AM$7)</f>
        <v>8.4417426862265827</v>
      </c>
      <c r="AR40" s="23">
        <f>$D40*COS($E40+$F40*'25SolarCoords'!AN$7)</f>
        <v>37.270209418921361</v>
      </c>
      <c r="AS40" s="23">
        <f>$D40*COS($E40+$F40*'25SolarCoords'!AO$7)</f>
        <v>-52.814388443633298</v>
      </c>
      <c r="AT40" s="23">
        <f>$D40*COS($E40+$F40*'25SolarCoords'!AP$7)</f>
        <v>99.762262241893524</v>
      </c>
      <c r="AU40" s="23">
        <f>$D40*COS($E40+$F40*'25SolarCoords'!AQ$7)</f>
        <v>88.843406990079401</v>
      </c>
      <c r="AV40" s="23">
        <f>$D40*COS($E40+$F40*'25SolarCoords'!AR$7)</f>
        <v>70.281639828396678</v>
      </c>
      <c r="AW40" s="23">
        <f>$D40*COS($E40+$F40*'25SolarCoords'!AS$7)</f>
        <v>41.979240370427611</v>
      </c>
      <c r="AX40" s="23">
        <f>$D40*COS($E40+$F40*'25SolarCoords'!AT$7)</f>
        <v>-20.929380484691375</v>
      </c>
      <c r="AY40" s="23">
        <f>$D40*COS($E40+$F40*'25SolarCoords'!AU$7)</f>
        <v>-66.921335067106938</v>
      </c>
      <c r="AZ40" s="23">
        <f>$D40*COS($E40+$F40*'25SolarCoords'!AV$7)</f>
        <v>-40.807541797401328</v>
      </c>
      <c r="BA40" s="23">
        <f>$D40*COS($E40+$F40*'25SolarCoords'!AW$7)</f>
        <v>-97.429771516608071</v>
      </c>
      <c r="BB40" s="23">
        <f>$D40*COS($E40+$F40*'25SolarCoords'!AX$7)</f>
        <v>-19.96540673850798</v>
      </c>
      <c r="BC40" s="23">
        <f>$D40*COS($E40+$F40*'25SolarCoords'!AY$7)</f>
        <v>-101.72909145300956</v>
      </c>
      <c r="BD40" s="23">
        <f>$D40*COS($E40+$F40*'25SolarCoords'!AZ$7)</f>
        <v>-101.95453737601706</v>
      </c>
      <c r="BE40" s="23">
        <f>$D40*COS($E40+$F40*'25SolarCoords'!BA$7)</f>
        <v>-101.99113611990909</v>
      </c>
      <c r="BF40" s="23">
        <f>$D40*COS($E40+$F40*'25SolarCoords'!BB$7)</f>
        <v>-101.83881989398471</v>
      </c>
      <c r="BG40" s="23">
        <f>$D40*COS($E40+$F40*'25SolarCoords'!BC$7)</f>
        <v>-101.49787082879247</v>
      </c>
      <c r="BH40" s="23">
        <f>$D40*COS($E40+$F40*'25SolarCoords'!BD$7)</f>
        <v>-100.96892045354971</v>
      </c>
      <c r="BI40" s="23">
        <f>$D40*COS($E40+$F40*'25SolarCoords'!BE$7)</f>
        <v>-100.25294852638133</v>
      </c>
      <c r="BJ40" s="23">
        <f>$D40*COS($E40+$F40*'25SolarCoords'!BF$7)</f>
        <v>-99.351281219542074</v>
      </c>
      <c r="BK40" s="23">
        <f>$D40*COS($E40+$F40*'25SolarCoords'!BG$7)</f>
        <v>94.533776685379905</v>
      </c>
    </row>
    <row r="41" spans="3:63" x14ac:dyDescent="0.25">
      <c r="C41">
        <f t="shared" si="0"/>
        <v>33</v>
      </c>
      <c r="D41">
        <v>102</v>
      </c>
      <c r="E41">
        <v>4.2670000000000003</v>
      </c>
      <c r="F41">
        <v>7.1139999999999999</v>
      </c>
      <c r="H41" s="7"/>
      <c r="I41" s="23">
        <f>$D41*COS($E41+$F41*'25SolarCoords'!E$7)</f>
        <v>-69.220177905780361</v>
      </c>
      <c r="J41" s="23">
        <f>$D41*COS($E41+$F41*'25SolarCoords'!F$7)</f>
        <v>26.490022177908642</v>
      </c>
      <c r="K41" s="23">
        <f>$D41*COS($E41+$F41*'25SolarCoords'!G$7)</f>
        <v>-43.942512448194272</v>
      </c>
      <c r="L41" s="23">
        <f>$D41*COS($E41+$F41*'25SolarCoords'!H$7)</f>
        <v>-44.596679687854213</v>
      </c>
      <c r="M41" s="23">
        <f>$D41*COS($E41+$F41*'25SolarCoords'!I$7)</f>
        <v>-52.211552556037454</v>
      </c>
      <c r="N41" s="23">
        <f>$D41*COS($E41+$F41*'25SolarCoords'!J$7)</f>
        <v>-51.966443585436082</v>
      </c>
      <c r="O41" s="23">
        <f>$D41*COS($E41+$F41*'25SolarCoords'!K$7)</f>
        <v>-51.587308428685269</v>
      </c>
      <c r="P41" s="23">
        <f>$D41*COS($E41+$F41*'25SolarCoords'!L$7)</f>
        <v>-51.339454010319336</v>
      </c>
      <c r="Q41" s="23">
        <f>$D41*COS($E41+$F41*'25SolarCoords'!M$7)</f>
        <v>-93.382242333028813</v>
      </c>
      <c r="R41" s="23">
        <f>$D41*COS($E41+$F41*'25SolarCoords'!N$7)</f>
        <v>15.176892140869823</v>
      </c>
      <c r="S41" s="23">
        <f>$D41*COS($E41+$F41*'25SolarCoords'!O$7)</f>
        <v>14.459455233645048</v>
      </c>
      <c r="T41" s="23">
        <f>$D41*COS($E41+$F41*'25SolarCoords'!P$7)</f>
        <v>-66.332138124932499</v>
      </c>
      <c r="U41" s="23">
        <f>$D41*COS($E41+$F41*'25SolarCoords'!Q$7)</f>
        <v>-16.944876531046493</v>
      </c>
      <c r="V41" s="23">
        <f>$D41*COS($E41+$F41*'25SolarCoords'!R$7)</f>
        <v>-16.946835583359782</v>
      </c>
      <c r="W41" s="23">
        <f>$D41*COS($E41+$F41*'25SolarCoords'!S$7)</f>
        <v>-21.040580951898026</v>
      </c>
      <c r="X41" s="23">
        <f>$D41*COS($E41+$F41*'25SolarCoords'!T$7)</f>
        <v>-20.779049931805865</v>
      </c>
      <c r="Y41" s="23">
        <f>$D41*COS($E41+$F41*'25SolarCoords'!U$7)</f>
        <v>-20.39943114982313</v>
      </c>
      <c r="Z41" s="23">
        <f>$D41*COS($E41+$F41*'25SolarCoords'!V$7)</f>
        <v>89.494717211677411</v>
      </c>
      <c r="AA41" s="23">
        <f>$D41*COS($E41+$F41*'25SolarCoords'!W$7)</f>
        <v>-52.086913822682547</v>
      </c>
      <c r="AB41" s="23">
        <f>$D41*COS($E41+$F41*'25SolarCoords'!X$7)</f>
        <v>-48.930409885492729</v>
      </c>
      <c r="AC41" s="23">
        <f>$D41*COS($E41+$F41*'25SolarCoords'!Y$7)</f>
        <v>-58.276009301938345</v>
      </c>
      <c r="AD41" s="23">
        <f>$D41*COS($E41+$F41*'25SolarCoords'!Z$7)</f>
        <v>-13.463631339317885</v>
      </c>
      <c r="AE41" s="23">
        <f>$D41*COS($E41+$F41*'25SolarCoords'!AA$7)</f>
        <v>-43.943408870509529</v>
      </c>
      <c r="AF41" s="23">
        <f>$D41*COS($E41+$F41*'25SolarCoords'!AB$7)</f>
        <v>-70.941848109662416</v>
      </c>
      <c r="AG41" s="23">
        <f>$D41*COS($E41+$F41*'25SolarCoords'!AC$7)</f>
        <v>-57.232929461229716</v>
      </c>
      <c r="AH41" s="23">
        <f>$D41*COS($E41+$F41*'25SolarCoords'!AD$7)</f>
        <v>-51.4398455590445</v>
      </c>
      <c r="AI41" s="23">
        <f>$D41*COS($E41+$F41*'25SolarCoords'!AE$7)</f>
        <v>-58.270871265638391</v>
      </c>
      <c r="AJ41" s="23">
        <f>$D41*COS($E41+$F41*'25SolarCoords'!AF$7)</f>
        <v>-48.490548348169774</v>
      </c>
      <c r="AK41" s="23">
        <f>$D41*COS($E41+$F41*'25SolarCoords'!AG$7)</f>
        <v>-48.609356666429086</v>
      </c>
      <c r="AL41" s="23">
        <f>$D41*COS($E41+$F41*'25SolarCoords'!AH$7)</f>
        <v>-49.640062845005502</v>
      </c>
      <c r="AM41" s="23">
        <f>$D41*COS($E41+$F41*'25SolarCoords'!AI$7)</f>
        <v>-48.949583417569499</v>
      </c>
      <c r="AN41" s="23">
        <f>$D41*COS($E41+$F41*'25SolarCoords'!AJ$7)</f>
        <v>-48.259677806509231</v>
      </c>
      <c r="AO41" s="23">
        <f>$D41*COS($E41+$F41*'25SolarCoords'!AK$7)</f>
        <v>-100.54133724678861</v>
      </c>
      <c r="AP41" s="23">
        <f>$D41*COS($E41+$F41*'25SolarCoords'!AL$7)</f>
        <v>-49.920969870581018</v>
      </c>
      <c r="AQ41" s="23">
        <f>$D41*COS($E41+$F41*'25SolarCoords'!AM$7)</f>
        <v>74.55128343900823</v>
      </c>
      <c r="AR41" s="23">
        <f>$D41*COS($E41+$F41*'25SolarCoords'!AN$7)</f>
        <v>-43.771219470061482</v>
      </c>
      <c r="AS41" s="23">
        <f>$D41*COS($E41+$F41*'25SolarCoords'!AO$7)</f>
        <v>-88.067568326856318</v>
      </c>
      <c r="AT41" s="23">
        <f>$D41*COS($E41+$F41*'25SolarCoords'!AP$7)</f>
        <v>-28.547780623165149</v>
      </c>
      <c r="AU41" s="23">
        <f>$D41*COS($E41+$F41*'25SolarCoords'!AQ$7)</f>
        <v>-28.534323545528217</v>
      </c>
      <c r="AV41" s="23">
        <f>$D41*COS($E41+$F41*'25SolarCoords'!AR$7)</f>
        <v>-28.521157339816877</v>
      </c>
      <c r="AW41" s="23">
        <f>$D41*COS($E41+$F41*'25SolarCoords'!AS$7)</f>
        <v>-28.506267250007411</v>
      </c>
      <c r="AX41" s="23">
        <f>$D41*COS($E41+$F41*'25SolarCoords'!AT$7)</f>
        <v>-28.478309296781688</v>
      </c>
      <c r="AY41" s="23">
        <f>$D41*COS($E41+$F41*'25SolarCoords'!AU$7)</f>
        <v>-60.464771367209693</v>
      </c>
      <c r="AZ41" s="23">
        <f>$D41*COS($E41+$F41*'25SolarCoords'!AV$7)</f>
        <v>-45.464788493227417</v>
      </c>
      <c r="BA41" s="23">
        <f>$D41*COS($E41+$F41*'25SolarCoords'!AW$7)</f>
        <v>-80.386812579209732</v>
      </c>
      <c r="BB41" s="23">
        <f>$D41*COS($E41+$F41*'25SolarCoords'!AX$7)</f>
        <v>-69.471943642118518</v>
      </c>
      <c r="BC41" s="23">
        <f>$D41*COS($E41+$F41*'25SolarCoords'!AY$7)</f>
        <v>-28.421074695710171</v>
      </c>
      <c r="BD41" s="23">
        <f>$D41*COS($E41+$F41*'25SolarCoords'!AZ$7)</f>
        <v>-28.419166708449378</v>
      </c>
      <c r="BE41" s="23">
        <f>$D41*COS($E41+$F41*'25SolarCoords'!BA$7)</f>
        <v>-28.417258710407687</v>
      </c>
      <c r="BF41" s="23">
        <f>$D41*COS($E41+$F41*'25SolarCoords'!BB$7)</f>
        <v>-28.415350701585727</v>
      </c>
      <c r="BG41" s="23">
        <f>$D41*COS($E41+$F41*'25SolarCoords'!BC$7)</f>
        <v>-28.413442681984233</v>
      </c>
      <c r="BH41" s="23">
        <f>$D41*COS($E41+$F41*'25SolarCoords'!BD$7)</f>
        <v>-28.411534651603912</v>
      </c>
      <c r="BI41" s="23">
        <f>$D41*COS($E41+$F41*'25SolarCoords'!BE$7)</f>
        <v>-28.4096266104455</v>
      </c>
      <c r="BJ41" s="23">
        <f>$D41*COS($E41+$F41*'25SolarCoords'!BF$7)</f>
        <v>-28.407718558509718</v>
      </c>
      <c r="BK41" s="23">
        <f>$D41*COS($E41+$F41*'25SolarCoords'!BG$7)</f>
        <v>-58.271117736360416</v>
      </c>
    </row>
    <row r="42" spans="3:63" x14ac:dyDescent="0.25">
      <c r="C42">
        <f t="shared" ref="C42:C72" si="1">C41+1</f>
        <v>34</v>
      </c>
      <c r="D42">
        <v>99</v>
      </c>
      <c r="E42">
        <v>6.21</v>
      </c>
      <c r="F42">
        <v>2146.17</v>
      </c>
      <c r="H42" s="7"/>
      <c r="I42" s="23">
        <f>$D42*COS($E42+$F42*'25SolarCoords'!E$7)</f>
        <v>-92.096061680353984</v>
      </c>
      <c r="J42" s="23">
        <f>$D42*COS($E42+$F42*'25SolarCoords'!F$7)</f>
        <v>-71.140393564003674</v>
      </c>
      <c r="K42" s="23">
        <f>$D42*COS($E42+$F42*'25SolarCoords'!G$7)</f>
        <v>98.734991900846524</v>
      </c>
      <c r="L42" s="23">
        <f>$D42*COS($E42+$F42*'25SolarCoords'!H$7)</f>
        <v>-59.91565723900213</v>
      </c>
      <c r="M42" s="23">
        <f>$D42*COS($E42+$F42*'25SolarCoords'!I$7)</f>
        <v>-89.047459370791543</v>
      </c>
      <c r="N42" s="23">
        <f>$D42*COS($E42+$F42*'25SolarCoords'!J$7)</f>
        <v>-26.917714849153732</v>
      </c>
      <c r="O42" s="23">
        <f>$D42*COS($E42+$F42*'25SolarCoords'!K$7)</f>
        <v>84.675621276597454</v>
      </c>
      <c r="P42" s="23">
        <f>$D42*COS($E42+$F42*'25SolarCoords'!L$7)</f>
        <v>94.448141439656396</v>
      </c>
      <c r="Q42" s="23">
        <f>$D42*COS($E42+$F42*'25SolarCoords'!M$7)</f>
        <v>48.489262777358327</v>
      </c>
      <c r="R42" s="23">
        <f>$D42*COS($E42+$F42*'25SolarCoords'!N$7)</f>
        <v>-63.709012736007743</v>
      </c>
      <c r="S42" s="23">
        <f>$D42*COS($E42+$F42*'25SolarCoords'!O$7)</f>
        <v>-29.048021010171212</v>
      </c>
      <c r="T42" s="23">
        <f>$D42*COS($E42+$F42*'25SolarCoords'!P$7)</f>
        <v>54.898608831012041</v>
      </c>
      <c r="U42" s="23">
        <f>$D42*COS($E42+$F42*'25SolarCoords'!Q$7)</f>
        <v>41.886836474353039</v>
      </c>
      <c r="V42" s="23">
        <f>$D42*COS($E42+$F42*'25SolarCoords'!R$7)</f>
        <v>41.359035595342036</v>
      </c>
      <c r="W42" s="23">
        <f>$D42*COS($E42+$F42*'25SolarCoords'!S$7)</f>
        <v>-95.936908150521887</v>
      </c>
      <c r="X42" s="23">
        <f>$D42*COS($E42+$F42*'25SolarCoords'!T$7)</f>
        <v>-50.140414776372388</v>
      </c>
      <c r="Y42" s="23">
        <f>$D42*COS($E42+$F42*'25SolarCoords'!U$7)</f>
        <v>57.143325332351182</v>
      </c>
      <c r="Z42" s="23">
        <f>$D42*COS($E42+$F42*'25SolarCoords'!V$7)</f>
        <v>-62.502232988285748</v>
      </c>
      <c r="AA42" s="23">
        <f>$D42*COS($E42+$F42*'25SolarCoords'!W$7)</f>
        <v>-62.987650166745397</v>
      </c>
      <c r="AB42" s="23">
        <f>$D42*COS($E42+$F42*'25SolarCoords'!X$7)</f>
        <v>-58.534513173749517</v>
      </c>
      <c r="AC42" s="23">
        <f>$D42*COS($E42+$F42*'25SolarCoords'!Y$7)</f>
        <v>45.234682892877949</v>
      </c>
      <c r="AD42" s="23">
        <f>$D42*COS($E42+$F42*'25SolarCoords'!Z$7)</f>
        <v>98.427696634640341</v>
      </c>
      <c r="AE42" s="23">
        <f>$D42*COS($E42+$F42*'25SolarCoords'!AA$7)</f>
        <v>98.713298373631432</v>
      </c>
      <c r="AF42" s="23">
        <f>$D42*COS($E42+$F42*'25SolarCoords'!AB$7)</f>
        <v>-92.998840032264212</v>
      </c>
      <c r="AG42" s="23">
        <f>$D42*COS($E42+$F42*'25SolarCoords'!AC$7)</f>
        <v>12.522173074013052</v>
      </c>
      <c r="AH42" s="23">
        <f>$D42*COS($E42+$F42*'25SolarCoords'!AD$7)</f>
        <v>98.923472049413391</v>
      </c>
      <c r="AI42" s="23">
        <f>$D42*COS($E42+$F42*'25SolarCoords'!AE$7)</f>
        <v>43.596487869983548</v>
      </c>
      <c r="AJ42" s="23">
        <f>$D42*COS($E42+$F42*'25SolarCoords'!AF$7)</f>
        <v>-84.783283343713947</v>
      </c>
      <c r="AK42" s="23">
        <f>$D42*COS($E42+$F42*'25SolarCoords'!AG$7)</f>
        <v>-97.989703144751772</v>
      </c>
      <c r="AL42" s="23">
        <f>$D42*COS($E42+$F42*'25SolarCoords'!AH$7)</f>
        <v>97.143795204172704</v>
      </c>
      <c r="AM42" s="23">
        <f>$D42*COS($E42+$F42*'25SolarCoords'!AI$7)</f>
        <v>-53.255319602320078</v>
      </c>
      <c r="AN42" s="23">
        <f>$D42*COS($E42+$F42*'25SolarCoords'!AJ$7)</f>
        <v>-24.745394143335947</v>
      </c>
      <c r="AO42" s="23">
        <f>$D42*COS($E42+$F42*'25SolarCoords'!AK$7)</f>
        <v>43.776549340710659</v>
      </c>
      <c r="AP42" s="23">
        <f>$D42*COS($E42+$F42*'25SolarCoords'!AL$7)</f>
        <v>40.815334809564206</v>
      </c>
      <c r="AQ42" s="23">
        <f>$D42*COS($E42+$F42*'25SolarCoords'!AM$7)</f>
        <v>-98.959239815163599</v>
      </c>
      <c r="AR42" s="23">
        <f>$D42*COS($E42+$F42*'25SolarCoords'!AN$7)</f>
        <v>87.44570294640792</v>
      </c>
      <c r="AS42" s="23">
        <f>$D42*COS($E42+$F42*'25SolarCoords'!AO$7)</f>
        <v>32.327354702086502</v>
      </c>
      <c r="AT42" s="23">
        <f>$D42*COS($E42+$F42*'25SolarCoords'!AP$7)</f>
        <v>1.9932475767304727</v>
      </c>
      <c r="AU42" s="23">
        <f>$D42*COS($E42+$F42*'25SolarCoords'!AQ$7)</f>
        <v>6.0938389657800718</v>
      </c>
      <c r="AV42" s="23">
        <f>$D42*COS($E42+$F42*'25SolarCoords'!AR$7)</f>
        <v>10.095552624364304</v>
      </c>
      <c r="AW42" s="23">
        <f>$D42*COS($E42+$F42*'25SolarCoords'!AS$7)</f>
        <v>14.600678339056925</v>
      </c>
      <c r="AX42" s="23">
        <f>$D42*COS($E42+$F42*'25SolarCoords'!AT$7)</f>
        <v>22.968657024110595</v>
      </c>
      <c r="AY42" s="23">
        <f>$D42*COS($E42+$F42*'25SolarCoords'!AU$7)</f>
        <v>82.680513726859857</v>
      </c>
      <c r="AZ42" s="23">
        <f>$D42*COS($E42+$F42*'25SolarCoords'!AV$7)</f>
        <v>35.799493961530537</v>
      </c>
      <c r="BA42" s="23">
        <f>$D42*COS($E42+$F42*'25SolarCoords'!AW$7)</f>
        <v>24.365621741884443</v>
      </c>
      <c r="BB42" s="23">
        <f>$D42*COS($E42+$F42*'25SolarCoords'!AX$7)</f>
        <v>-79.422465910858847</v>
      </c>
      <c r="BC42" s="23">
        <f>$D42*COS($E42+$F42*'25SolarCoords'!AY$7)</f>
        <v>39.500172362661509</v>
      </c>
      <c r="BD42" s="23">
        <f>$D42*COS($E42+$F42*'25SolarCoords'!AZ$7)</f>
        <v>40.032892184769558</v>
      </c>
      <c r="BE42" s="23">
        <f>$D42*COS($E42+$F42*'25SolarCoords'!BA$7)</f>
        <v>40.564229830368355</v>
      </c>
      <c r="BF42" s="23">
        <f>$D42*COS($E42+$F42*'25SolarCoords'!BB$7)</f>
        <v>41.094166954481466</v>
      </c>
      <c r="BG42" s="23">
        <f>$D42*COS($E42+$F42*'25SolarCoords'!BC$7)</f>
        <v>41.622685260488808</v>
      </c>
      <c r="BH42" s="23">
        <f>$D42*COS($E42+$F42*'25SolarCoords'!BD$7)</f>
        <v>42.149766500756435</v>
      </c>
      <c r="BI42" s="23">
        <f>$D42*COS($E42+$F42*'25SolarCoords'!BE$7)</f>
        <v>42.675392477265305</v>
      </c>
      <c r="BJ42" s="23">
        <f>$D42*COS($E42+$F42*'25SolarCoords'!BF$7)</f>
        <v>43.199545042240835</v>
      </c>
      <c r="BK42" s="23">
        <f>$D42*COS($E42+$F42*'25SolarCoords'!BG$7)</f>
        <v>43.675415984182713</v>
      </c>
    </row>
    <row r="43" spans="3:63" x14ac:dyDescent="0.25">
      <c r="C43">
        <f t="shared" si="1"/>
        <v>35</v>
      </c>
      <c r="D43">
        <v>98</v>
      </c>
      <c r="E43">
        <v>0.68</v>
      </c>
      <c r="F43">
        <v>155.41999999999999</v>
      </c>
      <c r="H43" s="7"/>
      <c r="I43" s="23">
        <f>$D43*COS($E43+$F43*'25SolarCoords'!E$7)</f>
        <v>90.339401781459657</v>
      </c>
      <c r="J43" s="23">
        <f>$D43*COS($E43+$F43*'25SolarCoords'!F$7)</f>
        <v>69.832804256892658</v>
      </c>
      <c r="K43" s="23">
        <f>$D43*COS($E43+$F43*'25SolarCoords'!G$7)</f>
        <v>76.202126437590934</v>
      </c>
      <c r="L43" s="23">
        <f>$D43*COS($E43+$F43*'25SolarCoords'!H$7)</f>
        <v>84.827589683095908</v>
      </c>
      <c r="M43" s="23">
        <f>$D43*COS($E43+$F43*'25SolarCoords'!I$7)</f>
        <v>23.417956507201769</v>
      </c>
      <c r="N43" s="23">
        <f>$D43*COS($E43+$F43*'25SolarCoords'!J$7)</f>
        <v>29.181385590864405</v>
      </c>
      <c r="O43" s="23">
        <f>$D43*COS($E43+$F43*'25SolarCoords'!K$7)</f>
        <v>37.856513182862543</v>
      </c>
      <c r="P43" s="23">
        <f>$D43*COS($E43+$F43*'25SolarCoords'!L$7)</f>
        <v>43.339479312066793</v>
      </c>
      <c r="Q43" s="23">
        <f>$D43*COS($E43+$F43*'25SolarCoords'!M$7)</f>
        <v>-64.959416256877248</v>
      </c>
      <c r="R43" s="23">
        <f>$D43*COS($E43+$F43*'25SolarCoords'!N$7)</f>
        <v>21.948429974012917</v>
      </c>
      <c r="S43" s="23">
        <f>$D43*COS($E43+$F43*'25SolarCoords'!O$7)</f>
        <v>6.9097146778183189</v>
      </c>
      <c r="T43" s="23">
        <f>$D43*COS($E43+$F43*'25SolarCoords'!P$7)</f>
        <v>-56.622710077690968</v>
      </c>
      <c r="U43" s="23">
        <f>$D43*COS($E43+$F43*'25SolarCoords'!Q$7)</f>
        <v>-71.632331013043569</v>
      </c>
      <c r="V43" s="23">
        <f>$D43*COS($E43+$F43*'25SolarCoords'!R$7)</f>
        <v>-71.603866365772902</v>
      </c>
      <c r="W43" s="23">
        <f>$D43*COS($E43+$F43*'25SolarCoords'!S$7)</f>
        <v>84.224730906377857</v>
      </c>
      <c r="X43" s="23">
        <f>$D43*COS($E43+$F43*'25SolarCoords'!T$7)</f>
        <v>81.220965548719619</v>
      </c>
      <c r="Y43" s="23">
        <f>$D43*COS($E43+$F43*'25SolarCoords'!U$7)</f>
        <v>76.393944926604419</v>
      </c>
      <c r="Z43" s="23">
        <f>$D43*COS($E43+$F43*'25SolarCoords'!V$7)</f>
        <v>85.276486159798409</v>
      </c>
      <c r="AA43" s="23">
        <f>$D43*COS($E43+$F43*'25SolarCoords'!W$7)</f>
        <v>26.362141349027905</v>
      </c>
      <c r="AB43" s="23">
        <f>$D43*COS($E43+$F43*'25SolarCoords'!X$7)</f>
        <v>85.037998022683567</v>
      </c>
      <c r="AC43" s="23">
        <f>$D43*COS($E43+$F43*'25SolarCoords'!Y$7)</f>
        <v>-94.548524197471821</v>
      </c>
      <c r="AD43" s="23">
        <f>$D43*COS($E43+$F43*'25SolarCoords'!Z$7)</f>
        <v>32.285489012227487</v>
      </c>
      <c r="AE43" s="23">
        <f>$D43*COS($E43+$F43*'25SolarCoords'!AA$7)</f>
        <v>76.215235249636251</v>
      </c>
      <c r="AF43" s="23">
        <f>$D43*COS($E43+$F43*'25SolarCoords'!AB$7)</f>
        <v>97.412618161530929</v>
      </c>
      <c r="AG43" s="23">
        <f>$D43*COS($E43+$F43*'25SolarCoords'!AC$7)</f>
        <v>-84.194120251328911</v>
      </c>
      <c r="AH43" s="23">
        <f>$D43*COS($E43+$F43*'25SolarCoords'!AD$7)</f>
        <v>41.13830931095918</v>
      </c>
      <c r="AI43" s="23">
        <f>$D43*COS($E43+$F43*'25SolarCoords'!AE$7)</f>
        <v>-94.513872402761379</v>
      </c>
      <c r="AJ43" s="23">
        <f>$D43*COS($E43+$F43*'25SolarCoords'!AF$7)</f>
        <v>89.762612046908728</v>
      </c>
      <c r="AK43" s="23">
        <f>$D43*COS($E43+$F43*'25SolarCoords'!AG$7)</f>
        <v>88.587242384799168</v>
      </c>
      <c r="AL43" s="23">
        <f>$D43*COS($E43+$F43*'25SolarCoords'!AH$7)</f>
        <v>75.345715464161415</v>
      </c>
      <c r="AM43" s="23">
        <f>$D43*COS($E43+$F43*'25SolarCoords'!AI$7)</f>
        <v>84.809077192023466</v>
      </c>
      <c r="AN43" s="23">
        <f>$D43*COS($E43+$F43*'25SolarCoords'!AJ$7)</f>
        <v>91.828863918055845</v>
      </c>
      <c r="AO43" s="23">
        <f>$D43*COS($E43+$F43*'25SolarCoords'!AK$7)</f>
        <v>-76.916690433009862</v>
      </c>
      <c r="AP43" s="23">
        <f>$D43*COS($E43+$F43*'25SolarCoords'!AL$7)</f>
        <v>70.850392792660159</v>
      </c>
      <c r="AQ43" s="23">
        <f>$D43*COS($E43+$F43*'25SolarCoords'!AM$7)</f>
        <v>95.453301412033312</v>
      </c>
      <c r="AR43" s="23">
        <f>$D43*COS($E43+$F43*'25SolarCoords'!AN$7)</f>
        <v>73.635793367974671</v>
      </c>
      <c r="AS43" s="23">
        <f>$D43*COS($E43+$F43*'25SolarCoords'!AO$7)</f>
        <v>-51.324778175251772</v>
      </c>
      <c r="AT43" s="23">
        <f>$D43*COS($E43+$F43*'25SolarCoords'!AP$7)</f>
        <v>-46.922590709837387</v>
      </c>
      <c r="AU43" s="23">
        <f>$D43*COS($E43+$F43*'25SolarCoords'!AQ$7)</f>
        <v>-46.664076080855622</v>
      </c>
      <c r="AV43" s="23">
        <f>$D43*COS($E43+$F43*'25SolarCoords'!AR$7)</f>
        <v>-46.410752147586315</v>
      </c>
      <c r="AW43" s="23">
        <f>$D43*COS($E43+$F43*'25SolarCoords'!AS$7)</f>
        <v>-46.123789502045874</v>
      </c>
      <c r="AX43" s="23">
        <f>$D43*COS($E43+$F43*'25SolarCoords'!AT$7)</f>
        <v>-45.58364436359394</v>
      </c>
      <c r="AY43" s="23">
        <f>$D43*COS($E43+$F43*'25SolarCoords'!AU$7)</f>
        <v>-93.317085218598223</v>
      </c>
      <c r="AZ43" s="23">
        <f>$D43*COS($E43+$F43*'25SolarCoords'!AV$7)</f>
        <v>93.109587918798468</v>
      </c>
      <c r="BA43" s="23">
        <f>$D43*COS($E43+$F43*'25SolarCoords'!AW$7)</f>
        <v>-97.999186865069859</v>
      </c>
      <c r="BB43" s="23">
        <f>$D43*COS($E43+$F43*'25SolarCoords'!AX$7)</f>
        <v>92.885860939593854</v>
      </c>
      <c r="BC43" s="23">
        <f>$D43*COS($E43+$F43*'25SolarCoords'!AY$7)</f>
        <v>-44.472511133871343</v>
      </c>
      <c r="BD43" s="23">
        <f>$D43*COS($E43+$F43*'25SolarCoords'!AZ$7)</f>
        <v>-44.435347540969374</v>
      </c>
      <c r="BE43" s="23">
        <f>$D43*COS($E43+$F43*'25SolarCoords'!BA$7)</f>
        <v>-44.398175902402691</v>
      </c>
      <c r="BF43" s="23">
        <f>$D43*COS($E43+$F43*'25SolarCoords'!BB$7)</f>
        <v>-44.360996224901598</v>
      </c>
      <c r="BG43" s="23">
        <f>$D43*COS($E43+$F43*'25SolarCoords'!BC$7)</f>
        <v>-44.323808515198166</v>
      </c>
      <c r="BH43" s="23">
        <f>$D43*COS($E43+$F43*'25SolarCoords'!BD$7)</f>
        <v>-44.286612780025628</v>
      </c>
      <c r="BI43" s="23">
        <f>$D43*COS($E43+$F43*'25SolarCoords'!BE$7)</f>
        <v>-44.249409026118954</v>
      </c>
      <c r="BJ43" s="23">
        <f>$D43*COS($E43+$F43*'25SolarCoords'!BF$7)</f>
        <v>-44.212197260214353</v>
      </c>
      <c r="BK43" s="23">
        <f>$D43*COS($E43+$F43*'25SolarCoords'!BG$7)</f>
        <v>-94.515538490277365</v>
      </c>
    </row>
    <row r="44" spans="3:63" x14ac:dyDescent="0.25">
      <c r="C44">
        <f t="shared" si="1"/>
        <v>36</v>
      </c>
      <c r="D44">
        <v>86</v>
      </c>
      <c r="E44">
        <v>5.98</v>
      </c>
      <c r="F44">
        <v>161000.69</v>
      </c>
      <c r="H44" s="7"/>
      <c r="I44" s="23">
        <f>$D44*COS($E44+$F44*'25SolarCoords'!E$7)</f>
        <v>-81.015274136408081</v>
      </c>
      <c r="J44" s="23">
        <f>$D44*COS($E44+$F44*'25SolarCoords'!F$7)</f>
        <v>-79.885980324322091</v>
      </c>
      <c r="K44" s="23">
        <f>$D44*COS($E44+$F44*'25SolarCoords'!G$7)</f>
        <v>82.077567655592247</v>
      </c>
      <c r="L44" s="23">
        <f>$D44*COS($E44+$F44*'25SolarCoords'!H$7)</f>
        <v>-31.73516096137821</v>
      </c>
      <c r="M44" s="23">
        <f>$D44*COS($E44+$F44*'25SolarCoords'!I$7)</f>
        <v>-52.491898236340553</v>
      </c>
      <c r="N44" s="23">
        <f>$D44*COS($E44+$F44*'25SolarCoords'!J$7)</f>
        <v>-19.955496865656414</v>
      </c>
      <c r="O44" s="23">
        <f>$D44*COS($E44+$F44*'25SolarCoords'!K$7)</f>
        <v>-1.0953473980883242</v>
      </c>
      <c r="P44" s="23">
        <f>$D44*COS($E44+$F44*'25SolarCoords'!L$7)</f>
        <v>-66.057583375542634</v>
      </c>
      <c r="Q44" s="23">
        <f>$D44*COS($E44+$F44*'25SolarCoords'!M$7)</f>
        <v>-75.03219532658423</v>
      </c>
      <c r="R44" s="23">
        <f>$D44*COS($E44+$F44*'25SolarCoords'!N$7)</f>
        <v>-85.959712570044928</v>
      </c>
      <c r="S44" s="23">
        <f>$D44*COS($E44+$F44*'25SolarCoords'!O$7)</f>
        <v>65.783297811354643</v>
      </c>
      <c r="T44" s="23">
        <f>$D44*COS($E44+$F44*'25SolarCoords'!P$7)</f>
        <v>77.59575958218764</v>
      </c>
      <c r="U44" s="23">
        <f>$D44*COS($E44+$F44*'25SolarCoords'!Q$7)</f>
        <v>-82.197346782907928</v>
      </c>
      <c r="V44" s="23">
        <f>$D44*COS($E44+$F44*'25SolarCoords'!R$7)</f>
        <v>-63.549980620851606</v>
      </c>
      <c r="W44" s="23">
        <f>$D44*COS($E44+$F44*'25SolarCoords'!S$7)</f>
        <v>7.1892892666331587</v>
      </c>
      <c r="X44" s="23">
        <f>$D44*COS($E44+$F44*'25SolarCoords'!T$7)</f>
        <v>27.013732678610477</v>
      </c>
      <c r="Y44" s="23">
        <f>$D44*COS($E44+$F44*'25SolarCoords'!U$7)</f>
        <v>64.991725266171727</v>
      </c>
      <c r="Z44" s="23">
        <f>$D44*COS($E44+$F44*'25SolarCoords'!V$7)</f>
        <v>25.439727307719068</v>
      </c>
      <c r="AA44" s="23">
        <f>$D44*COS($E44+$F44*'25SolarCoords'!W$7)</f>
        <v>9.0684006090404399</v>
      </c>
      <c r="AB44" s="23">
        <f>$D44*COS($E44+$F44*'25SolarCoords'!X$7)</f>
        <v>75.357772169594483</v>
      </c>
      <c r="AC44" s="23">
        <f>$D44*COS($E44+$F44*'25SolarCoords'!Y$7)</f>
        <v>12.370518605574372</v>
      </c>
      <c r="AD44" s="23">
        <f>$D44*COS($E44+$F44*'25SolarCoords'!Z$7)</f>
        <v>-60.856232328179367</v>
      </c>
      <c r="AE44" s="23">
        <f>$D44*COS($E44+$F44*'25SolarCoords'!AA$7)</f>
        <v>74.478852742804435</v>
      </c>
      <c r="AF44" s="23">
        <f>$D44*COS($E44+$F44*'25SolarCoords'!AB$7)</f>
        <v>60.06458759313567</v>
      </c>
      <c r="AG44" s="23">
        <f>$D44*COS($E44+$F44*'25SolarCoords'!AC$7)</f>
        <v>-83.50981745174559</v>
      </c>
      <c r="AH44" s="23">
        <f>$D44*COS($E44+$F44*'25SolarCoords'!AD$7)</f>
        <v>-18.941399743799654</v>
      </c>
      <c r="AI44" s="23">
        <f>$D44*COS($E44+$F44*'25SolarCoords'!AE$7)</f>
        <v>85.939747046003347</v>
      </c>
      <c r="AJ44" s="23">
        <f>$D44*COS($E44+$F44*'25SolarCoords'!AF$7)</f>
        <v>4.8808763196697189</v>
      </c>
      <c r="AK44" s="23">
        <f>$D44*COS($E44+$F44*'25SolarCoords'!AG$7)</f>
        <v>85.775921783765526</v>
      </c>
      <c r="AL44" s="23">
        <f>$D44*COS($E44+$F44*'25SolarCoords'!AH$7)</f>
        <v>-82.85749139546391</v>
      </c>
      <c r="AM44" s="23">
        <f>$D44*COS($E44+$F44*'25SolarCoords'!AI$7)</f>
        <v>-30.810106109699039</v>
      </c>
      <c r="AN44" s="23">
        <f>$D44*COS($E44+$F44*'25SolarCoords'!AJ$7)</f>
        <v>85.356849757240752</v>
      </c>
      <c r="AO44" s="23">
        <f>$D44*COS($E44+$F44*'25SolarCoords'!AK$7)</f>
        <v>-80.68861433166289</v>
      </c>
      <c r="AP44" s="23">
        <f>$D44*COS($E44+$F44*'25SolarCoords'!AL$7)</f>
        <v>72.098677646620544</v>
      </c>
      <c r="AQ44" s="23">
        <f>$D44*COS($E44+$F44*'25SolarCoords'!AM$7)</f>
        <v>-43.583867014069959</v>
      </c>
      <c r="AR44" s="23">
        <f>$D44*COS($E44+$F44*'25SolarCoords'!AN$7)</f>
        <v>-49.876654842649941</v>
      </c>
      <c r="AS44" s="23">
        <f>$D44*COS($E44+$F44*'25SolarCoords'!AO$7)</f>
        <v>-84.004282220496421</v>
      </c>
      <c r="AT44" s="23">
        <f>$D44*COS($E44+$F44*'25SolarCoords'!AP$7)</f>
        <v>-82.268556981915765</v>
      </c>
      <c r="AU44" s="23">
        <f>$D44*COS($E44+$F44*'25SolarCoords'!AQ$7)</f>
        <v>81.437650030874735</v>
      </c>
      <c r="AV44" s="23">
        <f>$D44*COS($E44+$F44*'25SolarCoords'!AR$7)</f>
        <v>-78.311487813212878</v>
      </c>
      <c r="AW44" s="23">
        <f>$D44*COS($E44+$F44*'25SolarCoords'!AS$7)</f>
        <v>85.31069328663132</v>
      </c>
      <c r="AX44" s="23">
        <f>$D44*COS($E44+$F44*'25SolarCoords'!AT$7)</f>
        <v>85.890218337257664</v>
      </c>
      <c r="AY44" s="23">
        <f>$D44*COS($E44+$F44*'25SolarCoords'!AU$7)</f>
        <v>-19.727469432600067</v>
      </c>
      <c r="AZ44" s="23">
        <f>$D44*COS($E44+$F44*'25SolarCoords'!AV$7)</f>
        <v>52.818961631099221</v>
      </c>
      <c r="BA44" s="23">
        <f>$D44*COS($E44+$F44*'25SolarCoords'!AW$7)</f>
        <v>-50.019268349177061</v>
      </c>
      <c r="BB44" s="23">
        <f>$D44*COS($E44+$F44*'25SolarCoords'!AX$7)</f>
        <v>-78.042656191679171</v>
      </c>
      <c r="BC44" s="23">
        <f>$D44*COS($E44+$F44*'25SolarCoords'!AY$7)</f>
        <v>65.328949030694318</v>
      </c>
      <c r="BD44" s="23">
        <f>$D44*COS($E44+$F44*'25SolarCoords'!AZ$7)</f>
        <v>35.221390078800859</v>
      </c>
      <c r="BE44" s="23">
        <f>$D44*COS($E44+$F44*'25SolarCoords'!BA$7)</f>
        <v>-1.6196261485847538</v>
      </c>
      <c r="BF44" s="23">
        <f>$D44*COS($E44+$F44*'25SolarCoords'!BB$7)</f>
        <v>-38.15100997782271</v>
      </c>
      <c r="BG44" s="23">
        <f>$D44*COS($E44+$F44*'25SolarCoords'!BC$7)</f>
        <v>-67.388865779775571</v>
      </c>
      <c r="BH44" s="23">
        <f>$D44*COS($E44+$F44*'25SolarCoords'!BD$7)</f>
        <v>-83.743639808015146</v>
      </c>
      <c r="BI44" s="23">
        <f>$D44*COS($E44+$F44*'25SolarCoords'!BE$7)</f>
        <v>-84.088704410329527</v>
      </c>
      <c r="BJ44" s="23">
        <f>$D44*COS($E44+$F44*'25SolarCoords'!BF$7)</f>
        <v>-68.358091782754229</v>
      </c>
      <c r="BK44" s="23">
        <f>$D44*COS($E44+$F44*'25SolarCoords'!BG$7)</f>
        <v>85.534752583680643</v>
      </c>
    </row>
    <row r="45" spans="3:63" x14ac:dyDescent="0.25">
      <c r="C45">
        <f t="shared" si="1"/>
        <v>37</v>
      </c>
      <c r="D45">
        <v>85</v>
      </c>
      <c r="E45">
        <v>1.3</v>
      </c>
      <c r="F45">
        <v>6275.96</v>
      </c>
      <c r="H45" s="7"/>
      <c r="I45" s="23">
        <f>$D45*COS($E45+$F45*'25SolarCoords'!E$7)</f>
        <v>84.670152635930975</v>
      </c>
      <c r="J45" s="23">
        <f>$D45*COS($E45+$F45*'25SolarCoords'!F$7)</f>
        <v>9.2948131307591932</v>
      </c>
      <c r="K45" s="23">
        <f>$D45*COS($E45+$F45*'25SolarCoords'!G$7)</f>
        <v>22.737400433089924</v>
      </c>
      <c r="L45" s="23">
        <f>$D45*COS($E45+$F45*'25SolarCoords'!H$7)</f>
        <v>22.497357973037765</v>
      </c>
      <c r="M45" s="23">
        <f>$D45*COS($E45+$F45*'25SolarCoords'!I$7)</f>
        <v>-22.310330513245603</v>
      </c>
      <c r="N45" s="23">
        <f>$D45*COS($E45+$F45*'25SolarCoords'!J$7)</f>
        <v>-33.905008337535357</v>
      </c>
      <c r="O45" s="23">
        <f>$D45*COS($E45+$F45*'25SolarCoords'!K$7)</f>
        <v>-21.363923203554688</v>
      </c>
      <c r="P45" s="23">
        <f>$D45*COS($E45+$F45*'25SolarCoords'!L$7)</f>
        <v>-33.463167090607875</v>
      </c>
      <c r="Q45" s="23">
        <f>$D45*COS($E45+$F45*'25SolarCoords'!M$7)</f>
        <v>-37.760409927312168</v>
      </c>
      <c r="R45" s="23">
        <f>$D45*COS($E45+$F45*'25SolarCoords'!N$7)</f>
        <v>-39.199160881178365</v>
      </c>
      <c r="S45" s="23">
        <f>$D45*COS($E45+$F45*'25SolarCoords'!O$7)</f>
        <v>-40.065470612831739</v>
      </c>
      <c r="T45" s="23">
        <f>$D45*COS($E45+$F45*'25SolarCoords'!P$7)</f>
        <v>50.85458220128352</v>
      </c>
      <c r="U45" s="23">
        <f>$D45*COS($E45+$F45*'25SolarCoords'!Q$7)</f>
        <v>-36.240692067355567</v>
      </c>
      <c r="V45" s="23">
        <f>$D45*COS($E45+$F45*'25SolarCoords'!R$7)</f>
        <v>-34.914285336472595</v>
      </c>
      <c r="W45" s="23">
        <f>$D45*COS($E45+$F45*'25SolarCoords'!S$7)</f>
        <v>15.885345248468598</v>
      </c>
      <c r="X45" s="23">
        <f>$D45*COS($E45+$F45*'25SolarCoords'!T$7)</f>
        <v>50.93431767347947</v>
      </c>
      <c r="Y45" s="23">
        <f>$D45*COS($E45+$F45*'25SolarCoords'!U$7)</f>
        <v>-35.572626116828246</v>
      </c>
      <c r="Z45" s="23">
        <f>$D45*COS($E45+$F45*'25SolarCoords'!V$7)</f>
        <v>82.444194234658269</v>
      </c>
      <c r="AA45" s="23">
        <f>$D45*COS($E45+$F45*'25SolarCoords'!W$7)</f>
        <v>-84.890010503679335</v>
      </c>
      <c r="AB45" s="23">
        <f>$D45*COS($E45+$F45*'25SolarCoords'!X$7)</f>
        <v>-84.932849326435687</v>
      </c>
      <c r="AC45" s="23">
        <f>$D45*COS($E45+$F45*'25SolarCoords'!Y$7)</f>
        <v>-52.976817989730762</v>
      </c>
      <c r="AD45" s="23">
        <f>$D45*COS($E45+$F45*'25SolarCoords'!Z$7)</f>
        <v>47.805102793654903</v>
      </c>
      <c r="AE45" s="23">
        <f>$D45*COS($E45+$F45*'25SolarCoords'!AA$7)</f>
        <v>23.440202852576956</v>
      </c>
      <c r="AF45" s="23">
        <f>$D45*COS($E45+$F45*'25SolarCoords'!AB$7)</f>
        <v>1.0922806734889885</v>
      </c>
      <c r="AG45" s="23">
        <f>$D45*COS($E45+$F45*'25SolarCoords'!AC$7)</f>
        <v>69.047607366116054</v>
      </c>
      <c r="AH45" s="23">
        <f>$D45*COS($E45+$F45*'25SolarCoords'!AD$7)</f>
        <v>-83.901067281226133</v>
      </c>
      <c r="AI45" s="23">
        <f>$D45*COS($E45+$F45*'25SolarCoords'!AE$7)</f>
        <v>-56.496534320045946</v>
      </c>
      <c r="AJ45" s="23">
        <f>$D45*COS($E45+$F45*'25SolarCoords'!AF$7)</f>
        <v>34.823728517000148</v>
      </c>
      <c r="AK45" s="23">
        <f>$D45*COS($E45+$F45*'25SolarCoords'!AG$7)</f>
        <v>84.983442095260557</v>
      </c>
      <c r="AL45" s="23">
        <f>$D45*COS($E45+$F45*'25SolarCoords'!AH$7)</f>
        <v>-61.194651792054586</v>
      </c>
      <c r="AM45" s="23">
        <f>$D45*COS($E45+$F45*'25SolarCoords'!AI$7)</f>
        <v>-82.785587708889494</v>
      </c>
      <c r="AN45" s="23">
        <f>$D45*COS($E45+$F45*'25SolarCoords'!AJ$7)</f>
        <v>-81.801588531227537</v>
      </c>
      <c r="AO45" s="23">
        <f>$D45*COS($E45+$F45*'25SolarCoords'!AK$7)</f>
        <v>-74.20799668488263</v>
      </c>
      <c r="AP45" s="23">
        <f>$D45*COS($E45+$F45*'25SolarCoords'!AL$7)</f>
        <v>77.986407363107901</v>
      </c>
      <c r="AQ45" s="23">
        <f>$D45*COS($E45+$F45*'25SolarCoords'!AM$7)</f>
        <v>-55.436710969735273</v>
      </c>
      <c r="AR45" s="23">
        <f>$D45*COS($E45+$F45*'25SolarCoords'!AN$7)</f>
        <v>-83.294659276680676</v>
      </c>
      <c r="AS45" s="23">
        <f>$D45*COS($E45+$F45*'25SolarCoords'!AO$7)</f>
        <v>-81.267115593339426</v>
      </c>
      <c r="AT45" s="23">
        <f>$D45*COS($E45+$F45*'25SolarCoords'!AP$7)</f>
        <v>72.711144032589118</v>
      </c>
      <c r="AU45" s="23">
        <f>$D45*COS($E45+$F45*'25SolarCoords'!AQ$7)</f>
        <v>77.501533067002882</v>
      </c>
      <c r="AV45" s="23">
        <f>$D45*COS($E45+$F45*'25SolarCoords'!AR$7)</f>
        <v>81.08760268292454</v>
      </c>
      <c r="AW45" s="23">
        <f>$D45*COS($E45+$F45*'25SolarCoords'!AS$7)</f>
        <v>83.76819683977017</v>
      </c>
      <c r="AX45" s="23">
        <f>$D45*COS($E45+$F45*'25SolarCoords'!AT$7)</f>
        <v>84.718682691820575</v>
      </c>
      <c r="AY45" s="23">
        <f>$D45*COS($E45+$F45*'25SolarCoords'!AU$7)</f>
        <v>-49.279390546755046</v>
      </c>
      <c r="AZ45" s="23">
        <f>$D45*COS($E45+$F45*'25SolarCoords'!AV$7)</f>
        <v>60.31805191618929</v>
      </c>
      <c r="BA45" s="23">
        <f>$D45*COS($E45+$F45*'25SolarCoords'!AW$7)</f>
        <v>-22.121449553146785</v>
      </c>
      <c r="BB45" s="23">
        <f>$D45*COS($E45+$F45*'25SolarCoords'!AX$7)</f>
        <v>-82.134707508078719</v>
      </c>
      <c r="BC45" s="23">
        <f>$D45*COS($E45+$F45*'25SolarCoords'!AY$7)</f>
        <v>70.303866502461716</v>
      </c>
      <c r="BD45" s="23">
        <f>$D45*COS($E45+$F45*'25SolarCoords'!AZ$7)</f>
        <v>69.472643213440719</v>
      </c>
      <c r="BE45" s="23">
        <f>$D45*COS($E45+$F45*'25SolarCoords'!BA$7)</f>
        <v>68.620909104474492</v>
      </c>
      <c r="BF45" s="23">
        <f>$D45*COS($E45+$F45*'25SolarCoords'!BB$7)</f>
        <v>67.748915638071736</v>
      </c>
      <c r="BG45" s="23">
        <f>$D45*COS($E45+$F45*'25SolarCoords'!BC$7)</f>
        <v>66.85692025802696</v>
      </c>
      <c r="BH45" s="23">
        <f>$D45*COS($E45+$F45*'25SolarCoords'!BD$7)</f>
        <v>65.945186313417977</v>
      </c>
      <c r="BI45" s="23">
        <f>$D45*COS($E45+$F45*'25SolarCoords'!BE$7)</f>
        <v>65.013982980860504</v>
      </c>
      <c r="BJ45" s="23">
        <f>$D45*COS($E45+$F45*'25SolarCoords'!BF$7)</f>
        <v>64.063585185028472</v>
      </c>
      <c r="BK45" s="23">
        <f>$D45*COS($E45+$F45*'25SolarCoords'!BG$7)</f>
        <v>-56.331398202670783</v>
      </c>
    </row>
    <row r="46" spans="3:63" x14ac:dyDescent="0.25">
      <c r="C46">
        <f t="shared" si="1"/>
        <v>38</v>
      </c>
      <c r="D46">
        <v>85</v>
      </c>
      <c r="E46">
        <v>3.67</v>
      </c>
      <c r="F46">
        <v>71430.7</v>
      </c>
      <c r="H46" s="7"/>
      <c r="I46" s="23">
        <f>$D46*COS($E46+$F46*'25SolarCoords'!E$7)</f>
        <v>-54.219175950169188</v>
      </c>
      <c r="J46" s="23">
        <f>$D46*COS($E46+$F46*'25SolarCoords'!F$7)</f>
        <v>-80.866290296180239</v>
      </c>
      <c r="K46" s="23">
        <f>$D46*COS($E46+$F46*'25SolarCoords'!G$7)</f>
        <v>-73.406944808198119</v>
      </c>
      <c r="L46" s="23">
        <f>$D46*COS($E46+$F46*'25SolarCoords'!H$7)</f>
        <v>22.29096490507732</v>
      </c>
      <c r="M46" s="23">
        <f>$D46*COS($E46+$F46*'25SolarCoords'!I$7)</f>
        <v>-70.469360051870709</v>
      </c>
      <c r="N46" s="23">
        <f>$D46*COS($E46+$F46*'25SolarCoords'!J$7)</f>
        <v>78.845988851494255</v>
      </c>
      <c r="O46" s="23">
        <f>$D46*COS($E46+$F46*'25SolarCoords'!K$7)</f>
        <v>81.655913160158931</v>
      </c>
      <c r="P46" s="23">
        <f>$D46*COS($E46+$F46*'25SolarCoords'!L$7)</f>
        <v>-81.29361073176986</v>
      </c>
      <c r="Q46" s="23">
        <f>$D46*COS($E46+$F46*'25SolarCoords'!M$7)</f>
        <v>-2.7967732533863656</v>
      </c>
      <c r="R46" s="23">
        <f>$D46*COS($E46+$F46*'25SolarCoords'!N$7)</f>
        <v>4.1028923683007008</v>
      </c>
      <c r="S46" s="23">
        <f>$D46*COS($E46+$F46*'25SolarCoords'!O$7)</f>
        <v>-67.785998335307781</v>
      </c>
      <c r="T46" s="23">
        <f>$D46*COS($E46+$F46*'25SolarCoords'!P$7)</f>
        <v>-82.927439698402694</v>
      </c>
      <c r="U46" s="23">
        <f>$D46*COS($E46+$F46*'25SolarCoords'!Q$7)</f>
        <v>67.696138720940098</v>
      </c>
      <c r="V46" s="23">
        <f>$D46*COS($E46+$F46*'25SolarCoords'!R$7)</f>
        <v>76.394381418300114</v>
      </c>
      <c r="W46" s="23">
        <f>$D46*COS($E46+$F46*'25SolarCoords'!S$7)</f>
        <v>-49.506381056835068</v>
      </c>
      <c r="X46" s="23">
        <f>$D46*COS($E46+$F46*'25SolarCoords'!T$7)</f>
        <v>44.374329644210455</v>
      </c>
      <c r="Y46" s="23">
        <f>$D46*COS($E46+$F46*'25SolarCoords'!U$7)</f>
        <v>71.762208608623865</v>
      </c>
      <c r="Z46" s="23">
        <f>$D46*COS($E46+$F46*'25SolarCoords'!V$7)</f>
        <v>-20.04234653644879</v>
      </c>
      <c r="AA46" s="23">
        <f>$D46*COS($E46+$F46*'25SolarCoords'!W$7)</f>
        <v>56.847281797767337</v>
      </c>
      <c r="AB46" s="23">
        <f>$D46*COS($E46+$F46*'25SolarCoords'!X$7)</f>
        <v>23.680321241122773</v>
      </c>
      <c r="AC46" s="23">
        <f>$D46*COS($E46+$F46*'25SolarCoords'!Y$7)</f>
        <v>-84.576407485370808</v>
      </c>
      <c r="AD46" s="23">
        <f>$D46*COS($E46+$F46*'25SolarCoords'!Z$7)</f>
        <v>18.381431554845221</v>
      </c>
      <c r="AE46" s="23">
        <f>$D46*COS($E46+$F46*'25SolarCoords'!AA$7)</f>
        <v>-77.239961176128745</v>
      </c>
      <c r="AF46" s="23">
        <f>$D46*COS($E46+$F46*'25SolarCoords'!AB$7)</f>
        <v>8.8413897818898715</v>
      </c>
      <c r="AG46" s="23">
        <f>$D46*COS($E46+$F46*'25SolarCoords'!AC$7)</f>
        <v>-46.787248181079732</v>
      </c>
      <c r="AH46" s="23">
        <f>$D46*COS($E46+$F46*'25SolarCoords'!AD$7)</f>
        <v>-57.406520693434103</v>
      </c>
      <c r="AI46" s="23">
        <f>$D46*COS($E46+$F46*'25SolarCoords'!AE$7)</f>
        <v>-64.119526503243904</v>
      </c>
      <c r="AJ46" s="23">
        <f>$D46*COS($E46+$F46*'25SolarCoords'!AF$7)</f>
        <v>-54.78267971830843</v>
      </c>
      <c r="AK46" s="23">
        <f>$D46*COS($E46+$F46*'25SolarCoords'!AG$7)</f>
        <v>-84.188796559032525</v>
      </c>
      <c r="AL46" s="23">
        <f>$D46*COS($E46+$F46*'25SolarCoords'!AH$7)</f>
        <v>70.068545710242716</v>
      </c>
      <c r="AM46" s="23">
        <f>$D46*COS($E46+$F46*'25SolarCoords'!AI$7)</f>
        <v>-81.250969711820645</v>
      </c>
      <c r="AN46" s="23">
        <f>$D46*COS($E46+$F46*'25SolarCoords'!AJ$7)</f>
        <v>-1.5572997572336349</v>
      </c>
      <c r="AO46" s="23">
        <f>$D46*COS($E46+$F46*'25SolarCoords'!AK$7)</f>
        <v>-82.420803086903945</v>
      </c>
      <c r="AP46" s="23">
        <f>$D46*COS($E46+$F46*'25SolarCoords'!AL$7)</f>
        <v>80.249525209623982</v>
      </c>
      <c r="AQ46" s="23">
        <f>$D46*COS($E46+$F46*'25SolarCoords'!AM$7)</f>
        <v>11.29294553704193</v>
      </c>
      <c r="AR46" s="23">
        <f>$D46*COS($E46+$F46*'25SolarCoords'!AN$7)</f>
        <v>-79.686306337116619</v>
      </c>
      <c r="AS46" s="23">
        <f>$D46*COS($E46+$F46*'25SolarCoords'!AO$7)</f>
        <v>-40.631763873188717</v>
      </c>
      <c r="AT46" s="23">
        <f>$D46*COS($E46+$F46*'25SolarCoords'!AP$7)</f>
        <v>84.283280742391</v>
      </c>
      <c r="AU46" s="23">
        <f>$D46*COS($E46+$F46*'25SolarCoords'!AQ$7)</f>
        <v>5.1828462469180288</v>
      </c>
      <c r="AV46" s="23">
        <f>$D46*COS($E46+$F46*'25SolarCoords'!AR$7)</f>
        <v>-81.645972139849846</v>
      </c>
      <c r="AW46" s="23">
        <f>$D46*COS($E46+$F46*'25SolarCoords'!AS$7)</f>
        <v>-27.222639973212143</v>
      </c>
      <c r="AX46" s="23">
        <f>$D46*COS($E46+$F46*'25SolarCoords'!AT$7)</f>
        <v>48.087895397567408</v>
      </c>
      <c r="AY46" s="23">
        <f>$D46*COS($E46+$F46*'25SolarCoords'!AU$7)</f>
        <v>-45.991343444393458</v>
      </c>
      <c r="AZ46" s="23">
        <f>$D46*COS($E46+$F46*'25SolarCoords'!AV$7)</f>
        <v>80.888683133097956</v>
      </c>
      <c r="BA46" s="23">
        <f>$D46*COS($E46+$F46*'25SolarCoords'!AW$7)</f>
        <v>-2.5982348751106206</v>
      </c>
      <c r="BB46" s="23">
        <f>$D46*COS($E46+$F46*'25SolarCoords'!AX$7)</f>
        <v>84.41482400276675</v>
      </c>
      <c r="BC46" s="23">
        <f>$D46*COS($E46+$F46*'25SolarCoords'!AY$7)</f>
        <v>72.318530750196643</v>
      </c>
      <c r="BD46" s="23">
        <f>$D46*COS($E46+$F46*'25SolarCoords'!AZ$7)</f>
        <v>62.260418933543939</v>
      </c>
      <c r="BE46" s="23">
        <f>$D46*COS($E46+$F46*'25SolarCoords'!BA$7)</f>
        <v>49.828656575914067</v>
      </c>
      <c r="BF46" s="23">
        <f>$D46*COS($E46+$F46*'25SolarCoords'!BB$7)</f>
        <v>35.497199040186679</v>
      </c>
      <c r="BG46" s="23">
        <f>$D46*COS($E46+$F46*'25SolarCoords'!BC$7)</f>
        <v>19.812426715592579</v>
      </c>
      <c r="BH46" s="23">
        <f>$D46*COS($E46+$F46*'25SolarCoords'!BD$7)</f>
        <v>3.372314510559864</v>
      </c>
      <c r="BI46" s="23">
        <f>$D46*COS($E46+$F46*'25SolarCoords'!BE$7)</f>
        <v>-13.196365672282859</v>
      </c>
      <c r="BJ46" s="23">
        <f>$D46*COS($E46+$F46*'25SolarCoords'!BF$7)</f>
        <v>-29.261940333944171</v>
      </c>
      <c r="BK46" s="23">
        <f>$D46*COS($E46+$F46*'25SolarCoords'!BG$7)</f>
        <v>-65.740807192087516</v>
      </c>
    </row>
    <row r="47" spans="3:63" x14ac:dyDescent="0.25">
      <c r="C47">
        <f t="shared" si="1"/>
        <v>39</v>
      </c>
      <c r="D47">
        <v>80</v>
      </c>
      <c r="E47">
        <v>1.81</v>
      </c>
      <c r="F47">
        <v>17260.150000000001</v>
      </c>
      <c r="H47" s="7"/>
      <c r="I47" s="23">
        <f>$D47*COS($E47+$F47*'25SolarCoords'!E$7)</f>
        <v>0.40657609375425868</v>
      </c>
      <c r="J47" s="23">
        <f>$D47*COS($E47+$F47*'25SolarCoords'!F$7)</f>
        <v>-12.199411831131266</v>
      </c>
      <c r="K47" s="23">
        <f>$D47*COS($E47+$F47*'25SolarCoords'!G$7)</f>
        <v>-18.954323894773975</v>
      </c>
      <c r="L47" s="23">
        <f>$D47*COS($E47+$F47*'25SolarCoords'!H$7)</f>
        <v>-77.591555564635186</v>
      </c>
      <c r="M47" s="23">
        <f>$D47*COS($E47+$F47*'25SolarCoords'!I$7)</f>
        <v>10.145942358732558</v>
      </c>
      <c r="N47" s="23">
        <f>$D47*COS($E47+$F47*'25SolarCoords'!J$7)</f>
        <v>46.819237046274921</v>
      </c>
      <c r="O47" s="23">
        <f>$D47*COS($E47+$F47*'25SolarCoords'!K$7)</f>
        <v>-79.625921849771359</v>
      </c>
      <c r="P47" s="23">
        <f>$D47*COS($E47+$F47*'25SolarCoords'!L$7)</f>
        <v>-64.071560923349381</v>
      </c>
      <c r="Q47" s="23">
        <f>$D47*COS($E47+$F47*'25SolarCoords'!M$7)</f>
        <v>-68.076410735842131</v>
      </c>
      <c r="R47" s="23">
        <f>$D47*COS($E47+$F47*'25SolarCoords'!N$7)</f>
        <v>-79.888509032053534</v>
      </c>
      <c r="S47" s="23">
        <f>$D47*COS($E47+$F47*'25SolarCoords'!O$7)</f>
        <v>6.6502607496988499</v>
      </c>
      <c r="T47" s="23">
        <f>$D47*COS($E47+$F47*'25SolarCoords'!P$7)</f>
        <v>-38.161220914202168</v>
      </c>
      <c r="U47" s="23">
        <f>$D47*COS($E47+$F47*'25SolarCoords'!Q$7)</f>
        <v>41.464703658180795</v>
      </c>
      <c r="V47" s="23">
        <f>$D47*COS($E47+$F47*'25SolarCoords'!R$7)</f>
        <v>38.186595351383971</v>
      </c>
      <c r="W47" s="23">
        <f>$D47*COS($E47+$F47*'25SolarCoords'!S$7)</f>
        <v>-13.596121841621365</v>
      </c>
      <c r="X47" s="23">
        <f>$D47*COS($E47+$F47*'25SolarCoords'!T$7)</f>
        <v>-19.287203744703447</v>
      </c>
      <c r="Y47" s="23">
        <f>$D47*COS($E47+$F47*'25SolarCoords'!U$7)</f>
        <v>3.0633276452764457</v>
      </c>
      <c r="Z47" s="23">
        <f>$D47*COS($E47+$F47*'25SolarCoords'!V$7)</f>
        <v>-7.7814173617162572</v>
      </c>
      <c r="AA47" s="23">
        <f>$D47*COS($E47+$F47*'25SolarCoords'!W$7)</f>
        <v>-33.730337837583079</v>
      </c>
      <c r="AB47" s="23">
        <f>$D47*COS($E47+$F47*'25SolarCoords'!X$7)</f>
        <v>71.247527347929221</v>
      </c>
      <c r="AC47" s="23">
        <f>$D47*COS($E47+$F47*'25SolarCoords'!Y$7)</f>
        <v>-75.525240762845058</v>
      </c>
      <c r="AD47" s="23">
        <f>$D47*COS($E47+$F47*'25SolarCoords'!Z$7)</f>
        <v>45.385505939255822</v>
      </c>
      <c r="AE47" s="23">
        <f>$D47*COS($E47+$F47*'25SolarCoords'!AA$7)</f>
        <v>-17.112796089852175</v>
      </c>
      <c r="AF47" s="23">
        <f>$D47*COS($E47+$F47*'25SolarCoords'!AB$7)</f>
        <v>-14.046473122443381</v>
      </c>
      <c r="AG47" s="23">
        <f>$D47*COS($E47+$F47*'25SolarCoords'!AC$7)</f>
        <v>6.3362981328130195</v>
      </c>
      <c r="AH47" s="23">
        <f>$D47*COS($E47+$F47*'25SolarCoords'!AD$7)</f>
        <v>41.927743814651251</v>
      </c>
      <c r="AI47" s="23">
        <f>$D47*COS($E47+$F47*'25SolarCoords'!AE$7)</f>
        <v>-78.603273193994241</v>
      </c>
      <c r="AJ47" s="23">
        <f>$D47*COS($E47+$F47*'25SolarCoords'!AF$7)</f>
        <v>78.623341448764265</v>
      </c>
      <c r="AK47" s="23">
        <f>$D47*COS($E47+$F47*'25SolarCoords'!AG$7)</f>
        <v>-77.360746644212838</v>
      </c>
      <c r="AL47" s="23">
        <f>$D47*COS($E47+$F47*'25SolarCoords'!AH$7)</f>
        <v>79.931548556357768</v>
      </c>
      <c r="AM47" s="23">
        <f>$D47*COS($E47+$F47*'25SolarCoords'!AI$7)</f>
        <v>79.909134092078844</v>
      </c>
      <c r="AN47" s="23">
        <f>$D47*COS($E47+$F47*'25SolarCoords'!AJ$7)</f>
        <v>77.871100007052661</v>
      </c>
      <c r="AO47" s="23">
        <f>$D47*COS($E47+$F47*'25SolarCoords'!AK$7)</f>
        <v>-40.567740799587135</v>
      </c>
      <c r="AP47" s="23">
        <f>$D47*COS($E47+$F47*'25SolarCoords'!AL$7)</f>
        <v>19.010491238572747</v>
      </c>
      <c r="AQ47" s="23">
        <f>$D47*COS($E47+$F47*'25SolarCoords'!AM$7)</f>
        <v>-74.625295332166914</v>
      </c>
      <c r="AR47" s="23">
        <f>$D47*COS($E47+$F47*'25SolarCoords'!AN$7)</f>
        <v>79.936851909462433</v>
      </c>
      <c r="AS47" s="23">
        <f>$D47*COS($E47+$F47*'25SolarCoords'!AO$7)</f>
        <v>71.637207270588576</v>
      </c>
      <c r="AT47" s="23">
        <f>$D47*COS($E47+$F47*'25SolarCoords'!AP$7)</f>
        <v>-7.3442937042812844</v>
      </c>
      <c r="AU47" s="23">
        <f>$D47*COS($E47+$F47*'25SolarCoords'!AQ$7)</f>
        <v>19.131367276385838</v>
      </c>
      <c r="AV47" s="23">
        <f>$D47*COS($E47+$F47*'25SolarCoords'!AR$7)</f>
        <v>43.014050095371502</v>
      </c>
      <c r="AW47" s="23">
        <f>$D47*COS($E47+$F47*'25SolarCoords'!AS$7)</f>
        <v>64.442327982663969</v>
      </c>
      <c r="AX47" s="23">
        <f>$D47*COS($E47+$F47*'25SolarCoords'!AT$7)</f>
        <v>79.863788670058327</v>
      </c>
      <c r="AY47" s="23">
        <f>$D47*COS($E47+$F47*'25SolarCoords'!AU$7)</f>
        <v>-2.8080655327826625</v>
      </c>
      <c r="AZ47" s="23">
        <f>$D47*COS($E47+$F47*'25SolarCoords'!AV$7)</f>
        <v>57.076075899658221</v>
      </c>
      <c r="BA47" s="23">
        <f>$D47*COS($E47+$F47*'25SolarCoords'!AW$7)</f>
        <v>4.4169478102909228</v>
      </c>
      <c r="BB47" s="23">
        <f>$D47*COS($E47+$F47*'25SolarCoords'!AX$7)</f>
        <v>76.004986627552128</v>
      </c>
      <c r="BC47" s="23">
        <f>$D47*COS($E47+$F47*'25SolarCoords'!AY$7)</f>
        <v>7.5696016954903982</v>
      </c>
      <c r="BD47" s="23">
        <f>$D47*COS($E47+$F47*'25SolarCoords'!AZ$7)</f>
        <v>3.7990559218740421</v>
      </c>
      <c r="BE47" s="23">
        <f>$D47*COS($E47+$F47*'25SolarCoords'!BA$7)</f>
        <v>2.0028045123514929E-2</v>
      </c>
      <c r="BF47" s="23">
        <f>$D47*COS($E47+$F47*'25SolarCoords'!BB$7)</f>
        <v>-3.7590445479757872</v>
      </c>
      <c r="BG47" s="23">
        <f>$D47*COS($E47+$F47*'25SolarCoords'!BC$7)</f>
        <v>-7.5297243708281165</v>
      </c>
      <c r="BH47" s="23">
        <f>$D47*COS($E47+$F47*'25SolarCoords'!BD$7)</f>
        <v>-11.28359267526746</v>
      </c>
      <c r="BI47" s="23">
        <f>$D47*COS($E47+$F47*'25SolarCoords'!BE$7)</f>
        <v>-15.012268247960922</v>
      </c>
      <c r="BJ47" s="23">
        <f>$D47*COS($E47+$F47*'25SolarCoords'!BF$7)</f>
        <v>-18.707426123094173</v>
      </c>
      <c r="BK47" s="23">
        <f>$D47*COS($E47+$F47*'25SolarCoords'!BG$7)</f>
        <v>-78.494953557536391</v>
      </c>
    </row>
    <row r="48" spans="3:63" x14ac:dyDescent="0.25">
      <c r="C48">
        <f t="shared" si="1"/>
        <v>40</v>
      </c>
      <c r="D48">
        <v>79</v>
      </c>
      <c r="E48">
        <v>3.04</v>
      </c>
      <c r="F48">
        <v>12036.46</v>
      </c>
      <c r="H48" s="7"/>
      <c r="I48" s="23">
        <f>$D48*COS($E48+$F48*'25SolarCoords'!E$7)</f>
        <v>-72.798192065212788</v>
      </c>
      <c r="J48" s="23">
        <f>$D48*COS($E48+$F48*'25SolarCoords'!F$7)</f>
        <v>-16.544989546747324</v>
      </c>
      <c r="K48" s="23">
        <f>$D48*COS($E48+$F48*'25SolarCoords'!G$7)</f>
        <v>-78.592668365397301</v>
      </c>
      <c r="L48" s="23">
        <f>$D48*COS($E48+$F48*'25SolarCoords'!H$7)</f>
        <v>-72.131466634765403</v>
      </c>
      <c r="M48" s="23">
        <f>$D48*COS($E48+$F48*'25SolarCoords'!I$7)</f>
        <v>-17.099025180358478</v>
      </c>
      <c r="N48" s="23">
        <f>$D48*COS($E48+$F48*'25SolarCoords'!J$7)</f>
        <v>-77.39917144656664</v>
      </c>
      <c r="O48" s="23">
        <f>$D48*COS($E48+$F48*'25SolarCoords'!K$7)</f>
        <v>-54.213650789139741</v>
      </c>
      <c r="P48" s="23">
        <f>$D48*COS($E48+$F48*'25SolarCoords'!L$7)</f>
        <v>-60.072471671433313</v>
      </c>
      <c r="Q48" s="23">
        <f>$D48*COS($E48+$F48*'25SolarCoords'!M$7)</f>
        <v>69.286220368434982</v>
      </c>
      <c r="R48" s="23">
        <f>$D48*COS($E48+$F48*'25SolarCoords'!N$7)</f>
        <v>8.8660917223916957</v>
      </c>
      <c r="S48" s="23">
        <f>$D48*COS($E48+$F48*'25SolarCoords'!O$7)</f>
        <v>47.848399188005153</v>
      </c>
      <c r="T48" s="23">
        <f>$D48*COS($E48+$F48*'25SolarCoords'!P$7)</f>
        <v>42.705462570395476</v>
      </c>
      <c r="U48" s="23">
        <f>$D48*COS($E48+$F48*'25SolarCoords'!Q$7)</f>
        <v>-78.783741727987149</v>
      </c>
      <c r="V48" s="23">
        <f>$D48*COS($E48+$F48*'25SolarCoords'!R$7)</f>
        <v>-78.5485041993214</v>
      </c>
      <c r="W48" s="23">
        <f>$D48*COS($E48+$F48*'25SolarCoords'!S$7)</f>
        <v>-69.714967685428277</v>
      </c>
      <c r="X48" s="23">
        <f>$D48*COS($E48+$F48*'25SolarCoords'!T$7)</f>
        <v>54.98246798695881</v>
      </c>
      <c r="Y48" s="23">
        <f>$D48*COS($E48+$F48*'25SolarCoords'!U$7)</f>
        <v>46.13540912115122</v>
      </c>
      <c r="Z48" s="23">
        <f>$D48*COS($E48+$F48*'25SolarCoords'!V$7)</f>
        <v>-54.814442604348493</v>
      </c>
      <c r="AA48" s="23">
        <f>$D48*COS($E48+$F48*'25SolarCoords'!W$7)</f>
        <v>64.448529570352662</v>
      </c>
      <c r="AB48" s="23">
        <f>$D48*COS($E48+$F48*'25SolarCoords'!X$7)</f>
        <v>-28.674768239526788</v>
      </c>
      <c r="AC48" s="23">
        <f>$D48*COS($E48+$F48*'25SolarCoords'!Y$7)</f>
        <v>-41.939981859215017</v>
      </c>
      <c r="AD48" s="23">
        <f>$D48*COS($E48+$F48*'25SolarCoords'!Z$7)</f>
        <v>10.069381743741582</v>
      </c>
      <c r="AE48" s="23">
        <f>$D48*COS($E48+$F48*'25SolarCoords'!AA$7)</f>
        <v>-78.449991743101776</v>
      </c>
      <c r="AF48" s="23">
        <f>$D48*COS($E48+$F48*'25SolarCoords'!AB$7)</f>
        <v>-27.895535032354168</v>
      </c>
      <c r="AG48" s="23">
        <f>$D48*COS($E48+$F48*'25SolarCoords'!AC$7)</f>
        <v>78.994574157154545</v>
      </c>
      <c r="AH48" s="23">
        <f>$D48*COS($E48+$F48*'25SolarCoords'!AD$7)</f>
        <v>69.06483998294668</v>
      </c>
      <c r="AI48" s="23">
        <f>$D48*COS($E48+$F48*'25SolarCoords'!AE$7)</f>
        <v>-34.774437782408945</v>
      </c>
      <c r="AJ48" s="23">
        <f>$D48*COS($E48+$F48*'25SolarCoords'!AF$7)</f>
        <v>78.753738822339912</v>
      </c>
      <c r="AK48" s="23">
        <f>$D48*COS($E48+$F48*'25SolarCoords'!AG$7)</f>
        <v>-44.024617072499169</v>
      </c>
      <c r="AL48" s="23">
        <f>$D48*COS($E48+$F48*'25SolarCoords'!AH$7)</f>
        <v>-74.977986582678909</v>
      </c>
      <c r="AM48" s="23">
        <f>$D48*COS($E48+$F48*'25SolarCoords'!AI$7)</f>
        <v>-52.91479327754012</v>
      </c>
      <c r="AN48" s="23">
        <f>$D48*COS($E48+$F48*'25SolarCoords'!AJ$7)</f>
        <v>-22.096002490420144</v>
      </c>
      <c r="AO48" s="23">
        <f>$D48*COS($E48+$F48*'25SolarCoords'!AK$7)</f>
        <v>41.73034462011239</v>
      </c>
      <c r="AP48" s="23">
        <f>$D48*COS($E48+$F48*'25SolarCoords'!AL$7)</f>
        <v>-23.775691968291863</v>
      </c>
      <c r="AQ48" s="23">
        <f>$D48*COS($E48+$F48*'25SolarCoords'!AM$7)</f>
        <v>23.281880207853529</v>
      </c>
      <c r="AR48" s="23">
        <f>$D48*COS($E48+$F48*'25SolarCoords'!AN$7)</f>
        <v>78.635677066796418</v>
      </c>
      <c r="AS48" s="23">
        <f>$D48*COS($E48+$F48*'25SolarCoords'!AO$7)</f>
        <v>44.296294708024057</v>
      </c>
      <c r="AT48" s="23">
        <f>$D48*COS($E48+$F48*'25SolarCoords'!AP$7)</f>
        <v>77.428729975736701</v>
      </c>
      <c r="AU48" s="23">
        <f>$D48*COS($E48+$F48*'25SolarCoords'!AQ$7)</f>
        <v>71.732763809037266</v>
      </c>
      <c r="AV48" s="23">
        <f>$D48*COS($E48+$F48*'25SolarCoords'!AR$7)</f>
        <v>62.420906368990011</v>
      </c>
      <c r="AW48" s="23">
        <f>$D48*COS($E48+$F48*'25SolarCoords'!AS$7)</f>
        <v>48.047536586652605</v>
      </c>
      <c r="AX48" s="23">
        <f>$D48*COS($E48+$F48*'25SolarCoords'!AT$7)</f>
        <v>13.428022762524769</v>
      </c>
      <c r="AY48" s="23">
        <f>$D48*COS($E48+$F48*'25SolarCoords'!AU$7)</f>
        <v>-74.458227280515615</v>
      </c>
      <c r="AZ48" s="23">
        <f>$D48*COS($E48+$F48*'25SolarCoords'!AV$7)</f>
        <v>78.750924403155665</v>
      </c>
      <c r="BA48" s="23">
        <f>$D48*COS($E48+$F48*'25SolarCoords'!AW$7)</f>
        <v>78.670649802735312</v>
      </c>
      <c r="BB48" s="23">
        <f>$D48*COS($E48+$F48*'25SolarCoords'!AX$7)</f>
        <v>-43.525962748829883</v>
      </c>
      <c r="BC48" s="23">
        <f>$D48*COS($E48+$F48*'25SolarCoords'!AY$7)</f>
        <v>-57.642711546574475</v>
      </c>
      <c r="BD48" s="23">
        <f>$D48*COS($E48+$F48*'25SolarCoords'!AZ$7)</f>
        <v>-59.391317901155169</v>
      </c>
      <c r="BE48" s="23">
        <f>$D48*COS($E48+$F48*'25SolarCoords'!BA$7)</f>
        <v>-61.075433010275269</v>
      </c>
      <c r="BF48" s="23">
        <f>$D48*COS($E48+$F48*'25SolarCoords'!BB$7)</f>
        <v>-62.693228143988627</v>
      </c>
      <c r="BG48" s="23">
        <f>$D48*COS($E48+$F48*'25SolarCoords'!BC$7)</f>
        <v>-64.242946587232893</v>
      </c>
      <c r="BH48" s="23">
        <f>$D48*COS($E48+$F48*'25SolarCoords'!BD$7)</f>
        <v>-65.722905547375007</v>
      </c>
      <c r="BI48" s="23">
        <f>$D48*COS($E48+$F48*'25SolarCoords'!BE$7)</f>
        <v>-67.131497981490909</v>
      </c>
      <c r="BJ48" s="23">
        <f>$D48*COS($E48+$F48*'25SolarCoords'!BF$7)</f>
        <v>-68.467194341435643</v>
      </c>
      <c r="BK48" s="23">
        <f>$D48*COS($E48+$F48*'25SolarCoords'!BG$7)</f>
        <v>-35.12734832384163</v>
      </c>
    </row>
    <row r="49" spans="3:63" x14ac:dyDescent="0.25">
      <c r="C49">
        <f t="shared" si="1"/>
        <v>41</v>
      </c>
      <c r="D49">
        <v>75</v>
      </c>
      <c r="E49">
        <v>1.76</v>
      </c>
      <c r="F49">
        <v>5088.63</v>
      </c>
      <c r="H49" s="7"/>
      <c r="I49" s="23">
        <f>$D49*COS($E49+$F49*'25SolarCoords'!E$7)</f>
        <v>67.946021695706108</v>
      </c>
      <c r="J49" s="23">
        <f>$D49*COS($E49+$F49*'25SolarCoords'!F$7)</f>
        <v>-21.945506772551134</v>
      </c>
      <c r="K49" s="23">
        <f>$D49*COS($E49+$F49*'25SolarCoords'!G$7)</f>
        <v>-14.105762916966007</v>
      </c>
      <c r="L49" s="23">
        <f>$D49*COS($E49+$F49*'25SolarCoords'!H$7)</f>
        <v>-73.642937580532177</v>
      </c>
      <c r="M49" s="23">
        <f>$D49*COS($E49+$F49*'25SolarCoords'!I$7)</f>
        <v>27.065633803953101</v>
      </c>
      <c r="N49" s="23">
        <f>$D49*COS($E49+$F49*'25SolarCoords'!J$7)</f>
        <v>52.379895073053071</v>
      </c>
      <c r="O49" s="23">
        <f>$D49*COS($E49+$F49*'25SolarCoords'!K$7)</f>
        <v>-55.285706747789831</v>
      </c>
      <c r="P49" s="23">
        <f>$D49*COS($E49+$F49*'25SolarCoords'!L$7)</f>
        <v>69.46846996331017</v>
      </c>
      <c r="Q49" s="23">
        <f>$D49*COS($E49+$F49*'25SolarCoords'!M$7)</f>
        <v>-20.090113742913211</v>
      </c>
      <c r="R49" s="23">
        <f>$D49*COS($E49+$F49*'25SolarCoords'!N$7)</f>
        <v>-37.530795841043506</v>
      </c>
      <c r="S49" s="23">
        <f>$D49*COS($E49+$F49*'25SolarCoords'!O$7)</f>
        <v>46.806689515000379</v>
      </c>
      <c r="T49" s="23">
        <f>$D49*COS($E49+$F49*'25SolarCoords'!P$7)</f>
        <v>-48.34403797951488</v>
      </c>
      <c r="U49" s="23">
        <f>$D49*COS($E49+$F49*'25SolarCoords'!Q$7)</f>
        <v>-4.686172180363779</v>
      </c>
      <c r="V49" s="23">
        <f>$D49*COS($E49+$F49*'25SolarCoords'!R$7)</f>
        <v>-3.6428995567407982</v>
      </c>
      <c r="W49" s="23">
        <f>$D49*COS($E49+$F49*'25SolarCoords'!S$7)</f>
        <v>62.023372846775906</v>
      </c>
      <c r="X49" s="23">
        <f>$D49*COS($E49+$F49*'25SolarCoords'!T$7)</f>
        <v>21.736517620906895</v>
      </c>
      <c r="Y49" s="23">
        <f>$D49*COS($E49+$F49*'25SolarCoords'!U$7)</f>
        <v>-49.313641464860439</v>
      </c>
      <c r="Z49" s="23">
        <f>$D49*COS($E49+$F49*'25SolarCoords'!V$7)</f>
        <v>-57.857388827770599</v>
      </c>
      <c r="AA49" s="23">
        <f>$D49*COS($E49+$F49*'25SolarCoords'!W$7)</f>
        <v>73.726270195101179</v>
      </c>
      <c r="AB49" s="23">
        <f>$D49*COS($E49+$F49*'25SolarCoords'!X$7)</f>
        <v>73.991690201491508</v>
      </c>
      <c r="AC49" s="23">
        <f>$D49*COS($E49+$F49*'25SolarCoords'!Y$7)</f>
        <v>1.5044566676252247</v>
      </c>
      <c r="AD49" s="23">
        <f>$D49*COS($E49+$F49*'25SolarCoords'!Z$7)</f>
        <v>64.254112531864749</v>
      </c>
      <c r="AE49" s="23">
        <f>$D49*COS($E49+$F49*'25SolarCoords'!AA$7)</f>
        <v>-13.592301635088075</v>
      </c>
      <c r="AF49" s="23">
        <f>$D49*COS($E49+$F49*'25SolarCoords'!AB$7)</f>
        <v>-66.76635927944065</v>
      </c>
      <c r="AG49" s="23">
        <f>$D49*COS($E49+$F49*'25SolarCoords'!AC$7)</f>
        <v>37.920872617137199</v>
      </c>
      <c r="AH49" s="23">
        <f>$D49*COS($E49+$F49*'25SolarCoords'!AD$7)</f>
        <v>27.07304411456639</v>
      </c>
      <c r="AI49" s="23">
        <f>$D49*COS($E49+$F49*'25SolarCoords'!AE$7)</f>
        <v>4.7939102420153059</v>
      </c>
      <c r="AJ49" s="23">
        <f>$D49*COS($E49+$F49*'25SolarCoords'!AF$7)</f>
        <v>-64.580892717286673</v>
      </c>
      <c r="AK49" s="23">
        <f>$D49*COS($E49+$F49*'25SolarCoords'!AG$7)</f>
        <v>-68.665117472089108</v>
      </c>
      <c r="AL49" s="23">
        <f>$D49*COS($E49+$F49*'25SolarCoords'!AH$7)</f>
        <v>54.200874162061865</v>
      </c>
      <c r="AM49" s="23">
        <f>$D49*COS($E49+$F49*'25SolarCoords'!AI$7)</f>
        <v>74.995536763411991</v>
      </c>
      <c r="AN49" s="23">
        <f>$D49*COS($E49+$F49*'25SolarCoords'!AJ$7)</f>
        <v>53.8865467822054</v>
      </c>
      <c r="AO49" s="23">
        <f>$D49*COS($E49+$F49*'25SolarCoords'!AK$7)</f>
        <v>55.963642527569917</v>
      </c>
      <c r="AP49" s="23">
        <f>$D49*COS($E49+$F49*'25SolarCoords'!AL$7)</f>
        <v>5.7658407080790948</v>
      </c>
      <c r="AQ49" s="23">
        <f>$D49*COS($E49+$F49*'25SolarCoords'!AM$7)</f>
        <v>-10.313989799559629</v>
      </c>
      <c r="AR49" s="23">
        <f>$D49*COS($E49+$F49*'25SolarCoords'!AN$7)</f>
        <v>-74.902119004015205</v>
      </c>
      <c r="AS49" s="23">
        <f>$D49*COS($E49+$F49*'25SolarCoords'!AO$7)</f>
        <v>-48.734220895566743</v>
      </c>
      <c r="AT49" s="23">
        <f>$D49*COS($E49+$F49*'25SolarCoords'!AP$7)</f>
        <v>-27.259256766392483</v>
      </c>
      <c r="AU49" s="23">
        <f>$D49*COS($E49+$F49*'25SolarCoords'!AQ$7)</f>
        <v>-20.270604950338818</v>
      </c>
      <c r="AV49" s="23">
        <f>$D49*COS($E49+$F49*'25SolarCoords'!AR$7)</f>
        <v>-13.243406575967541</v>
      </c>
      <c r="AW49" s="23">
        <f>$D49*COS($E49+$F49*'25SolarCoords'!AS$7)</f>
        <v>-5.1524529371547469</v>
      </c>
      <c r="AX49" s="23">
        <f>$D49*COS($E49+$F49*'25SolarCoords'!AT$7)</f>
        <v>10.126676641724629</v>
      </c>
      <c r="AY49" s="23">
        <f>$D49*COS($E49+$F49*'25SolarCoords'!AU$7)</f>
        <v>-0.6090598853502398</v>
      </c>
      <c r="AZ49" s="23">
        <f>$D49*COS($E49+$F49*'25SolarCoords'!AV$7)</f>
        <v>-57.73947846436603</v>
      </c>
      <c r="BA49" s="23">
        <f>$D49*COS($E49+$F49*'25SolarCoords'!AW$7)</f>
        <v>-45.524577752390833</v>
      </c>
      <c r="BB49" s="23">
        <f>$D49*COS($E49+$F49*'25SolarCoords'!AX$7)</f>
        <v>-29.178164455737893</v>
      </c>
      <c r="BC49" s="23">
        <f>$D49*COS($E49+$F49*'25SolarCoords'!AY$7)</f>
        <v>39.418282300384789</v>
      </c>
      <c r="BD49" s="23">
        <f>$D49*COS($E49+$F49*'25SolarCoords'!AZ$7)</f>
        <v>40.30336680361998</v>
      </c>
      <c r="BE49" s="23">
        <f>$D49*COS($E49+$F49*'25SolarCoords'!BA$7)</f>
        <v>41.1806286262049</v>
      </c>
      <c r="BF49" s="23">
        <f>$D49*COS($E49+$F49*'25SolarCoords'!BB$7)</f>
        <v>42.049897496033218</v>
      </c>
      <c r="BG49" s="23">
        <f>$D49*COS($E49+$F49*'25SolarCoords'!BC$7)</f>
        <v>42.911004692393192</v>
      </c>
      <c r="BH49" s="23">
        <f>$D49*COS($E49+$F49*'25SolarCoords'!BD$7)</f>
        <v>43.763783078712805</v>
      </c>
      <c r="BI49" s="23">
        <f>$D49*COS($E49+$F49*'25SolarCoords'!BE$7)</f>
        <v>44.608067134997533</v>
      </c>
      <c r="BJ49" s="23">
        <f>$D49*COS($E49+$F49*'25SolarCoords'!BF$7)</f>
        <v>45.443692989961328</v>
      </c>
      <c r="BK49" s="23">
        <f>$D49*COS($E49+$F49*'25SolarCoords'!BG$7)</f>
        <v>4.6362793554365771</v>
      </c>
    </row>
    <row r="50" spans="3:63" x14ac:dyDescent="0.25">
      <c r="C50">
        <f t="shared" si="1"/>
        <v>42</v>
      </c>
      <c r="D50">
        <v>74</v>
      </c>
      <c r="E50">
        <v>3.5</v>
      </c>
      <c r="F50">
        <v>3154.69</v>
      </c>
      <c r="H50" s="7"/>
      <c r="I50" s="23">
        <f>$D50*COS($E50+$F50*'25SolarCoords'!E$7)</f>
        <v>-42.840583127735897</v>
      </c>
      <c r="J50" s="23">
        <f>$D50*COS($E50+$F50*'25SolarCoords'!F$7)</f>
        <v>-48.302632284363206</v>
      </c>
      <c r="K50" s="23">
        <f>$D50*COS($E50+$F50*'25SolarCoords'!G$7)</f>
        <v>-69.29779485951893</v>
      </c>
      <c r="L50" s="23">
        <f>$D50*COS($E50+$F50*'25SolarCoords'!H$7)</f>
        <v>69.685745186426288</v>
      </c>
      <c r="M50" s="23">
        <f>$D50*COS($E50+$F50*'25SolarCoords'!I$7)</f>
        <v>67.850813298791252</v>
      </c>
      <c r="N50" s="23">
        <f>$D50*COS($E50+$F50*'25SolarCoords'!J$7)</f>
        <v>-5.8524395107748068</v>
      </c>
      <c r="O50" s="23">
        <f>$D50*COS($E50+$F50*'25SolarCoords'!K$7)</f>
        <v>-67.523713825361611</v>
      </c>
      <c r="P50" s="23">
        <f>$D50*COS($E50+$F50*'25SolarCoords'!L$7)</f>
        <v>7.2952497812972137</v>
      </c>
      <c r="Q50" s="23">
        <f>$D50*COS($E50+$F50*'25SolarCoords'!M$7)</f>
        <v>-43.224412777362119</v>
      </c>
      <c r="R50" s="23">
        <f>$D50*COS($E50+$F50*'25SolarCoords'!N$7)</f>
        <v>-10.805891101298183</v>
      </c>
      <c r="S50" s="23">
        <f>$D50*COS($E50+$F50*'25SolarCoords'!O$7)</f>
        <v>10.004519124574765</v>
      </c>
      <c r="T50" s="23">
        <f>$D50*COS($E50+$F50*'25SolarCoords'!P$7)</f>
        <v>17.263677579546989</v>
      </c>
      <c r="U50" s="23">
        <f>$D50*COS($E50+$F50*'25SolarCoords'!Q$7)</f>
        <v>43.415895687066218</v>
      </c>
      <c r="V50" s="23">
        <f>$D50*COS($E50+$F50*'25SolarCoords'!R$7)</f>
        <v>42.896702373057416</v>
      </c>
      <c r="W50" s="23">
        <f>$D50*COS($E50+$F50*'25SolarCoords'!S$7)</f>
        <v>-63.290293565789995</v>
      </c>
      <c r="X50" s="23">
        <f>$D50*COS($E50+$F50*'25SolarCoords'!T$7)</f>
        <v>-60.357030218023553</v>
      </c>
      <c r="Y50" s="23">
        <f>$D50*COS($E50+$F50*'25SolarCoords'!U$7)</f>
        <v>49.418103859043164</v>
      </c>
      <c r="Z50" s="23">
        <f>$D50*COS($E50+$F50*'25SolarCoords'!V$7)</f>
        <v>-64.00077083044026</v>
      </c>
      <c r="AA50" s="23">
        <f>$D50*COS($E50+$F50*'25SolarCoords'!W$7)</f>
        <v>37.393106438987857</v>
      </c>
      <c r="AB50" s="23">
        <f>$D50*COS($E50+$F50*'25SolarCoords'!X$7)</f>
        <v>-31.553333386520876</v>
      </c>
      <c r="AC50" s="23">
        <f>$D50*COS($E50+$F50*'25SolarCoords'!Y$7)</f>
        <v>66.697461179068753</v>
      </c>
      <c r="AD50" s="23">
        <f>$D50*COS($E50+$F50*'25SolarCoords'!Z$7)</f>
        <v>-44.217641477746838</v>
      </c>
      <c r="AE50" s="23">
        <f>$D50*COS($E50+$F50*'25SolarCoords'!AA$7)</f>
        <v>-69.409248679225499</v>
      </c>
      <c r="AF50" s="23">
        <f>$D50*COS($E50+$F50*'25SolarCoords'!AB$7)</f>
        <v>-19.037850088611471</v>
      </c>
      <c r="AG50" s="23">
        <f>$D50*COS($E50+$F50*'25SolarCoords'!AC$7)</f>
        <v>69.925791075914773</v>
      </c>
      <c r="AH50" s="23">
        <f>$D50*COS($E50+$F50*'25SolarCoords'!AD$7)</f>
        <v>-29.260991874531634</v>
      </c>
      <c r="AI50" s="23">
        <f>$D50*COS($E50+$F50*'25SolarCoords'!AE$7)</f>
        <v>65.800465295656906</v>
      </c>
      <c r="AJ50" s="23">
        <f>$D50*COS($E50+$F50*'25SolarCoords'!AF$7)</f>
        <v>72.992034894896491</v>
      </c>
      <c r="AK50" s="23">
        <f>$D50*COS($E50+$F50*'25SolarCoords'!AG$7)</f>
        <v>67.505659308961057</v>
      </c>
      <c r="AL50" s="23">
        <f>$D50*COS($E50+$F50*'25SolarCoords'!AH$7)</f>
        <v>54.247808009826883</v>
      </c>
      <c r="AM50" s="23">
        <f>$D50*COS($E50+$F50*'25SolarCoords'!AI$7)</f>
        <v>-37.760881288385235</v>
      </c>
      <c r="AN50" s="23">
        <f>$D50*COS($E50+$F50*'25SolarCoords'!AJ$7)</f>
        <v>19.414326747041002</v>
      </c>
      <c r="AO50" s="23">
        <f>$D50*COS($E50+$F50*'25SolarCoords'!AK$7)</f>
        <v>31.912401973328542</v>
      </c>
      <c r="AP50" s="23">
        <f>$D50*COS($E50+$F50*'25SolarCoords'!AL$7)</f>
        <v>58.854341296397727</v>
      </c>
      <c r="AQ50" s="23">
        <f>$D50*COS($E50+$F50*'25SolarCoords'!AM$7)</f>
        <v>72.848731115578047</v>
      </c>
      <c r="AR50" s="23">
        <f>$D50*COS($E50+$F50*'25SolarCoords'!AN$7)</f>
        <v>-27.966086637538019</v>
      </c>
      <c r="AS50" s="23">
        <f>$D50*COS($E50+$F50*'25SolarCoords'!AO$7)</f>
        <v>62.746686783058657</v>
      </c>
      <c r="AT50" s="23">
        <f>$D50*COS($E50+$F50*'25SolarCoords'!AP$7)</f>
        <v>72.75162226930226</v>
      </c>
      <c r="AU50" s="23">
        <f>$D50*COS($E50+$F50*'25SolarCoords'!AQ$7)</f>
        <v>73.440893984982097</v>
      </c>
      <c r="AV50" s="23">
        <f>$D50*COS($E50+$F50*'25SolarCoords'!AR$7)</f>
        <v>73.851398985233132</v>
      </c>
      <c r="AW50" s="23">
        <f>$D50*COS($E50+$F50*'25SolarCoords'!AS$7)</f>
        <v>73.999396495815347</v>
      </c>
      <c r="AX50" s="23">
        <f>$D50*COS($E50+$F50*'25SolarCoords'!AT$7)</f>
        <v>73.36956303696455</v>
      </c>
      <c r="AY50" s="23">
        <f>$D50*COS($E50+$F50*'25SolarCoords'!AU$7)</f>
        <v>18.999675434847045</v>
      </c>
      <c r="AZ50" s="23">
        <f>$D50*COS($E50+$F50*'25SolarCoords'!AV$7)</f>
        <v>-55.55988348862526</v>
      </c>
      <c r="BA50" s="23">
        <f>$D50*COS($E50+$F50*'25SolarCoords'!AW$7)</f>
        <v>66.290425846207754</v>
      </c>
      <c r="BB50" s="23">
        <f>$D50*COS($E50+$F50*'25SolarCoords'!AX$7)</f>
        <v>56.805820951021239</v>
      </c>
      <c r="BC50" s="23">
        <f>$D50*COS($E50+$F50*'25SolarCoords'!AY$7)</f>
        <v>68.450643088936786</v>
      </c>
      <c r="BD50" s="23">
        <f>$D50*COS($E50+$F50*'25SolarCoords'!AZ$7)</f>
        <v>68.20525307486291</v>
      </c>
      <c r="BE50" s="23">
        <f>$D50*COS($E50+$F50*'25SolarCoords'!BA$7)</f>
        <v>67.954775049644283</v>
      </c>
      <c r="BF50" s="23">
        <f>$D50*COS($E50+$F50*'25SolarCoords'!BB$7)</f>
        <v>67.699227698571619</v>
      </c>
      <c r="BG50" s="23">
        <f>$D50*COS($E50+$F50*'25SolarCoords'!BC$7)</f>
        <v>67.438630085100328</v>
      </c>
      <c r="BH50" s="23">
        <f>$D50*COS($E50+$F50*'25SolarCoords'!BD$7)</f>
        <v>67.173001649426212</v>
      </c>
      <c r="BI50" s="23">
        <f>$D50*COS($E50+$F50*'25SolarCoords'!BE$7)</f>
        <v>66.902362207039971</v>
      </c>
      <c r="BJ50" s="23">
        <f>$D50*COS($E50+$F50*'25SolarCoords'!BF$7)</f>
        <v>66.626731947242988</v>
      </c>
      <c r="BK50" s="23">
        <f>$D50*COS($E50+$F50*'25SolarCoords'!BG$7)</f>
        <v>65.844611499656295</v>
      </c>
    </row>
    <row r="51" spans="3:63" x14ac:dyDescent="0.25">
      <c r="C51">
        <f t="shared" si="1"/>
        <v>43</v>
      </c>
      <c r="D51">
        <v>74</v>
      </c>
      <c r="E51">
        <v>4.68</v>
      </c>
      <c r="F51">
        <v>801.82</v>
      </c>
      <c r="H51" s="7"/>
      <c r="I51" s="23">
        <f>$D51*COS($E51+$F51*'25SolarCoords'!E$7)</f>
        <v>-45.083060795539147</v>
      </c>
      <c r="J51" s="23">
        <f>$D51*COS($E51+$F51*'25SolarCoords'!F$7)</f>
        <v>72.95064353988792</v>
      </c>
      <c r="K51" s="23">
        <f>$D51*COS($E51+$F51*'25SolarCoords'!G$7)</f>
        <v>-2.3963655142196298</v>
      </c>
      <c r="L51" s="23">
        <f>$D51*COS($E51+$F51*'25SolarCoords'!H$7)</f>
        <v>-54.843910690039316</v>
      </c>
      <c r="M51" s="23">
        <f>$D51*COS($E51+$F51*'25SolarCoords'!I$7)</f>
        <v>61.23926474399461</v>
      </c>
      <c r="N51" s="23">
        <f>$D51*COS($E51+$F51*'25SolarCoords'!J$7)</f>
        <v>45.354432700590628</v>
      </c>
      <c r="O51" s="23">
        <f>$D51*COS($E51+$F51*'25SolarCoords'!K$7)</f>
        <v>12.772627600409324</v>
      </c>
      <c r="P51" s="23">
        <f>$D51*COS($E51+$F51*'25SolarCoords'!L$7)</f>
        <v>-10.60044652770811</v>
      </c>
      <c r="Q51" s="23">
        <f>$D51*COS($E51+$F51*'25SolarCoords'!M$7)</f>
        <v>73.610255059078995</v>
      </c>
      <c r="R51" s="23">
        <f>$D51*COS($E51+$F51*'25SolarCoords'!N$7)</f>
        <v>-22.746940194074337</v>
      </c>
      <c r="S51" s="23">
        <f>$D51*COS($E51+$F51*'25SolarCoords'!O$7)</f>
        <v>34.749313399342213</v>
      </c>
      <c r="T51" s="23">
        <f>$D51*COS($E51+$F51*'25SolarCoords'!P$7)</f>
        <v>-50.497878702946899</v>
      </c>
      <c r="U51" s="23">
        <f>$D51*COS($E51+$F51*'25SolarCoords'!Q$7)</f>
        <v>70.789059302468829</v>
      </c>
      <c r="V51" s="23">
        <f>$D51*COS($E51+$F51*'25SolarCoords'!R$7)</f>
        <v>70.836222416018302</v>
      </c>
      <c r="W51" s="23">
        <f>$D51*COS($E51+$F51*'25SolarCoords'!S$7)</f>
        <v>73.158094188544084</v>
      </c>
      <c r="X51" s="23">
        <f>$D51*COS($E51+$F51*'25SolarCoords'!T$7)</f>
        <v>66.753277688718924</v>
      </c>
      <c r="Y51" s="23">
        <f>$D51*COS($E51+$F51*'25SolarCoords'!U$7)</f>
        <v>47.459479270808046</v>
      </c>
      <c r="Z51" s="23">
        <f>$D51*COS($E51+$F51*'25SolarCoords'!V$7)</f>
        <v>19.843297214481787</v>
      </c>
      <c r="AA51" s="23">
        <f>$D51*COS($E51+$F51*'25SolarCoords'!W$7)</f>
        <v>53.825739001484692</v>
      </c>
      <c r="AB51" s="23">
        <f>$D51*COS($E51+$F51*'25SolarCoords'!X$7)</f>
        <v>4.3675727383115985</v>
      </c>
      <c r="AC51" s="23">
        <f>$D51*COS($E51+$F51*'25SolarCoords'!Y$7)</f>
        <v>33.819524282414058</v>
      </c>
      <c r="AD51" s="23">
        <f>$D51*COS($E51+$F51*'25SolarCoords'!Z$7)</f>
        <v>-47.050893764855296</v>
      </c>
      <c r="AE51" s="23">
        <f>$D51*COS($E51+$F51*'25SolarCoords'!AA$7)</f>
        <v>-2.4775462039970559</v>
      </c>
      <c r="AF51" s="23">
        <f>$D51*COS($E51+$F51*'25SolarCoords'!AB$7)</f>
        <v>68.36858763437661</v>
      </c>
      <c r="AG51" s="23">
        <f>$D51*COS($E51+$F51*'25SolarCoords'!AC$7)</f>
        <v>70.645976442712069</v>
      </c>
      <c r="AH51" s="23">
        <f>$D51*COS($E51+$F51*'25SolarCoords'!AD$7)</f>
        <v>-1.1336994834183944</v>
      </c>
      <c r="AI51" s="23">
        <f>$D51*COS($E51+$F51*'25SolarCoords'!AE$7)</f>
        <v>34.274027556406082</v>
      </c>
      <c r="AJ51" s="23">
        <f>$D51*COS($E51+$F51*'25SolarCoords'!AF$7)</f>
        <v>42.529281536518468</v>
      </c>
      <c r="AK51" s="23">
        <f>$D51*COS($E51+$F51*'25SolarCoords'!AG$7)</f>
        <v>33.049880141765229</v>
      </c>
      <c r="AL51" s="23">
        <f>$D51*COS($E51+$F51*'25SolarCoords'!AH$7)</f>
        <v>-54.935931104162265</v>
      </c>
      <c r="AM51" s="23">
        <f>$D51*COS($E51+$F51*'25SolarCoords'!AI$7)</f>
        <v>2.5826433776836715</v>
      </c>
      <c r="AN51" s="23">
        <f>$D51*COS($E51+$F51*'25SolarCoords'!AJ$7)</f>
        <v>58.059760440650734</v>
      </c>
      <c r="AO51" s="23">
        <f>$D51*COS($E51+$F51*'25SolarCoords'!AK$7)</f>
        <v>-73.444334805316657</v>
      </c>
      <c r="AP51" s="23">
        <f>$D51*COS($E51+$F51*'25SolarCoords'!AL$7)</f>
        <v>-68.760864176893676</v>
      </c>
      <c r="AQ51" s="23">
        <f>$D51*COS($E51+$F51*'25SolarCoords'!AM$7)</f>
        <v>72.347629703193476</v>
      </c>
      <c r="AR51" s="23">
        <f>$D51*COS($E51+$F51*'25SolarCoords'!AN$7)</f>
        <v>13.048559063257468</v>
      </c>
      <c r="AS51" s="23">
        <f>$D51*COS($E51+$F51*'25SolarCoords'!AO$7)</f>
        <v>-43.287468657739552</v>
      </c>
      <c r="AT51" s="23">
        <f>$D51*COS($E51+$F51*'25SolarCoords'!AP$7)</f>
        <v>-45.048325176983397</v>
      </c>
      <c r="AU51" s="23">
        <f>$D51*COS($E51+$F51*'25SolarCoords'!AQ$7)</f>
        <v>-44.133638815148508</v>
      </c>
      <c r="AV51" s="23">
        <f>$D51*COS($E51+$F51*'25SolarCoords'!AR$7)</f>
        <v>-43.228510931423919</v>
      </c>
      <c r="AW51" s="23">
        <f>$D51*COS($E51+$F51*'25SolarCoords'!AS$7)</f>
        <v>-42.19296610730305</v>
      </c>
      <c r="AX51" s="23">
        <f>$D51*COS($E51+$F51*'25SolarCoords'!AT$7)</f>
        <v>-40.215501845784708</v>
      </c>
      <c r="AY51" s="23">
        <f>$D51*COS($E51+$F51*'25SolarCoords'!AU$7)</f>
        <v>-44.290528164293463</v>
      </c>
      <c r="AZ51" s="23">
        <f>$D51*COS($E51+$F51*'25SolarCoords'!AV$7)</f>
        <v>-69.933555209495623</v>
      </c>
      <c r="BA51" s="23">
        <f>$D51*COS($E51+$F51*'25SolarCoords'!AW$7)</f>
        <v>-70.558449302483751</v>
      </c>
      <c r="BB51" s="23">
        <f>$D51*COS($E51+$F51*'25SolarCoords'!AX$7)</f>
        <v>-20.146204045830462</v>
      </c>
      <c r="BC51" s="23">
        <f>$D51*COS($E51+$F51*'25SolarCoords'!AY$7)</f>
        <v>-36.040280240611132</v>
      </c>
      <c r="BD51" s="23">
        <f>$D51*COS($E51+$F51*'25SolarCoords'!AZ$7)</f>
        <v>-35.898312590017092</v>
      </c>
      <c r="BE51" s="23">
        <f>$D51*COS($E51+$F51*'25SolarCoords'!BA$7)</f>
        <v>-35.756171938993745</v>
      </c>
      <c r="BF51" s="23">
        <f>$D51*COS($E51+$F51*'25SolarCoords'!BB$7)</f>
        <v>-35.613858972542715</v>
      </c>
      <c r="BG51" s="23">
        <f>$D51*COS($E51+$F51*'25SolarCoords'!BC$7)</f>
        <v>-35.471374376495319</v>
      </c>
      <c r="BH51" s="23">
        <f>$D51*COS($E51+$F51*'25SolarCoords'!BD$7)</f>
        <v>-35.328718837510714</v>
      </c>
      <c r="BI51" s="23">
        <f>$D51*COS($E51+$F51*'25SolarCoords'!BE$7)</f>
        <v>-35.18589304307185</v>
      </c>
      <c r="BJ51" s="23">
        <f>$D51*COS($E51+$F51*'25SolarCoords'!BF$7)</f>
        <v>-35.042897681481463</v>
      </c>
      <c r="BK51" s="23">
        <f>$D51*COS($E51+$F51*'25SolarCoords'!BG$7)</f>
        <v>34.252262832814381</v>
      </c>
    </row>
    <row r="52" spans="3:63" x14ac:dyDescent="0.25">
      <c r="C52">
        <f t="shared" si="1"/>
        <v>44</v>
      </c>
      <c r="D52">
        <v>70</v>
      </c>
      <c r="E52">
        <v>0.83</v>
      </c>
      <c r="F52">
        <v>9437.76</v>
      </c>
      <c r="H52" s="7"/>
      <c r="I52" s="23">
        <f>$D52*COS($E52+$F52*'25SolarCoords'!E$7)</f>
        <v>-28.748031084654802</v>
      </c>
      <c r="J52" s="23">
        <f>$D52*COS($E52+$F52*'25SolarCoords'!F$7)</f>
        <v>-41.601293686428804</v>
      </c>
      <c r="K52" s="23">
        <f>$D52*COS($E52+$F52*'25SolarCoords'!G$7)</f>
        <v>47.241303204988704</v>
      </c>
      <c r="L52" s="23">
        <f>$D52*COS($E52+$F52*'25SolarCoords'!H$7)</f>
        <v>-48.236583710909926</v>
      </c>
      <c r="M52" s="23">
        <f>$D52*COS($E52+$F52*'25SolarCoords'!I$7)</f>
        <v>-16.924880406060648</v>
      </c>
      <c r="N52" s="23">
        <f>$D52*COS($E52+$F52*'25SolarCoords'!J$7)</f>
        <v>-22.160841072996853</v>
      </c>
      <c r="O52" s="23">
        <f>$D52*COS($E52+$F52*'25SolarCoords'!K$7)</f>
        <v>16.481512445017177</v>
      </c>
      <c r="P52" s="23">
        <f>$D52*COS($E52+$F52*'25SolarCoords'!L$7)</f>
        <v>24.297646127877957</v>
      </c>
      <c r="Q52" s="23">
        <f>$D52*COS($E52+$F52*'25SolarCoords'!M$7)</f>
        <v>62.869531858706452</v>
      </c>
      <c r="R52" s="23">
        <f>$D52*COS($E52+$F52*'25SolarCoords'!N$7)</f>
        <v>-28.170196277927101</v>
      </c>
      <c r="S52" s="23">
        <f>$D52*COS($E52+$F52*'25SolarCoords'!O$7)</f>
        <v>28.587549427871821</v>
      </c>
      <c r="T52" s="23">
        <f>$D52*COS($E52+$F52*'25SolarCoords'!P$7)</f>
        <v>-24.943143534394462</v>
      </c>
      <c r="U52" s="23">
        <f>$D52*COS($E52+$F52*'25SolarCoords'!Q$7)</f>
        <v>20.400037315517849</v>
      </c>
      <c r="V52" s="23">
        <f>$D52*COS($E52+$F52*'25SolarCoords'!R$7)</f>
        <v>22.123264377300615</v>
      </c>
      <c r="W52" s="23">
        <f>$D52*COS($E52+$F52*'25SolarCoords'!S$7)</f>
        <v>13.458981624114223</v>
      </c>
      <c r="X52" s="23">
        <f>$D52*COS($E52+$F52*'25SolarCoords'!T$7)</f>
        <v>9.7888746737038446</v>
      </c>
      <c r="Y52" s="23">
        <f>$D52*COS($E52+$F52*'25SolarCoords'!U$7)</f>
        <v>-62.437157702236348</v>
      </c>
      <c r="Z52" s="23">
        <f>$D52*COS($E52+$F52*'25SolarCoords'!V$7)</f>
        <v>-28.81525375273841</v>
      </c>
      <c r="AA52" s="23">
        <f>$D52*COS($E52+$F52*'25SolarCoords'!W$7)</f>
        <v>69.822346988035434</v>
      </c>
      <c r="AB52" s="23">
        <f>$D52*COS($E52+$F52*'25SolarCoords'!X$7)</f>
        <v>-68.50235533159649</v>
      </c>
      <c r="AC52" s="23">
        <f>$D52*COS($E52+$F52*'25SolarCoords'!Y$7)</f>
        <v>9.0632569274018167</v>
      </c>
      <c r="AD52" s="23">
        <f>$D52*COS($E52+$F52*'25SolarCoords'!Z$7)</f>
        <v>12.704629545895672</v>
      </c>
      <c r="AE52" s="23">
        <f>$D52*COS($E52+$F52*'25SolarCoords'!AA$7)</f>
        <v>47.904705953106181</v>
      </c>
      <c r="AF52" s="23">
        <f>$D52*COS($E52+$F52*'25SolarCoords'!AB$7)</f>
        <v>11.945504362061824</v>
      </c>
      <c r="AG52" s="23">
        <f>$D52*COS($E52+$F52*'25SolarCoords'!AC$7)</f>
        <v>-54.015584674519602</v>
      </c>
      <c r="AH52" s="23">
        <f>$D52*COS($E52+$F52*'25SolarCoords'!AD$7)</f>
        <v>-64.09502354818143</v>
      </c>
      <c r="AI52" s="23">
        <f>$D52*COS($E52+$F52*'25SolarCoords'!AE$7)</f>
        <v>14.678643823305514</v>
      </c>
      <c r="AJ52" s="23">
        <f>$D52*COS($E52+$F52*'25SolarCoords'!AF$7)</f>
        <v>-63.465691585332273</v>
      </c>
      <c r="AK52" s="23">
        <f>$D52*COS($E52+$F52*'25SolarCoords'!AG$7)</f>
        <v>-17.267238536237304</v>
      </c>
      <c r="AL52" s="23">
        <f>$D52*COS($E52+$F52*'25SolarCoords'!AH$7)</f>
        <v>42.941239400670881</v>
      </c>
      <c r="AM52" s="23">
        <f>$D52*COS($E52+$F52*'25SolarCoords'!AI$7)</f>
        <v>-69.792569739182753</v>
      </c>
      <c r="AN52" s="23">
        <f>$D52*COS($E52+$F52*'25SolarCoords'!AJ$7)</f>
        <v>53.326673234322179</v>
      </c>
      <c r="AO52" s="23">
        <f>$D52*COS($E52+$F52*'25SolarCoords'!AK$7)</f>
        <v>4.4702615473158787</v>
      </c>
      <c r="AP52" s="23">
        <f>$D52*COS($E52+$F52*'25SolarCoords'!AL$7)</f>
        <v>26.22017602760371</v>
      </c>
      <c r="AQ52" s="23">
        <f>$D52*COS($E52+$F52*'25SolarCoords'!AM$7)</f>
        <v>43.099740791567349</v>
      </c>
      <c r="AR52" s="23">
        <f>$D52*COS($E52+$F52*'25SolarCoords'!AN$7)</f>
        <v>-69.149433985199906</v>
      </c>
      <c r="AS52" s="23">
        <f>$D52*COS($E52+$F52*'25SolarCoords'!AO$7)</f>
        <v>-64.318058365962031</v>
      </c>
      <c r="AT52" s="23">
        <f>$D52*COS($E52+$F52*'25SolarCoords'!AP$7)</f>
        <v>-12.232311336064974</v>
      </c>
      <c r="AU52" s="23">
        <f>$D52*COS($E52+$F52*'25SolarCoords'!AQ$7)</f>
        <v>-24.52542552575731</v>
      </c>
      <c r="AV52" s="23">
        <f>$D52*COS($E52+$F52*'25SolarCoords'!AR$7)</f>
        <v>-35.768389843594377</v>
      </c>
      <c r="AW52" s="23">
        <f>$D52*COS($E52+$F52*'25SolarCoords'!AS$7)</f>
        <v>-47.098127793476543</v>
      </c>
      <c r="AX52" s="23">
        <f>$D52*COS($E52+$F52*'25SolarCoords'!AT$7)</f>
        <v>-62.907075156173192</v>
      </c>
      <c r="AY52" s="23">
        <f>$D52*COS($E52+$F52*'25SolarCoords'!AU$7)</f>
        <v>22.33358879864732</v>
      </c>
      <c r="AZ52" s="23">
        <f>$D52*COS($E52+$F52*'25SolarCoords'!AV$7)</f>
        <v>-49.107367643938517</v>
      </c>
      <c r="BA52" s="23">
        <f>$D52*COS($E52+$F52*'25SolarCoords'!AW$7)</f>
        <v>-69.758649683773029</v>
      </c>
      <c r="BB52" s="23">
        <f>$D52*COS($E52+$F52*'25SolarCoords'!AX$7)</f>
        <v>68.917581784178466</v>
      </c>
      <c r="BC52" s="23">
        <f>$D52*COS($E52+$F52*'25SolarCoords'!AY$7)</f>
        <v>-66.421939742033473</v>
      </c>
      <c r="BD52" s="23">
        <f>$D52*COS($E52+$F52*'25SolarCoords'!AZ$7)</f>
        <v>-65.828951006474</v>
      </c>
      <c r="BE52" s="23">
        <f>$D52*COS($E52+$F52*'25SolarCoords'!BA$7)</f>
        <v>-65.192013151272732</v>
      </c>
      <c r="BF52" s="23">
        <f>$D52*COS($E52+$F52*'25SolarCoords'!BB$7)</f>
        <v>-64.511551412707433</v>
      </c>
      <c r="BG52" s="23">
        <f>$D52*COS($E52+$F52*'25SolarCoords'!BC$7)</f>
        <v>-63.788020084730164</v>
      </c>
      <c r="BH52" s="23">
        <f>$D52*COS($E52+$F52*'25SolarCoords'!BD$7)</f>
        <v>-63.021902215670821</v>
      </c>
      <c r="BI52" s="23">
        <f>$D52*COS($E52+$F52*'25SolarCoords'!BE$7)</f>
        <v>-62.213709285745054</v>
      </c>
      <c r="BJ52" s="23">
        <f>$D52*COS($E52+$F52*'25SolarCoords'!BF$7)</f>
        <v>-61.363980865568159</v>
      </c>
      <c r="BK52" s="23">
        <f>$D52*COS($E52+$F52*'25SolarCoords'!BG$7)</f>
        <v>14.411206358930265</v>
      </c>
    </row>
    <row r="53" spans="3:63" x14ac:dyDescent="0.25">
      <c r="C53">
        <f t="shared" si="1"/>
        <v>45</v>
      </c>
      <c r="D53">
        <v>62</v>
      </c>
      <c r="E53">
        <v>3.98</v>
      </c>
      <c r="F53">
        <v>8827.39</v>
      </c>
      <c r="H53" s="7"/>
      <c r="I53" s="23">
        <f>$D53*COS($E53+$F53*'25SolarCoords'!E$7)</f>
        <v>-14.45882175823586</v>
      </c>
      <c r="J53" s="23">
        <f>$D53*COS($E53+$F53*'25SolarCoords'!F$7)</f>
        <v>11.657585852378858</v>
      </c>
      <c r="K53" s="23">
        <f>$D53*COS($E53+$F53*'25SolarCoords'!G$7)</f>
        <v>-41.456172115907776</v>
      </c>
      <c r="L53" s="23">
        <f>$D53*COS($E53+$F53*'25SolarCoords'!H$7)</f>
        <v>8.7157040785881392</v>
      </c>
      <c r="M53" s="23">
        <f>$D53*COS($E53+$F53*'25SolarCoords'!I$7)</f>
        <v>-60.788651640595305</v>
      </c>
      <c r="N53" s="23">
        <f>$D53*COS($E53+$F53*'25SolarCoords'!J$7)</f>
        <v>61.488608116369164</v>
      </c>
      <c r="O53" s="23">
        <f>$D53*COS($E53+$F53*'25SolarCoords'!K$7)</f>
        <v>43.13220977908621</v>
      </c>
      <c r="P53" s="23">
        <f>$D53*COS($E53+$F53*'25SolarCoords'!L$7)</f>
        <v>-55.807891814343435</v>
      </c>
      <c r="Q53" s="23">
        <f>$D53*COS($E53+$F53*'25SolarCoords'!M$7)</f>
        <v>38.587039076907196</v>
      </c>
      <c r="R53" s="23">
        <f>$D53*COS($E53+$F53*'25SolarCoords'!N$7)</f>
        <v>-28.510693516736442</v>
      </c>
      <c r="S53" s="23">
        <f>$D53*COS($E53+$F53*'25SolarCoords'!O$7)</f>
        <v>54.718048067728226</v>
      </c>
      <c r="T53" s="23">
        <f>$D53*COS($E53+$F53*'25SolarCoords'!P$7)</f>
        <v>39.160519998393724</v>
      </c>
      <c r="U53" s="23">
        <f>$D53*COS($E53+$F53*'25SolarCoords'!Q$7)</f>
        <v>-56.668126979560462</v>
      </c>
      <c r="V53" s="23">
        <f>$D53*COS($E53+$F53*'25SolarCoords'!R$7)</f>
        <v>-57.259442435826422</v>
      </c>
      <c r="W53" s="23">
        <f>$D53*COS($E53+$F53*'25SolarCoords'!S$7)</f>
        <v>-34.023146348529693</v>
      </c>
      <c r="X53" s="23">
        <f>$D53*COS($E53+$F53*'25SolarCoords'!T$7)</f>
        <v>39.460255137658677</v>
      </c>
      <c r="Y53" s="23">
        <f>$D53*COS($E53+$F53*'25SolarCoords'!U$7)</f>
        <v>-47.710634619962534</v>
      </c>
      <c r="Z53" s="23">
        <f>$D53*COS($E53+$F53*'25SolarCoords'!V$7)</f>
        <v>33.850984263218805</v>
      </c>
      <c r="AA53" s="23">
        <f>$D53*COS($E53+$F53*'25SolarCoords'!W$7)</f>
        <v>-0.28060366370629003</v>
      </c>
      <c r="AB53" s="23">
        <f>$D53*COS($E53+$F53*'25SolarCoords'!X$7)</f>
        <v>13.323784448085959</v>
      </c>
      <c r="AC53" s="23">
        <f>$D53*COS($E53+$F53*'25SolarCoords'!Y$7)</f>
        <v>-61.959767272496862</v>
      </c>
      <c r="AD53" s="23">
        <f>$D53*COS($E53+$F53*'25SolarCoords'!Z$7)</f>
        <v>-58.7344046038491</v>
      </c>
      <c r="AE53" s="23">
        <f>$D53*COS($E53+$F53*'25SolarCoords'!AA$7)</f>
        <v>-42.010229003519186</v>
      </c>
      <c r="AF53" s="23">
        <f>$D53*COS($E53+$F53*'25SolarCoords'!AB$7)</f>
        <v>-19.398074606026285</v>
      </c>
      <c r="AG53" s="23">
        <f>$D53*COS($E53+$F53*'25SolarCoords'!AC$7)</f>
        <v>58.263911919563135</v>
      </c>
      <c r="AH53" s="23">
        <f>$D53*COS($E53+$F53*'25SolarCoords'!AD$7)</f>
        <v>17.952942652960942</v>
      </c>
      <c r="AI53" s="23">
        <f>$D53*COS($E53+$F53*'25SolarCoords'!AE$7)</f>
        <v>-61.950083629191184</v>
      </c>
      <c r="AJ53" s="23">
        <f>$D53*COS($E53+$F53*'25SolarCoords'!AF$7)</f>
        <v>1.4729312336163018</v>
      </c>
      <c r="AK53" s="23">
        <f>$D53*COS($E53+$F53*'25SolarCoords'!AG$7)</f>
        <v>-61.92596695706419</v>
      </c>
      <c r="AL53" s="23">
        <f>$D53*COS($E53+$F53*'25SolarCoords'!AH$7)</f>
        <v>13.482320207349433</v>
      </c>
      <c r="AM53" s="23">
        <f>$D53*COS($E53+$F53*'25SolarCoords'!AI$7)</f>
        <v>-3.0528641629947675</v>
      </c>
      <c r="AN53" s="23">
        <f>$D53*COS($E53+$F53*'25SolarCoords'!AJ$7)</f>
        <v>-4.4819518592369407</v>
      </c>
      <c r="AO53" s="23">
        <f>$D53*COS($E53+$F53*'25SolarCoords'!AK$7)</f>
        <v>57.836551948807369</v>
      </c>
      <c r="AP53" s="23">
        <f>$D53*COS($E53+$F53*'25SolarCoords'!AL$7)</f>
        <v>-51.930146991461669</v>
      </c>
      <c r="AQ53" s="23">
        <f>$D53*COS($E53+$F53*'25SolarCoords'!AM$7)</f>
        <v>-59.405528442350509</v>
      </c>
      <c r="AR53" s="23">
        <f>$D53*COS($E53+$F53*'25SolarCoords'!AN$7)</f>
        <v>61.99926598063891</v>
      </c>
      <c r="AS53" s="23">
        <f>$D53*COS($E53+$F53*'25SolarCoords'!AO$7)</f>
        <v>-0.58895410010622407</v>
      </c>
      <c r="AT53" s="23">
        <f>$D53*COS($E53+$F53*'25SolarCoords'!AP$7)</f>
        <v>-55.936981311748433</v>
      </c>
      <c r="AU53" s="23">
        <f>$D53*COS($E53+$F53*'25SolarCoords'!AQ$7)</f>
        <v>-50.588012678975957</v>
      </c>
      <c r="AV53" s="23">
        <f>$D53*COS($E53+$F53*'25SolarCoords'!AR$7)</f>
        <v>-43.933497388923541</v>
      </c>
      <c r="AW53" s="23">
        <f>$D53*COS($E53+$F53*'25SolarCoords'!AS$7)</f>
        <v>-34.949316069728859</v>
      </c>
      <c r="AX53" s="23">
        <f>$D53*COS($E53+$F53*'25SolarCoords'!AT$7)</f>
        <v>-15.017048570003597</v>
      </c>
      <c r="AY53" s="23">
        <f>$D53*COS($E53+$F53*'25SolarCoords'!AU$7)</f>
        <v>-12.496798037291095</v>
      </c>
      <c r="AZ53" s="23">
        <f>$D53*COS($E53+$F53*'25SolarCoords'!AV$7)</f>
        <v>-37.791186841921565</v>
      </c>
      <c r="BA53" s="23">
        <f>$D53*COS($E53+$F53*'25SolarCoords'!AW$7)</f>
        <v>-29.143072014944284</v>
      </c>
      <c r="BB53" s="23">
        <f>$D53*COS($E53+$F53*'25SolarCoords'!AX$7)</f>
        <v>-44.455276194413024</v>
      </c>
      <c r="BC53" s="23">
        <f>$D53*COS($E53+$F53*'25SolarCoords'!AY$7)</f>
        <v>28.652237771752368</v>
      </c>
      <c r="BD53" s="23">
        <f>$D53*COS($E53+$F53*'25SolarCoords'!AZ$7)</f>
        <v>29.972556548648281</v>
      </c>
      <c r="BE53" s="23">
        <f>$D53*COS($E53+$F53*'25SolarCoords'!BA$7)</f>
        <v>31.275369329394227</v>
      </c>
      <c r="BF53" s="23">
        <f>$D53*COS($E53+$F53*'25SolarCoords'!BB$7)</f>
        <v>32.559915183385712</v>
      </c>
      <c r="BG53" s="23">
        <f>$D53*COS($E53+$F53*'25SolarCoords'!BC$7)</f>
        <v>33.825443849136548</v>
      </c>
      <c r="BH53" s="23">
        <f>$D53*COS($E53+$F53*'25SolarCoords'!BD$7)</f>
        <v>35.071216172486608</v>
      </c>
      <c r="BI53" s="23">
        <f>$D53*COS($E53+$F53*'25SolarCoords'!BE$7)</f>
        <v>36.296504538307339</v>
      </c>
      <c r="BJ53" s="23">
        <f>$D53*COS($E53+$F53*'25SolarCoords'!BF$7)</f>
        <v>37.50059329548985</v>
      </c>
      <c r="BK53" s="23">
        <f>$D53*COS($E53+$F53*'25SolarCoords'!BG$7)</f>
        <v>-61.958757138633239</v>
      </c>
    </row>
    <row r="54" spans="3:63" x14ac:dyDescent="0.25">
      <c r="C54">
        <f t="shared" si="1"/>
        <v>46</v>
      </c>
      <c r="D54">
        <v>61</v>
      </c>
      <c r="E54">
        <v>1.82</v>
      </c>
      <c r="F54">
        <v>7084.9</v>
      </c>
      <c r="H54" s="7"/>
      <c r="I54" s="23">
        <f>$D54*COS($E54+$F54*'25SolarCoords'!E$7)</f>
        <v>-33.222582305072052</v>
      </c>
      <c r="J54" s="23">
        <f>$D54*COS($E54+$F54*'25SolarCoords'!F$7)</f>
        <v>-15.7564649702613</v>
      </c>
      <c r="K54" s="23">
        <f>$D54*COS($E54+$F54*'25SolarCoords'!G$7)</f>
        <v>-15.044570908098876</v>
      </c>
      <c r="L54" s="23">
        <f>$D54*COS($E54+$F54*'25SolarCoords'!H$7)</f>
        <v>32.265822474728694</v>
      </c>
      <c r="M54" s="23">
        <f>$D54*COS($E54+$F54*'25SolarCoords'!I$7)</f>
        <v>-15.02226397280209</v>
      </c>
      <c r="N54" s="23">
        <f>$D54*COS($E54+$F54*'25SolarCoords'!J$7)</f>
        <v>34.789363058662374</v>
      </c>
      <c r="O54" s="23">
        <f>$D54*COS($E54+$F54*'25SolarCoords'!K$7)</f>
        <v>31.781879664966116</v>
      </c>
      <c r="P54" s="23">
        <f>$D54*COS($E54+$F54*'25SolarCoords'!L$7)</f>
        <v>-12.678495692533877</v>
      </c>
      <c r="Q54" s="23">
        <f>$D54*COS($E54+$F54*'25SolarCoords'!M$7)</f>
        <v>-59.807627513532779</v>
      </c>
      <c r="R54" s="23">
        <f>$D54*COS($E54+$F54*'25SolarCoords'!N$7)</f>
        <v>-3.3088883951179722</v>
      </c>
      <c r="S54" s="23">
        <f>$D54*COS($E54+$F54*'25SolarCoords'!O$7)</f>
        <v>-45.873811410562922</v>
      </c>
      <c r="T54" s="23">
        <f>$D54*COS($E54+$F54*'25SolarCoords'!P$7)</f>
        <v>3.0719625158566997</v>
      </c>
      <c r="U54" s="23">
        <f>$D54*COS($E54+$F54*'25SolarCoords'!Q$7)</f>
        <v>-55.802002471742966</v>
      </c>
      <c r="V54" s="23">
        <f>$D54*COS($E54+$F54*'25SolarCoords'!R$7)</f>
        <v>-55.313580131241523</v>
      </c>
      <c r="W54" s="23">
        <f>$D54*COS($E54+$F54*'25SolarCoords'!S$7)</f>
        <v>40.324323748902771</v>
      </c>
      <c r="X54" s="23">
        <f>$D54*COS($E54+$F54*'25SolarCoords'!T$7)</f>
        <v>-11.495278180388112</v>
      </c>
      <c r="Y54" s="23">
        <f>$D54*COS($E54+$F54*'25SolarCoords'!U$7)</f>
        <v>45.113333981712238</v>
      </c>
      <c r="Z54" s="23">
        <f>$D54*COS($E54+$F54*'25SolarCoords'!V$7)</f>
        <v>49.28144417106509</v>
      </c>
      <c r="AA54" s="23">
        <f>$D54*COS($E54+$F54*'25SolarCoords'!W$7)</f>
        <v>56.098539955247972</v>
      </c>
      <c r="AB54" s="23">
        <f>$D54*COS($E54+$F54*'25SolarCoords'!X$7)</f>
        <v>-53.036368594311618</v>
      </c>
      <c r="AC54" s="23">
        <f>$D54*COS($E54+$F54*'25SolarCoords'!Y$7)</f>
        <v>-60.965277614850336</v>
      </c>
      <c r="AD54" s="23">
        <f>$D54*COS($E54+$F54*'25SolarCoords'!Z$7)</f>
        <v>49.880689658085871</v>
      </c>
      <c r="AE54" s="23">
        <f>$D54*COS($E54+$F54*'25SolarCoords'!AA$7)</f>
        <v>-14.470527327247448</v>
      </c>
      <c r="AF54" s="23">
        <f>$D54*COS($E54+$F54*'25SolarCoords'!AB$7)</f>
        <v>60.302053562823325</v>
      </c>
      <c r="AG54" s="23">
        <f>$D54*COS($E54+$F54*'25SolarCoords'!AC$7)</f>
        <v>-59.193588410721048</v>
      </c>
      <c r="AH54" s="23">
        <f>$D54*COS($E54+$F54*'25SolarCoords'!AD$7)</f>
        <v>48.729715969941374</v>
      </c>
      <c r="AI54" s="23">
        <f>$D54*COS($E54+$F54*'25SolarCoords'!AE$7)</f>
        <v>-60.977133495465161</v>
      </c>
      <c r="AJ54" s="23">
        <f>$D54*COS($E54+$F54*'25SolarCoords'!AF$7)</f>
        <v>-38.944697873999381</v>
      </c>
      <c r="AK54" s="23">
        <f>$D54*COS($E54+$F54*'25SolarCoords'!AG$7)</f>
        <v>35.76788567442307</v>
      </c>
      <c r="AL54" s="23">
        <f>$D54*COS($E54+$F54*'25SolarCoords'!AH$7)</f>
        <v>-26.892315139131913</v>
      </c>
      <c r="AM54" s="23">
        <f>$D54*COS($E54+$F54*'25SolarCoords'!AI$7)</f>
        <v>-58.214996636286273</v>
      </c>
      <c r="AN54" s="23">
        <f>$D54*COS($E54+$F54*'25SolarCoords'!AJ$7)</f>
        <v>6.7771532151956464</v>
      </c>
      <c r="AO54" s="23">
        <f>$D54*COS($E54+$F54*'25SolarCoords'!AK$7)</f>
        <v>55.174632716102366</v>
      </c>
      <c r="AP54" s="23">
        <f>$D54*COS($E54+$F54*'25SolarCoords'!AL$7)</f>
        <v>26.849272090939195</v>
      </c>
      <c r="AQ54" s="23">
        <f>$D54*COS($E54+$F54*'25SolarCoords'!AM$7)</f>
        <v>47.864653010296585</v>
      </c>
      <c r="AR54" s="23">
        <f>$D54*COS($E54+$F54*'25SolarCoords'!AN$7)</f>
        <v>-52.60472383820774</v>
      </c>
      <c r="AS54" s="23">
        <f>$D54*COS($E54+$F54*'25SolarCoords'!AO$7)</f>
        <v>-7.8832696778020503</v>
      </c>
      <c r="AT54" s="23">
        <f>$D54*COS($E54+$F54*'25SolarCoords'!AP$7)</f>
        <v>53.974323077525767</v>
      </c>
      <c r="AU54" s="23">
        <f>$D54*COS($E54+$F54*'25SolarCoords'!AQ$7)</f>
        <v>57.347225095547557</v>
      </c>
      <c r="AV54" s="23">
        <f>$D54*COS($E54+$F54*'25SolarCoords'!AR$7)</f>
        <v>59.609544952944233</v>
      </c>
      <c r="AW54" s="23">
        <f>$D54*COS($E54+$F54*'25SolarCoords'!AS$7)</f>
        <v>60.880891265303873</v>
      </c>
      <c r="AX54" s="23">
        <f>$D54*COS($E54+$F54*'25SolarCoords'!AT$7)</f>
        <v>59.505802820064986</v>
      </c>
      <c r="AY54" s="23">
        <f>$D54*COS($E54+$F54*'25SolarCoords'!AU$7)</f>
        <v>-22.983684560736616</v>
      </c>
      <c r="AZ54" s="23">
        <f>$D54*COS($E54+$F54*'25SolarCoords'!AV$7)</f>
        <v>-33.384328501471643</v>
      </c>
      <c r="BA54" s="23">
        <f>$D54*COS($E54+$F54*'25SolarCoords'!AW$7)</f>
        <v>60.93330210054809</v>
      </c>
      <c r="BB54" s="23">
        <f>$D54*COS($E54+$F54*'25SolarCoords'!AX$7)</f>
        <v>43.177684252056139</v>
      </c>
      <c r="BC54" s="23">
        <f>$D54*COS($E54+$F54*'25SolarCoords'!AY$7)</f>
        <v>42.336327676967286</v>
      </c>
      <c r="BD54" s="23">
        <f>$D54*COS($E54+$F54*'25SolarCoords'!AZ$7)</f>
        <v>41.476555971575046</v>
      </c>
      <c r="BE54" s="23">
        <f>$D54*COS($E54+$F54*'25SolarCoords'!BA$7)</f>
        <v>40.601178824309208</v>
      </c>
      <c r="BF54" s="23">
        <f>$D54*COS($E54+$F54*'25SolarCoords'!BB$7)</f>
        <v>39.71052559345361</v>
      </c>
      <c r="BG54" s="23">
        <f>$D54*COS($E54+$F54*'25SolarCoords'!BC$7)</f>
        <v>38.804931384873328</v>
      </c>
      <c r="BH54" s="23">
        <f>$D54*COS($E54+$F54*'25SolarCoords'!BD$7)</f>
        <v>37.88473692593444</v>
      </c>
      <c r="BI54" s="23">
        <f>$D54*COS($E54+$F54*'25SolarCoords'!BE$7)</f>
        <v>36.950288437315749</v>
      </c>
      <c r="BJ54" s="23">
        <f>$D54*COS($E54+$F54*'25SolarCoords'!BF$7)</f>
        <v>36.001937502728104</v>
      </c>
      <c r="BK54" s="23">
        <f>$D54*COS($E54+$F54*'25SolarCoords'!BG$7)</f>
        <v>-60.981768175355768</v>
      </c>
    </row>
    <row r="55" spans="3:63" x14ac:dyDescent="0.25">
      <c r="C55">
        <f t="shared" si="1"/>
        <v>47</v>
      </c>
      <c r="D55">
        <v>57</v>
      </c>
      <c r="E55">
        <v>2.78</v>
      </c>
      <c r="F55">
        <v>6286.6</v>
      </c>
      <c r="H55" s="7"/>
      <c r="I55" s="23">
        <f>$D55*COS($E55+$F55*'25SolarCoords'!E$7)</f>
        <v>24.901772489828076</v>
      </c>
      <c r="J55" s="23">
        <f>$D55*COS($E55+$F55*'25SolarCoords'!F$7)</f>
        <v>-34.827245747263824</v>
      </c>
      <c r="K55" s="23">
        <f>$D55*COS($E55+$F55*'25SolarCoords'!G$7)</f>
        <v>-53.314071408882107</v>
      </c>
      <c r="L55" s="23">
        <f>$D55*COS($E55+$F55*'25SolarCoords'!H$7)</f>
        <v>-53.15686242410937</v>
      </c>
      <c r="M55" s="23">
        <f>$D55*COS($E55+$F55*'25SolarCoords'!I$7)</f>
        <v>-56.96052378372535</v>
      </c>
      <c r="N55" s="23">
        <f>$D55*COS($E55+$F55*'25SolarCoords'!J$7)</f>
        <v>45.906534745602059</v>
      </c>
      <c r="O55" s="23">
        <f>$D55*COS($E55+$F55*'25SolarCoords'!K$7)</f>
        <v>-56.962385310602144</v>
      </c>
      <c r="P55" s="23">
        <f>$D55*COS($E55+$F55*'25SolarCoords'!L$7)</f>
        <v>46.451924104490146</v>
      </c>
      <c r="Q55" s="23">
        <f>$D55*COS($E55+$F55*'25SolarCoords'!M$7)</f>
        <v>-43.798917065137573</v>
      </c>
      <c r="R55" s="23">
        <f>$D55*COS($E55+$F55*'25SolarCoords'!N$7)</f>
        <v>6.4637750852973221</v>
      </c>
      <c r="S55" s="23">
        <f>$D55*COS($E55+$F55*'25SolarCoords'!O$7)</f>
        <v>6.5140762074600307</v>
      </c>
      <c r="T55" s="23">
        <f>$D55*COS($E55+$F55*'25SolarCoords'!P$7)</f>
        <v>41.865318971447849</v>
      </c>
      <c r="U55" s="23">
        <f>$D55*COS($E55+$F55*'25SolarCoords'!Q$7)</f>
        <v>-24.94444456783193</v>
      </c>
      <c r="V55" s="23">
        <f>$D55*COS($E55+$F55*'25SolarCoords'!R$7)</f>
        <v>-25.82284525299832</v>
      </c>
      <c r="W55" s="23">
        <f>$D55*COS($E55+$F55*'25SolarCoords'!S$7)</f>
        <v>-40.647719892911624</v>
      </c>
      <c r="X55" s="23">
        <f>$D55*COS($E55+$F55*'25SolarCoords'!T$7)</f>
        <v>56.92947924021113</v>
      </c>
      <c r="Y55" s="23">
        <f>$D55*COS($E55+$F55*'25SolarCoords'!U$7)</f>
        <v>-56.210079595694687</v>
      </c>
      <c r="Z55" s="23">
        <f>$D55*COS($E55+$F55*'25SolarCoords'!V$7)</f>
        <v>27.561412929871633</v>
      </c>
      <c r="AA55" s="23">
        <f>$D55*COS($E55+$F55*'25SolarCoords'!W$7)</f>
        <v>-15.594298940923796</v>
      </c>
      <c r="AB55" s="23">
        <f>$D55*COS($E55+$F55*'25SolarCoords'!X$7)</f>
        <v>-12.033335384055368</v>
      </c>
      <c r="AC55" s="23">
        <f>$D55*COS($E55+$F55*'25SolarCoords'!Y$7)</f>
        <v>-53.761641595589133</v>
      </c>
      <c r="AD55" s="23">
        <f>$D55*COS($E55+$F55*'25SolarCoords'!Z$7)</f>
        <v>-55.626750929178982</v>
      </c>
      <c r="AE55" s="23">
        <f>$D55*COS($E55+$F55*'25SolarCoords'!AA$7)</f>
        <v>-53.138565330530135</v>
      </c>
      <c r="AF55" s="23">
        <f>$D55*COS($E55+$F55*'25SolarCoords'!AB$7)</f>
        <v>48.228573497489762</v>
      </c>
      <c r="AG55" s="23">
        <f>$D55*COS($E55+$F55*'25SolarCoords'!AC$7)</f>
        <v>-17.226887072877911</v>
      </c>
      <c r="AH55" s="23">
        <f>$D55*COS($E55+$F55*'25SolarCoords'!AD$7)</f>
        <v>-3.0908832268303579</v>
      </c>
      <c r="AI55" s="23">
        <f>$D55*COS($E55+$F55*'25SolarCoords'!AE$7)</f>
        <v>-52.655895583894896</v>
      </c>
      <c r="AJ55" s="23">
        <f>$D55*COS($E55+$F55*'25SolarCoords'!AF$7)</f>
        <v>-47.435363019752842</v>
      </c>
      <c r="AK55" s="23">
        <f>$D55*COS($E55+$F55*'25SolarCoords'!AG$7)</f>
        <v>10.615918642702885</v>
      </c>
      <c r="AL55" s="23">
        <f>$D55*COS($E55+$F55*'25SolarCoords'!AH$7)</f>
        <v>-46.428573994296805</v>
      </c>
      <c r="AM55" s="23">
        <f>$D55*COS($E55+$F55*'25SolarCoords'!AI$7)</f>
        <v>-22.303957310111596</v>
      </c>
      <c r="AN55" s="23">
        <f>$D55*COS($E55+$F55*'25SolarCoords'!AJ$7)</f>
        <v>6.4513056814698446</v>
      </c>
      <c r="AO55" s="23">
        <f>$D55*COS($E55+$F55*'25SolarCoords'!AK$7)</f>
        <v>-32.416688749522784</v>
      </c>
      <c r="AP55" s="23">
        <f>$D55*COS($E55+$F55*'25SolarCoords'!AL$7)</f>
        <v>32.120804257586556</v>
      </c>
      <c r="AQ55" s="23">
        <f>$D55*COS($E55+$F55*'25SolarCoords'!AM$7)</f>
        <v>-5.7482080262504152</v>
      </c>
      <c r="AR55" s="23">
        <f>$D55*COS($E55+$F55*'25SolarCoords'!AN$7)</f>
        <v>-16.226327382164399</v>
      </c>
      <c r="AS55" s="23">
        <f>$D55*COS($E55+$F55*'25SolarCoords'!AO$7)</f>
        <v>-45.654741770913198</v>
      </c>
      <c r="AT55" s="23">
        <f>$D55*COS($E55+$F55*'25SolarCoords'!AP$7)</f>
        <v>21.847049084335275</v>
      </c>
      <c r="AU55" s="23">
        <f>$D55*COS($E55+$F55*'25SolarCoords'!AQ$7)</f>
        <v>15.308477905860878</v>
      </c>
      <c r="AV55" s="23">
        <f>$D55*COS($E55+$F55*'25SolarCoords'!AR$7)</f>
        <v>8.6925872932745634</v>
      </c>
      <c r="AW55" s="23">
        <f>$D55*COS($E55+$F55*'25SolarCoords'!AS$7)</f>
        <v>1.0680900023858706</v>
      </c>
      <c r="AX55" s="23">
        <f>$D55*COS($E55+$F55*'25SolarCoords'!AT$7)</f>
        <v>-13.190023561578275</v>
      </c>
      <c r="AY55" s="23">
        <f>$D55*COS($E55+$F55*'25SolarCoords'!AU$7)</f>
        <v>31.17511482969665</v>
      </c>
      <c r="AZ55" s="23">
        <f>$D55*COS($E55+$F55*'25SolarCoords'!AV$7)</f>
        <v>44.559563921193529</v>
      </c>
      <c r="BA55" s="23">
        <f>$D55*COS($E55+$F55*'25SolarCoords'!AW$7)</f>
        <v>-49.493890612507933</v>
      </c>
      <c r="BB55" s="23">
        <f>$D55*COS($E55+$F55*'25SolarCoords'!AX$7)</f>
        <v>-16.020146906372069</v>
      </c>
      <c r="BC55" s="23">
        <f>$D55*COS($E55+$F55*'25SolarCoords'!AY$7)</f>
        <v>-38.848141901165988</v>
      </c>
      <c r="BD55" s="23">
        <f>$D55*COS($E55+$F55*'25SolarCoords'!AZ$7)</f>
        <v>-39.560275524812475</v>
      </c>
      <c r="BE55" s="23">
        <f>$D55*COS($E55+$F55*'25SolarCoords'!BA$7)</f>
        <v>-40.260689899149739</v>
      </c>
      <c r="BF55" s="23">
        <f>$D55*COS($E55+$F55*'25SolarCoords'!BB$7)</f>
        <v>-40.949177534956426</v>
      </c>
      <c r="BG55" s="23">
        <f>$D55*COS($E55+$F55*'25SolarCoords'!BC$7)</f>
        <v>-41.625534476165548</v>
      </c>
      <c r="BH55" s="23">
        <f>$D55*COS($E55+$F55*'25SolarCoords'!BD$7)</f>
        <v>-42.289560360280419</v>
      </c>
      <c r="BI55" s="23">
        <f>$D55*COS($E55+$F55*'25SolarCoords'!BE$7)</f>
        <v>-42.941058477727466</v>
      </c>
      <c r="BJ55" s="23">
        <f>$D55*COS($E55+$F55*'25SolarCoords'!BF$7)</f>
        <v>-43.57983583013133</v>
      </c>
      <c r="BK55" s="23">
        <f>$D55*COS($E55+$F55*'25SolarCoords'!BG$7)</f>
        <v>-52.712500681424679</v>
      </c>
    </row>
    <row r="56" spans="3:63" x14ac:dyDescent="0.25">
      <c r="C56">
        <f t="shared" si="1"/>
        <v>48</v>
      </c>
      <c r="D56">
        <v>56</v>
      </c>
      <c r="E56">
        <v>4.3899999999999997</v>
      </c>
      <c r="F56">
        <v>14143.5</v>
      </c>
      <c r="H56" s="7"/>
      <c r="I56" s="23">
        <f>$D56*COS($E56+$F56*'25SolarCoords'!E$7)</f>
        <v>-42.502980018297897</v>
      </c>
      <c r="J56" s="23">
        <f>$D56*COS($E56+$F56*'25SolarCoords'!F$7)</f>
        <v>-55.800612875988563</v>
      </c>
      <c r="K56" s="23">
        <f>$D56*COS($E56+$F56*'25SolarCoords'!G$7)</f>
        <v>-17.742668473729836</v>
      </c>
      <c r="L56" s="23">
        <f>$D56*COS($E56+$F56*'25SolarCoords'!H$7)</f>
        <v>-52.824023233372408</v>
      </c>
      <c r="M56" s="23">
        <f>$D56*COS($E56+$F56*'25SolarCoords'!I$7)</f>
        <v>-46.457982903086517</v>
      </c>
      <c r="N56" s="23">
        <f>$D56*COS($E56+$F56*'25SolarCoords'!J$7)</f>
        <v>-55.497449505678766</v>
      </c>
      <c r="O56" s="23">
        <f>$D56*COS($E56+$F56*'25SolarCoords'!K$7)</f>
        <v>31.111788818273453</v>
      </c>
      <c r="P56" s="23">
        <f>$D56*COS($E56+$F56*'25SolarCoords'!L$7)</f>
        <v>-5.5180213689609463</v>
      </c>
      <c r="Q56" s="23">
        <f>$D56*COS($E56+$F56*'25SolarCoords'!M$7)</f>
        <v>-45.101836368237862</v>
      </c>
      <c r="R56" s="23">
        <f>$D56*COS($E56+$F56*'25SolarCoords'!N$7)</f>
        <v>-20.916410020648737</v>
      </c>
      <c r="S56" s="23">
        <f>$D56*COS($E56+$F56*'25SolarCoords'!O$7)</f>
        <v>-52.016854350487961</v>
      </c>
      <c r="T56" s="23">
        <f>$D56*COS($E56+$F56*'25SolarCoords'!P$7)</f>
        <v>-55.01439414507395</v>
      </c>
      <c r="U56" s="23">
        <f>$D56*COS($E56+$F56*'25SolarCoords'!Q$7)</f>
        <v>37.348694004266974</v>
      </c>
      <c r="V56" s="23">
        <f>$D56*COS($E56+$F56*'25SolarCoords'!R$7)</f>
        <v>35.705345268578029</v>
      </c>
      <c r="W56" s="23">
        <f>$D56*COS($E56+$F56*'25SolarCoords'!S$7)</f>
        <v>52.622210173422395</v>
      </c>
      <c r="X56" s="23">
        <f>$D56*COS($E56+$F56*'25SolarCoords'!T$7)</f>
        <v>41.883504490390365</v>
      </c>
      <c r="Y56" s="23">
        <f>$D56*COS($E56+$F56*'25SolarCoords'!U$7)</f>
        <v>47.865115037376555</v>
      </c>
      <c r="Z56" s="23">
        <f>$D56*COS($E56+$F56*'25SolarCoords'!V$7)</f>
        <v>55.797740118398167</v>
      </c>
      <c r="AA56" s="23">
        <f>$D56*COS($E56+$F56*'25SolarCoords'!W$7)</f>
        <v>53.856638462821749</v>
      </c>
      <c r="AB56" s="23">
        <f>$D56*COS($E56+$F56*'25SolarCoords'!X$7)</f>
        <v>-22.615391717131857</v>
      </c>
      <c r="AC56" s="23">
        <f>$D56*COS($E56+$F56*'25SolarCoords'!Y$7)</f>
        <v>15.832893523532292</v>
      </c>
      <c r="AD56" s="23">
        <f>$D56*COS($E56+$F56*'25SolarCoords'!Z$7)</f>
        <v>-3.5310201315634586</v>
      </c>
      <c r="AE56" s="23">
        <f>$D56*COS($E56+$F56*'25SolarCoords'!AA$7)</f>
        <v>-18.767658348092485</v>
      </c>
      <c r="AF56" s="23">
        <f>$D56*COS($E56+$F56*'25SolarCoords'!AB$7)</f>
        <v>-4.0959688759174533</v>
      </c>
      <c r="AG56" s="23">
        <f>$D56*COS($E56+$F56*'25SolarCoords'!AC$7)</f>
        <v>38.292954621920522</v>
      </c>
      <c r="AH56" s="23">
        <f>$D56*COS($E56+$F56*'25SolarCoords'!AD$7)</f>
        <v>-39.288507553992915</v>
      </c>
      <c r="AI56" s="23">
        <f>$D56*COS($E56+$F56*'25SolarCoords'!AE$7)</f>
        <v>9.1770107458646173</v>
      </c>
      <c r="AJ56" s="23">
        <f>$D56*COS($E56+$F56*'25SolarCoords'!AF$7)</f>
        <v>38.134185807056092</v>
      </c>
      <c r="AK56" s="23">
        <f>$D56*COS($E56+$F56*'25SolarCoords'!AG$7)</f>
        <v>-53.274524794173352</v>
      </c>
      <c r="AL56" s="23">
        <f>$D56*COS($E56+$F56*'25SolarCoords'!AH$7)</f>
        <v>17.869681739855967</v>
      </c>
      <c r="AM56" s="23">
        <f>$D56*COS($E56+$F56*'25SolarCoords'!AI$7)</f>
        <v>0.573058927107155</v>
      </c>
      <c r="AN56" s="23">
        <f>$D56*COS($E56+$F56*'25SolarCoords'!AJ$7)</f>
        <v>-22.972232202579228</v>
      </c>
      <c r="AO56" s="23">
        <f>$D56*COS($E56+$F56*'25SolarCoords'!AK$7)</f>
        <v>55.494135291712183</v>
      </c>
      <c r="AP56" s="23">
        <f>$D56*COS($E56+$F56*'25SolarCoords'!AL$7)</f>
        <v>18.40441667531304</v>
      </c>
      <c r="AQ56" s="23">
        <f>$D56*COS($E56+$F56*'25SolarCoords'!AM$7)</f>
        <v>45.754948401703096</v>
      </c>
      <c r="AR56" s="23">
        <f>$D56*COS($E56+$F56*'25SolarCoords'!AN$7)</f>
        <v>-12.987194455830203</v>
      </c>
      <c r="AS56" s="23">
        <f>$D56*COS($E56+$F56*'25SolarCoords'!AO$7)</f>
        <v>55.147418040972653</v>
      </c>
      <c r="AT56" s="23">
        <f>$D56*COS($E56+$F56*'25SolarCoords'!AP$7)</f>
        <v>38.317925915736168</v>
      </c>
      <c r="AU56" s="23">
        <f>$D56*COS($E56+$F56*'25SolarCoords'!AQ$7)</f>
        <v>47.915771078963957</v>
      </c>
      <c r="AV56" s="23">
        <f>$D56*COS($E56+$F56*'25SolarCoords'!AR$7)</f>
        <v>53.869610387160527</v>
      </c>
      <c r="AW56" s="23">
        <f>$D56*COS($E56+$F56*'25SolarCoords'!AS$7)</f>
        <v>55.981705280608132</v>
      </c>
      <c r="AX56" s="23">
        <f>$D56*COS($E56+$F56*'25SolarCoords'!AT$7)</f>
        <v>46.436090066210475</v>
      </c>
      <c r="AY56" s="23">
        <f>$D56*COS($E56+$F56*'25SolarCoords'!AU$7)</f>
        <v>33.937311378689493</v>
      </c>
      <c r="AZ56" s="23">
        <f>$D56*COS($E56+$F56*'25SolarCoords'!AV$7)</f>
        <v>-52.66515862180151</v>
      </c>
      <c r="BA56" s="23">
        <f>$D56*COS($E56+$F56*'25SolarCoords'!AW$7)</f>
        <v>-46.569181891610505</v>
      </c>
      <c r="BB56" s="23">
        <f>$D56*COS($E56+$F56*'25SolarCoords'!AX$7)</f>
        <v>-53.489767014441838</v>
      </c>
      <c r="BC56" s="23">
        <f>$D56*COS($E56+$F56*'25SolarCoords'!AY$7)</f>
        <v>-10.244878931745788</v>
      </c>
      <c r="BD56" s="23">
        <f>$D56*COS($E56+$F56*'25SolarCoords'!AZ$7)</f>
        <v>-12.368545919556135</v>
      </c>
      <c r="BE56" s="23">
        <f>$D56*COS($E56+$F56*'25SolarCoords'!BA$7)</f>
        <v>-14.473669150759696</v>
      </c>
      <c r="BF56" s="23">
        <f>$D56*COS($E56+$F56*'25SolarCoords'!BB$7)</f>
        <v>-16.55709248290605</v>
      </c>
      <c r="BG56" s="23">
        <f>$D56*COS($E56+$F56*'25SolarCoords'!BC$7)</f>
        <v>-18.615692307491116</v>
      </c>
      <c r="BH56" s="23">
        <f>$D56*COS($E56+$F56*'25SolarCoords'!BD$7)</f>
        <v>-20.646382233096315</v>
      </c>
      <c r="BI56" s="23">
        <f>$D56*COS($E56+$F56*'25SolarCoords'!BE$7)</f>
        <v>-22.646117712681384</v>
      </c>
      <c r="BJ56" s="23">
        <f>$D56*COS($E56+$F56*'25SolarCoords'!BF$7)</f>
        <v>-24.611900608215972</v>
      </c>
      <c r="BK56" s="23">
        <f>$D56*COS($E56+$F56*'25SolarCoords'!BG$7)</f>
        <v>9.5002017161712704</v>
      </c>
    </row>
    <row r="57" spans="3:63" x14ac:dyDescent="0.25">
      <c r="C57">
        <f t="shared" si="1"/>
        <v>49</v>
      </c>
      <c r="D57">
        <v>56</v>
      </c>
      <c r="E57">
        <v>3.47</v>
      </c>
      <c r="F57">
        <v>6279.55</v>
      </c>
      <c r="H57" s="7"/>
      <c r="I57" s="23">
        <f>$D57*COS($E57+$F57*'25SolarCoords'!E$7)</f>
        <v>-28.583974160942272</v>
      </c>
      <c r="J57" s="23">
        <f>$D57*COS($E57+$F57*'25SolarCoords'!F$7)</f>
        <v>-39.467819537777324</v>
      </c>
      <c r="K57" s="23">
        <f>$D57*COS($E57+$F57*'25SolarCoords'!G$7)</f>
        <v>-53.007204978737889</v>
      </c>
      <c r="L57" s="23">
        <f>$D57*COS($E57+$F57*'25SolarCoords'!H$7)</f>
        <v>-53.019165025379948</v>
      </c>
      <c r="M57" s="23">
        <f>$D57*COS($E57+$F57*'25SolarCoords'!I$7)</f>
        <v>-38.270975015390832</v>
      </c>
      <c r="N57" s="23">
        <f>$D57*COS($E57+$F57*'25SolarCoords'!J$7)</f>
        <v>55.421202853173995</v>
      </c>
      <c r="O57" s="23">
        <f>$D57*COS($E57+$F57*'25SolarCoords'!K$7)</f>
        <v>-38.594100994629564</v>
      </c>
      <c r="P57" s="23">
        <f>$D57*COS($E57+$F57*'25SolarCoords'!L$7)</f>
        <v>55.344472760793323</v>
      </c>
      <c r="Q57" s="23">
        <f>$D57*COS($E57+$F57*'25SolarCoords'!M$7)</f>
        <v>-42.811873689773464</v>
      </c>
      <c r="R57" s="23">
        <f>$D57*COS($E57+$F57*'25SolarCoords'!N$7)</f>
        <v>14.11030212830968</v>
      </c>
      <c r="S57" s="23">
        <f>$D57*COS($E57+$F57*'25SolarCoords'!O$7)</f>
        <v>13.679925172160464</v>
      </c>
      <c r="T57" s="23">
        <f>$D57*COS($E57+$F57*'25SolarCoords'!P$7)</f>
        <v>-54.791848466065503</v>
      </c>
      <c r="U57" s="23">
        <f>$D57*COS($E57+$F57*'25SolarCoords'!Q$7)</f>
        <v>21.541877254066982</v>
      </c>
      <c r="V57" s="23">
        <f>$D57*COS($E57+$F57*'25SolarCoords'!R$7)</f>
        <v>22.427343892865728</v>
      </c>
      <c r="W57" s="23">
        <f>$D57*COS($E57+$F57*'25SolarCoords'!S$7)</f>
        <v>33.389512167034162</v>
      </c>
      <c r="X57" s="23">
        <f>$D57*COS($E57+$F57*'25SolarCoords'!T$7)</f>
        <v>-55.704475555740842</v>
      </c>
      <c r="Y57" s="23">
        <f>$D57*COS($E57+$F57*'25SolarCoords'!U$7)</f>
        <v>53.236984592584051</v>
      </c>
      <c r="Z57" s="23">
        <f>$D57*COS($E57+$F57*'25SolarCoords'!V$7)</f>
        <v>-55.088718772102226</v>
      </c>
      <c r="AA57" s="23">
        <f>$D57*COS($E57+$F57*'25SolarCoords'!W$7)</f>
        <v>26.976816515171944</v>
      </c>
      <c r="AB57" s="23">
        <f>$D57*COS($E57+$F57*'25SolarCoords'!X$7)</f>
        <v>28.393378429565868</v>
      </c>
      <c r="AC57" s="23">
        <f>$D57*COS($E57+$F57*'25SolarCoords'!Y$7)</f>
        <v>-20.814059148475618</v>
      </c>
      <c r="AD57" s="23">
        <f>$D57*COS($E57+$F57*'25SolarCoords'!Z$7)</f>
        <v>-55.285997819707269</v>
      </c>
      <c r="AE57" s="23">
        <f>$D57*COS($E57+$F57*'25SolarCoords'!AA$7)</f>
        <v>-53.16050988222127</v>
      </c>
      <c r="AF57" s="23">
        <f>$D57*COS($E57+$F57*'25SolarCoords'!AB$7)</f>
        <v>50.457059311930699</v>
      </c>
      <c r="AG57" s="23">
        <f>$D57*COS($E57+$F57*'25SolarCoords'!AC$7)</f>
        <v>-51.02306471965553</v>
      </c>
      <c r="AH57" s="23">
        <f>$D57*COS($E57+$F57*'25SolarCoords'!AD$7)</f>
        <v>36.849497947465338</v>
      </c>
      <c r="AI57" s="23">
        <f>$D57*COS($E57+$F57*'25SolarCoords'!AE$7)</f>
        <v>-17.968375718942728</v>
      </c>
      <c r="AJ57" s="23">
        <f>$D57*COS($E57+$F57*'25SolarCoords'!AF$7)</f>
        <v>-55.355663433590195</v>
      </c>
      <c r="AK57" s="23">
        <f>$D57*COS($E57+$F57*'25SolarCoords'!AG$7)</f>
        <v>-29.439842319859991</v>
      </c>
      <c r="AL57" s="23">
        <f>$D57*COS($E57+$F57*'25SolarCoords'!AH$7)</f>
        <v>-11.104271865732869</v>
      </c>
      <c r="AM57" s="23">
        <f>$D57*COS($E57+$F57*'25SolarCoords'!AI$7)</f>
        <v>18.813116888231125</v>
      </c>
      <c r="AN57" s="23">
        <f>$D57*COS($E57+$F57*'25SolarCoords'!AJ$7)</f>
        <v>42.088433318261622</v>
      </c>
      <c r="AO57" s="23">
        <f>$D57*COS($E57+$F57*'25SolarCoords'!AK$7)</f>
        <v>-29.915648944077223</v>
      </c>
      <c r="AP57" s="23">
        <f>$D57*COS($E57+$F57*'25SolarCoords'!AL$7)</f>
        <v>-8.7447975910877123</v>
      </c>
      <c r="AQ57" s="23">
        <f>$D57*COS($E57+$F57*'25SolarCoords'!AM$7)</f>
        <v>49.313029879401306</v>
      </c>
      <c r="AR57" s="23">
        <f>$D57*COS($E57+$F57*'25SolarCoords'!AN$7)</f>
        <v>21.781221577579227</v>
      </c>
      <c r="AS57" s="23">
        <f>$D57*COS($E57+$F57*'25SolarCoords'!AO$7)</f>
        <v>0.20103653360522869</v>
      </c>
      <c r="AT57" s="23">
        <f>$D57*COS($E57+$F57*'25SolarCoords'!AP$7)</f>
        <v>-7.6141068168563937</v>
      </c>
      <c r="AU57" s="23">
        <f>$D57*COS($E57+$F57*'25SolarCoords'!AQ$7)</f>
        <v>-14.271518927817571</v>
      </c>
      <c r="AV57" s="23">
        <f>$D57*COS($E57+$F57*'25SolarCoords'!AR$7)</f>
        <v>-20.582468776173783</v>
      </c>
      <c r="AW57" s="23">
        <f>$D57*COS($E57+$F57*'25SolarCoords'!AS$7)</f>
        <v>-27.366053629473573</v>
      </c>
      <c r="AX57" s="23">
        <f>$D57*COS($E57+$F57*'25SolarCoords'!AT$7)</f>
        <v>-38.683093918142234</v>
      </c>
      <c r="AY57" s="23">
        <f>$D57*COS($E57+$F57*'25SolarCoords'!AU$7)</f>
        <v>55.632220361293719</v>
      </c>
      <c r="AZ57" s="23">
        <f>$D57*COS($E57+$F57*'25SolarCoords'!AV$7)</f>
        <v>10.631478919111238</v>
      </c>
      <c r="BA57" s="23">
        <f>$D57*COS($E57+$F57*'25SolarCoords'!AW$7)</f>
        <v>-45.276773902640073</v>
      </c>
      <c r="BB57" s="23">
        <f>$D57*COS($E57+$F57*'25SolarCoords'!AX$7)</f>
        <v>36.342936932643369</v>
      </c>
      <c r="BC57" s="23">
        <f>$D57*COS($E57+$F57*'25SolarCoords'!AY$7)</f>
        <v>-53.621949592770292</v>
      </c>
      <c r="BD57" s="23">
        <f>$D57*COS($E57+$F57*'25SolarCoords'!AZ$7)</f>
        <v>-53.891597315124038</v>
      </c>
      <c r="BE57" s="23">
        <f>$D57*COS($E57+$F57*'25SolarCoords'!BA$7)</f>
        <v>-54.145316094597774</v>
      </c>
      <c r="BF57" s="23">
        <f>$D57*COS($E57+$F57*'25SolarCoords'!BB$7)</f>
        <v>-54.383030938573476</v>
      </c>
      <c r="BG57" s="23">
        <f>$D57*COS($E57+$F57*'25SolarCoords'!BC$7)</f>
        <v>-54.604671584776909</v>
      </c>
      <c r="BH57" s="23">
        <f>$D57*COS($E57+$F57*'25SolarCoords'!BD$7)</f>
        <v>-54.810172522046216</v>
      </c>
      <c r="BI57" s="23">
        <f>$D57*COS($E57+$F57*'25SolarCoords'!BE$7)</f>
        <v>-54.999473009692842</v>
      </c>
      <c r="BJ57" s="23">
        <f>$D57*COS($E57+$F57*'25SolarCoords'!BF$7)</f>
        <v>-55.172517095457607</v>
      </c>
      <c r="BK57" s="23">
        <f>$D57*COS($E57+$F57*'25SolarCoords'!BG$7)</f>
        <v>-18.10615106266027</v>
      </c>
    </row>
    <row r="58" spans="3:63" x14ac:dyDescent="0.25">
      <c r="C58">
        <f t="shared" si="1"/>
        <v>50</v>
      </c>
      <c r="D58">
        <v>52</v>
      </c>
      <c r="E58">
        <v>0.19</v>
      </c>
      <c r="F58">
        <v>12139.55</v>
      </c>
      <c r="H58" s="7"/>
      <c r="I58" s="23">
        <f>$D58*COS($E58+$F58*'25SolarCoords'!E$7)</f>
        <v>-45.059144930158922</v>
      </c>
      <c r="J58" s="23">
        <f>$D58*COS($E58+$F58*'25SolarCoords'!F$7)</f>
        <v>-51.62339103870692</v>
      </c>
      <c r="K58" s="23">
        <f>$D58*COS($E58+$F58*'25SolarCoords'!G$7)</f>
        <v>51.064220226098058</v>
      </c>
      <c r="L58" s="23">
        <f>$D58*COS($E58+$F58*'25SolarCoords'!H$7)</f>
        <v>42.665989437299245</v>
      </c>
      <c r="M58" s="23">
        <f>$D58*COS($E58+$F58*'25SolarCoords'!I$7)</f>
        <v>49.500414243694919</v>
      </c>
      <c r="N58" s="23">
        <f>$D58*COS($E58+$F58*'25SolarCoords'!J$7)</f>
        <v>18.723182794649773</v>
      </c>
      <c r="O58" s="23">
        <f>$D58*COS($E58+$F58*'25SolarCoords'!K$7)</f>
        <v>51.601938517916558</v>
      </c>
      <c r="P58" s="23">
        <f>$D58*COS($E58+$F58*'25SolarCoords'!L$7)</f>
        <v>-1.744787571279127</v>
      </c>
      <c r="Q58" s="23">
        <f>$D58*COS($E58+$F58*'25SolarCoords'!M$7)</f>
        <v>23.8823129492934</v>
      </c>
      <c r="R58" s="23">
        <f>$D58*COS($E58+$F58*'25SolarCoords'!N$7)</f>
        <v>11.117596196785701</v>
      </c>
      <c r="S58" s="23">
        <f>$D58*COS($E58+$F58*'25SolarCoords'!O$7)</f>
        <v>31.494230189742851</v>
      </c>
      <c r="T58" s="23">
        <f>$D58*COS($E58+$F58*'25SolarCoords'!P$7)</f>
        <v>-35.858230624105616</v>
      </c>
      <c r="U58" s="23">
        <f>$D58*COS($E58+$F58*'25SolarCoords'!Q$7)</f>
        <v>2.458764626682731</v>
      </c>
      <c r="V58" s="23">
        <f>$D58*COS($E58+$F58*'25SolarCoords'!R$7)</f>
        <v>0.73137126073738323</v>
      </c>
      <c r="W58" s="23">
        <f>$D58*COS($E58+$F58*'25SolarCoords'!S$7)</f>
        <v>44.209286389145198</v>
      </c>
      <c r="X58" s="23">
        <f>$D58*COS($E58+$F58*'25SolarCoords'!T$7)</f>
        <v>15.979981206561447</v>
      </c>
      <c r="Y58" s="23">
        <f>$D58*COS($E58+$F58*'25SolarCoords'!U$7)</f>
        <v>25.547269621197138</v>
      </c>
      <c r="Z58" s="23">
        <f>$D58*COS($E58+$F58*'25SolarCoords'!V$7)</f>
        <v>49.528715018832727</v>
      </c>
      <c r="AA58" s="23">
        <f>$D58*COS($E58+$F58*'25SolarCoords'!W$7)</f>
        <v>-47.813224154459178</v>
      </c>
      <c r="AB58" s="23">
        <f>$D58*COS($E58+$F58*'25SolarCoords'!X$7)</f>
        <v>39.94339834713</v>
      </c>
      <c r="AC58" s="23">
        <f>$D58*COS($E58+$F58*'25SolarCoords'!Y$7)</f>
        <v>25.622733994056219</v>
      </c>
      <c r="AD58" s="23">
        <f>$D58*COS($E58+$F58*'25SolarCoords'!Z$7)</f>
        <v>50.47438276154837</v>
      </c>
      <c r="AE58" s="23">
        <f>$D58*COS($E58+$F58*'25SolarCoords'!AA$7)</f>
        <v>51.220362992833934</v>
      </c>
      <c r="AF58" s="23">
        <f>$D58*COS($E58+$F58*'25SolarCoords'!AB$7)</f>
        <v>40.644263978852052</v>
      </c>
      <c r="AG58" s="23">
        <f>$D58*COS($E58+$F58*'25SolarCoords'!AC$7)</f>
        <v>15.585436371589767</v>
      </c>
      <c r="AH58" s="23">
        <f>$D58*COS($E58+$F58*'25SolarCoords'!AD$7)</f>
        <v>-47.750485717319201</v>
      </c>
      <c r="AI58" s="23">
        <f>$D58*COS($E58+$F58*'25SolarCoords'!AE$7)</f>
        <v>30.212731966079978</v>
      </c>
      <c r="AJ58" s="23">
        <f>$D58*COS($E58+$F58*'25SolarCoords'!AF$7)</f>
        <v>-48.768911759395799</v>
      </c>
      <c r="AK58" s="23">
        <f>$D58*COS($E58+$F58*'25SolarCoords'!AG$7)</f>
        <v>44.940672752264028</v>
      </c>
      <c r="AL58" s="23">
        <f>$D58*COS($E58+$F58*'25SolarCoords'!AH$7)</f>
        <v>49.690257468566507</v>
      </c>
      <c r="AM58" s="23">
        <f>$D58*COS($E58+$F58*'25SolarCoords'!AI$7)</f>
        <v>49.206613297398185</v>
      </c>
      <c r="AN58" s="23">
        <f>$D58*COS($E58+$F58*'25SolarCoords'!AJ$7)</f>
        <v>32.68005323906447</v>
      </c>
      <c r="AO58" s="23">
        <f>$D58*COS($E58+$F58*'25SolarCoords'!AK$7)</f>
        <v>-41.856686706814088</v>
      </c>
      <c r="AP58" s="23">
        <f>$D58*COS($E58+$F58*'25SolarCoords'!AL$7)</f>
        <v>42.925085129506613</v>
      </c>
      <c r="AQ58" s="23">
        <f>$D58*COS($E58+$F58*'25SolarCoords'!AM$7)</f>
        <v>-1.9037871431705868</v>
      </c>
      <c r="AR58" s="23">
        <f>$D58*COS($E58+$F58*'25SolarCoords'!AN$7)</f>
        <v>-50.718463052637226</v>
      </c>
      <c r="AS58" s="23">
        <f>$D58*COS($E58+$F58*'25SolarCoords'!AO$7)</f>
        <v>42.860396705382556</v>
      </c>
      <c r="AT58" s="23">
        <f>$D58*COS($E58+$F58*'25SolarCoords'!AP$7)</f>
        <v>49.573136007139432</v>
      </c>
      <c r="AU58" s="23">
        <f>$D58*COS($E58+$F58*'25SolarCoords'!AQ$7)</f>
        <v>51.864457702344488</v>
      </c>
      <c r="AV58" s="23">
        <f>$D58*COS($E58+$F58*'25SolarCoords'!AR$7)</f>
        <v>51.358776054237438</v>
      </c>
      <c r="AW58" s="23">
        <f>$D58*COS($E58+$F58*'25SolarCoords'!AS$7)</f>
        <v>47.551277215134149</v>
      </c>
      <c r="AX58" s="23">
        <f>$D58*COS($E58+$F58*'25SolarCoords'!AT$7)</f>
        <v>32.169739830987204</v>
      </c>
      <c r="AY58" s="23">
        <f>$D58*COS($E58+$F58*'25SolarCoords'!AU$7)</f>
        <v>-26.628675434604641</v>
      </c>
      <c r="AZ58" s="23">
        <f>$D58*COS($E58+$F58*'25SolarCoords'!AV$7)</f>
        <v>-51.558462873024254</v>
      </c>
      <c r="BA58" s="23">
        <f>$D58*COS($E58+$F58*'25SolarCoords'!AW$7)</f>
        <v>-50.787660899415307</v>
      </c>
      <c r="BB58" s="23">
        <f>$D58*COS($E58+$F58*'25SolarCoords'!AX$7)</f>
        <v>-51.992468783609041</v>
      </c>
      <c r="BC58" s="23">
        <f>$D58*COS($E58+$F58*'25SolarCoords'!AY$7)</f>
        <v>-16.853509638904082</v>
      </c>
      <c r="BD58" s="23">
        <f>$D58*COS($E58+$F58*'25SolarCoords'!AZ$7)</f>
        <v>-18.478895722136947</v>
      </c>
      <c r="BE58" s="23">
        <f>$D58*COS($E58+$F58*'25SolarCoords'!BA$7)</f>
        <v>-20.083870970791761</v>
      </c>
      <c r="BF58" s="23">
        <f>$D58*COS($E58+$F58*'25SolarCoords'!BB$7)</f>
        <v>-21.666662612036475</v>
      </c>
      <c r="BG58" s="23">
        <f>$D58*COS($E58+$F58*'25SolarCoords'!BC$7)</f>
        <v>-23.225522375906987</v>
      </c>
      <c r="BH58" s="23">
        <f>$D58*COS($E58+$F58*'25SolarCoords'!BD$7)</f>
        <v>-24.758728426355887</v>
      </c>
      <c r="BI58" s="23">
        <f>$D58*COS($E58+$F58*'25SolarCoords'!BE$7)</f>
        <v>-26.264587263103692</v>
      </c>
      <c r="BJ58" s="23">
        <f>$D58*COS($E58+$F58*'25SolarCoords'!BF$7)</f>
        <v>-27.741435592191891</v>
      </c>
      <c r="BK58" s="23">
        <f>$D58*COS($E58+$F58*'25SolarCoords'!BG$7)</f>
        <v>29.999727364960059</v>
      </c>
    </row>
    <row r="59" spans="3:63" x14ac:dyDescent="0.25">
      <c r="C59">
        <f t="shared" si="1"/>
        <v>51</v>
      </c>
      <c r="D59">
        <v>52</v>
      </c>
      <c r="E59">
        <v>1.33</v>
      </c>
      <c r="F59">
        <v>1748.02</v>
      </c>
      <c r="H59" s="7"/>
      <c r="I59" s="23">
        <f>$D59*COS($E59+$F59*'25SolarCoords'!E$7)</f>
        <v>-50.354109323285897</v>
      </c>
      <c r="J59" s="23">
        <f>$D59*COS($E59+$F59*'25SolarCoords'!F$7)</f>
        <v>-51.226344048368006</v>
      </c>
      <c r="K59" s="23">
        <f>$D59*COS($E59+$F59*'25SolarCoords'!G$7)</f>
        <v>12.400754778553603</v>
      </c>
      <c r="L59" s="23">
        <f>$D59*COS($E59+$F59*'25SolarCoords'!H$7)</f>
        <v>47.497224260823792</v>
      </c>
      <c r="M59" s="23">
        <f>$D59*COS($E59+$F59*'25SolarCoords'!I$7)</f>
        <v>-39.089666927312898</v>
      </c>
      <c r="N59" s="23">
        <f>$D59*COS($E59+$F59*'25SolarCoords'!J$7)</f>
        <v>-8.4851067628950645</v>
      </c>
      <c r="O59" s="23">
        <f>$D59*COS($E59+$F59*'25SolarCoords'!K$7)</f>
        <v>40.608271081162698</v>
      </c>
      <c r="P59" s="23">
        <f>$D59*COS($E59+$F59*'25SolarCoords'!L$7)</f>
        <v>51.992569948550539</v>
      </c>
      <c r="Q59" s="23">
        <f>$D59*COS($E59+$F59*'25SolarCoords'!M$7)</f>
        <v>-40.367942624549165</v>
      </c>
      <c r="R59" s="23">
        <f>$D59*COS($E59+$F59*'25SolarCoords'!N$7)</f>
        <v>47.212611336718972</v>
      </c>
      <c r="S59" s="23">
        <f>$D59*COS($E59+$F59*'25SolarCoords'!O$7)</f>
        <v>13.189162969889084</v>
      </c>
      <c r="T59" s="23">
        <f>$D59*COS($E59+$F59*'25SolarCoords'!P$7)</f>
        <v>-2.0257008824091467</v>
      </c>
      <c r="U59" s="23">
        <f>$D59*COS($E59+$F59*'25SolarCoords'!Q$7)</f>
        <v>35.029064742574569</v>
      </c>
      <c r="V59" s="23">
        <f>$D59*COS($E59+$F59*'25SolarCoords'!R$7)</f>
        <v>35.212588079942023</v>
      </c>
      <c r="W59" s="23">
        <f>$D59*COS($E59+$F59*'25SolarCoords'!S$7)</f>
        <v>0.1674921654892666</v>
      </c>
      <c r="X59" s="23">
        <f>$D59*COS($E59+$F59*'25SolarCoords'!T$7)</f>
        <v>-31.073825416543585</v>
      </c>
      <c r="Y59" s="23">
        <f>$D59*COS($E59+$F59*'25SolarCoords'!U$7)</f>
        <v>-51.999701513189393</v>
      </c>
      <c r="Z59" s="23">
        <f>$D59*COS($E59+$F59*'25SolarCoords'!V$7)</f>
        <v>42.590219971027494</v>
      </c>
      <c r="AA59" s="23">
        <f>$D59*COS($E59+$F59*'25SolarCoords'!W$7)</f>
        <v>-24.989806844315353</v>
      </c>
      <c r="AB59" s="23">
        <f>$D59*COS($E59+$F59*'25SolarCoords'!X$7)</f>
        <v>47.93615711050932</v>
      </c>
      <c r="AC59" s="23">
        <f>$D59*COS($E59+$F59*'25SolarCoords'!Y$7)</f>
        <v>29.87456541422609</v>
      </c>
      <c r="AD59" s="23">
        <f>$D59*COS($E59+$F59*'25SolarCoords'!Z$7)</f>
        <v>-49.687793727716723</v>
      </c>
      <c r="AE59" s="23">
        <f>$D59*COS($E59+$F59*'25SolarCoords'!AA$7)</f>
        <v>12.52156038219114</v>
      </c>
      <c r="AF59" s="23">
        <f>$D59*COS($E59+$F59*'25SolarCoords'!AB$7)</f>
        <v>-49.321771407445404</v>
      </c>
      <c r="AG59" s="23">
        <f>$D59*COS($E59+$F59*'25SolarCoords'!AC$7)</f>
        <v>-25.791715621189638</v>
      </c>
      <c r="AH59" s="23">
        <f>$D59*COS($E59+$F59*'25SolarCoords'!AD$7)</f>
        <v>50.211064264272373</v>
      </c>
      <c r="AI59" s="23">
        <f>$D59*COS($E59+$F59*'25SolarCoords'!AE$7)</f>
        <v>30.513013335668134</v>
      </c>
      <c r="AJ59" s="23">
        <f>$D59*COS($E59+$F59*'25SolarCoords'!AF$7)</f>
        <v>-1.7261310360554558</v>
      </c>
      <c r="AK59" s="23">
        <f>$D59*COS($E59+$F59*'25SolarCoords'!AG$7)</f>
        <v>14.980830269908253</v>
      </c>
      <c r="AL59" s="23">
        <f>$D59*COS($E59+$F59*'25SolarCoords'!AH$7)</f>
        <v>0.83995819371082225</v>
      </c>
      <c r="AM59" s="23">
        <f>$D59*COS($E59+$F59*'25SolarCoords'!AI$7)</f>
        <v>48.930167806419554</v>
      </c>
      <c r="AN59" s="23">
        <f>$D59*COS($E59+$F59*'25SolarCoords'!AJ$7)</f>
        <v>-32.084165186417167</v>
      </c>
      <c r="AO59" s="23">
        <f>$D59*COS($E59+$F59*'25SolarCoords'!AK$7)</f>
        <v>-45.733553595277911</v>
      </c>
      <c r="AP59" s="23">
        <f>$D59*COS($E59+$F59*'25SolarCoords'!AL$7)</f>
        <v>-35.791817697198816</v>
      </c>
      <c r="AQ59" s="23">
        <f>$D59*COS($E59+$F59*'25SolarCoords'!AM$7)</f>
        <v>51.990958236881568</v>
      </c>
      <c r="AR59" s="23">
        <f>$D59*COS($E59+$F59*'25SolarCoords'!AN$7)</f>
        <v>-11.157524780038461</v>
      </c>
      <c r="AS59" s="23">
        <f>$D59*COS($E59+$F59*'25SolarCoords'!AO$7)</f>
        <v>44.000977893436229</v>
      </c>
      <c r="AT59" s="23">
        <f>$D59*COS($E59+$F59*'25SolarCoords'!AP$7)</f>
        <v>-50.673927483796511</v>
      </c>
      <c r="AU59" s="23">
        <f>$D59*COS($E59+$F59*'25SolarCoords'!AQ$7)</f>
        <v>-50.251111870051197</v>
      </c>
      <c r="AV59" s="23">
        <f>$D59*COS($E59+$F59*'25SolarCoords'!AR$7)</f>
        <v>-49.782005324688882</v>
      </c>
      <c r="AW59" s="23">
        <f>$D59*COS($E59+$F59*'25SolarCoords'!AS$7)</f>
        <v>-49.18607415154915</v>
      </c>
      <c r="AX59" s="23">
        <f>$D59*COS($E59+$F59*'25SolarCoords'!AT$7)</f>
        <v>-47.882523375832719</v>
      </c>
      <c r="AY59" s="23">
        <f>$D59*COS($E59+$F59*'25SolarCoords'!AU$7)</f>
        <v>20.747161916523353</v>
      </c>
      <c r="AZ59" s="23">
        <f>$D59*COS($E59+$F59*'25SolarCoords'!AV$7)</f>
        <v>-48.061933108799394</v>
      </c>
      <c r="BA59" s="23">
        <f>$D59*COS($E59+$F59*'25SolarCoords'!AW$7)</f>
        <v>35.323814721892923</v>
      </c>
      <c r="BB59" s="23">
        <f>$D59*COS($E59+$F59*'25SolarCoords'!AX$7)</f>
        <v>-24.540830745633507</v>
      </c>
      <c r="BC59" s="23">
        <f>$D59*COS($E59+$F59*'25SolarCoords'!AY$7)</f>
        <v>-44.488206270673778</v>
      </c>
      <c r="BD59" s="23">
        <f>$D59*COS($E59+$F59*'25SolarCoords'!AZ$7)</f>
        <v>-44.358853011334659</v>
      </c>
      <c r="BE59" s="23">
        <f>$D59*COS($E59+$F59*'25SolarCoords'!BA$7)</f>
        <v>-44.228483756401424</v>
      </c>
      <c r="BF59" s="23">
        <f>$D59*COS($E59+$F59*'25SolarCoords'!BB$7)</f>
        <v>-44.097101491853124</v>
      </c>
      <c r="BG59" s="23">
        <f>$D59*COS($E59+$F59*'25SolarCoords'!BC$7)</f>
        <v>-43.964709226870212</v>
      </c>
      <c r="BH59" s="23">
        <f>$D59*COS($E59+$F59*'25SolarCoords'!BD$7)</f>
        <v>-43.83130999376619</v>
      </c>
      <c r="BI59" s="23">
        <f>$D59*COS($E59+$F59*'25SolarCoords'!BE$7)</f>
        <v>-43.696906847918768</v>
      </c>
      <c r="BJ59" s="23">
        <f>$D59*COS($E59+$F59*'25SolarCoords'!BF$7)</f>
        <v>-43.561502867698486</v>
      </c>
      <c r="BK59" s="23">
        <f>$D59*COS($E59+$F59*'25SolarCoords'!BG$7)</f>
        <v>30.482545025307068</v>
      </c>
    </row>
    <row r="60" spans="3:63" x14ac:dyDescent="0.25">
      <c r="C60">
        <f t="shared" si="1"/>
        <v>52</v>
      </c>
      <c r="D60">
        <v>51</v>
      </c>
      <c r="E60">
        <v>0.28000000000000003</v>
      </c>
      <c r="F60">
        <v>5856.48</v>
      </c>
      <c r="H60" s="7"/>
      <c r="I60" s="23">
        <f>$D60*COS($E60+$F60*'25SolarCoords'!E$7)</f>
        <v>-24.055452180475296</v>
      </c>
      <c r="J60" s="23">
        <f>$D60*COS($E60+$F60*'25SolarCoords'!F$7)</f>
        <v>-31.444694702821181</v>
      </c>
      <c r="K60" s="23">
        <f>$D60*COS($E60+$F60*'25SolarCoords'!G$7)</f>
        <v>49.013827353849315</v>
      </c>
      <c r="L60" s="23">
        <f>$D60*COS($E60+$F60*'25SolarCoords'!H$7)</f>
        <v>38.91820732706929</v>
      </c>
      <c r="M60" s="23">
        <f>$D60*COS($E60+$F60*'25SolarCoords'!I$7)</f>
        <v>50.952558085690576</v>
      </c>
      <c r="N60" s="23">
        <f>$D60*COS($E60+$F60*'25SolarCoords'!J$7)</f>
        <v>-32.344080896725217</v>
      </c>
      <c r="O60" s="23">
        <f>$D60*COS($E60+$F60*'25SolarCoords'!K$7)</f>
        <v>45.380714087461833</v>
      </c>
      <c r="P60" s="23">
        <f>$D60*COS($E60+$F60*'25SolarCoords'!L$7)</f>
        <v>-13.715859533195788</v>
      </c>
      <c r="Q60" s="23">
        <f>$D60*COS($E60+$F60*'25SolarCoords'!M$7)</f>
        <v>26.528547038973148</v>
      </c>
      <c r="R60" s="23">
        <f>$D60*COS($E60+$F60*'25SolarCoords'!N$7)</f>
        <v>10.860355520768394</v>
      </c>
      <c r="S60" s="23">
        <f>$D60*COS($E60+$F60*'25SolarCoords'!O$7)</f>
        <v>30.673556152221181</v>
      </c>
      <c r="T60" s="23">
        <f>$D60*COS($E60+$F60*'25SolarCoords'!P$7)</f>
        <v>-19.882989079994129</v>
      </c>
      <c r="U60" s="23">
        <f>$D60*COS($E60+$F60*'25SolarCoords'!Q$7)</f>
        <v>20.254620122757224</v>
      </c>
      <c r="V60" s="23">
        <f>$D60*COS($E60+$F60*'25SolarCoords'!R$7)</f>
        <v>19.501562156609459</v>
      </c>
      <c r="W60" s="23">
        <f>$D60*COS($E60+$F60*'25SolarCoords'!S$7)</f>
        <v>-17.887742257138509</v>
      </c>
      <c r="X60" s="23">
        <f>$D60*COS($E60+$F60*'25SolarCoords'!T$7)</f>
        <v>49.686610142735233</v>
      </c>
      <c r="Y60" s="23">
        <f>$D60*COS($E60+$F60*'25SolarCoords'!U$7)</f>
        <v>-49.835441963302642</v>
      </c>
      <c r="Z60" s="23">
        <f>$D60*COS($E60+$F60*'25SolarCoords'!V$7)</f>
        <v>42.148646675017226</v>
      </c>
      <c r="AA60" s="23">
        <f>$D60*COS($E60+$F60*'25SolarCoords'!W$7)</f>
        <v>21.8814450201418</v>
      </c>
      <c r="AB60" s="23">
        <f>$D60*COS($E60+$F60*'25SolarCoords'!X$7)</f>
        <v>29.162775502292551</v>
      </c>
      <c r="AC60" s="23">
        <f>$D60*COS($E60+$F60*'25SolarCoords'!Y$7)</f>
        <v>-8.9199954867376476</v>
      </c>
      <c r="AD60" s="23">
        <f>$D60*COS($E60+$F60*'25SolarCoords'!Z$7)</f>
        <v>47.968829884454159</v>
      </c>
      <c r="AE60" s="23">
        <f>$D60*COS($E60+$F60*'25SolarCoords'!AA$7)</f>
        <v>49.125244894880048</v>
      </c>
      <c r="AF60" s="23">
        <f>$D60*COS($E60+$F60*'25SolarCoords'!AB$7)</f>
        <v>-35.405764016621376</v>
      </c>
      <c r="AG60" s="23">
        <f>$D60*COS($E60+$F60*'25SolarCoords'!AC$7)</f>
        <v>-29.349072774253887</v>
      </c>
      <c r="AH60" s="23">
        <f>$D60*COS($E60+$F60*'25SolarCoords'!AD$7)</f>
        <v>31.498428837515178</v>
      </c>
      <c r="AI60" s="23">
        <f>$D60*COS($E60+$F60*'25SolarCoords'!AE$7)</f>
        <v>-6.3725754287775427</v>
      </c>
      <c r="AJ60" s="23">
        <f>$D60*COS($E60+$F60*'25SolarCoords'!AF$7)</f>
        <v>-50.898640926632737</v>
      </c>
      <c r="AK60" s="23">
        <f>$D60*COS($E60+$F60*'25SolarCoords'!AG$7)</f>
        <v>-20.675378419975928</v>
      </c>
      <c r="AL60" s="23">
        <f>$D60*COS($E60+$F60*'25SolarCoords'!AH$7)</f>
        <v>17.486167750289322</v>
      </c>
      <c r="AM60" s="23">
        <f>$D60*COS($E60+$F60*'25SolarCoords'!AI$7)</f>
        <v>21.369093248391145</v>
      </c>
      <c r="AN60" s="23">
        <f>$D60*COS($E60+$F60*'25SolarCoords'!AJ$7)</f>
        <v>23.670844966638768</v>
      </c>
      <c r="AO60" s="23">
        <f>$D60*COS($E60+$F60*'25SolarCoords'!AK$7)</f>
        <v>-42.563864458637461</v>
      </c>
      <c r="AP60" s="23">
        <f>$D60*COS($E60+$F60*'25SolarCoords'!AL$7)</f>
        <v>-39.759494084870362</v>
      </c>
      <c r="AQ60" s="23">
        <f>$D60*COS($E60+$F60*'25SolarCoords'!AM$7)</f>
        <v>27.054221140019848</v>
      </c>
      <c r="AR60" s="23">
        <f>$D60*COS($E60+$F60*'25SolarCoords'!AN$7)</f>
        <v>-12.145954761244221</v>
      </c>
      <c r="AS60" s="23">
        <f>$D60*COS($E60+$F60*'25SolarCoords'!AO$7)</f>
        <v>27.35032893395913</v>
      </c>
      <c r="AT60" s="23">
        <f>$D60*COS($E60+$F60*'25SolarCoords'!AP$7)</f>
        <v>5.3308811106110445</v>
      </c>
      <c r="AU60" s="23">
        <f>$D60*COS($E60+$F60*'25SolarCoords'!AQ$7)</f>
        <v>-0.42898658906323811</v>
      </c>
      <c r="AV60" s="23">
        <f>$D60*COS($E60+$F60*'25SolarCoords'!AR$7)</f>
        <v>-6.0593401217398188</v>
      </c>
      <c r="AW60" s="23">
        <f>$D60*COS($E60+$F60*'25SolarCoords'!AS$7)</f>
        <v>-12.333688352620371</v>
      </c>
      <c r="AX60" s="23">
        <f>$D60*COS($E60+$F60*'25SolarCoords'!AT$7)</f>
        <v>-23.517229587101408</v>
      </c>
      <c r="AY60" s="23">
        <f>$D60*COS($E60+$F60*'25SolarCoords'!AU$7)</f>
        <v>-4.5352614976366983</v>
      </c>
      <c r="AZ60" s="23">
        <f>$D60*COS($E60+$F60*'25SolarCoords'!AV$7)</f>
        <v>34.690310564913894</v>
      </c>
      <c r="BA60" s="23">
        <f>$D60*COS($E60+$F60*'25SolarCoords'!AW$7)</f>
        <v>-49.999937066102056</v>
      </c>
      <c r="BB60" s="23">
        <f>$D60*COS($E60+$F60*'25SolarCoords'!AX$7)</f>
        <v>6.1287137788906181</v>
      </c>
      <c r="BC60" s="23">
        <f>$D60*COS($E60+$F60*'25SolarCoords'!AY$7)</f>
        <v>-41.787088629505547</v>
      </c>
      <c r="BD60" s="23">
        <f>$D60*COS($E60+$F60*'25SolarCoords'!AZ$7)</f>
        <v>-42.250498182229897</v>
      </c>
      <c r="BE60" s="23">
        <f>$D60*COS($E60+$F60*'25SolarCoords'!BA$7)</f>
        <v>-42.70304559462177</v>
      </c>
      <c r="BF60" s="23">
        <f>$D60*COS($E60+$F60*'25SolarCoords'!BB$7)</f>
        <v>-43.144614521696369</v>
      </c>
      <c r="BG60" s="23">
        <f>$D60*COS($E60+$F60*'25SolarCoords'!BC$7)</f>
        <v>-43.575091440919643</v>
      </c>
      <c r="BH60" s="23">
        <f>$D60*COS($E60+$F60*'25SolarCoords'!BD$7)</f>
        <v>-43.994365681391209</v>
      </c>
      <c r="BI60" s="23">
        <f>$D60*COS($E60+$F60*'25SolarCoords'!BE$7)</f>
        <v>-44.402329452294445</v>
      </c>
      <c r="BJ60" s="23">
        <f>$D60*COS($E60+$F60*'25SolarCoords'!BF$7)</f>
        <v>-44.798877870612856</v>
      </c>
      <c r="BK60" s="23">
        <f>$D60*COS($E60+$F60*'25SolarCoords'!BG$7)</f>
        <v>-6.4951956931497676</v>
      </c>
    </row>
    <row r="61" spans="3:63" x14ac:dyDescent="0.25">
      <c r="C61">
        <f t="shared" si="1"/>
        <v>53</v>
      </c>
      <c r="D61">
        <v>49</v>
      </c>
      <c r="E61">
        <v>0.49</v>
      </c>
      <c r="F61">
        <v>1194.45</v>
      </c>
      <c r="H61" s="7"/>
      <c r="I61" s="23">
        <f>$D61*COS($E61+$F61*'25SolarCoords'!E$7)</f>
        <v>46.808862787280006</v>
      </c>
      <c r="J61" s="23">
        <f>$D61*COS($E61+$F61*'25SolarCoords'!F$7)</f>
        <v>15.841596784203114</v>
      </c>
      <c r="K61" s="23">
        <f>$D61*COS($E61+$F61*'25SolarCoords'!G$7)</f>
        <v>43.234310071895948</v>
      </c>
      <c r="L61" s="23">
        <f>$D61*COS($E61+$F61*'25SolarCoords'!H$7)</f>
        <v>37.310468804184339</v>
      </c>
      <c r="M61" s="23">
        <f>$D61*COS($E61+$F61*'25SolarCoords'!I$7)</f>
        <v>-35.708078025499965</v>
      </c>
      <c r="N61" s="23">
        <f>$D61*COS($E61+$F61*'25SolarCoords'!J$7)</f>
        <v>-16.672921905508158</v>
      </c>
      <c r="O61" s="23">
        <f>$D61*COS($E61+$F61*'25SolarCoords'!K$7)</f>
        <v>18.04569217026657</v>
      </c>
      <c r="P61" s="23">
        <f>$D61*COS($E61+$F61*'25SolarCoords'!L$7)</f>
        <v>36.803209177026027</v>
      </c>
      <c r="Q61" s="23">
        <f>$D61*COS($E61+$F61*'25SolarCoords'!M$7)</f>
        <v>44.59723523879866</v>
      </c>
      <c r="R61" s="23">
        <f>$D61*COS($E61+$F61*'25SolarCoords'!N$7)</f>
        <v>47.592543532898532</v>
      </c>
      <c r="S61" s="23">
        <f>$D61*COS($E61+$F61*'25SolarCoords'!O$7)</f>
        <v>6.6874075877221859</v>
      </c>
      <c r="T61" s="23">
        <f>$D61*COS($E61+$F61*'25SolarCoords'!P$7)</f>
        <v>46.859494080645035</v>
      </c>
      <c r="U61" s="23">
        <f>$D61*COS($E61+$F61*'25SolarCoords'!Q$7)</f>
        <v>-19.044582072717649</v>
      </c>
      <c r="V61" s="23">
        <f>$D61*COS($E61+$F61*'25SolarCoords'!R$7)</f>
        <v>-18.896837719928964</v>
      </c>
      <c r="W61" s="23">
        <f>$D61*COS($E61+$F61*'25SolarCoords'!S$7)</f>
        <v>35.153450774102943</v>
      </c>
      <c r="X61" s="23">
        <f>$D61*COS($E61+$F61*'25SolarCoords'!T$7)</f>
        <v>17.272560883398675</v>
      </c>
      <c r="Y61" s="23">
        <f>$D61*COS($E61+$F61*'25SolarCoords'!U$7)</f>
        <v>-13.436779142691112</v>
      </c>
      <c r="Z61" s="23">
        <f>$D61*COS($E61+$F61*'25SolarCoords'!V$7)</f>
        <v>36.560402386474316</v>
      </c>
      <c r="AA61" s="23">
        <f>$D61*COS($E61+$F61*'25SolarCoords'!W$7)</f>
        <v>-26.760813329942156</v>
      </c>
      <c r="AB61" s="23">
        <f>$D61*COS($E61+$F61*'25SolarCoords'!X$7)</f>
        <v>-37.756538666143598</v>
      </c>
      <c r="AC61" s="23">
        <f>$D61*COS($E61+$F61*'25SolarCoords'!Y$7)</f>
        <v>-6.3926271034406117</v>
      </c>
      <c r="AD61" s="23">
        <f>$D61*COS($E61+$F61*'25SolarCoords'!Z$7)</f>
        <v>-45.808515583470154</v>
      </c>
      <c r="AE61" s="23">
        <f>$D61*COS($E61+$F61*'25SolarCoords'!AA$7)</f>
        <v>43.271959057022364</v>
      </c>
      <c r="AF61" s="23">
        <f>$D61*COS($E61+$F61*'25SolarCoords'!AB$7)</f>
        <v>-43.92864619204731</v>
      </c>
      <c r="AG61" s="23">
        <f>$D61*COS($E61+$F61*'25SolarCoords'!AC$7)</f>
        <v>45.477201670922817</v>
      </c>
      <c r="AH61" s="23">
        <f>$D61*COS($E61+$F61*'25SolarCoords'!AD$7)</f>
        <v>29.980640536328885</v>
      </c>
      <c r="AI61" s="23">
        <f>$D61*COS($E61+$F61*'25SolarCoords'!AE$7)</f>
        <v>-5.8916673052702215</v>
      </c>
      <c r="AJ61" s="23">
        <f>$D61*COS($E61+$F61*'25SolarCoords'!AF$7)</f>
        <v>-2.7226795054679997</v>
      </c>
      <c r="AK61" s="23">
        <f>$D61*COS($E61+$F61*'25SolarCoords'!AG$7)</f>
        <v>-13.44574995645128</v>
      </c>
      <c r="AL61" s="23">
        <f>$D61*COS($E61+$F61*'25SolarCoords'!AH$7)</f>
        <v>-39.210429815668974</v>
      </c>
      <c r="AM61" s="23">
        <f>$D61*COS($E61+$F61*'25SolarCoords'!AI$7)</f>
        <v>-38.855366233814898</v>
      </c>
      <c r="AN61" s="23">
        <f>$D61*COS($E61+$F61*'25SolarCoords'!AJ$7)</f>
        <v>17.996417062423063</v>
      </c>
      <c r="AO61" s="23">
        <f>$D61*COS($E61+$F61*'25SolarCoords'!AK$7)</f>
        <v>-48.607002919141088</v>
      </c>
      <c r="AP61" s="23">
        <f>$D61*COS($E61+$F61*'25SolarCoords'!AL$7)</f>
        <v>-18.985481001777153</v>
      </c>
      <c r="AQ61" s="23">
        <f>$D61*COS($E61+$F61*'25SolarCoords'!AM$7)</f>
        <v>7.5582652456496664</v>
      </c>
      <c r="AR61" s="23">
        <f>$D61*COS($E61+$F61*'25SolarCoords'!AN$7)</f>
        <v>34.057461017114782</v>
      </c>
      <c r="AS61" s="23">
        <f>$D61*COS($E61+$F61*'25SolarCoords'!AO$7)</f>
        <v>44.233454202248524</v>
      </c>
      <c r="AT61" s="23">
        <f>$D61*COS($E61+$F61*'25SolarCoords'!AP$7)</f>
        <v>-39.553195502434754</v>
      </c>
      <c r="AU61" s="23">
        <f>$D61*COS($E61+$F61*'25SolarCoords'!AQ$7)</f>
        <v>-40.209958006236221</v>
      </c>
      <c r="AV61" s="23">
        <f>$D61*COS($E61+$F61*'25SolarCoords'!AR$7)</f>
        <v>-40.831786067500616</v>
      </c>
      <c r="AW61" s="23">
        <f>$D61*COS($E61+$F61*'25SolarCoords'!AS$7)</f>
        <v>-41.509917364512944</v>
      </c>
      <c r="AX61" s="23">
        <f>$D61*COS($E61+$F61*'25SolarCoords'!AT$7)</f>
        <v>-42.709705303088676</v>
      </c>
      <c r="AY61" s="23">
        <f>$D61*COS($E61+$F61*'25SolarCoords'!AU$7)</f>
        <v>48.446863177109847</v>
      </c>
      <c r="AZ61" s="23">
        <f>$D61*COS($E61+$F61*'25SolarCoords'!AV$7)</f>
        <v>-32.569532333934418</v>
      </c>
      <c r="BA61" s="23">
        <f>$D61*COS($E61+$F61*'25SolarCoords'!AW$7)</f>
        <v>-8.1917196522558395</v>
      </c>
      <c r="BB61" s="23">
        <f>$D61*COS($E61+$F61*'25SolarCoords'!AX$7)</f>
        <v>47.290219130505868</v>
      </c>
      <c r="BC61" s="23">
        <f>$D61*COS($E61+$F61*'25SolarCoords'!AY$7)</f>
        <v>-44.856915544433861</v>
      </c>
      <c r="BD61" s="23">
        <f>$D61*COS($E61+$F61*'25SolarCoords'!AZ$7)</f>
        <v>-44.921162661690033</v>
      </c>
      <c r="BE61" s="23">
        <f>$D61*COS($E61+$F61*'25SolarCoords'!BA$7)</f>
        <v>-44.984929375514092</v>
      </c>
      <c r="BF61" s="23">
        <f>$D61*COS($E61+$F61*'25SolarCoords'!BB$7)</f>
        <v>-45.048215003961147</v>
      </c>
      <c r="BG61" s="23">
        <f>$D61*COS($E61+$F61*'25SolarCoords'!BC$7)</f>
        <v>-45.111018870231405</v>
      </c>
      <c r="BH61" s="23">
        <f>$D61*COS($E61+$F61*'25SolarCoords'!BD$7)</f>
        <v>-45.173340302677424</v>
      </c>
      <c r="BI61" s="23">
        <f>$D61*COS($E61+$F61*'25SolarCoords'!BE$7)</f>
        <v>-45.235178634810708</v>
      </c>
      <c r="BJ61" s="23">
        <f>$D61*COS($E61+$F61*'25SolarCoords'!BF$7)</f>
        <v>-45.296533205309373</v>
      </c>
      <c r="BK61" s="23">
        <f>$D61*COS($E61+$F61*'25SolarCoords'!BG$7)</f>
        <v>-5.9157124829549312</v>
      </c>
    </row>
    <row r="62" spans="3:63" x14ac:dyDescent="0.25">
      <c r="C62">
        <f t="shared" si="1"/>
        <v>54</v>
      </c>
      <c r="D62">
        <v>41</v>
      </c>
      <c r="E62">
        <v>5.37</v>
      </c>
      <c r="F62">
        <v>8429.24</v>
      </c>
      <c r="H62" s="7"/>
      <c r="I62" s="23">
        <f>$D62*COS($E62+$F62*'25SolarCoords'!E$7)</f>
        <v>16.182954151598526</v>
      </c>
      <c r="J62" s="23">
        <f>$D62*COS($E62+$F62*'25SolarCoords'!F$7)</f>
        <v>-28.416829034792162</v>
      </c>
      <c r="K62" s="23">
        <f>$D62*COS($E62+$F62*'25SolarCoords'!G$7)</f>
        <v>25.060340957255143</v>
      </c>
      <c r="L62" s="23">
        <f>$D62*COS($E62+$F62*'25SolarCoords'!H$7)</f>
        <v>-40.879826674826369</v>
      </c>
      <c r="M62" s="23">
        <f>$D62*COS($E62+$F62*'25SolarCoords'!I$7)</f>
        <v>-40.934121462152596</v>
      </c>
      <c r="N62" s="23">
        <f>$D62*COS($E62+$F62*'25SolarCoords'!J$7)</f>
        <v>39.950059319445586</v>
      </c>
      <c r="O62" s="23">
        <f>$D62*COS($E62+$F62*'25SolarCoords'!K$7)</f>
        <v>24.028370964845958</v>
      </c>
      <c r="P62" s="23">
        <f>$D62*COS($E62+$F62*'25SolarCoords'!L$7)</f>
        <v>-29.959169743068838</v>
      </c>
      <c r="Q62" s="23">
        <f>$D62*COS($E62+$F62*'25SolarCoords'!M$7)</f>
        <v>-12.430012557173505</v>
      </c>
      <c r="R62" s="23">
        <f>$D62*COS($E62+$F62*'25SolarCoords'!N$7)</f>
        <v>2.1218953117324877</v>
      </c>
      <c r="S62" s="23">
        <f>$D62*COS($E62+$F62*'25SolarCoords'!O$7)</f>
        <v>-35.627100660168573</v>
      </c>
      <c r="T62" s="23">
        <f>$D62*COS($E62+$F62*'25SolarCoords'!P$7)</f>
        <v>39.753625938209169</v>
      </c>
      <c r="U62" s="23">
        <f>$D62*COS($E62+$F62*'25SolarCoords'!Q$7)</f>
        <v>30.137485163367582</v>
      </c>
      <c r="V62" s="23">
        <f>$D62*COS($E62+$F62*'25SolarCoords'!R$7)</f>
        <v>29.487993335447481</v>
      </c>
      <c r="W62" s="23">
        <f>$D62*COS($E62+$F62*'25SolarCoords'!S$7)</f>
        <v>38.633199310469905</v>
      </c>
      <c r="X62" s="23">
        <f>$D62*COS($E62+$F62*'25SolarCoords'!T$7)</f>
        <v>-39.121987245799026</v>
      </c>
      <c r="Y62" s="23">
        <f>$D62*COS($E62+$F62*'25SolarCoords'!U$7)</f>
        <v>-3.8470431618232515</v>
      </c>
      <c r="Z62" s="23">
        <f>$D62*COS($E62+$F62*'25SolarCoords'!V$7)</f>
        <v>-30.553441240026757</v>
      </c>
      <c r="AA62" s="23">
        <f>$D62*COS($E62+$F62*'25SolarCoords'!W$7)</f>
        <v>6.9604730421591485</v>
      </c>
      <c r="AB62" s="23">
        <f>$D62*COS($E62+$F62*'25SolarCoords'!X$7)</f>
        <v>-40.979991777745532</v>
      </c>
      <c r="AC62" s="23">
        <f>$D62*COS($E62+$F62*'25SolarCoords'!Y$7)</f>
        <v>20.849760037812135</v>
      </c>
      <c r="AD62" s="23">
        <f>$D62*COS($E62+$F62*'25SolarCoords'!Z$7)</f>
        <v>30.108080723623548</v>
      </c>
      <c r="AE62" s="23">
        <f>$D62*COS($E62+$F62*'25SolarCoords'!AA$7)</f>
        <v>24.684244461842898</v>
      </c>
      <c r="AF62" s="23">
        <f>$D62*COS($E62+$F62*'25SolarCoords'!AB$7)</f>
        <v>13.708332644100697</v>
      </c>
      <c r="AG62" s="23">
        <f>$D62*COS($E62+$F62*'25SolarCoords'!AC$7)</f>
        <v>-40.981499225615153</v>
      </c>
      <c r="AH62" s="23">
        <f>$D62*COS($E62+$F62*'25SolarCoords'!AD$7)</f>
        <v>20.751609142202383</v>
      </c>
      <c r="AI62" s="23">
        <f>$D62*COS($E62+$F62*'25SolarCoords'!AE$7)</f>
        <v>18.229609439615494</v>
      </c>
      <c r="AJ62" s="23">
        <f>$D62*COS($E62+$F62*'25SolarCoords'!AF$7)</f>
        <v>-36.005007687296171</v>
      </c>
      <c r="AK62" s="23">
        <f>$D62*COS($E62+$F62*'25SolarCoords'!AG$7)</f>
        <v>19.558476623317873</v>
      </c>
      <c r="AL62" s="23">
        <f>$D62*COS($E62+$F62*'25SolarCoords'!AH$7)</f>
        <v>40.989815994346472</v>
      </c>
      <c r="AM62" s="23">
        <f>$D62*COS($E62+$F62*'25SolarCoords'!AI$7)</f>
        <v>-39.34496953637548</v>
      </c>
      <c r="AN62" s="23">
        <f>$D62*COS($E62+$F62*'25SolarCoords'!AJ$7)</f>
        <v>33.975494664131602</v>
      </c>
      <c r="AO62" s="23">
        <f>$D62*COS($E62+$F62*'25SolarCoords'!AK$7)</f>
        <v>-13.81882751135872</v>
      </c>
      <c r="AP62" s="23">
        <f>$D62*COS($E62+$F62*'25SolarCoords'!AL$7)</f>
        <v>-33.384908178958604</v>
      </c>
      <c r="AQ62" s="23">
        <f>$D62*COS($E62+$F62*'25SolarCoords'!AM$7)</f>
        <v>39.662219912407636</v>
      </c>
      <c r="AR62" s="23">
        <f>$D62*COS($E62+$F62*'25SolarCoords'!AN$7)</f>
        <v>11.3318623192645</v>
      </c>
      <c r="AS62" s="23">
        <f>$D62*COS($E62+$F62*'25SolarCoords'!AO$7)</f>
        <v>25.774400665999913</v>
      </c>
      <c r="AT62" s="23">
        <f>$D62*COS($E62+$F62*'25SolarCoords'!AP$7)</f>
        <v>-24.449861344909813</v>
      </c>
      <c r="AU62" s="23">
        <f>$D62*COS($E62+$F62*'25SolarCoords'!AQ$7)</f>
        <v>-29.461818411710244</v>
      </c>
      <c r="AV62" s="23">
        <f>$D62*COS($E62+$F62*'25SolarCoords'!AR$7)</f>
        <v>-33.611806647879376</v>
      </c>
      <c r="AW62" s="23">
        <f>$D62*COS($E62+$F62*'25SolarCoords'!AS$7)</f>
        <v>-37.27474163536241</v>
      </c>
      <c r="AX62" s="23">
        <f>$D62*COS($E62+$F62*'25SolarCoords'!AT$7)</f>
        <v>-40.829069665047101</v>
      </c>
      <c r="AY62" s="23">
        <f>$D62*COS($E62+$F62*'25SolarCoords'!AU$7)</f>
        <v>15.521068328573682</v>
      </c>
      <c r="AZ62" s="23">
        <f>$D62*COS($E62+$F62*'25SolarCoords'!AV$7)</f>
        <v>-6.8083139228998562</v>
      </c>
      <c r="BA62" s="23">
        <f>$D62*COS($E62+$F62*'25SolarCoords'!AW$7)</f>
        <v>-20.348055240342841</v>
      </c>
      <c r="BB62" s="23">
        <f>$D62*COS($E62+$F62*'25SolarCoords'!AX$7)</f>
        <v>-38.937549772554569</v>
      </c>
      <c r="BC62" s="23">
        <f>$D62*COS($E62+$F62*'25SolarCoords'!AY$7)</f>
        <v>-33.815702358595843</v>
      </c>
      <c r="BD62" s="23">
        <f>$D62*COS($E62+$F62*'25SolarCoords'!AZ$7)</f>
        <v>-33.271704635882521</v>
      </c>
      <c r="BE62" s="23">
        <f>$D62*COS($E62+$F62*'25SolarCoords'!BA$7)</f>
        <v>-32.709987384475973</v>
      </c>
      <c r="BF62" s="23">
        <f>$D62*COS($E62+$F62*'25SolarCoords'!BB$7)</f>
        <v>-32.130849758421768</v>
      </c>
      <c r="BG62" s="23">
        <f>$D62*COS($E62+$F62*'25SolarCoords'!BC$7)</f>
        <v>-31.534600189338427</v>
      </c>
      <c r="BH62" s="23">
        <f>$D62*COS($E62+$F62*'25SolarCoords'!BD$7)</f>
        <v>-30.921556222163467</v>
      </c>
      <c r="BI62" s="23">
        <f>$D62*COS($E62+$F62*'25SolarCoords'!BE$7)</f>
        <v>-30.292044346034878</v>
      </c>
      <c r="BJ62" s="23">
        <f>$D62*COS($E62+$F62*'25SolarCoords'!BF$7)</f>
        <v>-29.6463998204141</v>
      </c>
      <c r="BK62" s="23">
        <f>$D62*COS($E62+$F62*'25SolarCoords'!BG$7)</f>
        <v>18.357608047234251</v>
      </c>
    </row>
    <row r="63" spans="3:63" x14ac:dyDescent="0.25">
      <c r="C63">
        <f t="shared" si="1"/>
        <v>55</v>
      </c>
      <c r="D63">
        <v>41</v>
      </c>
      <c r="E63">
        <v>2.4</v>
      </c>
      <c r="F63">
        <v>19651.05</v>
      </c>
      <c r="H63" s="7"/>
      <c r="I63" s="23">
        <f>$D63*COS($E63+$F63*'25SolarCoords'!E$7)</f>
        <v>-4.9406552010414782</v>
      </c>
      <c r="J63" s="23">
        <f>$D63*COS($E63+$F63*'25SolarCoords'!F$7)</f>
        <v>36.304655819378233</v>
      </c>
      <c r="K63" s="23">
        <f>$D63*COS($E63+$F63*'25SolarCoords'!G$7)</f>
        <v>-30.233142337191062</v>
      </c>
      <c r="L63" s="23">
        <f>$D63*COS($E63+$F63*'25SolarCoords'!H$7)</f>
        <v>-0.58460673545067154</v>
      </c>
      <c r="M63" s="23">
        <f>$D63*COS($E63+$F63*'25SolarCoords'!I$7)</f>
        <v>38.502381963499005</v>
      </c>
      <c r="N63" s="23">
        <f>$D63*COS($E63+$F63*'25SolarCoords'!J$7)</f>
        <v>19.088832859474383</v>
      </c>
      <c r="O63" s="23">
        <f>$D63*COS($E63+$F63*'25SolarCoords'!K$7)</f>
        <v>37.143600863676141</v>
      </c>
      <c r="P63" s="23">
        <f>$D63*COS($E63+$F63*'25SolarCoords'!L$7)</f>
        <v>-14.349342812722337</v>
      </c>
      <c r="Q63" s="23">
        <f>$D63*COS($E63+$F63*'25SolarCoords'!M$7)</f>
        <v>-28.051608137992876</v>
      </c>
      <c r="R63" s="23">
        <f>$D63*COS($E63+$F63*'25SolarCoords'!N$7)</f>
        <v>-29.654102814834587</v>
      </c>
      <c r="S63" s="23">
        <f>$D63*COS($E63+$F63*'25SolarCoords'!O$7)</f>
        <v>-40.98638219736911</v>
      </c>
      <c r="T63" s="23">
        <f>$D63*COS($E63+$F63*'25SolarCoords'!P$7)</f>
        <v>40.940240490229598</v>
      </c>
      <c r="U63" s="23">
        <f>$D63*COS($E63+$F63*'25SolarCoords'!Q$7)</f>
        <v>12.351687965699146</v>
      </c>
      <c r="V63" s="23">
        <f>$D63*COS($E63+$F63*'25SolarCoords'!R$7)</f>
        <v>14.436187740457111</v>
      </c>
      <c r="W63" s="23">
        <f>$D63*COS($E63+$F63*'25SolarCoords'!S$7)</f>
        <v>-39.754782847183726</v>
      </c>
      <c r="X63" s="23">
        <f>$D63*COS($E63+$F63*'25SolarCoords'!T$7)</f>
        <v>-14.848136724282167</v>
      </c>
      <c r="Y63" s="23">
        <f>$D63*COS($E63+$F63*'25SolarCoords'!U$7)</f>
        <v>-26.455217762467452</v>
      </c>
      <c r="Z63" s="23">
        <f>$D63*COS($E63+$F63*'25SolarCoords'!V$7)</f>
        <v>-12.389950754560374</v>
      </c>
      <c r="AA63" s="23">
        <f>$D63*COS($E63+$F63*'25SolarCoords'!W$7)</f>
        <v>-37.180257397981322</v>
      </c>
      <c r="AB63" s="23">
        <f>$D63*COS($E63+$F63*'25SolarCoords'!X$7)</f>
        <v>4.9848077888715192</v>
      </c>
      <c r="AC63" s="23">
        <f>$D63*COS($E63+$F63*'25SolarCoords'!Y$7)</f>
        <v>20.985518122298078</v>
      </c>
      <c r="AD63" s="23">
        <f>$D63*COS($E63+$F63*'25SolarCoords'!Z$7)</f>
        <v>40.925548911213902</v>
      </c>
      <c r="AE63" s="23">
        <f>$D63*COS($E63+$F63*'25SolarCoords'!AA$7)</f>
        <v>-29.477302587766943</v>
      </c>
      <c r="AF63" s="23">
        <f>$D63*COS($E63+$F63*'25SolarCoords'!AB$7)</f>
        <v>38.537995296424462</v>
      </c>
      <c r="AG63" s="23">
        <f>$D63*COS($E63+$F63*'25SolarCoords'!AC$7)</f>
        <v>-10.201339584360733</v>
      </c>
      <c r="AH63" s="23">
        <f>$D63*COS($E63+$F63*'25SolarCoords'!AD$7)</f>
        <v>14.126209608075525</v>
      </c>
      <c r="AI63" s="23">
        <f>$D63*COS($E63+$F63*'25SolarCoords'!AE$7)</f>
        <v>26.62757472118146</v>
      </c>
      <c r="AJ63" s="23">
        <f>$D63*COS($E63+$F63*'25SolarCoords'!AF$7)</f>
        <v>-31.331170287353103</v>
      </c>
      <c r="AK63" s="23">
        <f>$D63*COS($E63+$F63*'25SolarCoords'!AG$7)</f>
        <v>14.168213792876211</v>
      </c>
      <c r="AL63" s="23">
        <f>$D63*COS($E63+$F63*'25SolarCoords'!AH$7)</f>
        <v>-3.3502192151661379</v>
      </c>
      <c r="AM63" s="23">
        <f>$D63*COS($E63+$F63*'25SolarCoords'!AI$7)</f>
        <v>26.84005387528822</v>
      </c>
      <c r="AN63" s="23">
        <f>$D63*COS($E63+$F63*'25SolarCoords'!AJ$7)</f>
        <v>-40.716834148360689</v>
      </c>
      <c r="AO63" s="23">
        <f>$D63*COS($E63+$F63*'25SolarCoords'!AK$7)</f>
        <v>18.774750581387107</v>
      </c>
      <c r="AP63" s="23">
        <f>$D63*COS($E63+$F63*'25SolarCoords'!AL$7)</f>
        <v>-24.059023815380524</v>
      </c>
      <c r="AQ63" s="23">
        <f>$D63*COS($E63+$F63*'25SolarCoords'!AM$7)</f>
        <v>-31.83800364096442</v>
      </c>
      <c r="AR63" s="23">
        <f>$D63*COS($E63+$F63*'25SolarCoords'!AN$7)</f>
        <v>12.738519290562518</v>
      </c>
      <c r="AS63" s="23">
        <f>$D63*COS($E63+$F63*'25SolarCoords'!AO$7)</f>
        <v>-40.776454472705801</v>
      </c>
      <c r="AT63" s="23">
        <f>$D63*COS($E63+$F63*'25SolarCoords'!AP$7)</f>
        <v>-40.66222315835499</v>
      </c>
      <c r="AU63" s="23">
        <f>$D63*COS($E63+$F63*'25SolarCoords'!AQ$7)</f>
        <v>-39.71372060183888</v>
      </c>
      <c r="AV63" s="23">
        <f>$D63*COS($E63+$F63*'25SolarCoords'!AR$7)</f>
        <v>-33.308626752691893</v>
      </c>
      <c r="AW63" s="23">
        <f>$D63*COS($E63+$F63*'25SolarCoords'!AS$7)</f>
        <v>-20.665875487877734</v>
      </c>
      <c r="AX63" s="23">
        <f>$D63*COS($E63+$F63*'25SolarCoords'!AT$7)</f>
        <v>10.550350181236757</v>
      </c>
      <c r="AY63" s="23">
        <f>$D63*COS($E63+$F63*'25SolarCoords'!AU$7)</f>
        <v>4.3895330217725759</v>
      </c>
      <c r="AZ63" s="23">
        <f>$D63*COS($E63+$F63*'25SolarCoords'!AV$7)</f>
        <v>35.653761158084684</v>
      </c>
      <c r="BA63" s="23">
        <f>$D63*COS($E63+$F63*'25SolarCoords'!AW$7)</f>
        <v>29.430811845824813</v>
      </c>
      <c r="BB63" s="23">
        <f>$D63*COS($E63+$F63*'25SolarCoords'!AX$7)</f>
        <v>10.068599726061107</v>
      </c>
      <c r="BC63" s="23">
        <f>$D63*COS($E63+$F63*'25SolarCoords'!AY$7)</f>
        <v>39.126068842200645</v>
      </c>
      <c r="BD63" s="23">
        <f>$D63*COS($E63+$F63*'25SolarCoords'!AZ$7)</f>
        <v>38.410509158056648</v>
      </c>
      <c r="BE63" s="23">
        <f>$D63*COS($E63+$F63*'25SolarCoords'!BA$7)</f>
        <v>37.583792587335516</v>
      </c>
      <c r="BF63" s="23">
        <f>$D63*COS($E63+$F63*'25SolarCoords'!BB$7)</f>
        <v>36.648311580494934</v>
      </c>
      <c r="BG63" s="23">
        <f>$D63*COS($E63+$F63*'25SolarCoords'!BC$7)</f>
        <v>35.606773343410147</v>
      </c>
      <c r="BH63" s="23">
        <f>$D63*COS($E63+$F63*'25SolarCoords'!BD$7)</f>
        <v>34.46219200295053</v>
      </c>
      <c r="BI63" s="23">
        <f>$D63*COS($E63+$F63*'25SolarCoords'!BE$7)</f>
        <v>33.217879884337144</v>
      </c>
      <c r="BJ63" s="23">
        <f>$D63*COS($E63+$F63*'25SolarCoords'!BF$7)</f>
        <v>31.877437925545586</v>
      </c>
      <c r="BK63" s="23">
        <f>$D63*COS($E63+$F63*'25SolarCoords'!BG$7)</f>
        <v>26.373153810950761</v>
      </c>
    </row>
    <row r="64" spans="3:63" x14ac:dyDescent="0.25">
      <c r="C64">
        <f t="shared" si="1"/>
        <v>56</v>
      </c>
      <c r="D64">
        <v>39</v>
      </c>
      <c r="E64">
        <v>6.17</v>
      </c>
      <c r="F64">
        <v>10447.39</v>
      </c>
      <c r="H64" s="7"/>
      <c r="I64" s="23">
        <f>$D64*COS($E64+$F64*'25SolarCoords'!E$7)</f>
        <v>-1.2606845519490488</v>
      </c>
      <c r="J64" s="23">
        <f>$D64*COS($E64+$F64*'25SolarCoords'!F$7)</f>
        <v>-23.401363658208538</v>
      </c>
      <c r="K64" s="23">
        <f>$D64*COS($E64+$F64*'25SolarCoords'!G$7)</f>
        <v>38.750453761999452</v>
      </c>
      <c r="L64" s="23">
        <f>$D64*COS($E64+$F64*'25SolarCoords'!H$7)</f>
        <v>-16.181640701619937</v>
      </c>
      <c r="M64" s="23">
        <f>$D64*COS($E64+$F64*'25SolarCoords'!I$7)</f>
        <v>-38.788330457069513</v>
      </c>
      <c r="N64" s="23">
        <f>$D64*COS($E64+$F64*'25SolarCoords'!J$7)</f>
        <v>25.481669213372964</v>
      </c>
      <c r="O64" s="23">
        <f>$D64*COS($E64+$F64*'25SolarCoords'!K$7)</f>
        <v>23.898273547287456</v>
      </c>
      <c r="P64" s="23">
        <f>$D64*COS($E64+$F64*'25SolarCoords'!L$7)</f>
        <v>12.712513133742918</v>
      </c>
      <c r="Q64" s="23">
        <f>$D64*COS($E64+$F64*'25SolarCoords'!M$7)</f>
        <v>-9.9630342627792583</v>
      </c>
      <c r="R64" s="23">
        <f>$D64*COS($E64+$F64*'25SolarCoords'!N$7)</f>
        <v>30.338879206799376</v>
      </c>
      <c r="S64" s="23">
        <f>$D64*COS($E64+$F64*'25SolarCoords'!O$7)</f>
        <v>-36.818986201086759</v>
      </c>
      <c r="T64" s="23">
        <f>$D64*COS($E64+$F64*'25SolarCoords'!P$7)</f>
        <v>-9.2873765922484814</v>
      </c>
      <c r="U64" s="23">
        <f>$D64*COS($E64+$F64*'25SolarCoords'!Q$7)</f>
        <v>-18.111859322006097</v>
      </c>
      <c r="V64" s="23">
        <f>$D64*COS($E64+$F64*'25SolarCoords'!R$7)</f>
        <v>-17.116645265563225</v>
      </c>
      <c r="W64" s="23">
        <f>$D64*COS($E64+$F64*'25SolarCoords'!S$7)</f>
        <v>-21.208336676564723</v>
      </c>
      <c r="X64" s="23">
        <f>$D64*COS($E64+$F64*'25SolarCoords'!T$7)</f>
        <v>37.368502696983747</v>
      </c>
      <c r="Y64" s="23">
        <f>$D64*COS($E64+$F64*'25SolarCoords'!U$7)</f>
        <v>21.303195292937957</v>
      </c>
      <c r="Z64" s="23">
        <f>$D64*COS($E64+$F64*'25SolarCoords'!V$7)</f>
        <v>-25.249451555549818</v>
      </c>
      <c r="AA64" s="23">
        <f>$D64*COS($E64+$F64*'25SolarCoords'!W$7)</f>
        <v>15.653629790658227</v>
      </c>
      <c r="AB64" s="23">
        <f>$D64*COS($E64+$F64*'25SolarCoords'!X$7)</f>
        <v>24.475835161946058</v>
      </c>
      <c r="AC64" s="23">
        <f>$D64*COS($E64+$F64*'25SolarCoords'!Y$7)</f>
        <v>36.664734645475122</v>
      </c>
      <c r="AD64" s="23">
        <f>$D64*COS($E64+$F64*'25SolarCoords'!Z$7)</f>
        <v>24.693896565469906</v>
      </c>
      <c r="AE64" s="23">
        <f>$D64*COS($E64+$F64*'25SolarCoords'!AA$7)</f>
        <v>38.683496765263428</v>
      </c>
      <c r="AF64" s="23">
        <f>$D64*COS($E64+$F64*'25SolarCoords'!AB$7)</f>
        <v>-15.430253477124284</v>
      </c>
      <c r="AG64" s="23">
        <f>$D64*COS($E64+$F64*'25SolarCoords'!AC$7)</f>
        <v>21.820840955359941</v>
      </c>
      <c r="AH64" s="23">
        <f>$D64*COS($E64+$F64*'25SolarCoords'!AD$7)</f>
        <v>-37.977193160189543</v>
      </c>
      <c r="AI64" s="23">
        <f>$D64*COS($E64+$F64*'25SolarCoords'!AE$7)</f>
        <v>37.712405975928604</v>
      </c>
      <c r="AJ64" s="23">
        <f>$D64*COS($E64+$F64*'25SolarCoords'!AF$7)</f>
        <v>-9.5134950758324504</v>
      </c>
      <c r="AK64" s="23">
        <f>$D64*COS($E64+$F64*'25SolarCoords'!AG$7)</f>
        <v>38.681881396420827</v>
      </c>
      <c r="AL64" s="23">
        <f>$D64*COS($E64+$F64*'25SolarCoords'!AH$7)</f>
        <v>-8.4248200268740856</v>
      </c>
      <c r="AM64" s="23">
        <f>$D64*COS($E64+$F64*'25SolarCoords'!AI$7)</f>
        <v>32.670882025289906</v>
      </c>
      <c r="AN64" s="23">
        <f>$D64*COS($E64+$F64*'25SolarCoords'!AJ$7)</f>
        <v>30.070681661948026</v>
      </c>
      <c r="AO64" s="23">
        <f>$D64*COS($E64+$F64*'25SolarCoords'!AK$7)</f>
        <v>-25.856146706053064</v>
      </c>
      <c r="AP64" s="23">
        <f>$D64*COS($E64+$F64*'25SolarCoords'!AL$7)</f>
        <v>-37.299641101814785</v>
      </c>
      <c r="AQ64" s="23">
        <f>$D64*COS($E64+$F64*'25SolarCoords'!AM$7)</f>
        <v>-21.155394836318823</v>
      </c>
      <c r="AR64" s="23">
        <f>$D64*COS($E64+$F64*'25SolarCoords'!AN$7)</f>
        <v>-33.783665509515771</v>
      </c>
      <c r="AS64" s="23">
        <f>$D64*COS($E64+$F64*'25SolarCoords'!AO$7)</f>
        <v>10.493786581791468</v>
      </c>
      <c r="AT64" s="23">
        <f>$D64*COS($E64+$F64*'25SolarCoords'!AP$7)</f>
        <v>7.4735420728224229</v>
      </c>
      <c r="AU64" s="23">
        <f>$D64*COS($E64+$F64*'25SolarCoords'!AQ$7)</f>
        <v>14.994371204716812</v>
      </c>
      <c r="AV64" s="23">
        <f>$D64*COS($E64+$F64*'25SolarCoords'!AR$7)</f>
        <v>21.765362711032793</v>
      </c>
      <c r="AW64" s="23">
        <f>$D64*COS($E64+$F64*'25SolarCoords'!AS$7)</f>
        <v>28.39100364048446</v>
      </c>
      <c r="AX64" s="23">
        <f>$D64*COS($E64+$F64*'25SolarCoords'!AT$7)</f>
        <v>36.816397198516725</v>
      </c>
      <c r="AY64" s="23">
        <f>$D64*COS($E64+$F64*'25SolarCoords'!AU$7)</f>
        <v>6.3865287513580142</v>
      </c>
      <c r="AZ64" s="23">
        <f>$D64*COS($E64+$F64*'25SolarCoords'!AV$7)</f>
        <v>31.394054083309879</v>
      </c>
      <c r="BA64" s="23">
        <f>$D64*COS($E64+$F64*'25SolarCoords'!AW$7)</f>
        <v>34.183387227443291</v>
      </c>
      <c r="BB64" s="23">
        <f>$D64*COS($E64+$F64*'25SolarCoords'!AX$7)</f>
        <v>37.66002987390894</v>
      </c>
      <c r="BC64" s="23">
        <f>$D64*COS($E64+$F64*'25SolarCoords'!AY$7)</f>
        <v>33.808322266570308</v>
      </c>
      <c r="BD64" s="23">
        <f>$D64*COS($E64+$F64*'25SolarCoords'!AZ$7)</f>
        <v>33.238457222397187</v>
      </c>
      <c r="BE64" s="23">
        <f>$D64*COS($E64+$F64*'25SolarCoords'!BA$7)</f>
        <v>32.641399848821727</v>
      </c>
      <c r="BF64" s="23">
        <f>$D64*COS($E64+$F64*'25SolarCoords'!BB$7)</f>
        <v>32.017638597539083</v>
      </c>
      <c r="BG64" s="23">
        <f>$D64*COS($E64+$F64*'25SolarCoords'!BC$7)</f>
        <v>31.367683766644603</v>
      </c>
      <c r="BH64" s="23">
        <f>$D64*COS($E64+$F64*'25SolarCoords'!BD$7)</f>
        <v>30.692067083159802</v>
      </c>
      <c r="BI64" s="23">
        <f>$D64*COS($E64+$F64*'25SolarCoords'!BE$7)</f>
        <v>29.991341268027298</v>
      </c>
      <c r="BJ64" s="23">
        <f>$D64*COS($E64+$F64*'25SolarCoords'!BF$7)</f>
        <v>29.266079583930672</v>
      </c>
      <c r="BK64" s="23">
        <f>$D64*COS($E64+$F64*'25SolarCoords'!BG$7)</f>
        <v>37.669083229128333</v>
      </c>
    </row>
    <row r="65" spans="2:63" x14ac:dyDescent="0.25">
      <c r="C65">
        <f t="shared" si="1"/>
        <v>57</v>
      </c>
      <c r="D65">
        <v>37</v>
      </c>
      <c r="E65">
        <v>6.04</v>
      </c>
      <c r="F65">
        <v>10213.290000000001</v>
      </c>
      <c r="H65" s="7"/>
      <c r="I65" s="23">
        <f>$D65*COS($E65+$F65*'25SolarCoords'!E$7)</f>
        <v>-10.991314387644278</v>
      </c>
      <c r="J65" s="23">
        <f>$D65*COS($E65+$F65*'25SolarCoords'!F$7)</f>
        <v>-34.143499374671542</v>
      </c>
      <c r="K65" s="23">
        <f>$D65*COS($E65+$F65*'25SolarCoords'!G$7)</f>
        <v>35.911308025021519</v>
      </c>
      <c r="L65" s="23">
        <f>$D65*COS($E65+$F65*'25SolarCoords'!H$7)</f>
        <v>-18.771999133899129</v>
      </c>
      <c r="M65" s="23">
        <f>$D65*COS($E65+$F65*'25SolarCoords'!I$7)</f>
        <v>34.769075478014983</v>
      </c>
      <c r="N65" s="23">
        <f>$D65*COS($E65+$F65*'25SolarCoords'!J$7)</f>
        <v>-32.072650974366539</v>
      </c>
      <c r="O65" s="23">
        <f>$D65*COS($E65+$F65*'25SolarCoords'!K$7)</f>
        <v>-33.593206446850374</v>
      </c>
      <c r="P65" s="23">
        <f>$D65*COS($E65+$F65*'25SolarCoords'!L$7)</f>
        <v>8.7706248089881047</v>
      </c>
      <c r="Q65" s="23">
        <f>$D65*COS($E65+$F65*'25SolarCoords'!M$7)</f>
        <v>-31.723966681440697</v>
      </c>
      <c r="R65" s="23">
        <f>$D65*COS($E65+$F65*'25SolarCoords'!N$7)</f>
        <v>5.6011563152446691</v>
      </c>
      <c r="S65" s="23">
        <f>$D65*COS($E65+$F65*'25SolarCoords'!O$7)</f>
        <v>-29.736917233644277</v>
      </c>
      <c r="T65" s="23">
        <f>$D65*COS($E65+$F65*'25SolarCoords'!P$7)</f>
        <v>36.91461312546862</v>
      </c>
      <c r="U65" s="23">
        <f>$D65*COS($E65+$F65*'25SolarCoords'!Q$7)</f>
        <v>-8.510621726053861</v>
      </c>
      <c r="V65" s="23">
        <f>$D65*COS($E65+$F65*'25SolarCoords'!R$7)</f>
        <v>-7.5005561379161385</v>
      </c>
      <c r="W65" s="23">
        <f>$D65*COS($E65+$F65*'25SolarCoords'!S$7)</f>
        <v>-28.701373075664215</v>
      </c>
      <c r="X65" s="23">
        <f>$D65*COS($E65+$F65*'25SolarCoords'!T$7)</f>
        <v>9.8150279592707417</v>
      </c>
      <c r="Y65" s="23">
        <f>$D65*COS($E65+$F65*'25SolarCoords'!U$7)</f>
        <v>32.910550163866745</v>
      </c>
      <c r="Z65" s="23">
        <f>$D65*COS($E65+$F65*'25SolarCoords'!V$7)</f>
        <v>-13.022220544399977</v>
      </c>
      <c r="AA65" s="23">
        <f>$D65*COS($E65+$F65*'25SolarCoords'!W$7)</f>
        <v>-4.4819920730682448</v>
      </c>
      <c r="AB65" s="23">
        <f>$D65*COS($E65+$F65*'25SolarCoords'!X$7)</f>
        <v>-31.120374188940549</v>
      </c>
      <c r="AC65" s="23">
        <f>$D65*COS($E65+$F65*'25SolarCoords'!Y$7)</f>
        <v>6.0809452421714925</v>
      </c>
      <c r="AD65" s="23">
        <f>$D65*COS($E65+$F65*'25SolarCoords'!Z$7)</f>
        <v>-36.733228089435094</v>
      </c>
      <c r="AE65" s="23">
        <f>$D65*COS($E65+$F65*'25SolarCoords'!AA$7)</f>
        <v>35.783237443294873</v>
      </c>
      <c r="AF65" s="23">
        <f>$D65*COS($E65+$F65*'25SolarCoords'!AB$7)</f>
        <v>36.920491450570061</v>
      </c>
      <c r="AG65" s="23">
        <f>$D65*COS($E65+$F65*'25SolarCoords'!AC$7)</f>
        <v>-28.336574828615497</v>
      </c>
      <c r="AH65" s="23">
        <f>$D65*COS($E65+$F65*'25SolarCoords'!AD$7)</f>
        <v>35.299776612812536</v>
      </c>
      <c r="AI65" s="23">
        <f>$D65*COS($E65+$F65*'25SolarCoords'!AE$7)</f>
        <v>9.2690846805641183</v>
      </c>
      <c r="AJ65" s="23">
        <f>$D65*COS($E65+$F65*'25SolarCoords'!AF$7)</f>
        <v>-36.321119357021573</v>
      </c>
      <c r="AK65" s="23">
        <f>$D65*COS($E65+$F65*'25SolarCoords'!AG$7)</f>
        <v>5.1189228282514652</v>
      </c>
      <c r="AL65" s="23">
        <f>$D65*COS($E65+$F65*'25SolarCoords'!AH$7)</f>
        <v>-30.823085467406553</v>
      </c>
      <c r="AM65" s="23">
        <f>$D65*COS($E65+$F65*'25SolarCoords'!AI$7)</f>
        <v>-23.600648201524475</v>
      </c>
      <c r="AN65" s="23">
        <f>$D65*COS($E65+$F65*'25SolarCoords'!AJ$7)</f>
        <v>27.290646100319012</v>
      </c>
      <c r="AO65" s="23">
        <f>$D65*COS($E65+$F65*'25SolarCoords'!AK$7)</f>
        <v>26.072535336021083</v>
      </c>
      <c r="AP65" s="23">
        <f>$D65*COS($E65+$F65*'25SolarCoords'!AL$7)</f>
        <v>25.721285967863874</v>
      </c>
      <c r="AQ65" s="23">
        <f>$D65*COS($E65+$F65*'25SolarCoords'!AM$7)</f>
        <v>35.749308592716019</v>
      </c>
      <c r="AR65" s="23">
        <f>$D65*COS($E65+$F65*'25SolarCoords'!AN$7)</f>
        <v>-27.953905168351803</v>
      </c>
      <c r="AS65" s="23">
        <f>$D65*COS($E65+$F65*'25SolarCoords'!AO$7)</f>
        <v>-19.137420238523227</v>
      </c>
      <c r="AT65" s="23">
        <f>$D65*COS($E65+$F65*'25SolarCoords'!AP$7)</f>
        <v>31.611116560210359</v>
      </c>
      <c r="AU65" s="23">
        <f>$D65*COS($E65+$F65*'25SolarCoords'!AQ$7)</f>
        <v>34.766952807929435</v>
      </c>
      <c r="AV65" s="23">
        <f>$D65*COS($E65+$F65*'25SolarCoords'!AR$7)</f>
        <v>36.549664143315034</v>
      </c>
      <c r="AW65" s="23">
        <f>$D65*COS($E65+$F65*'25SolarCoords'!AS$7)</f>
        <v>36.928673508900268</v>
      </c>
      <c r="AX65" s="23">
        <f>$D65*COS($E65+$F65*'25SolarCoords'!AT$7)</f>
        <v>32.955668315134652</v>
      </c>
      <c r="AY65" s="23">
        <f>$D65*COS($E65+$F65*'25SolarCoords'!AU$7)</f>
        <v>-0.92224350175651326</v>
      </c>
      <c r="AZ65" s="23">
        <f>$D65*COS($E65+$F65*'25SolarCoords'!AV$7)</f>
        <v>18.360189524380235</v>
      </c>
      <c r="BA65" s="23">
        <f>$D65*COS($E65+$F65*'25SolarCoords'!AW$7)</f>
        <v>-15.91592541628502</v>
      </c>
      <c r="BB65" s="23">
        <f>$D65*COS($E65+$F65*'25SolarCoords'!AX$7)</f>
        <v>-36.390164586388693</v>
      </c>
      <c r="BC65" s="23">
        <f>$D65*COS($E65+$F65*'25SolarCoords'!AY$7)</f>
        <v>9.5118016975499078</v>
      </c>
      <c r="BD65" s="23">
        <f>$D65*COS($E65+$F65*'25SolarCoords'!AZ$7)</f>
        <v>8.5083743985513571</v>
      </c>
      <c r="BE65" s="23">
        <f>$D65*COS($E65+$F65*'25SolarCoords'!BA$7)</f>
        <v>7.4982948402090006</v>
      </c>
      <c r="BF65" s="23">
        <f>$D65*COS($E65+$F65*'25SolarCoords'!BB$7)</f>
        <v>6.4823527516647488</v>
      </c>
      <c r="BG65" s="23">
        <f>$D65*COS($E65+$F65*'25SolarCoords'!BC$7)</f>
        <v>5.461342445664517</v>
      </c>
      <c r="BH65" s="23">
        <f>$D65*COS($E65+$F65*'25SolarCoords'!BD$7)</f>
        <v>4.4360621975331886</v>
      </c>
      <c r="BI65" s="23">
        <f>$D65*COS($E65+$F65*'25SolarCoords'!BE$7)</f>
        <v>3.4073136210464128</v>
      </c>
      <c r="BJ65" s="23">
        <f>$D65*COS($E65+$F65*'25SolarCoords'!BF$7)</f>
        <v>2.3759010416838673</v>
      </c>
      <c r="BK65" s="23">
        <f>$D65*COS($E65+$F65*'25SolarCoords'!BG$7)</f>
        <v>9.1176000489081996</v>
      </c>
    </row>
    <row r="66" spans="2:63" x14ac:dyDescent="0.25">
      <c r="C66">
        <f t="shared" si="1"/>
        <v>58</v>
      </c>
      <c r="D66">
        <v>37</v>
      </c>
      <c r="E66">
        <v>2.57</v>
      </c>
      <c r="F66">
        <v>1059.3800000000001</v>
      </c>
      <c r="H66" s="7"/>
      <c r="I66" s="23">
        <f>$D66*COS($E66+$F66*'25SolarCoords'!E$7)</f>
        <v>-8.4982866950519274</v>
      </c>
      <c r="J66" s="23">
        <f>$D66*COS($E66+$F66*'25SolarCoords'!F$7)</f>
        <v>-23.923860756748013</v>
      </c>
      <c r="K66" s="23">
        <f>$D66*COS($E66+$F66*'25SolarCoords'!G$7)</f>
        <v>-31.118497051309454</v>
      </c>
      <c r="L66" s="23">
        <f>$D66*COS($E66+$F66*'25SolarCoords'!H$7)</f>
        <v>2.2519603331895004</v>
      </c>
      <c r="M66" s="23">
        <f>$D66*COS($E66+$F66*'25SolarCoords'!I$7)</f>
        <v>4.8580840799381164</v>
      </c>
      <c r="N66" s="23">
        <f>$D66*COS($E66+$F66*'25SolarCoords'!J$7)</f>
        <v>-10.386175510985822</v>
      </c>
      <c r="O66" s="23">
        <f>$D66*COS($E66+$F66*'25SolarCoords'!K$7)</f>
        <v>-29.592892061945363</v>
      </c>
      <c r="P66" s="23">
        <f>$D66*COS($E66+$F66*'25SolarCoords'!L$7)</f>
        <v>-36.069775226465005</v>
      </c>
      <c r="Q66" s="23">
        <f>$D66*COS($E66+$F66*'25SolarCoords'!M$7)</f>
        <v>-35.281121653828528</v>
      </c>
      <c r="R66" s="23">
        <f>$D66*COS($E66+$F66*'25SolarCoords'!N$7)</f>
        <v>36.252629946529211</v>
      </c>
      <c r="S66" s="23">
        <f>$D66*COS($E66+$F66*'25SolarCoords'!O$7)</f>
        <v>24.215204242235131</v>
      </c>
      <c r="T66" s="23">
        <f>$D66*COS($E66+$F66*'25SolarCoords'!P$7)</f>
        <v>-25.784260652411977</v>
      </c>
      <c r="U66" s="23">
        <f>$D66*COS($E66+$F66*'25SolarCoords'!Q$7)</f>
        <v>-24.718367079414939</v>
      </c>
      <c r="V66" s="23">
        <f>$D66*COS($E66+$F66*'25SolarCoords'!R$7)</f>
        <v>-24.638409194636726</v>
      </c>
      <c r="W66" s="23">
        <f>$D66*COS($E66+$F66*'25SolarCoords'!S$7)</f>
        <v>-14.174225433546789</v>
      </c>
      <c r="X66" s="23">
        <f>$D66*COS($E66+$F66*'25SolarCoords'!T$7)</f>
        <v>-26.106510135870877</v>
      </c>
      <c r="Y66" s="23">
        <f>$D66*COS($E66+$F66*'25SolarCoords'!U$7)</f>
        <v>-36.094586857808324</v>
      </c>
      <c r="Z66" s="23">
        <f>$D66*COS($E66+$F66*'25SolarCoords'!V$7)</f>
        <v>-3.6008935899913381</v>
      </c>
      <c r="AA66" s="23">
        <f>$D66*COS($E66+$F66*'25SolarCoords'!W$7)</f>
        <v>-2.9587317852076191</v>
      </c>
      <c r="AB66" s="23">
        <f>$D66*COS($E66+$F66*'25SolarCoords'!X$7)</f>
        <v>28.942985216074256</v>
      </c>
      <c r="AC66" s="23">
        <f>$D66*COS($E66+$F66*'25SolarCoords'!Y$7)</f>
        <v>-35.043502377143774</v>
      </c>
      <c r="AD66" s="23">
        <f>$D66*COS($E66+$F66*'25SolarCoords'!Z$7)</f>
        <v>17.301525454788752</v>
      </c>
      <c r="AE66" s="23">
        <f>$D66*COS($E66+$F66*'25SolarCoords'!AA$7)</f>
        <v>-31.089436931914051</v>
      </c>
      <c r="AF66" s="23">
        <f>$D66*COS($E66+$F66*'25SolarCoords'!AB$7)</f>
        <v>-3.1895116089326376</v>
      </c>
      <c r="AG66" s="23">
        <f>$D66*COS($E66+$F66*'25SolarCoords'!AC$7)</f>
        <v>20.996293434697996</v>
      </c>
      <c r="AH66" s="23">
        <f>$D66*COS($E66+$F66*'25SolarCoords'!AD$7)</f>
        <v>-34.159626680547284</v>
      </c>
      <c r="AI66" s="23">
        <f>$D66*COS($E66+$F66*'25SolarCoords'!AE$7)</f>
        <v>-34.933530498277548</v>
      </c>
      <c r="AJ66" s="23">
        <f>$D66*COS($E66+$F66*'25SolarCoords'!AF$7)</f>
        <v>6.1631251619593668</v>
      </c>
      <c r="AK66" s="23">
        <f>$D66*COS($E66+$F66*'25SolarCoords'!AG$7)</f>
        <v>13.192601707744783</v>
      </c>
      <c r="AL66" s="23">
        <f>$D66*COS($E66+$F66*'25SolarCoords'!AH$7)</f>
        <v>32.276457609935818</v>
      </c>
      <c r="AM66" s="23">
        <f>$D66*COS($E66+$F66*'25SolarCoords'!AI$7)</f>
        <v>29.663534428154851</v>
      </c>
      <c r="AN66" s="23">
        <f>$D66*COS($E66+$F66*'25SolarCoords'!AJ$7)</f>
        <v>-7.9121090232649376</v>
      </c>
      <c r="AO66" s="23">
        <f>$D66*COS($E66+$F66*'25SolarCoords'!AK$7)</f>
        <v>-6.183300371664151</v>
      </c>
      <c r="AP66" s="23">
        <f>$D66*COS($E66+$F66*'25SolarCoords'!AL$7)</f>
        <v>20.588211433336806</v>
      </c>
      <c r="AQ66" s="23">
        <f>$D66*COS($E66+$F66*'25SolarCoords'!AM$7)</f>
        <v>18.424891703687972</v>
      </c>
      <c r="AR66" s="23">
        <f>$D66*COS($E66+$F66*'25SolarCoords'!AN$7)</f>
        <v>-35.40595653731301</v>
      </c>
      <c r="AS66" s="23">
        <f>$D66*COS($E66+$F66*'25SolarCoords'!AO$7)</f>
        <v>-25.922877277860419</v>
      </c>
      <c r="AT66" s="23">
        <f>$D66*COS($E66+$F66*'25SolarCoords'!AP$7)</f>
        <v>1.8893015803525781</v>
      </c>
      <c r="AU66" s="23">
        <f>$D66*COS($E66+$F66*'25SolarCoords'!AQ$7)</f>
        <v>1.1327746270920254</v>
      </c>
      <c r="AV66" s="23">
        <f>$D66*COS($E66+$F66*'25SolarCoords'!AR$7)</f>
        <v>0.39216787885003962</v>
      </c>
      <c r="AW66" s="23">
        <f>$D66*COS($E66+$F66*'25SolarCoords'!AS$7)</f>
        <v>-0.44554720489847971</v>
      </c>
      <c r="AX66" s="23">
        <f>$D66*COS($E66+$F66*'25SolarCoords'!AT$7)</f>
        <v>-2.017402792069972</v>
      </c>
      <c r="AY66" s="23">
        <f>$D66*COS($E66+$F66*'25SolarCoords'!AU$7)</f>
        <v>33.123834013222073</v>
      </c>
      <c r="AZ66" s="23">
        <f>$D66*COS($E66+$F66*'25SolarCoords'!AV$7)</f>
        <v>36.824676001061732</v>
      </c>
      <c r="BA66" s="23">
        <f>$D66*COS($E66+$F66*'25SolarCoords'!AW$7)</f>
        <v>-35.288138347113915</v>
      </c>
      <c r="BB66" s="23">
        <f>$D66*COS($E66+$F66*'25SolarCoords'!AX$7)</f>
        <v>9.850159952832362</v>
      </c>
      <c r="BC66" s="23">
        <f>$D66*COS($E66+$F66*'25SolarCoords'!AY$7)</f>
        <v>-5.2203974271052989</v>
      </c>
      <c r="BD66" s="23">
        <f>$D66*COS($E66+$F66*'25SolarCoords'!AZ$7)</f>
        <v>-5.3266174904171475</v>
      </c>
      <c r="BE66" s="23">
        <f>$D66*COS($E66+$F66*'25SolarCoords'!BA$7)</f>
        <v>-5.4327927437959325</v>
      </c>
      <c r="BF66" s="23">
        <f>$D66*COS($E66+$F66*'25SolarCoords'!BB$7)</f>
        <v>-5.5389222940467899</v>
      </c>
      <c r="BG66" s="23">
        <f>$D66*COS($E66+$F66*'25SolarCoords'!BC$7)</f>
        <v>-5.6450052483597197</v>
      </c>
      <c r="BH66" s="23">
        <f>$D66*COS($E66+$F66*'25SolarCoords'!BD$7)</f>
        <v>-5.751040714316705</v>
      </c>
      <c r="BI66" s="23">
        <f>$D66*COS($E66+$F66*'25SolarCoords'!BE$7)</f>
        <v>-5.8570277998988391</v>
      </c>
      <c r="BJ66" s="23">
        <f>$D66*COS($E66+$F66*'25SolarCoords'!BF$7)</f>
        <v>-5.9629656134945961</v>
      </c>
      <c r="BK66" s="23">
        <f>$D66*COS($E66+$F66*'25SolarCoords'!BG$7)</f>
        <v>-34.938872429491141</v>
      </c>
    </row>
    <row r="67" spans="2:63" x14ac:dyDescent="0.25">
      <c r="C67">
        <f t="shared" si="1"/>
        <v>59</v>
      </c>
      <c r="D67">
        <v>36</v>
      </c>
      <c r="E67">
        <v>1.71</v>
      </c>
      <c r="F67">
        <v>2352.87</v>
      </c>
      <c r="H67" s="7"/>
      <c r="I67" s="23">
        <f>$D67*COS($E67+$F67*'25SolarCoords'!E$7)</f>
        <v>-34.504277999026016</v>
      </c>
      <c r="J67" s="23">
        <f>$D67*COS($E67+$F67*'25SolarCoords'!F$7)</f>
        <v>32.580200588809646</v>
      </c>
      <c r="K67" s="23">
        <f>$D67*COS($E67+$F67*'25SolarCoords'!G$7)</f>
        <v>-4.9951632582855918</v>
      </c>
      <c r="L67" s="23">
        <f>$D67*COS($E67+$F67*'25SolarCoords'!H$7)</f>
        <v>28.778832384395631</v>
      </c>
      <c r="M67" s="23">
        <f>$D67*COS($E67+$F67*'25SolarCoords'!I$7)</f>
        <v>-32.615397212374013</v>
      </c>
      <c r="N67" s="23">
        <f>$D67*COS($E67+$F67*'25SolarCoords'!J$7)</f>
        <v>-31.809616733258913</v>
      </c>
      <c r="O67" s="23">
        <f>$D67*COS($E67+$F67*'25SolarCoords'!K$7)</f>
        <v>12.119626110104518</v>
      </c>
      <c r="P67" s="23">
        <f>$D67*COS($E67+$F67*'25SolarCoords'!L$7)</f>
        <v>34.428174971132762</v>
      </c>
      <c r="Q67" s="23">
        <f>$D67*COS($E67+$F67*'25SolarCoords'!M$7)</f>
        <v>16.460139586113609</v>
      </c>
      <c r="R67" s="23">
        <f>$D67*COS($E67+$F67*'25SolarCoords'!N$7)</f>
        <v>-35.867904540347929</v>
      </c>
      <c r="S67" s="23">
        <f>$D67*COS($E67+$F67*'25SolarCoords'!O$7)</f>
        <v>23.04754787135732</v>
      </c>
      <c r="T67" s="23">
        <f>$D67*COS($E67+$F67*'25SolarCoords'!P$7)</f>
        <v>25.915452821396585</v>
      </c>
      <c r="U67" s="23">
        <f>$D67*COS($E67+$F67*'25SolarCoords'!Q$7)</f>
        <v>-19.816348454789654</v>
      </c>
      <c r="V67" s="23">
        <f>$D67*COS($E67+$F67*'25SolarCoords'!R$7)</f>
        <v>-19.622329130517542</v>
      </c>
      <c r="W67" s="23">
        <f>$D67*COS($E67+$F67*'25SolarCoords'!S$7)</f>
        <v>32.507728911525817</v>
      </c>
      <c r="X67" s="23">
        <f>$D67*COS($E67+$F67*'25SolarCoords'!T$7)</f>
        <v>32.837192453080924</v>
      </c>
      <c r="Y67" s="23">
        <f>$D67*COS($E67+$F67*'25SolarCoords'!U$7)</f>
        <v>-3.891578628080465</v>
      </c>
      <c r="Z67" s="23">
        <f>$D67*COS($E67+$F67*'25SolarCoords'!V$7)</f>
        <v>18.686957853374178</v>
      </c>
      <c r="AA67" s="23">
        <f>$D67*COS($E67+$F67*'25SolarCoords'!W$7)</f>
        <v>-35.980218436033717</v>
      </c>
      <c r="AB67" s="23">
        <f>$D67*COS($E67+$F67*'25SolarCoords'!X$7)</f>
        <v>-26.3124803688419</v>
      </c>
      <c r="AC67" s="23">
        <f>$D67*COS($E67+$F67*'25SolarCoords'!Y$7)</f>
        <v>-9.8878764549394003</v>
      </c>
      <c r="AD67" s="23">
        <f>$D67*COS($E67+$F67*'25SolarCoords'!Z$7)</f>
        <v>-0.37060620855820425</v>
      </c>
      <c r="AE67" s="23">
        <f>$D67*COS($E67+$F67*'25SolarCoords'!AA$7)</f>
        <v>-4.8803066522171861</v>
      </c>
      <c r="AF67" s="23">
        <f>$D67*COS($E67+$F67*'25SolarCoords'!AB$7)</f>
        <v>4.2789308311572611</v>
      </c>
      <c r="AG67" s="23">
        <f>$D67*COS($E67+$F67*'25SolarCoords'!AC$7)</f>
        <v>-22.737145906652433</v>
      </c>
      <c r="AH67" s="23">
        <f>$D67*COS($E67+$F67*'25SolarCoords'!AD$7)</f>
        <v>28.140571043307787</v>
      </c>
      <c r="AI67" s="23">
        <f>$D67*COS($E67+$F67*'25SolarCoords'!AE$7)</f>
        <v>-9.1832233156392995</v>
      </c>
      <c r="AJ67" s="23">
        <f>$D67*COS($E67+$F67*'25SolarCoords'!AF$7)</f>
        <v>-23.153659929779717</v>
      </c>
      <c r="AK67" s="23">
        <f>$D67*COS($E67+$F67*'25SolarCoords'!AG$7)</f>
        <v>-32.660369016306177</v>
      </c>
      <c r="AL67" s="23">
        <f>$D67*COS($E67+$F67*'25SolarCoords'!AH$7)</f>
        <v>34.98675654563192</v>
      </c>
      <c r="AM67" s="23">
        <f>$D67*COS($E67+$F67*'25SolarCoords'!AI$7)</f>
        <v>-24.506923781582781</v>
      </c>
      <c r="AN67" s="23">
        <f>$D67*COS($E67+$F67*'25SolarCoords'!AJ$7)</f>
        <v>5.4404283114725889</v>
      </c>
      <c r="AO67" s="23">
        <f>$D67*COS($E67+$F67*'25SolarCoords'!AK$7)</f>
        <v>26.323549343499014</v>
      </c>
      <c r="AP67" s="23">
        <f>$D67*COS($E67+$F67*'25SolarCoords'!AL$7)</f>
        <v>10.273776074382805</v>
      </c>
      <c r="AQ67" s="23">
        <f>$D67*COS($E67+$F67*'25SolarCoords'!AM$7)</f>
        <v>-35.159617012271049</v>
      </c>
      <c r="AR67" s="23">
        <f>$D67*COS($E67+$F67*'25SolarCoords'!AN$7)</f>
        <v>-24.654558330391726</v>
      </c>
      <c r="AS67" s="23">
        <f>$D67*COS($E67+$F67*'25SolarCoords'!AO$7)</f>
        <v>-6.6392841336030894</v>
      </c>
      <c r="AT67" s="23">
        <f>$D67*COS($E67+$F67*'25SolarCoords'!AP$7)</f>
        <v>7.8197915702705378</v>
      </c>
      <c r="AU67" s="23">
        <f>$D67*COS($E67+$F67*'25SolarCoords'!AQ$7)</f>
        <v>9.4083179982402196</v>
      </c>
      <c r="AV67" s="23">
        <f>$D67*COS($E67+$F67*'25SolarCoords'!AR$7)</f>
        <v>10.943664623629457</v>
      </c>
      <c r="AW67" s="23">
        <f>$D67*COS($E67+$F67*'25SolarCoords'!AS$7)</f>
        <v>12.653740010309757</v>
      </c>
      <c r="AX67" s="23">
        <f>$D67*COS($E67+$F67*'25SolarCoords'!AT$7)</f>
        <v>15.774639803016248</v>
      </c>
      <c r="AY67" s="23">
        <f>$D67*COS($E67+$F67*'25SolarCoords'!AU$7)</f>
        <v>-14.609987125242824</v>
      </c>
      <c r="AZ67" s="23">
        <f>$D67*COS($E67+$F67*'25SolarCoords'!AV$7)</f>
        <v>-28.874419636587209</v>
      </c>
      <c r="BA67" s="23">
        <f>$D67*COS($E67+$F67*'25SolarCoords'!AW$7)</f>
        <v>33.07425490265755</v>
      </c>
      <c r="BB67" s="23">
        <f>$D67*COS($E67+$F67*'25SolarCoords'!AX$7)</f>
        <v>-6.0308401488334589</v>
      </c>
      <c r="BC67" s="23">
        <f>$D67*COS($E67+$F67*'25SolarCoords'!AY$7)</f>
        <v>21.695812365843697</v>
      </c>
      <c r="BD67" s="23">
        <f>$D67*COS($E67+$F67*'25SolarCoords'!AZ$7)</f>
        <v>21.880420462583889</v>
      </c>
      <c r="BE67" s="23">
        <f>$D67*COS($E67+$F67*'25SolarCoords'!BA$7)</f>
        <v>22.064120593343166</v>
      </c>
      <c r="BF67" s="23">
        <f>$D67*COS($E67+$F67*'25SolarCoords'!BB$7)</f>
        <v>22.246905135166113</v>
      </c>
      <c r="BG67" s="23">
        <f>$D67*COS($E67+$F67*'25SolarCoords'!BC$7)</f>
        <v>22.428766503091087</v>
      </c>
      <c r="BH67" s="23">
        <f>$D67*COS($E67+$F67*'25SolarCoords'!BD$7)</f>
        <v>22.609697150465923</v>
      </c>
      <c r="BI67" s="23">
        <f>$D67*COS($E67+$F67*'25SolarCoords'!BE$7)</f>
        <v>22.78968956925894</v>
      </c>
      <c r="BJ67" s="23">
        <f>$D67*COS($E67+$F67*'25SolarCoords'!BF$7)</f>
        <v>22.968736290373268</v>
      </c>
      <c r="BK67" s="23">
        <f>$D67*COS($E67+$F67*'25SolarCoords'!BG$7)</f>
        <v>-9.217113441436851</v>
      </c>
    </row>
    <row r="68" spans="2:63" x14ac:dyDescent="0.25">
      <c r="C68">
        <f t="shared" si="1"/>
        <v>60</v>
      </c>
      <c r="D68">
        <v>36</v>
      </c>
      <c r="E68">
        <v>1.78</v>
      </c>
      <c r="F68">
        <v>6812.77</v>
      </c>
      <c r="H68" s="7"/>
      <c r="I68" s="23">
        <f>$D68*COS($E68+$F68*'25SolarCoords'!E$7)</f>
        <v>-35.756565063201528</v>
      </c>
      <c r="J68" s="23">
        <f>$D68*COS($E68+$F68*'25SolarCoords'!F$7)</f>
        <v>28.652280994704842</v>
      </c>
      <c r="K68" s="23">
        <f>$D68*COS($E68+$F68*'25SolarCoords'!G$7)</f>
        <v>-7.4765160579162169</v>
      </c>
      <c r="L68" s="23">
        <f>$D68*COS($E68+$F68*'25SolarCoords'!H$7)</f>
        <v>11.496620993149151</v>
      </c>
      <c r="M68" s="23">
        <f>$D68*COS($E68+$F68*'25SolarCoords'!I$7)</f>
        <v>-3.1669941477165224</v>
      </c>
      <c r="N68" s="23">
        <f>$D68*COS($E68+$F68*'25SolarCoords'!J$7)</f>
        <v>-13.249260888480681</v>
      </c>
      <c r="O68" s="23">
        <f>$D68*COS($E68+$F68*'25SolarCoords'!K$7)</f>
        <v>-20.711879425404248</v>
      </c>
      <c r="P68" s="23">
        <f>$D68*COS($E68+$F68*'25SolarCoords'!L$7)</f>
        <v>5.9727029960062525</v>
      </c>
      <c r="Q68" s="23">
        <f>$D68*COS($E68+$F68*'25SolarCoords'!M$7)</f>
        <v>22.274585752899487</v>
      </c>
      <c r="R68" s="23">
        <f>$D68*COS($E68+$F68*'25SolarCoords'!N$7)</f>
        <v>-31.940764115807553</v>
      </c>
      <c r="S68" s="23">
        <f>$D68*COS($E68+$F68*'25SolarCoords'!O$7)</f>
        <v>-19.317918403145651</v>
      </c>
      <c r="T68" s="23">
        <f>$D68*COS($E68+$F68*'25SolarCoords'!P$7)</f>
        <v>-30.055484892284678</v>
      </c>
      <c r="U68" s="23">
        <f>$D68*COS($E68+$F68*'25SolarCoords'!Q$7)</f>
        <v>-35.082014556126154</v>
      </c>
      <c r="V68" s="23">
        <f>$D68*COS($E68+$F68*'25SolarCoords'!R$7)</f>
        <v>-35.226574856140232</v>
      </c>
      <c r="W68" s="23">
        <f>$D68*COS($E68+$F68*'25SolarCoords'!S$7)</f>
        <v>35.043744275356723</v>
      </c>
      <c r="X68" s="23">
        <f>$D68*COS($E68+$F68*'25SolarCoords'!T$7)</f>
        <v>-23.382415906286365</v>
      </c>
      <c r="Y68" s="23">
        <f>$D68*COS($E68+$F68*'25SolarCoords'!U$7)</f>
        <v>33.61076651079086</v>
      </c>
      <c r="Z68" s="23">
        <f>$D68*COS($E68+$F68*'25SolarCoords'!V$7)</f>
        <v>-29.887530169010418</v>
      </c>
      <c r="AA68" s="23">
        <f>$D68*COS($E68+$F68*'25SolarCoords'!W$7)</f>
        <v>-35.73639642728272</v>
      </c>
      <c r="AB68" s="23">
        <f>$D68*COS($E68+$F68*'25SolarCoords'!X$7)</f>
        <v>30.434755276360079</v>
      </c>
      <c r="AC68" s="23">
        <f>$D68*COS($E68+$F68*'25SolarCoords'!Y$7)</f>
        <v>-35.688473456070042</v>
      </c>
      <c r="AD68" s="23">
        <f>$D68*COS($E68+$F68*'25SolarCoords'!Z$7)</f>
        <v>35.934481407236532</v>
      </c>
      <c r="AE68" s="23">
        <f>$D68*COS($E68+$F68*'25SolarCoords'!AA$7)</f>
        <v>-7.1477737384832256</v>
      </c>
      <c r="AF68" s="23">
        <f>$D68*COS($E68+$F68*'25SolarCoords'!AB$7)</f>
        <v>33.51253022846177</v>
      </c>
      <c r="AG68" s="23">
        <f>$D68*COS($E68+$F68*'25SolarCoords'!AC$7)</f>
        <v>-24.652557271064449</v>
      </c>
      <c r="AH68" s="23">
        <f>$D68*COS($E68+$F68*'25SolarCoords'!AD$7)</f>
        <v>-28.739147008133425</v>
      </c>
      <c r="AI68" s="23">
        <f>$D68*COS($E68+$F68*'25SolarCoords'!AE$7)</f>
        <v>-35.904449155312157</v>
      </c>
      <c r="AJ68" s="23">
        <f>$D68*COS($E68+$F68*'25SolarCoords'!AF$7)</f>
        <v>-19.591995997220572</v>
      </c>
      <c r="AK68" s="23">
        <f>$D68*COS($E68+$F68*'25SolarCoords'!AG$7)</f>
        <v>-34.666547236599456</v>
      </c>
      <c r="AL68" s="23">
        <f>$D68*COS($E68+$F68*'25SolarCoords'!AH$7)</f>
        <v>-11.312109789678477</v>
      </c>
      <c r="AM68" s="23">
        <f>$D68*COS($E68+$F68*'25SolarCoords'!AI$7)</f>
        <v>25.878841096706481</v>
      </c>
      <c r="AN68" s="23">
        <f>$D68*COS($E68+$F68*'25SolarCoords'!AJ$7)</f>
        <v>34.219154952489752</v>
      </c>
      <c r="AO68" s="23">
        <f>$D68*COS($E68+$F68*'25SolarCoords'!AK$7)</f>
        <v>33.963324360937527</v>
      </c>
      <c r="AP68" s="23">
        <f>$D68*COS($E68+$F68*'25SolarCoords'!AL$7)</f>
        <v>7.1425043278445983</v>
      </c>
      <c r="AQ68" s="23">
        <f>$D68*COS($E68+$F68*'25SolarCoords'!AM$7)</f>
        <v>1.7180094223736391</v>
      </c>
      <c r="AR68" s="23">
        <f>$D68*COS($E68+$F68*'25SolarCoords'!AN$7)</f>
        <v>-32.875508063143712</v>
      </c>
      <c r="AS68" s="23">
        <f>$D68*COS($E68+$F68*'25SolarCoords'!AO$7)</f>
        <v>19.444186602378231</v>
      </c>
      <c r="AT68" s="23">
        <f>$D68*COS($E68+$F68*'25SolarCoords'!AP$7)</f>
        <v>32.757002835922457</v>
      </c>
      <c r="AU68" s="23">
        <f>$D68*COS($E68+$F68*'25SolarCoords'!AQ$7)</f>
        <v>34.433234284247021</v>
      </c>
      <c r="AV68" s="23">
        <f>$D68*COS($E68+$F68*'25SolarCoords'!AR$7)</f>
        <v>35.497023006287129</v>
      </c>
      <c r="AW68" s="23">
        <f>$D68*COS($E68+$F68*'25SolarCoords'!AS$7)</f>
        <v>35.991483294227542</v>
      </c>
      <c r="AX68" s="23">
        <f>$D68*COS($E68+$F68*'25SolarCoords'!AT$7)</f>
        <v>34.86636364508189</v>
      </c>
      <c r="AY68" s="23">
        <f>$D68*COS($E68+$F68*'25SolarCoords'!AU$7)</f>
        <v>-34.668330561330492</v>
      </c>
      <c r="AZ68" s="23">
        <f>$D68*COS($E68+$F68*'25SolarCoords'!AV$7)</f>
        <v>0.57743398930802048</v>
      </c>
      <c r="BA68" s="23">
        <f>$D68*COS($E68+$F68*'25SolarCoords'!AW$7)</f>
        <v>14.470815511654958</v>
      </c>
      <c r="BB68" s="23">
        <f>$D68*COS($E68+$F68*'25SolarCoords'!AX$7)</f>
        <v>35.29607355279326</v>
      </c>
      <c r="BC68" s="23">
        <f>$D68*COS($E68+$F68*'25SolarCoords'!AY$7)</f>
        <v>24.790859583464993</v>
      </c>
      <c r="BD68" s="23">
        <f>$D68*COS($E68+$F68*'25SolarCoords'!AZ$7)</f>
        <v>24.299676538841272</v>
      </c>
      <c r="BE68" s="23">
        <f>$D68*COS($E68+$F68*'25SolarCoords'!BA$7)</f>
        <v>23.800039637033585</v>
      </c>
      <c r="BF68" s="23">
        <f>$D68*COS($E68+$F68*'25SolarCoords'!BB$7)</f>
        <v>23.292122701714248</v>
      </c>
      <c r="BG68" s="23">
        <f>$D68*COS($E68+$F68*'25SolarCoords'!BC$7)</f>
        <v>22.776102437179116</v>
      </c>
      <c r="BH68" s="23">
        <f>$D68*COS($E68+$F68*'25SolarCoords'!BD$7)</f>
        <v>22.252158366871392</v>
      </c>
      <c r="BI68" s="23">
        <f>$D68*COS($E68+$F68*'25SolarCoords'!BE$7)</f>
        <v>21.720472770929419</v>
      </c>
      <c r="BJ68" s="23">
        <f>$D68*COS($E68+$F68*'25SolarCoords'!BF$7)</f>
        <v>21.181230622763408</v>
      </c>
      <c r="BK68" s="23">
        <f>$D68*COS($E68+$F68*'25SolarCoords'!BG$7)</f>
        <v>-35.896916226357177</v>
      </c>
    </row>
    <row r="69" spans="2:63" x14ac:dyDescent="0.25">
      <c r="C69">
        <f t="shared" si="1"/>
        <v>61</v>
      </c>
      <c r="D69">
        <v>33</v>
      </c>
      <c r="E69">
        <v>0.59</v>
      </c>
      <c r="F69">
        <v>17789.849999999999</v>
      </c>
      <c r="H69" s="7"/>
      <c r="I69" s="23">
        <f>$D69*COS($E69+$F69*'25SolarCoords'!E$7)</f>
        <v>-32.975629722097914</v>
      </c>
      <c r="J69" s="23">
        <f>$D69*COS($E69+$F69*'25SolarCoords'!F$7)</f>
        <v>-31.120039112531906</v>
      </c>
      <c r="K69" s="23">
        <f>$D69*COS($E69+$F69*'25SolarCoords'!G$7)</f>
        <v>27.421042410305397</v>
      </c>
      <c r="L69" s="23">
        <f>$D69*COS($E69+$F69*'25SolarCoords'!H$7)</f>
        <v>-2.2005583564395352</v>
      </c>
      <c r="M69" s="23">
        <f>$D69*COS($E69+$F69*'25SolarCoords'!I$7)</f>
        <v>-32.873440951404767</v>
      </c>
      <c r="N69" s="23">
        <f>$D69*COS($E69+$F69*'25SolarCoords'!J$7)</f>
        <v>-26.886504652928853</v>
      </c>
      <c r="O69" s="23">
        <f>$D69*COS($E69+$F69*'25SolarCoords'!K$7)</f>
        <v>-13.193621619640432</v>
      </c>
      <c r="P69" s="23">
        <f>$D69*COS($E69+$F69*'25SolarCoords'!L$7)</f>
        <v>-30.334730730998526</v>
      </c>
      <c r="Q69" s="23">
        <f>$D69*COS($E69+$F69*'25SolarCoords'!M$7)</f>
        <v>32.136965417189259</v>
      </c>
      <c r="R69" s="23">
        <f>$D69*COS($E69+$F69*'25SolarCoords'!N$7)</f>
        <v>-29.284151042172176</v>
      </c>
      <c r="S69" s="23">
        <f>$D69*COS($E69+$F69*'25SolarCoords'!O$7)</f>
        <v>-27.370317354576677</v>
      </c>
      <c r="T69" s="23">
        <f>$D69*COS($E69+$F69*'25SolarCoords'!P$7)</f>
        <v>24.758680935112558</v>
      </c>
      <c r="U69" s="23">
        <f>$D69*COS($E69+$F69*'25SolarCoords'!Q$7)</f>
        <v>29.115477834585079</v>
      </c>
      <c r="V69" s="23">
        <f>$D69*COS($E69+$F69*'25SolarCoords'!R$7)</f>
        <v>28.324675974391788</v>
      </c>
      <c r="W69" s="23">
        <f>$D69*COS($E69+$F69*'25SolarCoords'!S$7)</f>
        <v>-17.140192913451255</v>
      </c>
      <c r="X69" s="23">
        <f>$D69*COS($E69+$F69*'25SolarCoords'!T$7)</f>
        <v>-23.990351056414553</v>
      </c>
      <c r="Y69" s="23">
        <f>$D69*COS($E69+$F69*'25SolarCoords'!U$7)</f>
        <v>25.677974280767529</v>
      </c>
      <c r="Z69" s="23">
        <f>$D69*COS($E69+$F69*'25SolarCoords'!V$7)</f>
        <v>5.4932707373531349</v>
      </c>
      <c r="AA69" s="23">
        <f>$D69*COS($E69+$F69*'25SolarCoords'!W$7)</f>
        <v>31.258388507705828</v>
      </c>
      <c r="AB69" s="23">
        <f>$D69*COS($E69+$F69*'25SolarCoords'!X$7)</f>
        <v>4.1425919851425537</v>
      </c>
      <c r="AC69" s="23">
        <f>$D69*COS($E69+$F69*'25SolarCoords'!Y$7)</f>
        <v>-14.757915437218813</v>
      </c>
      <c r="AD69" s="23">
        <f>$D69*COS($E69+$F69*'25SolarCoords'!Z$7)</f>
        <v>-16.061442865810154</v>
      </c>
      <c r="AE69" s="23">
        <f>$D69*COS($E69+$F69*'25SolarCoords'!AA$7)</f>
        <v>27.859985918570938</v>
      </c>
      <c r="AF69" s="23">
        <f>$D69*COS($E69+$F69*'25SolarCoords'!AB$7)</f>
        <v>0.52533226669928046</v>
      </c>
      <c r="AG69" s="23">
        <f>$D69*COS($E69+$F69*'25SolarCoords'!AC$7)</f>
        <v>-2.4203476189053554</v>
      </c>
      <c r="AH69" s="23">
        <f>$D69*COS($E69+$F69*'25SolarCoords'!AD$7)</f>
        <v>32.79187003052381</v>
      </c>
      <c r="AI69" s="23">
        <f>$D69*COS($E69+$F69*'25SolarCoords'!AE$7)</f>
        <v>-19.096816700578</v>
      </c>
      <c r="AJ69" s="23">
        <f>$D69*COS($E69+$F69*'25SolarCoords'!AF$7)</f>
        <v>13.405911246248754</v>
      </c>
      <c r="AK69" s="23">
        <f>$D69*COS($E69+$F69*'25SolarCoords'!AG$7)</f>
        <v>-18.325552503418599</v>
      </c>
      <c r="AL69" s="23">
        <f>$D69*COS($E69+$F69*'25SolarCoords'!AH$7)</f>
        <v>30.098775377480969</v>
      </c>
      <c r="AM69" s="23">
        <f>$D69*COS($E69+$F69*'25SolarCoords'!AI$7)</f>
        <v>20.27534000987027</v>
      </c>
      <c r="AN69" s="23">
        <f>$D69*COS($E69+$F69*'25SolarCoords'!AJ$7)</f>
        <v>8.8763583627594844</v>
      </c>
      <c r="AO69" s="23">
        <f>$D69*COS($E69+$F69*'25SolarCoords'!AK$7)</f>
        <v>9.6649750914825745</v>
      </c>
      <c r="AP69" s="23">
        <f>$D69*COS($E69+$F69*'25SolarCoords'!AL$7)</f>
        <v>12.426306553480877</v>
      </c>
      <c r="AQ69" s="23">
        <f>$D69*COS($E69+$F69*'25SolarCoords'!AM$7)</f>
        <v>23.484674959808363</v>
      </c>
      <c r="AR69" s="23">
        <f>$D69*COS($E69+$F69*'25SolarCoords'!AN$7)</f>
        <v>16.654965569970365</v>
      </c>
      <c r="AS69" s="23">
        <f>$D69*COS($E69+$F69*'25SolarCoords'!AO$7)</f>
        <v>-20.767052610281425</v>
      </c>
      <c r="AT69" s="23">
        <f>$D69*COS($E69+$F69*'25SolarCoords'!AP$7)</f>
        <v>-31.838929370938605</v>
      </c>
      <c r="AU69" s="23">
        <f>$D69*COS($E69+$F69*'25SolarCoords'!AQ$7)</f>
        <v>-32.900706002512798</v>
      </c>
      <c r="AV69" s="23">
        <f>$D69*COS($E69+$F69*'25SolarCoords'!AR$7)</f>
        <v>-30.214777264504306</v>
      </c>
      <c r="AW69" s="23">
        <f>$D69*COS($E69+$F69*'25SolarCoords'!AS$7)</f>
        <v>-23.13267719863855</v>
      </c>
      <c r="AX69" s="23">
        <f>$D69*COS($E69+$F69*'25SolarCoords'!AT$7)</f>
        <v>-2.0755953519285915</v>
      </c>
      <c r="AY69" s="23">
        <f>$D69*COS($E69+$F69*'25SolarCoords'!AU$7)</f>
        <v>14.071526958190983</v>
      </c>
      <c r="AZ69" s="23">
        <f>$D69*COS($E69+$F69*'25SolarCoords'!AV$7)</f>
        <v>-32.863091683321443</v>
      </c>
      <c r="BA69" s="23">
        <f>$D69*COS($E69+$F69*'25SolarCoords'!AW$7)</f>
        <v>28.329908419010916</v>
      </c>
      <c r="BB69" s="23">
        <f>$D69*COS($E69+$F69*'25SolarCoords'!AX$7)</f>
        <v>18.669364689225752</v>
      </c>
      <c r="BC69" s="23">
        <f>$D69*COS($E69+$F69*'25SolarCoords'!AY$7)</f>
        <v>32.50992057654279</v>
      </c>
      <c r="BD69" s="23">
        <f>$D69*COS($E69+$F69*'25SolarCoords'!AZ$7)</f>
        <v>32.747232364420185</v>
      </c>
      <c r="BE69" s="23">
        <f>$D69*COS($E69+$F69*'25SolarCoords'!BA$7)</f>
        <v>32.906874230539202</v>
      </c>
      <c r="BF69" s="23">
        <f>$D69*COS($E69+$F69*'25SolarCoords'!BB$7)</f>
        <v>32.988467536145741</v>
      </c>
      <c r="BG69" s="23">
        <f>$D69*COS($E69+$F69*'25SolarCoords'!BC$7)</f>
        <v>32.991818758147986</v>
      </c>
      <c r="BH69" s="23">
        <f>$D69*COS($E69+$F69*'25SolarCoords'!BD$7)</f>
        <v>32.916919948113659</v>
      </c>
      <c r="BI69" s="23">
        <f>$D69*COS($E69+$F69*'25SolarCoords'!BE$7)</f>
        <v>32.763948751123159</v>
      </c>
      <c r="BJ69" s="23">
        <f>$D69*COS($E69+$F69*'25SolarCoords'!BF$7)</f>
        <v>32.533267984429763</v>
      </c>
      <c r="BK69" s="23">
        <f>$D69*COS($E69+$F69*'25SolarCoords'!BG$7)</f>
        <v>-18.898160003013231</v>
      </c>
    </row>
    <row r="70" spans="2:63" x14ac:dyDescent="0.25">
      <c r="C70">
        <f t="shared" si="1"/>
        <v>62</v>
      </c>
      <c r="D70">
        <v>30</v>
      </c>
      <c r="E70">
        <v>0.44</v>
      </c>
      <c r="F70">
        <v>83996.85</v>
      </c>
      <c r="H70" s="7"/>
      <c r="I70" s="23">
        <f>$D70*COS($E70+$F70*'25SolarCoords'!E$7)</f>
        <v>-19.783201975378379</v>
      </c>
      <c r="J70" s="23">
        <f>$D70*COS($E70+$F70*'25SolarCoords'!F$7)</f>
        <v>7.044214653216911</v>
      </c>
      <c r="K70" s="23">
        <f>$D70*COS($E70+$F70*'25SolarCoords'!G$7)</f>
        <v>27.142549896598901</v>
      </c>
      <c r="L70" s="23">
        <f>$D70*COS($E70+$F70*'25SolarCoords'!H$7)</f>
        <v>-10.62821411740939</v>
      </c>
      <c r="M70" s="23">
        <f>$D70*COS($E70+$F70*'25SolarCoords'!I$7)</f>
        <v>5.2834691301830556</v>
      </c>
      <c r="N70" s="23">
        <f>$D70*COS($E70+$F70*'25SolarCoords'!J$7)</f>
        <v>-29.602609176942984</v>
      </c>
      <c r="O70" s="23">
        <f>$D70*COS($E70+$F70*'25SolarCoords'!K$7)</f>
        <v>-26.180680678697787</v>
      </c>
      <c r="P70" s="23">
        <f>$D70*COS($E70+$F70*'25SolarCoords'!L$7)</f>
        <v>20.540666687338927</v>
      </c>
      <c r="Q70" s="23">
        <f>$D70*COS($E70+$F70*'25SolarCoords'!M$7)</f>
        <v>2.4588151383223398</v>
      </c>
      <c r="R70" s="23">
        <f>$D70*COS($E70+$F70*'25SolarCoords'!N$7)</f>
        <v>1.1265626826352473</v>
      </c>
      <c r="S70" s="23">
        <f>$D70*COS($E70+$F70*'25SolarCoords'!O$7)</f>
        <v>22.460693514656281</v>
      </c>
      <c r="T70" s="23">
        <f>$D70*COS($E70+$F70*'25SolarCoords'!P$7)</f>
        <v>-23.374448614011808</v>
      </c>
      <c r="U70" s="23">
        <f>$D70*COS($E70+$F70*'25SolarCoords'!Q$7)</f>
        <v>-29.693139199069137</v>
      </c>
      <c r="V70" s="23">
        <f>$D70*COS($E70+$F70*'25SolarCoords'!R$7)</f>
        <v>-27.93581125984073</v>
      </c>
      <c r="W70" s="23">
        <f>$D70*COS($E70+$F70*'25SolarCoords'!S$7)</f>
        <v>27.288439928292206</v>
      </c>
      <c r="X70" s="23">
        <f>$D70*COS($E70+$F70*'25SolarCoords'!T$7)</f>
        <v>18.334372275277989</v>
      </c>
      <c r="Y70" s="23">
        <f>$D70*COS($E70+$F70*'25SolarCoords'!U$7)</f>
        <v>29.988008736076399</v>
      </c>
      <c r="Z70" s="23">
        <f>$D70*COS($E70+$F70*'25SolarCoords'!V$7)</f>
        <v>26.228354584516651</v>
      </c>
      <c r="AA70" s="23">
        <f>$D70*COS($E70+$F70*'25SolarCoords'!W$7)</f>
        <v>23.553215886657</v>
      </c>
      <c r="AB70" s="23">
        <f>$D70*COS($E70+$F70*'25SolarCoords'!X$7)</f>
        <v>15.581352857581104</v>
      </c>
      <c r="AC70" s="23">
        <f>$D70*COS($E70+$F70*'25SolarCoords'!Y$7)</f>
        <v>-7.6147887463035246E-2</v>
      </c>
      <c r="AD70" s="23">
        <f>$D70*COS($E70+$F70*'25SolarCoords'!Z$7)</f>
        <v>-3.0743224365933304</v>
      </c>
      <c r="AE70" s="23">
        <f>$D70*COS($E70+$F70*'25SolarCoords'!AA$7)</f>
        <v>28.429382132808385</v>
      </c>
      <c r="AF70" s="23">
        <f>$D70*COS($E70+$F70*'25SolarCoords'!AB$7)</f>
        <v>-8.0853346858591006</v>
      </c>
      <c r="AG70" s="23">
        <f>$D70*COS($E70+$F70*'25SolarCoords'!AC$7)</f>
        <v>-27.51474676320872</v>
      </c>
      <c r="AH70" s="23">
        <f>$D70*COS($E70+$F70*'25SolarCoords'!AD$7)</f>
        <v>-3.9707206257758241</v>
      </c>
      <c r="AI70" s="23">
        <f>$D70*COS($E70+$F70*'25SolarCoords'!AE$7)</f>
        <v>-19.943698159027328</v>
      </c>
      <c r="AJ70" s="23">
        <f>$D70*COS($E70+$F70*'25SolarCoords'!AF$7)</f>
        <v>27.867594018085118</v>
      </c>
      <c r="AK70" s="23">
        <f>$D70*COS($E70+$F70*'25SolarCoords'!AG$7)</f>
        <v>-27.023094452319508</v>
      </c>
      <c r="AL70" s="23">
        <f>$D70*COS($E70+$F70*'25SolarCoords'!AH$7)</f>
        <v>24.675117669522677</v>
      </c>
      <c r="AM70" s="23">
        <f>$D70*COS($E70+$F70*'25SolarCoords'!AI$7)</f>
        <v>-27.480520905382331</v>
      </c>
      <c r="AN70" s="23">
        <f>$D70*COS($E70+$F70*'25SolarCoords'!AJ$7)</f>
        <v>23.318427690116572</v>
      </c>
      <c r="AO70" s="23">
        <f>$D70*COS($E70+$F70*'25SolarCoords'!AK$7)</f>
        <v>29.188488772224975</v>
      </c>
      <c r="AP70" s="23">
        <f>$D70*COS($E70+$F70*'25SolarCoords'!AL$7)</f>
        <v>29.611247877194174</v>
      </c>
      <c r="AQ70" s="23">
        <f>$D70*COS($E70+$F70*'25SolarCoords'!AM$7)</f>
        <v>25.074994946217132</v>
      </c>
      <c r="AR70" s="23">
        <f>$D70*COS($E70+$F70*'25SolarCoords'!AN$7)</f>
        <v>-27.500851634805194</v>
      </c>
      <c r="AS70" s="23">
        <f>$D70*COS($E70+$F70*'25SolarCoords'!AO$7)</f>
        <v>29.430668906741985</v>
      </c>
      <c r="AT70" s="23">
        <f>$D70*COS($E70+$F70*'25SolarCoords'!AP$7)</f>
        <v>29.503275808817463</v>
      </c>
      <c r="AU70" s="23">
        <f>$D70*COS($E70+$F70*'25SolarCoords'!AQ$7)</f>
        <v>3.9024524455602956</v>
      </c>
      <c r="AV70" s="23">
        <f>$D70*COS($E70+$F70*'25SolarCoords'!AR$7)</f>
        <v>-29.805918414548234</v>
      </c>
      <c r="AW70" s="23">
        <f>$D70*COS($E70+$F70*'25SolarCoords'!AS$7)</f>
        <v>3.3113416103882063</v>
      </c>
      <c r="AX70" s="23">
        <f>$D70*COS($E70+$F70*'25SolarCoords'!AT$7)</f>
        <v>-9.991061905055588</v>
      </c>
      <c r="AY70" s="23">
        <f>$D70*COS($E70+$F70*'25SolarCoords'!AU$7)</f>
        <v>-16.69780466894191</v>
      </c>
      <c r="AZ70" s="23">
        <f>$D70*COS($E70+$F70*'25SolarCoords'!AV$7)</f>
        <v>20.215300020672984</v>
      </c>
      <c r="BA70" s="23">
        <f>$D70*COS($E70+$F70*'25SolarCoords'!AW$7)</f>
        <v>-0.73121566044729025</v>
      </c>
      <c r="BB70" s="23">
        <f>$D70*COS($E70+$F70*'25SolarCoords'!AX$7)</f>
        <v>29.076844226844067</v>
      </c>
      <c r="BC70" s="23">
        <f>$D70*COS($E70+$F70*'25SolarCoords'!AY$7)</f>
        <v>-24.497395640550387</v>
      </c>
      <c r="BD70" s="23">
        <f>$D70*COS($E70+$F70*'25SolarCoords'!AZ$7)</f>
        <v>-27.79984306693909</v>
      </c>
      <c r="BE70" s="23">
        <f>$D70*COS($E70+$F70*'25SolarCoords'!BA$7)</f>
        <v>-29.63851989085645</v>
      </c>
      <c r="BF70" s="23">
        <f>$D70*COS($E70+$F70*'25SolarCoords'!BB$7)</f>
        <v>-29.91661257720742</v>
      </c>
      <c r="BG70" s="23">
        <f>$D70*COS($E70+$F70*'25SolarCoords'!BC$7)</f>
        <v>-28.619478457041133</v>
      </c>
      <c r="BH70" s="23">
        <f>$D70*COS($E70+$F70*'25SolarCoords'!BD$7)</f>
        <v>-25.815416721393451</v>
      </c>
      <c r="BI70" s="23">
        <f>$D70*COS($E70+$F70*'25SolarCoords'!BE$7)</f>
        <v>-21.652072201439971</v>
      </c>
      <c r="BJ70" s="23">
        <f>$D70*COS($E70+$F70*'25SolarCoords'!BF$7)</f>
        <v>-16.348661289938757</v>
      </c>
      <c r="BK70" s="23">
        <f>$D70*COS($E70+$F70*'25SolarCoords'!BG$7)</f>
        <v>-19.152762951582176</v>
      </c>
    </row>
    <row r="71" spans="2:63" x14ac:dyDescent="0.25">
      <c r="C71">
        <f t="shared" si="1"/>
        <v>63</v>
      </c>
      <c r="D71">
        <v>30</v>
      </c>
      <c r="E71">
        <v>2.74</v>
      </c>
      <c r="F71">
        <v>1349.87</v>
      </c>
      <c r="H71" s="7"/>
      <c r="I71" s="23">
        <f>$D71*COS($E71+$F71*'25SolarCoords'!E$7)</f>
        <v>-19.266897219275069</v>
      </c>
      <c r="J71" s="23">
        <f>$D71*COS($E71+$F71*'25SolarCoords'!F$7)</f>
        <v>-13.403306607283168</v>
      </c>
      <c r="K71" s="23">
        <f>$D71*COS($E71+$F71*'25SolarCoords'!G$7)</f>
        <v>-27.613188527639419</v>
      </c>
      <c r="L71" s="23">
        <f>$D71*COS($E71+$F71*'25SolarCoords'!H$7)</f>
        <v>5.4178174822800109</v>
      </c>
      <c r="M71" s="23">
        <f>$D71*COS($E71+$F71*'25SolarCoords'!I$7)</f>
        <v>-16.339649911334668</v>
      </c>
      <c r="N71" s="23">
        <f>$D71*COS($E71+$F71*'25SolarCoords'!J$7)</f>
        <v>-1.3686832504178625</v>
      </c>
      <c r="O71" s="23">
        <f>$D71*COS($E71+$F71*'25SolarCoords'!K$7)</f>
        <v>20.947895975910608</v>
      </c>
      <c r="P71" s="23">
        <f>$D71*COS($E71+$F71*'25SolarCoords'!L$7)</f>
        <v>28.96223660110909</v>
      </c>
      <c r="Q71" s="23">
        <f>$D71*COS($E71+$F71*'25SolarCoords'!M$7)</f>
        <v>28.675471835967517</v>
      </c>
      <c r="R71" s="23">
        <f>$D71*COS($E71+$F71*'25SolarCoords'!N$7)</f>
        <v>-29.99723252512921</v>
      </c>
      <c r="S71" s="23">
        <f>$D71*COS($E71+$F71*'25SolarCoords'!O$7)</f>
        <v>-6.20294397041806</v>
      </c>
      <c r="T71" s="23">
        <f>$D71*COS($E71+$F71*'25SolarCoords'!P$7)</f>
        <v>-18.367812538810156</v>
      </c>
      <c r="U71" s="23">
        <f>$D71*COS($E71+$F71*'25SolarCoords'!Q$7)</f>
        <v>-28.169680194236747</v>
      </c>
      <c r="V71" s="23">
        <f>$D71*COS($E71+$F71*'25SolarCoords'!R$7)</f>
        <v>-28.131353799114347</v>
      </c>
      <c r="W71" s="23">
        <f>$D71*COS($E71+$F71*'25SolarCoords'!S$7)</f>
        <v>28.971075480171553</v>
      </c>
      <c r="X71" s="23">
        <f>$D71*COS($E71+$F71*'25SolarCoords'!T$7)</f>
        <v>29.179500649865354</v>
      </c>
      <c r="Y71" s="23">
        <f>$D71*COS($E71+$F71*'25SolarCoords'!U$7)</f>
        <v>17.317094573544743</v>
      </c>
      <c r="Z71" s="23">
        <f>$D71*COS($E71+$F71*'25SolarCoords'!V$7)</f>
        <v>-28.402829460694516</v>
      </c>
      <c r="AA71" s="23">
        <f>$D71*COS($E71+$F71*'25SolarCoords'!W$7)</f>
        <v>-9.0427975248838131</v>
      </c>
      <c r="AB71" s="23">
        <f>$D71*COS($E71+$F71*'25SolarCoords'!X$7)</f>
        <v>5.079595453806129</v>
      </c>
      <c r="AC71" s="23">
        <f>$D71*COS($E71+$F71*'25SolarCoords'!Y$7)</f>
        <v>-29.72882879563975</v>
      </c>
      <c r="AD71" s="23">
        <f>$D71*COS($E71+$F71*'25SolarCoords'!Z$7)</f>
        <v>22.956452931637397</v>
      </c>
      <c r="AE71" s="23">
        <f>$D71*COS($E71+$F71*'25SolarCoords'!AA$7)</f>
        <v>-27.591472252413297</v>
      </c>
      <c r="AF71" s="23">
        <f>$D71*COS($E71+$F71*'25SolarCoords'!AB$7)</f>
        <v>-16.171839364646473</v>
      </c>
      <c r="AG71" s="23">
        <f>$D71*COS($E71+$F71*'25SolarCoords'!AC$7)</f>
        <v>23.830703596405339</v>
      </c>
      <c r="AH71" s="23">
        <f>$D71*COS($E71+$F71*'25SolarCoords'!AD$7)</f>
        <v>26.609929680279699</v>
      </c>
      <c r="AI71" s="23">
        <f>$D71*COS($E71+$F71*'25SolarCoords'!AE$7)</f>
        <v>-29.679944882729611</v>
      </c>
      <c r="AJ71" s="23">
        <f>$D71*COS($E71+$F71*'25SolarCoords'!AF$7)</f>
        <v>26.756150149209123</v>
      </c>
      <c r="AK71" s="23">
        <f>$D71*COS($E71+$F71*'25SolarCoords'!AG$7)</f>
        <v>22.541503734238376</v>
      </c>
      <c r="AL71" s="23">
        <f>$D71*COS($E71+$F71*'25SolarCoords'!AH$7)</f>
        <v>-29.188837817472077</v>
      </c>
      <c r="AM71" s="23">
        <f>$D71*COS($E71+$F71*'25SolarCoords'!AI$7)</f>
        <v>3.8737440873022573</v>
      </c>
      <c r="AN71" s="23">
        <f>$D71*COS($E71+$F71*'25SolarCoords'!AJ$7)</f>
        <v>29.994861755898491</v>
      </c>
      <c r="AO71" s="23">
        <f>$D71*COS($E71+$F71*'25SolarCoords'!AK$7)</f>
        <v>-15.444309934693175</v>
      </c>
      <c r="AP71" s="23">
        <f>$D71*COS($E71+$F71*'25SolarCoords'!AL$7)</f>
        <v>-28.016880839396716</v>
      </c>
      <c r="AQ71" s="23">
        <f>$D71*COS($E71+$F71*'25SolarCoords'!AM$7)</f>
        <v>-29.920518990950235</v>
      </c>
      <c r="AR71" s="23">
        <f>$D71*COS($E71+$F71*'25SolarCoords'!AN$7)</f>
        <v>-29.964505785759364</v>
      </c>
      <c r="AS71" s="23">
        <f>$D71*COS($E71+$F71*'25SolarCoords'!AO$7)</f>
        <v>29.827552552008481</v>
      </c>
      <c r="AT71" s="23">
        <f>$D71*COS($E71+$F71*'25SolarCoords'!AP$7)</f>
        <v>-12.759747786497654</v>
      </c>
      <c r="AU71" s="23">
        <f>$D71*COS($E71+$F71*'25SolarCoords'!AQ$7)</f>
        <v>-13.46331207641431</v>
      </c>
      <c r="AV71" s="23">
        <f>$D71*COS($E71+$F71*'25SolarCoords'!AR$7)</f>
        <v>-14.142786556227977</v>
      </c>
      <c r="AW71" s="23">
        <f>$D71*COS($E71+$F71*'25SolarCoords'!AS$7)</f>
        <v>-14.900081782067661</v>
      </c>
      <c r="AX71" s="23">
        <f>$D71*COS($E71+$F71*'25SolarCoords'!AT$7)</f>
        <v>-16.287917453152232</v>
      </c>
      <c r="AY71" s="23">
        <f>$D71*COS($E71+$F71*'25SolarCoords'!AU$7)</f>
        <v>-4.8028253957402809</v>
      </c>
      <c r="AZ71" s="23">
        <f>$D71*COS($E71+$F71*'25SolarCoords'!AV$7)</f>
        <v>27.506198050278893</v>
      </c>
      <c r="BA71" s="23">
        <f>$D71*COS($E71+$F71*'25SolarCoords'!AW$7)</f>
        <v>-29.594080138635128</v>
      </c>
      <c r="BB71" s="23">
        <f>$D71*COS($E71+$F71*'25SolarCoords'!AX$7)</f>
        <v>-1.7612649085935188</v>
      </c>
      <c r="BC71" s="23">
        <f>$D71*COS($E71+$F71*'25SolarCoords'!AY$7)</f>
        <v>-18.975431446175097</v>
      </c>
      <c r="BD71" s="23">
        <f>$D71*COS($E71+$F71*'25SolarCoords'!AZ$7)</f>
        <v>-19.061177633091919</v>
      </c>
      <c r="BE71" s="23">
        <f>$D71*COS($E71+$F71*'25SolarCoords'!BA$7)</f>
        <v>-19.146663472949847</v>
      </c>
      <c r="BF71" s="23">
        <f>$D71*COS($E71+$F71*'25SolarCoords'!BB$7)</f>
        <v>-19.231887798140374</v>
      </c>
      <c r="BG71" s="23">
        <f>$D71*COS($E71+$F71*'25SolarCoords'!BC$7)</f>
        <v>-19.31684944462738</v>
      </c>
      <c r="BH71" s="23">
        <f>$D71*COS($E71+$F71*'25SolarCoords'!BD$7)</f>
        <v>-19.40154725196253</v>
      </c>
      <c r="BI71" s="23">
        <f>$D71*COS($E71+$F71*'25SolarCoords'!BE$7)</f>
        <v>-19.485980063300666</v>
      </c>
      <c r="BJ71" s="23">
        <f>$D71*COS($E71+$F71*'25SolarCoords'!BF$7)</f>
        <v>-19.570146725416542</v>
      </c>
      <c r="BK71" s="23">
        <f>$D71*COS($E71+$F71*'25SolarCoords'!BG$7)</f>
        <v>-29.682381757125871</v>
      </c>
    </row>
    <row r="72" spans="2:63" x14ac:dyDescent="0.25">
      <c r="C72">
        <f t="shared" si="1"/>
        <v>64</v>
      </c>
      <c r="D72">
        <v>25</v>
      </c>
      <c r="E72">
        <v>3.16</v>
      </c>
      <c r="F72">
        <v>4690.4799999999996</v>
      </c>
      <c r="H72" s="7"/>
      <c r="I72" s="23">
        <f>$D72*COS($E72+$F72*'25SolarCoords'!E$7)</f>
        <v>24.531327950953099</v>
      </c>
      <c r="J72" s="23">
        <f>$D72*COS($E72+$F72*'25SolarCoords'!F$7)</f>
        <v>15.089253249982834</v>
      </c>
      <c r="K72" s="23">
        <f>$D72*COS($E72+$F72*'25SolarCoords'!G$7)</f>
        <v>-24.995764739564958</v>
      </c>
      <c r="L72" s="23">
        <f>$D72*COS($E72+$F72*'25SolarCoords'!H$7)</f>
        <v>0.92743384875130852</v>
      </c>
      <c r="M72" s="23">
        <f>$D72*COS($E72+$F72*'25SolarCoords'!I$7)</f>
        <v>14.807316133289614</v>
      </c>
      <c r="N72" s="23">
        <f>$D72*COS($E72+$F72*'25SolarCoords'!J$7)</f>
        <v>15.424276757857061</v>
      </c>
      <c r="O72" s="23">
        <f>$D72*COS($E72+$F72*'25SolarCoords'!K$7)</f>
        <v>-20.508630668958943</v>
      </c>
      <c r="P72" s="23">
        <f>$D72*COS($E72+$F72*'25SolarCoords'!L$7)</f>
        <v>19.483794509075331</v>
      </c>
      <c r="Q72" s="23">
        <f>$D72*COS($E72+$F72*'25SolarCoords'!M$7)</f>
        <v>15.028564976696723</v>
      </c>
      <c r="R72" s="23">
        <f>$D72*COS($E72+$F72*'25SolarCoords'!N$7)</f>
        <v>20.481544773750805</v>
      </c>
      <c r="S72" s="23">
        <f>$D72*COS($E72+$F72*'25SolarCoords'!O$7)</f>
        <v>-14.845400048086837</v>
      </c>
      <c r="T72" s="23">
        <f>$D72*COS($E72+$F72*'25SolarCoords'!P$7)</f>
        <v>-24.281293979584127</v>
      </c>
      <c r="U72" s="23">
        <f>$D72*COS($E72+$F72*'25SolarCoords'!Q$7)</f>
        <v>-22.395492878335325</v>
      </c>
      <c r="V72" s="23">
        <f>$D72*COS($E72+$F72*'25SolarCoords'!R$7)</f>
        <v>-22.536320774160426</v>
      </c>
      <c r="W72" s="23">
        <f>$D72*COS($E72+$F72*'25SolarCoords'!S$7)</f>
        <v>-18.724549649043677</v>
      </c>
      <c r="X72" s="23">
        <f>$D72*COS($E72+$F72*'25SolarCoords'!T$7)</f>
        <v>19.279655512177996</v>
      </c>
      <c r="Y72" s="23">
        <f>$D72*COS($E72+$F72*'25SolarCoords'!U$7)</f>
        <v>-6.0530328777292386</v>
      </c>
      <c r="Z72" s="23">
        <f>$D72*COS($E72+$F72*'25SolarCoords'!V$7)</f>
        <v>22.863499066482539</v>
      </c>
      <c r="AA72" s="23">
        <f>$D72*COS($E72+$F72*'25SolarCoords'!W$7)</f>
        <v>24.999996095277822</v>
      </c>
      <c r="AB72" s="23">
        <f>$D72*COS($E72+$F72*'25SolarCoords'!X$7)</f>
        <v>-1.8401081863074491</v>
      </c>
      <c r="AC72" s="23">
        <f>$D72*COS($E72+$F72*'25SolarCoords'!Y$7)</f>
        <v>-22.318688540444452</v>
      </c>
      <c r="AD72" s="23">
        <f>$D72*COS($E72+$F72*'25SolarCoords'!Z$7)</f>
        <v>-14.501200076498202</v>
      </c>
      <c r="AE72" s="23">
        <f>$D72*COS($E72+$F72*'25SolarCoords'!AA$7)</f>
        <v>-24.998204090431223</v>
      </c>
      <c r="AF72" s="23">
        <f>$D72*COS($E72+$F72*'25SolarCoords'!AB$7)</f>
        <v>-24.520565874687179</v>
      </c>
      <c r="AG72" s="23">
        <f>$D72*COS($E72+$F72*'25SolarCoords'!AC$7)</f>
        <v>-3.5163654151772286</v>
      </c>
      <c r="AH72" s="23">
        <f>$D72*COS($E72+$F72*'25SolarCoords'!AD$7)</f>
        <v>3.5475678275591074</v>
      </c>
      <c r="AI72" s="23">
        <f>$D72*COS($E72+$F72*'25SolarCoords'!AE$7)</f>
        <v>-22.756106125327051</v>
      </c>
      <c r="AJ72" s="23">
        <f>$D72*COS($E72+$F72*'25SolarCoords'!AF$7)</f>
        <v>-0.52192846269903137</v>
      </c>
      <c r="AK72" s="23">
        <f>$D72*COS($E72+$F72*'25SolarCoords'!AG$7)</f>
        <v>18.820996859414223</v>
      </c>
      <c r="AL72" s="23">
        <f>$D72*COS($E72+$F72*'25SolarCoords'!AH$7)</f>
        <v>20.622792037353491</v>
      </c>
      <c r="AM72" s="23">
        <f>$D72*COS($E72+$F72*'25SolarCoords'!AI$7)</f>
        <v>-5.3320035301913542</v>
      </c>
      <c r="AN72" s="23">
        <f>$D72*COS($E72+$F72*'25SolarCoords'!AJ$7)</f>
        <v>-24.736908541859183</v>
      </c>
      <c r="AO72" s="23">
        <f>$D72*COS($E72+$F72*'25SolarCoords'!AK$7)</f>
        <v>-15.984763936842542</v>
      </c>
      <c r="AP72" s="23">
        <f>$D72*COS($E72+$F72*'25SolarCoords'!AL$7)</f>
        <v>-22.396148019977229</v>
      </c>
      <c r="AQ72" s="23">
        <f>$D72*COS($E72+$F72*'25SolarCoords'!AM$7)</f>
        <v>2.3414922237360671</v>
      </c>
      <c r="AR72" s="23">
        <f>$D72*COS($E72+$F72*'25SolarCoords'!AN$7)</f>
        <v>-8.0062600591929964</v>
      </c>
      <c r="AS72" s="23">
        <f>$D72*COS($E72+$F72*'25SolarCoords'!AO$7)</f>
        <v>-0.69990751581619259</v>
      </c>
      <c r="AT72" s="23">
        <f>$D72*COS($E72+$F72*'25SolarCoords'!AP$7)</f>
        <v>-24.6439392595661</v>
      </c>
      <c r="AU72" s="23">
        <f>$D72*COS($E72+$F72*'25SolarCoords'!AQ$7)</f>
        <v>-24.92326751666868</v>
      </c>
      <c r="AV72" s="23">
        <f>$D72*COS($E72+$F72*'25SolarCoords'!AR$7)</f>
        <v>-24.998680299474412</v>
      </c>
      <c r="AW72" s="23">
        <f>$D72*COS($E72+$F72*'25SolarCoords'!AS$7)</f>
        <v>-24.847467463244794</v>
      </c>
      <c r="AX72" s="23">
        <f>$D72*COS($E72+$F72*'25SolarCoords'!AT$7)</f>
        <v>-23.892740636490235</v>
      </c>
      <c r="AY72" s="23">
        <f>$D72*COS($E72+$F72*'25SolarCoords'!AU$7)</f>
        <v>-13.89480055360592</v>
      </c>
      <c r="AZ72" s="23">
        <f>$D72*COS($E72+$F72*'25SolarCoords'!AV$7)</f>
        <v>1.6567310285184096</v>
      </c>
      <c r="BA72" s="23">
        <f>$D72*COS($E72+$F72*'25SolarCoords'!AW$7)</f>
        <v>24.919745946627785</v>
      </c>
      <c r="BB72" s="23">
        <f>$D72*COS($E72+$F72*'25SolarCoords'!AX$7)</f>
        <v>-18.655038931253841</v>
      </c>
      <c r="BC72" s="23">
        <f>$D72*COS($E72+$F72*'25SolarCoords'!AY$7)</f>
        <v>-19.376444443186376</v>
      </c>
      <c r="BD72" s="23">
        <f>$D72*COS($E72+$F72*'25SolarCoords'!AZ$7)</f>
        <v>-19.171986542967819</v>
      </c>
      <c r="BE72" s="23">
        <f>$D72*COS($E72+$F72*'25SolarCoords'!BA$7)</f>
        <v>-18.964366981947517</v>
      </c>
      <c r="BF72" s="23">
        <f>$D72*COS($E72+$F72*'25SolarCoords'!BB$7)</f>
        <v>-18.753619998759557</v>
      </c>
      <c r="BG72" s="23">
        <f>$D72*COS($E72+$F72*'25SolarCoords'!BC$7)</f>
        <v>-18.539780347782621</v>
      </c>
      <c r="BH72" s="23">
        <f>$D72*COS($E72+$F72*'25SolarCoords'!BD$7)</f>
        <v>-18.322883293407887</v>
      </c>
      <c r="BI72" s="23">
        <f>$D72*COS($E72+$F72*'25SolarCoords'!BE$7)</f>
        <v>-18.102964604225008</v>
      </c>
      <c r="BJ72" s="23">
        <f>$D72*COS($E72+$F72*'25SolarCoords'!BF$7)</f>
        <v>-17.88006054712277</v>
      </c>
      <c r="BK72" s="23">
        <f>$D72*COS($E72+$F72*'25SolarCoords'!BG$7)</f>
        <v>-22.735969000977459</v>
      </c>
    </row>
    <row r="73" spans="2:63" x14ac:dyDescent="0.25">
      <c r="C73" s="342" t="s">
        <v>787</v>
      </c>
      <c r="D73" s="342"/>
      <c r="E73" s="342"/>
      <c r="F73" s="342"/>
      <c r="H73" s="7"/>
    </row>
    <row r="74" spans="2:63" x14ac:dyDescent="0.25">
      <c r="B74">
        <v>419</v>
      </c>
      <c r="C74" s="19"/>
      <c r="D74" s="19" t="s">
        <v>783</v>
      </c>
      <c r="E74" s="19" t="s">
        <v>781</v>
      </c>
      <c r="F74" s="19" t="s">
        <v>782</v>
      </c>
      <c r="H74" s="7"/>
    </row>
    <row r="75" spans="2:63" x14ac:dyDescent="0.25">
      <c r="C75">
        <v>1</v>
      </c>
      <c r="D75" s="78">
        <v>628331966747</v>
      </c>
      <c r="E75">
        <v>0</v>
      </c>
      <c r="F75">
        <v>0</v>
      </c>
      <c r="H75" s="7"/>
      <c r="I75" s="102">
        <f>$D75*COS($E75+$F75*'25SolarCoords'!E$7)</f>
        <v>628331966747</v>
      </c>
      <c r="J75" s="102">
        <f>$D75*COS($E75+$F75*'25SolarCoords'!F$7)</f>
        <v>628331966747</v>
      </c>
      <c r="K75" s="102">
        <f>$D75*COS($E75+$F75*'25SolarCoords'!G$7)</f>
        <v>628331966747</v>
      </c>
      <c r="L75" s="102">
        <f>$D75*COS($E75+$F75*'25SolarCoords'!H$7)</f>
        <v>628331966747</v>
      </c>
      <c r="M75" s="102">
        <f>$D75*COS($E75+$F75*'25SolarCoords'!I$7)</f>
        <v>628331966747</v>
      </c>
      <c r="N75" s="102">
        <f>$D75*COS($E75+$F75*'25SolarCoords'!J$7)</f>
        <v>628331966747</v>
      </c>
      <c r="O75" s="102">
        <f>$D75*COS($E75+$F75*'25SolarCoords'!K$7)</f>
        <v>628331966747</v>
      </c>
      <c r="P75" s="102">
        <f>$D75*COS($E75+$F75*'25SolarCoords'!L$7)</f>
        <v>628331966747</v>
      </c>
      <c r="Q75" s="102">
        <f>$D75*COS($E75+$F75*'25SolarCoords'!M$7)</f>
        <v>628331966747</v>
      </c>
      <c r="R75" s="102">
        <f>$D75*COS($E75+$F75*'25SolarCoords'!N$7)</f>
        <v>628331966747</v>
      </c>
      <c r="S75" s="102">
        <f>$D75*COS($E75+$F75*'25SolarCoords'!O$7)</f>
        <v>628331966747</v>
      </c>
      <c r="T75" s="102">
        <f>$D75*COS($E75+$F75*'25SolarCoords'!P$7)</f>
        <v>628331966747</v>
      </c>
      <c r="U75" s="102">
        <f>$D75*COS($E75+$F75*'25SolarCoords'!Q$7)</f>
        <v>628331966747</v>
      </c>
      <c r="V75" s="102">
        <f>$D75*COS($E75+$F75*'25SolarCoords'!R$7)</f>
        <v>628331966747</v>
      </c>
      <c r="W75" s="102">
        <f>$D75*COS($E75+$F75*'25SolarCoords'!S$7)</f>
        <v>628331966747</v>
      </c>
      <c r="X75" s="102">
        <f>$D75*COS($E75+$F75*'25SolarCoords'!T$7)</f>
        <v>628331966747</v>
      </c>
      <c r="Y75" s="102">
        <f>$D75*COS($E75+$F75*'25SolarCoords'!U$7)</f>
        <v>628331966747</v>
      </c>
      <c r="Z75" s="102">
        <f>$D75*COS($E75+$F75*'25SolarCoords'!V$7)</f>
        <v>628331966747</v>
      </c>
      <c r="AA75" s="102">
        <f>$D75*COS($E75+$F75*'25SolarCoords'!W$7)</f>
        <v>628331966747</v>
      </c>
      <c r="AB75" s="102">
        <f>$D75*COS($E75+$F75*'25SolarCoords'!X$7)</f>
        <v>628331966747</v>
      </c>
      <c r="AC75" s="102">
        <f>$D75*COS($E75+$F75*'25SolarCoords'!Y$7)</f>
        <v>628331966747</v>
      </c>
      <c r="AD75" s="102">
        <f>$D75*COS($E75+$F75*'25SolarCoords'!Z$7)</f>
        <v>628331966747</v>
      </c>
      <c r="AE75" s="102">
        <f>$D75*COS($E75+$F75*'25SolarCoords'!AA$7)</f>
        <v>628331966747</v>
      </c>
      <c r="AF75" s="102">
        <f>$D75*COS($E75+$F75*'25SolarCoords'!AB$7)</f>
        <v>628331966747</v>
      </c>
      <c r="AG75" s="102">
        <f>$D75*COS($E75+$F75*'25SolarCoords'!AC$7)</f>
        <v>628331966747</v>
      </c>
      <c r="AH75" s="102">
        <f>$D75*COS($E75+$F75*'25SolarCoords'!AD$7)</f>
        <v>628331966747</v>
      </c>
      <c r="AI75" s="102">
        <f>$D75*COS($E75+$F75*'25SolarCoords'!AE$7)</f>
        <v>628331966747</v>
      </c>
      <c r="AJ75" s="102">
        <f>$D75*COS($E75+$F75*'25SolarCoords'!AF$7)</f>
        <v>628331966747</v>
      </c>
      <c r="AK75" s="102">
        <f>$D75*COS($E75+$F75*'25SolarCoords'!AG$7)</f>
        <v>628331966747</v>
      </c>
      <c r="AL75" s="102">
        <f>$D75*COS($E75+$F75*'25SolarCoords'!AH$7)</f>
        <v>628331966747</v>
      </c>
      <c r="AM75" s="102">
        <f>$D75*COS($E75+$F75*'25SolarCoords'!AI$7)</f>
        <v>628331966747</v>
      </c>
      <c r="AN75" s="102">
        <f>$D75*COS($E75+$F75*'25SolarCoords'!AJ$7)</f>
        <v>628331966747</v>
      </c>
      <c r="AO75" s="102">
        <f>$D75*COS($E75+$F75*'25SolarCoords'!AK$7)</f>
        <v>628331966747</v>
      </c>
      <c r="AP75" s="102">
        <f>$D75*COS($E75+$F75*'25SolarCoords'!AL$7)</f>
        <v>628331966747</v>
      </c>
      <c r="AQ75" s="102">
        <f>$D75*COS($E75+$F75*'25SolarCoords'!AM$7)</f>
        <v>628331966747</v>
      </c>
      <c r="AR75" s="102">
        <f>$D75*COS($E75+$F75*'25SolarCoords'!AN$7)</f>
        <v>628331966747</v>
      </c>
      <c r="AS75" s="102">
        <f>$D75*COS($E75+$F75*'25SolarCoords'!AO$7)</f>
        <v>628331966747</v>
      </c>
      <c r="AT75" s="102">
        <f>$D75*COS($E75+$F75*'25SolarCoords'!AP$7)</f>
        <v>628331966747</v>
      </c>
      <c r="AU75" s="102">
        <f>$D75*COS($E75+$F75*'25SolarCoords'!AQ$7)</f>
        <v>628331966747</v>
      </c>
      <c r="AV75" s="102">
        <f>$D75*COS($E75+$F75*'25SolarCoords'!AR$7)</f>
        <v>628331966747</v>
      </c>
      <c r="AW75" s="102">
        <f>$D75*COS($E75+$F75*'25SolarCoords'!AS$7)</f>
        <v>628331966747</v>
      </c>
      <c r="AX75" s="102">
        <f>$D75*COS($E75+$F75*'25SolarCoords'!AT$7)</f>
        <v>628331966747</v>
      </c>
      <c r="AY75" s="102">
        <f>$D75*COS($E75+$F75*'25SolarCoords'!AU$7)</f>
        <v>628331966747</v>
      </c>
      <c r="AZ75" s="102">
        <f>$D75*COS($E75+$F75*'25SolarCoords'!AV$7)</f>
        <v>628331966747</v>
      </c>
      <c r="BA75" s="102">
        <f>$D75*COS($E75+$F75*'25SolarCoords'!AW$7)</f>
        <v>628331966747</v>
      </c>
      <c r="BB75" s="102">
        <f>$D75*COS($E75+$F75*'25SolarCoords'!AX$7)</f>
        <v>628331966747</v>
      </c>
      <c r="BC75" s="102">
        <f>$D75*COS($E75+$F75*'25SolarCoords'!AY$7)</f>
        <v>628331966747</v>
      </c>
      <c r="BD75" s="102">
        <f>$D75*COS($E75+$F75*'25SolarCoords'!AZ$7)</f>
        <v>628331966747</v>
      </c>
      <c r="BE75" s="102">
        <f>$D75*COS($E75+$F75*'25SolarCoords'!BA$7)</f>
        <v>628331966747</v>
      </c>
      <c r="BF75" s="102">
        <f>$D75*COS($E75+$F75*'25SolarCoords'!BB$7)</f>
        <v>628331966747</v>
      </c>
      <c r="BG75" s="102">
        <f>$D75*COS($E75+$F75*'25SolarCoords'!BC$7)</f>
        <v>628331966747</v>
      </c>
      <c r="BH75" s="102">
        <f>$D75*COS($E75+$F75*'25SolarCoords'!BD$7)</f>
        <v>628331966747</v>
      </c>
      <c r="BI75" s="102">
        <f>$D75*COS($E75+$F75*'25SolarCoords'!BE$7)</f>
        <v>628331966747</v>
      </c>
      <c r="BJ75" s="102">
        <f>$D75*COS($E75+$F75*'25SolarCoords'!BF$7)</f>
        <v>628331966747</v>
      </c>
      <c r="BK75" s="102">
        <f>$D75*COS($E75+$F75*'25SolarCoords'!BG$7)</f>
        <v>628331966747</v>
      </c>
    </row>
    <row r="76" spans="2:63" x14ac:dyDescent="0.25">
      <c r="C76">
        <f t="shared" ref="C76:C108" si="2">C75+1</f>
        <v>2</v>
      </c>
      <c r="D76">
        <v>206059</v>
      </c>
      <c r="E76">
        <v>2.6782349999999999</v>
      </c>
      <c r="F76">
        <v>6283.0758500000002</v>
      </c>
      <c r="H76" s="7"/>
      <c r="I76" s="23">
        <f>$D76*COS($E76+$F76*'25SolarCoords'!E$7)</f>
        <v>81194.796307903423</v>
      </c>
      <c r="J76" s="23">
        <f>$D76*COS($E76+$F76*'25SolarCoords'!F$7)</f>
        <v>-189560.058866223</v>
      </c>
      <c r="K76" s="23">
        <f>$D76*COS($E76+$F76*'25SolarCoords'!G$7)</f>
        <v>-184331.48488528287</v>
      </c>
      <c r="L76" s="23">
        <f>$D76*COS($E76+$F76*'25SolarCoords'!H$7)</f>
        <v>-183943.87364774919</v>
      </c>
      <c r="M76" s="23">
        <f>$D76*COS($E76+$F76*'25SolarCoords'!I$7)</f>
        <v>-206021.88567468579</v>
      </c>
      <c r="N76" s="23">
        <f>$D76*COS($E76+$F76*'25SolarCoords'!J$7)</f>
        <v>158650.61516435273</v>
      </c>
      <c r="O76" s="23">
        <f>$D76*COS($E76+$F76*'25SolarCoords'!K$7)</f>
        <v>-206002.63593790698</v>
      </c>
      <c r="P76" s="23">
        <f>$D76*COS($E76+$F76*'25SolarCoords'!L$7)</f>
        <v>160319.65949776751</v>
      </c>
      <c r="Q76" s="23">
        <f>$D76*COS($E76+$F76*'25SolarCoords'!M$7)</f>
        <v>-186096.41237772309</v>
      </c>
      <c r="R76" s="23">
        <f>$D76*COS($E76+$F76*'25SolarCoords'!N$7)</f>
        <v>-191620.78007203431</v>
      </c>
      <c r="S76" s="23">
        <f>$D76*COS($E76+$F76*'25SolarCoords'!O$7)</f>
        <v>-191284.75279938377</v>
      </c>
      <c r="T76" s="23">
        <f>$D76*COS($E76+$F76*'25SolarCoords'!P$7)</f>
        <v>6025.0880569173451</v>
      </c>
      <c r="U76" s="23">
        <f>$D76*COS($E76+$F76*'25SolarCoords'!Q$7)</f>
        <v>-205996.32885835643</v>
      </c>
      <c r="V76" s="23">
        <f>$D76*COS($E76+$F76*'25SolarCoords'!R$7)</f>
        <v>-206053.26334226484</v>
      </c>
      <c r="W76" s="23">
        <f>$D76*COS($E76+$F76*'25SolarCoords'!S$7)</f>
        <v>198754.4628867571</v>
      </c>
      <c r="X76" s="23">
        <f>$D76*COS($E76+$F76*'25SolarCoords'!T$7)</f>
        <v>-94390.86874816654</v>
      </c>
      <c r="Y76" s="23">
        <f>$D76*COS($E76+$F76*'25SolarCoords'!U$7)</f>
        <v>131223.37833465019</v>
      </c>
      <c r="Z76" s="23">
        <f>$D76*COS($E76+$F76*'25SolarCoords'!V$7)</f>
        <v>-181330.70406058666</v>
      </c>
      <c r="AA76" s="23">
        <f>$D76*COS($E76+$F76*'25SolarCoords'!W$7)</f>
        <v>-67555.350133669606</v>
      </c>
      <c r="AB76" s="23">
        <f>$D76*COS($E76+$F76*'25SolarCoords'!X$7)</f>
        <v>-58382.320584970119</v>
      </c>
      <c r="AC76" s="23">
        <f>$D76*COS($E76+$F76*'25SolarCoords'!Y$7)</f>
        <v>-195756.33628358942</v>
      </c>
      <c r="AD76" s="23">
        <f>$D76*COS($E76+$F76*'25SolarCoords'!Z$7)</f>
        <v>-183079.22257111376</v>
      </c>
      <c r="AE76" s="23">
        <f>$D76*COS($E76+$F76*'25SolarCoords'!AA$7)</f>
        <v>-183532.52771242143</v>
      </c>
      <c r="AF76" s="23">
        <f>$D76*COS($E76+$F76*'25SolarCoords'!AB$7)</f>
        <v>180483.63954764773</v>
      </c>
      <c r="AG76" s="23">
        <f>$D76*COS($E76+$F76*'25SolarCoords'!AC$7)</f>
        <v>-56893.044605559691</v>
      </c>
      <c r="AH76" s="23">
        <f>$D76*COS($E76+$F76*'25SolarCoords'!AD$7)</f>
        <v>-23604.39501324228</v>
      </c>
      <c r="AI76" s="23">
        <f>$D76*COS($E76+$F76*'25SolarCoords'!AE$7)</f>
        <v>-191982.80500697065</v>
      </c>
      <c r="AJ76" s="23">
        <f>$D76*COS($E76+$F76*'25SolarCoords'!AF$7)</f>
        <v>-162187.33765759587</v>
      </c>
      <c r="AK76" s="23">
        <f>$D76*COS($E76+$F76*'25SolarCoords'!AG$7)</f>
        <v>53703.133952959957</v>
      </c>
      <c r="AL76" s="23">
        <f>$D76*COS($E76+$F76*'25SolarCoords'!AH$7)</f>
        <v>-175858.3218774327</v>
      </c>
      <c r="AM76" s="23">
        <f>$D76*COS($E76+$F76*'25SolarCoords'!AI$7)</f>
        <v>-94510.919444357452</v>
      </c>
      <c r="AN76" s="23">
        <f>$D76*COS($E76+$F76*'25SolarCoords'!AJ$7)</f>
        <v>7245.1172207494192</v>
      </c>
      <c r="AO76" s="23">
        <f>$D76*COS($E76+$F76*'25SolarCoords'!AK$7)</f>
        <v>-187622.71626140008</v>
      </c>
      <c r="AP76" s="23">
        <f>$D76*COS($E76+$F76*'25SolarCoords'!AL$7)</f>
        <v>127587.2093271643</v>
      </c>
      <c r="AQ76" s="23">
        <f>$D76*COS($E76+$F76*'25SolarCoords'!AM$7)</f>
        <v>204010.42203543597</v>
      </c>
      <c r="AR76" s="23">
        <f>$D76*COS($E76+$F76*'25SolarCoords'!AN$7)</f>
        <v>-78598.677944747251</v>
      </c>
      <c r="AS76" s="23">
        <f>$D76*COS($E76+$F76*'25SolarCoords'!AO$7)</f>
        <v>-206026.43161906261</v>
      </c>
      <c r="AT76" s="23">
        <f>$D76*COS($E76+$F76*'25SolarCoords'!AP$7)</f>
        <v>112100.89642885001</v>
      </c>
      <c r="AU76" s="23">
        <f>$D76*COS($E76+$F76*'25SolarCoords'!AQ$7)</f>
        <v>90343.005638366347</v>
      </c>
      <c r="AV76" s="23">
        <f>$D76*COS($E76+$F76*'25SolarCoords'!AR$7)</f>
        <v>67767.575617484617</v>
      </c>
      <c r="AW76" s="23">
        <f>$D76*COS($E76+$F76*'25SolarCoords'!AS$7)</f>
        <v>41104.720461542609</v>
      </c>
      <c r="AX76" s="23">
        <f>$D76*COS($E76+$F76*'25SolarCoords'!AT$7)</f>
        <v>-10564.349639169384</v>
      </c>
      <c r="AY76" s="23">
        <f>$D76*COS($E76+$F76*'25SolarCoords'!AU$7)</f>
        <v>111304.03565087623</v>
      </c>
      <c r="AZ76" s="23">
        <f>$D76*COS($E76+$F76*'25SolarCoords'!AV$7)</f>
        <v>172383.82957880382</v>
      </c>
      <c r="BA76" s="23">
        <f>$D76*COS($E76+$F76*'25SolarCoords'!AW$7)</f>
        <v>-190449.62937786424</v>
      </c>
      <c r="BB76" s="23">
        <f>$D76*COS($E76+$F76*'25SolarCoords'!AX$7)</f>
        <v>-48204.982955495267</v>
      </c>
      <c r="BC76" s="23">
        <f>$D76*COS($E76+$F76*'25SolarCoords'!AY$7)</f>
        <v>-110736.75535963482</v>
      </c>
      <c r="BD76" s="23">
        <f>$D76*COS($E76+$F76*'25SolarCoords'!AZ$7)</f>
        <v>-113709.51986425766</v>
      </c>
      <c r="BE76" s="23">
        <f>$D76*COS($E76+$F76*'25SolarCoords'!BA$7)</f>
        <v>-116648.63706486</v>
      </c>
      <c r="BF76" s="23">
        <f>$D76*COS($E76+$F76*'25SolarCoords'!BB$7)</f>
        <v>-119553.23725967311</v>
      </c>
      <c r="BG76" s="23">
        <f>$D76*COS($E76+$F76*'25SolarCoords'!BC$7)</f>
        <v>-122422.4609607242</v>
      </c>
      <c r="BH76" s="23">
        <f>$D76*COS($E76+$F76*'25SolarCoords'!BD$7)</f>
        <v>-125255.45914813489</v>
      </c>
      <c r="BI76" s="23">
        <f>$D76*COS($E76+$F76*'25SolarCoords'!BE$7)</f>
        <v>-128051.39352136591</v>
      </c>
      <c r="BJ76" s="23">
        <f>$D76*COS($E76+$F76*'25SolarCoords'!BF$7)</f>
        <v>-130809.43674728407</v>
      </c>
      <c r="BK76" s="23">
        <f>$D76*COS($E76+$F76*'25SolarCoords'!BG$7)</f>
        <v>-192176.78967591771</v>
      </c>
    </row>
    <row r="77" spans="2:63" x14ac:dyDescent="0.25">
      <c r="C77">
        <f t="shared" si="2"/>
        <v>3</v>
      </c>
      <c r="D77">
        <v>4303</v>
      </c>
      <c r="E77">
        <v>2.6351</v>
      </c>
      <c r="F77">
        <v>12566.1517</v>
      </c>
      <c r="H77" s="7"/>
      <c r="I77" s="23">
        <f>$D77*COS($E77+$F77*'25SolarCoords'!E$7)</f>
        <v>3980.184212657799</v>
      </c>
      <c r="J77" s="23">
        <f>$D77*COS($E77+$F77*'25SolarCoords'!F$7)</f>
        <v>-1454.409370985863</v>
      </c>
      <c r="K77" s="23">
        <f>$D77*COS($E77+$F77*'25SolarCoords'!G$7)</f>
        <v>-3762.7641282024929</v>
      </c>
      <c r="L77" s="23">
        <f>$D77*COS($E77+$F77*'25SolarCoords'!H$7)</f>
        <v>-3745.1348979760987</v>
      </c>
      <c r="M77" s="23">
        <f>$D77*COS($E77+$F77*'25SolarCoords'!I$7)</f>
        <v>-3992.4223876561373</v>
      </c>
      <c r="N77" s="23">
        <f>$D77*COS($E77+$F77*'25SolarCoords'!J$7)</f>
        <v>-2454.0442294707664</v>
      </c>
      <c r="O77" s="23">
        <f>$D77*COS($E77+$F77*'25SolarCoords'!K$7)</f>
        <v>-4006.4239327885152</v>
      </c>
      <c r="P77" s="23">
        <f>$D77*COS($E77+$F77*'25SolarCoords'!L$7)</f>
        <v>-2543.661707335913</v>
      </c>
      <c r="Q77" s="23">
        <f>$D77*COS($E77+$F77*'25SolarCoords'!M$7)</f>
        <v>-3841.4747019959632</v>
      </c>
      <c r="R77" s="23">
        <f>$D77*COS($E77+$F77*'25SolarCoords'!N$7)</f>
        <v>-4066.7365507624081</v>
      </c>
      <c r="S77" s="23">
        <f>$D77*COS($E77+$F77*'25SolarCoords'!O$7)</f>
        <v>-4054.1756800481521</v>
      </c>
      <c r="T77" s="23">
        <f>$D77*COS($E77+$F77*'25SolarCoords'!P$7)</f>
        <v>3819.2987741823044</v>
      </c>
      <c r="U77" s="23">
        <f>$D77*COS($E77+$F77*'25SolarCoords'!Q$7)</f>
        <v>-4010.4109430084786</v>
      </c>
      <c r="V77" s="23">
        <f>$D77*COS($E77+$F77*'25SolarCoords'!R$7)</f>
        <v>-3954.3907582362194</v>
      </c>
      <c r="W77" s="23">
        <f>$D77*COS($E77+$F77*'25SolarCoords'!S$7)</f>
        <v>-2487.7673057442476</v>
      </c>
      <c r="X77" s="23">
        <f>$D77*COS($E77+$F77*'25SolarCoords'!T$7)</f>
        <v>3709.5258563256748</v>
      </c>
      <c r="Y77" s="23">
        <f>$D77*COS($E77+$F77*'25SolarCoords'!U$7)</f>
        <v>2466.0160700079196</v>
      </c>
      <c r="Z77" s="23">
        <f>$D77*COS($E77+$F77*'25SolarCoords'!V$7)</f>
        <v>-688.43718649219443</v>
      </c>
      <c r="AA77" s="23">
        <f>$D77*COS($E77+$F77*'25SolarCoords'!W$7)</f>
        <v>4171.5411316163663</v>
      </c>
      <c r="AB77" s="23">
        <f>$D77*COS($E77+$F77*'25SolarCoords'!X$7)</f>
        <v>4251.8757401244966</v>
      </c>
      <c r="AC77" s="23">
        <f>$D77*COS($E77+$F77*'25SolarCoords'!Y$7)</f>
        <v>-2121.1062862984754</v>
      </c>
      <c r="AD77" s="23">
        <f>$D77*COS($E77+$F77*'25SolarCoords'!Z$7)</f>
        <v>-3705.4010130533111</v>
      </c>
      <c r="AE77" s="23">
        <f>$D77*COS($E77+$F77*'25SolarCoords'!AA$7)</f>
        <v>-3726.3007466800018</v>
      </c>
      <c r="AF77" s="23">
        <f>$D77*COS($E77+$F77*'25SolarCoords'!AB$7)</f>
        <v>-3583.0773558433398</v>
      </c>
      <c r="AG77" s="23">
        <f>$D77*COS($E77+$F77*'25SolarCoords'!AC$7)</f>
        <v>2397.9677972520549</v>
      </c>
      <c r="AH77" s="23">
        <f>$D77*COS($E77+$F77*'25SolarCoords'!AD$7)</f>
        <v>4225.0633509309982</v>
      </c>
      <c r="AI77" s="23">
        <f>$D77*COS($E77+$F77*'25SolarCoords'!AE$7)</f>
        <v>-1703.5608162355566</v>
      </c>
      <c r="AJ77" s="23">
        <f>$D77*COS($E77+$F77*'25SolarCoords'!AF$7)</f>
        <v>-2643.6303708566634</v>
      </c>
      <c r="AK77" s="23">
        <f>$D77*COS($E77+$F77*'25SolarCoords'!AG$7)</f>
        <v>4278.342047931098</v>
      </c>
      <c r="AL77" s="23">
        <f>$D77*COS($E77+$F77*'25SolarCoords'!AH$7)</f>
        <v>-232.54625899973416</v>
      </c>
      <c r="AM77" s="23">
        <f>$D77*COS($E77+$F77*'25SolarCoords'!AI$7)</f>
        <v>3706.6637421532769</v>
      </c>
      <c r="AN77" s="23">
        <f>$D77*COS($E77+$F77*'25SolarCoords'!AJ$7)</f>
        <v>3795.5477848802338</v>
      </c>
      <c r="AO77" s="23">
        <f>$D77*COS($E77+$F77*'25SolarCoords'!AK$7)</f>
        <v>-3907.2409098809367</v>
      </c>
      <c r="AP77" s="23">
        <f>$D77*COS($E77+$F77*'25SolarCoords'!AL$7)</f>
        <v>2623.354463528553</v>
      </c>
      <c r="AQ77" s="23">
        <f>$D77*COS($E77+$F77*'25SolarCoords'!AM$7)</f>
        <v>-3284.247975572423</v>
      </c>
      <c r="AR77" s="23">
        <f>$D77*COS($E77+$F77*'25SolarCoords'!AN$7)</f>
        <v>4023.3930005023817</v>
      </c>
      <c r="AS77" s="23">
        <f>$D77*COS($E77+$F77*'25SolarCoords'!AO$7)</f>
        <v>-3863.737374320614</v>
      </c>
      <c r="AT77" s="23">
        <f>$D77*COS($E77+$F77*'25SolarCoords'!AP$7)</f>
        <v>3205.8350350831702</v>
      </c>
      <c r="AU77" s="23">
        <f>$D77*COS($E77+$F77*'25SolarCoords'!AQ$7)</f>
        <v>3801.7583062304807</v>
      </c>
      <c r="AV77" s="23">
        <f>$D77*COS($E77+$F77*'25SolarCoords'!AR$7)</f>
        <v>4169.2294394784321</v>
      </c>
      <c r="AW77" s="23">
        <f>$D77*COS($E77+$F77*'25SolarCoords'!AS$7)</f>
        <v>4302.2582876224669</v>
      </c>
      <c r="AX77" s="23">
        <f>$D77*COS($E77+$F77*'25SolarCoords'!AT$7)</f>
        <v>3728.2144622611522</v>
      </c>
      <c r="AY77" s="23">
        <f>$D77*COS($E77+$F77*'25SolarCoords'!AU$7)</f>
        <v>40.139468884107401</v>
      </c>
      <c r="AZ77" s="23">
        <f>$D77*COS($E77+$F77*'25SolarCoords'!AV$7)</f>
        <v>38.794720425411334</v>
      </c>
      <c r="BA77" s="23">
        <f>$D77*COS($E77+$F77*'25SolarCoords'!AW$7)</f>
        <v>-4022.2204502619793</v>
      </c>
      <c r="BB77" s="23">
        <f>$D77*COS($E77+$F77*'25SolarCoords'!AX$7)</f>
        <v>4297.1771441486489</v>
      </c>
      <c r="BC77" s="23">
        <f>$D77*COS($E77+$F77*'25SolarCoords'!AY$7)</f>
        <v>68.260432833276468</v>
      </c>
      <c r="BD77" s="23">
        <f>$D77*COS($E77+$F77*'25SolarCoords'!AZ$7)</f>
        <v>-79.773614063993108</v>
      </c>
      <c r="BE77" s="23">
        <f>$D77*COS($E77+$F77*'25SolarCoords'!BA$7)</f>
        <v>-227.71324605270286</v>
      </c>
      <c r="BF77" s="23">
        <f>$D77*COS($E77+$F77*'25SolarCoords'!BB$7)</f>
        <v>-375.38337131822317</v>
      </c>
      <c r="BG77" s="23">
        <f>$D77*COS($E77+$F77*'25SolarCoords'!BC$7)</f>
        <v>-522.60921701744508</v>
      </c>
      <c r="BH77" s="23">
        <f>$D77*COS($E77+$F77*'25SolarCoords'!BD$7)</f>
        <v>-669.21653612719035</v>
      </c>
      <c r="BI77" s="23">
        <f>$D77*COS($E77+$F77*'25SolarCoords'!BE$7)</f>
        <v>-815.03181367249522</v>
      </c>
      <c r="BJ77" s="23">
        <f>$D77*COS($E77+$F77*'25SolarCoords'!BF$7)</f>
        <v>-959.88247208823077</v>
      </c>
      <c r="BK77" s="23">
        <f>$D77*COS($E77+$F77*'25SolarCoords'!BG$7)</f>
        <v>-1724.086857162446</v>
      </c>
    </row>
    <row r="78" spans="2:63" x14ac:dyDescent="0.25">
      <c r="C78">
        <f t="shared" si="2"/>
        <v>4</v>
      </c>
      <c r="D78">
        <v>425</v>
      </c>
      <c r="E78">
        <v>1.59</v>
      </c>
      <c r="F78">
        <v>3.5230000000000001</v>
      </c>
      <c r="H78" s="7"/>
      <c r="I78" s="23">
        <f>$D78*COS($E78+$F78*'25SolarCoords'!E$7)</f>
        <v>54.931402020893159</v>
      </c>
      <c r="J78" s="23">
        <f>$D78*COS($E78+$F78*'25SolarCoords'!F$7)</f>
        <v>-177.14358467975299</v>
      </c>
      <c r="K78" s="23">
        <f>$D78*COS($E78+$F78*'25SolarCoords'!G$7)</f>
        <v>-8.1610594832193755</v>
      </c>
      <c r="L78" s="23">
        <f>$D78*COS($E78+$F78*'25SolarCoords'!H$7)</f>
        <v>-6.6629883062686286</v>
      </c>
      <c r="M78" s="23">
        <f>$D78*COS($E78+$F78*'25SolarCoords'!I$7)</f>
        <v>11.196161082688894</v>
      </c>
      <c r="N78" s="23">
        <f>$D78*COS($E78+$F78*'25SolarCoords'!J$7)</f>
        <v>10.608102925325422</v>
      </c>
      <c r="O78" s="23">
        <f>$D78*COS($E78+$F78*'25SolarCoords'!K$7)</f>
        <v>9.7003639058552196</v>
      </c>
      <c r="P78" s="23">
        <f>$D78*COS($E78+$F78*'25SolarCoords'!L$7)</f>
        <v>9.108157894063142</v>
      </c>
      <c r="Q78" s="23">
        <f>$D78*COS($E78+$F78*'25SolarCoords'!M$7)</f>
        <v>138.9606217756847</v>
      </c>
      <c r="R78" s="23">
        <f>$D78*COS($E78+$F78*'25SolarCoords'!N$7)</f>
        <v>418.07072264983367</v>
      </c>
      <c r="S78" s="23">
        <f>$D78*COS($E78+$F78*'25SolarCoords'!O$7)</f>
        <v>417.79904621342217</v>
      </c>
      <c r="T78" s="23">
        <f>$D78*COS($E78+$F78*'25SolarCoords'!P$7)</f>
        <v>-342.04722567016648</v>
      </c>
      <c r="U78" s="23">
        <f>$D78*COS($E78+$F78*'25SolarCoords'!Q$7)</f>
        <v>391.86426969162619</v>
      </c>
      <c r="V78" s="23">
        <f>$D78*COS($E78+$F78*'25SolarCoords'!R$7)</f>
        <v>391.8626827877145</v>
      </c>
      <c r="W78" s="23">
        <f>$D78*COS($E78+$F78*'25SolarCoords'!S$7)</f>
        <v>-383.10223937719968</v>
      </c>
      <c r="X78" s="23">
        <f>$D78*COS($E78+$F78*'25SolarCoords'!T$7)</f>
        <v>-383.3406283828632</v>
      </c>
      <c r="Y78" s="23">
        <f>$D78*COS($E78+$F78*'25SolarCoords'!U$7)</f>
        <v>-383.68527857997543</v>
      </c>
      <c r="Z78" s="23">
        <f>$D78*COS($E78+$F78*'25SolarCoords'!V$7)</f>
        <v>-424.09968464661756</v>
      </c>
      <c r="AA78" s="23">
        <f>$D78*COS($E78+$F78*'25SolarCoords'!W$7)</f>
        <v>10.897012155768611</v>
      </c>
      <c r="AB78" s="23">
        <f>$D78*COS($E78+$F78*'25SolarCoords'!X$7)</f>
        <v>3.4005220763737203</v>
      </c>
      <c r="AC78" s="23">
        <f>$D78*COS($E78+$F78*'25SolarCoords'!Y$7)</f>
        <v>26.073885677575763</v>
      </c>
      <c r="AD78" s="23">
        <f>$D78*COS($E78+$F78*'25SolarCoords'!Z$7)</f>
        <v>-73.665669469112828</v>
      </c>
      <c r="AE78" s="23">
        <f>$D78*COS($E78+$F78*'25SolarCoords'!AA$7)</f>
        <v>-8.159010203281678</v>
      </c>
      <c r="AF78" s="23">
        <f>$D78*COS($E78+$F78*'25SolarCoords'!AB$7)</f>
        <v>59.776349166394382</v>
      </c>
      <c r="AG78" s="23">
        <f>$D78*COS($E78+$F78*'25SolarCoords'!AC$7)</f>
        <v>23.467064779172183</v>
      </c>
      <c r="AH78" s="23">
        <f>$D78*COS($E78+$F78*'25SolarCoords'!AD$7)</f>
        <v>9.3479113133018163</v>
      </c>
      <c r="AI78" s="23">
        <f>$D78*COS($E78+$F78*'25SolarCoords'!AE$7)</f>
        <v>26.060992409938972</v>
      </c>
      <c r="AJ78" s="23">
        <f>$D78*COS($E78+$F78*'25SolarCoords'!AF$7)</f>
        <v>2.3675186004404321</v>
      </c>
      <c r="AK78" s="23">
        <f>$D78*COS($E78+$F78*'25SolarCoords'!AG$7)</f>
        <v>2.6462672025830267</v>
      </c>
      <c r="AL78" s="23">
        <f>$D78*COS($E78+$F78*'25SolarCoords'!AH$7)</f>
        <v>5.0729586289639492</v>
      </c>
      <c r="AM78" s="23">
        <f>$D78*COS($E78+$F78*'25SolarCoords'!AI$7)</f>
        <v>3.4456130846339965</v>
      </c>
      <c r="AN78" s="23">
        <f>$D78*COS($E78+$F78*'25SolarCoords'!AJ$7)</f>
        <v>1.8264155726973059</v>
      </c>
      <c r="AO78" s="23">
        <f>$D78*COS($E78+$F78*'25SolarCoords'!AK$7)</f>
        <v>247.62180951723539</v>
      </c>
      <c r="AP78" s="23">
        <f>$D78*COS($E78+$F78*'25SolarCoords'!AL$7)</f>
        <v>5.7369939723147088</v>
      </c>
      <c r="AQ78" s="23">
        <f>$D78*COS($E78+$F78*'25SolarCoords'!AM$7)</f>
        <v>-421.88819661236431</v>
      </c>
      <c r="AR78" s="23">
        <f>$D78*COS($E78+$F78*'25SolarCoords'!AN$7)</f>
        <v>-8.5524684155108552</v>
      </c>
      <c r="AS78" s="23">
        <f>$D78*COS($E78+$F78*'25SolarCoords'!AO$7)</f>
        <v>286.55382178383661</v>
      </c>
      <c r="AT78" s="23">
        <f>$D78*COS($E78+$F78*'25SolarCoords'!AP$7)</f>
        <v>-42.129200202663249</v>
      </c>
      <c r="AU78" s="23">
        <f>$D78*COS($E78+$F78*'25SolarCoords'!AQ$7)</f>
        <v>-42.157980600477103</v>
      </c>
      <c r="AV78" s="23">
        <f>$D78*COS($E78+$F78*'25SolarCoords'!AR$7)</f>
        <v>-42.186137611750326</v>
      </c>
      <c r="AW78" s="23">
        <f>$D78*COS($E78+$F78*'25SolarCoords'!AS$7)</f>
        <v>-42.217979736891579</v>
      </c>
      <c r="AX78" s="23">
        <f>$D78*COS($E78+$F78*'25SolarCoords'!AT$7)</f>
        <v>-42.277762743900801</v>
      </c>
      <c r="AY78" s="23">
        <f>$D78*COS($E78+$F78*'25SolarCoords'!AU$7)</f>
        <v>31.615610360123391</v>
      </c>
      <c r="AZ78" s="23">
        <f>$D78*COS($E78+$F78*'25SolarCoords'!AV$7)</f>
        <v>-4.6668008275427262</v>
      </c>
      <c r="BA78" s="23">
        <f>$D78*COS($E78+$F78*'25SolarCoords'!AW$7)</f>
        <v>88.493682305655426</v>
      </c>
      <c r="BB78" s="23">
        <f>$D78*COS($E78+$F78*'25SolarCoords'!AX$7)</f>
        <v>55.633786018250333</v>
      </c>
      <c r="BC78" s="23">
        <f>$D78*COS($E78+$F78*'25SolarCoords'!AY$7)</f>
        <v>-42.400130442082471</v>
      </c>
      <c r="BD78" s="23">
        <f>$D78*COS($E78+$F78*'25SolarCoords'!AZ$7)</f>
        <v>-42.404209304269415</v>
      </c>
      <c r="BE78" s="23">
        <f>$D78*COS($E78+$F78*'25SolarCoords'!BA$7)</f>
        <v>-42.408288162511404</v>
      </c>
      <c r="BF78" s="23">
        <f>$D78*COS($E78+$F78*'25SolarCoords'!BB$7)</f>
        <v>-42.412367016807849</v>
      </c>
      <c r="BG78" s="23">
        <f>$D78*COS($E78+$F78*'25SolarCoords'!BC$7)</f>
        <v>-42.416445867158565</v>
      </c>
      <c r="BH78" s="23">
        <f>$D78*COS($E78+$F78*'25SolarCoords'!BD$7)</f>
        <v>-42.42052471356299</v>
      </c>
      <c r="BI78" s="23">
        <f>$D78*COS($E78+$F78*'25SolarCoords'!BE$7)</f>
        <v>-42.424603556020926</v>
      </c>
      <c r="BJ78" s="23">
        <f>$D78*COS($E78+$F78*'25SolarCoords'!BF$7)</f>
        <v>-42.428682394531812</v>
      </c>
      <c r="BK78" s="23">
        <f>$D78*COS($E78+$F78*'25SolarCoords'!BG$7)</f>
        <v>26.061610885753264</v>
      </c>
    </row>
    <row r="79" spans="2:63" x14ac:dyDescent="0.25">
      <c r="C79">
        <f t="shared" si="2"/>
        <v>5</v>
      </c>
      <c r="D79">
        <v>119</v>
      </c>
      <c r="E79">
        <v>5.7960000000000003</v>
      </c>
      <c r="F79">
        <v>26.297999999999998</v>
      </c>
      <c r="H79" s="7"/>
      <c r="I79" s="23">
        <f>$D79*COS($E79+$F79*'25SolarCoords'!E$7)</f>
        <v>-3.2429030706567459</v>
      </c>
      <c r="J79" s="23">
        <f>$D79*COS($E79+$F79*'25SolarCoords'!F$7)</f>
        <v>112.15633328260968</v>
      </c>
      <c r="K79" s="23">
        <f>$D79*COS($E79+$F79*'25SolarCoords'!G$7)</f>
        <v>105.15482945489448</v>
      </c>
      <c r="L79" s="23">
        <f>$D79*COS($E79+$F79*'25SolarCoords'!H$7)</f>
        <v>103.65255846775315</v>
      </c>
      <c r="M79" s="23">
        <f>$D79*COS($E79+$F79*'25SolarCoords'!I$7)</f>
        <v>80.5553141945405</v>
      </c>
      <c r="N79" s="23">
        <f>$D79*COS($E79+$F79*'25SolarCoords'!J$7)</f>
        <v>81.455968528437211</v>
      </c>
      <c r="O79" s="23">
        <f>$D79*COS($E79+$F79*'25SolarCoords'!K$7)</f>
        <v>82.829073736698248</v>
      </c>
      <c r="P79" s="23">
        <f>$D79*COS($E79+$F79*'25SolarCoords'!L$7)</f>
        <v>83.71351402452791</v>
      </c>
      <c r="Q79" s="23">
        <f>$D79*COS($E79+$F79*'25SolarCoords'!M$7)</f>
        <v>-118.96386780210922</v>
      </c>
      <c r="R79" s="23">
        <f>$D79*COS($E79+$F79*'25SolarCoords'!N$7)</f>
        <v>1.265067504552509</v>
      </c>
      <c r="S79" s="23">
        <f>$D79*COS($E79+$F79*'25SolarCoords'!O$7)</f>
        <v>-1.8621526596636406</v>
      </c>
      <c r="T79" s="23">
        <f>$D79*COS($E79+$F79*'25SolarCoords'!P$7)</f>
        <v>111.69240388845169</v>
      </c>
      <c r="U79" s="23">
        <f>$D79*COS($E79+$F79*'25SolarCoords'!Q$7)</f>
        <v>115.0616522588962</v>
      </c>
      <c r="V79" s="23">
        <f>$D79*COS($E79+$F79*'25SolarCoords'!R$7)</f>
        <v>115.05946593799744</v>
      </c>
      <c r="W79" s="23">
        <f>$D79*COS($E79+$F79*'25SolarCoords'!S$7)</f>
        <v>-80.61383544112789</v>
      </c>
      <c r="X79" s="23">
        <f>$D79*COS($E79+$F79*'25SolarCoords'!T$7)</f>
        <v>-79.762377960485225</v>
      </c>
      <c r="Y79" s="23">
        <f>$D79*COS($E79+$F79*'25SolarCoords'!U$7)</f>
        <v>-78.514016732874026</v>
      </c>
      <c r="Z79" s="23">
        <f>$D79*COS($E79+$F79*'25SolarCoords'!V$7)</f>
        <v>57.214444450941542</v>
      </c>
      <c r="AA79" s="23">
        <f>$D79*COS($E79+$F79*'25SolarCoords'!W$7)</f>
        <v>81.014567422638848</v>
      </c>
      <c r="AB79" s="23">
        <f>$D79*COS($E79+$F79*'25SolarCoords'!X$7)</f>
        <v>91.758479174945634</v>
      </c>
      <c r="AC79" s="23">
        <f>$D79*COS($E79+$F79*'25SolarCoords'!Y$7)</f>
        <v>55.164300333195314</v>
      </c>
      <c r="AD79" s="23">
        <f>$D79*COS($E79+$F79*'25SolarCoords'!Z$7)</f>
        <v>93.28285519156853</v>
      </c>
      <c r="AE79" s="23">
        <f>$D79*COS($E79+$F79*'25SolarCoords'!AA$7)</f>
        <v>105.15282387271884</v>
      </c>
      <c r="AF79" s="23">
        <f>$D79*COS($E79+$F79*'25SolarCoords'!AB$7)</f>
        <v>-13.434597387026683</v>
      </c>
      <c r="AG79" s="23">
        <f>$D79*COS($E79+$F79*'25SolarCoords'!AC$7)</f>
        <v>59.940562825723099</v>
      </c>
      <c r="AH79" s="23">
        <f>$D79*COS($E79+$F79*'25SolarCoords'!AD$7)</f>
        <v>83.356539688536031</v>
      </c>
      <c r="AI79" s="23">
        <f>$D79*COS($E79+$F79*'25SolarCoords'!AE$7)</f>
        <v>55.188221821454093</v>
      </c>
      <c r="AJ79" s="23">
        <f>$D79*COS($E79+$F79*'25SolarCoords'!AF$7)</f>
        <v>93.11810592930415</v>
      </c>
      <c r="AK79" s="23">
        <f>$D79*COS($E79+$F79*'25SolarCoords'!AG$7)</f>
        <v>92.754223876645099</v>
      </c>
      <c r="AL79" s="23">
        <f>$D79*COS($E79+$F79*'25SolarCoords'!AH$7)</f>
        <v>89.493335219048632</v>
      </c>
      <c r="AM79" s="23">
        <f>$D79*COS($E79+$F79*'25SolarCoords'!AI$7)</f>
        <v>91.698439054524641</v>
      </c>
      <c r="AN79" s="23">
        <f>$D79*COS($E79+$F79*'25SolarCoords'!AJ$7)</f>
        <v>93.818085495935378</v>
      </c>
      <c r="AO79" s="23">
        <f>$D79*COS($E79+$F79*'25SolarCoords'!AK$7)</f>
        <v>63.3079517626106</v>
      </c>
      <c r="AP79" s="23">
        <f>$D79*COS($E79+$F79*'25SolarCoords'!AL$7)</f>
        <v>88.572410359396983</v>
      </c>
      <c r="AQ79" s="23">
        <f>$D79*COS($E79+$F79*'25SolarCoords'!AM$7)</f>
        <v>65.460092468955224</v>
      </c>
      <c r="AR79" s="23">
        <f>$D79*COS($E79+$F79*'25SolarCoords'!AN$7)</f>
        <v>105.53539379974684</v>
      </c>
      <c r="AS79" s="23">
        <f>$D79*COS($E79+$F79*'25SolarCoords'!AO$7)</f>
        <v>-111.73279341734874</v>
      </c>
      <c r="AT79" s="23">
        <f>$D79*COS($E79+$F79*'25SolarCoords'!AP$7)</f>
        <v>118.27243811322268</v>
      </c>
      <c r="AU79" s="23">
        <f>$D79*COS($E79+$F79*'25SolarCoords'!AQ$7)</f>
        <v>118.2657482973826</v>
      </c>
      <c r="AV79" s="23">
        <f>$D79*COS($E79+$F79*'25SolarCoords'!AR$7)</f>
        <v>118.2591738037642</v>
      </c>
      <c r="AW79" s="23">
        <f>$D79*COS($E79+$F79*'25SolarCoords'!AS$7)</f>
        <v>118.25170360934554</v>
      </c>
      <c r="AX79" s="23">
        <f>$D79*COS($E79+$F79*'25SolarCoords'!AT$7)</f>
        <v>118.23757739876891</v>
      </c>
      <c r="AY79" s="23">
        <f>$D79*COS($E79+$F79*'25SolarCoords'!AU$7)</f>
        <v>44.631425290156166</v>
      </c>
      <c r="AZ79" s="23">
        <f>$D79*COS($E79+$F79*'25SolarCoords'!AV$7)</f>
        <v>101.5395512627273</v>
      </c>
      <c r="BA79" s="23">
        <f>$D79*COS($E79+$F79*'25SolarCoords'!AW$7)</f>
        <v>-69.673756016033579</v>
      </c>
      <c r="BB79" s="23">
        <f>$D79*COS($E79+$F79*'25SolarCoords'!AX$7)</f>
        <v>-4.722700059684704</v>
      </c>
      <c r="BC79" s="23">
        <f>$D79*COS($E79+$F79*'25SolarCoords'!AY$7)</f>
        <v>118.20825178174918</v>
      </c>
      <c r="BD79" s="23">
        <f>$D79*COS($E79+$F79*'25SolarCoords'!AZ$7)</f>
        <v>118.20726476214959</v>
      </c>
      <c r="BE79" s="23">
        <f>$D79*COS($E79+$F79*'25SolarCoords'!BA$7)</f>
        <v>118.20627712976351</v>
      </c>
      <c r="BF79" s="23">
        <f>$D79*COS($E79+$F79*'25SolarCoords'!BB$7)</f>
        <v>118.20528888459609</v>
      </c>
      <c r="BG79" s="23">
        <f>$D79*COS($E79+$F79*'25SolarCoords'!BC$7)</f>
        <v>118.20430002665248</v>
      </c>
      <c r="BH79" s="23">
        <f>$D79*COS($E79+$F79*'25SolarCoords'!BD$7)</f>
        <v>118.20331055593775</v>
      </c>
      <c r="BI79" s="23">
        <f>$D79*COS($E79+$F79*'25SolarCoords'!BE$7)</f>
        <v>118.20232047245706</v>
      </c>
      <c r="BJ79" s="23">
        <f>$D79*COS($E79+$F79*'25SolarCoords'!BF$7)</f>
        <v>118.20132977621554</v>
      </c>
      <c r="BK79" s="23">
        <f>$D79*COS($E79+$F79*'25SolarCoords'!BG$7)</f>
        <v>55.187074399950397</v>
      </c>
    </row>
    <row r="80" spans="2:63" x14ac:dyDescent="0.25">
      <c r="C80">
        <f t="shared" si="2"/>
        <v>6</v>
      </c>
      <c r="D80">
        <v>109</v>
      </c>
      <c r="E80">
        <v>2.9660000000000002</v>
      </c>
      <c r="F80">
        <v>1577.3440000000001</v>
      </c>
      <c r="H80" s="7"/>
      <c r="I80" s="23">
        <f>$D80*COS($E80+$F80*'25SolarCoords'!E$7)</f>
        <v>73.445047665064521</v>
      </c>
      <c r="J80" s="23">
        <f>$D80*COS($E80+$F80*'25SolarCoords'!F$7)</f>
        <v>108.67977288909162</v>
      </c>
      <c r="K80" s="23">
        <f>$D80*COS($E80+$F80*'25SolarCoords'!G$7)</f>
        <v>-107.32392663759208</v>
      </c>
      <c r="L80" s="23">
        <f>$D80*COS($E80+$F80*'25SolarCoords'!H$7)</f>
        <v>19.859426905155004</v>
      </c>
      <c r="M80" s="23">
        <f>$D80*COS($E80+$F80*'25SolarCoords'!I$7)</f>
        <v>16.235965033148716</v>
      </c>
      <c r="N80" s="23">
        <f>$D80*COS($E80+$F80*'25SolarCoords'!J$7)</f>
        <v>-49.383964746968111</v>
      </c>
      <c r="O80" s="23">
        <f>$D80*COS($E80+$F80*'25SolarCoords'!K$7)</f>
        <v>-107.87118003921668</v>
      </c>
      <c r="P80" s="23">
        <f>$D80*COS($E80+$F80*'25SolarCoords'!L$7)</f>
        <v>-96.683161567407836</v>
      </c>
      <c r="Q80" s="23">
        <f>$D80*COS($E80+$F80*'25SolarCoords'!M$7)</f>
        <v>-73.706067907481213</v>
      </c>
      <c r="R80" s="23">
        <f>$D80*COS($E80+$F80*'25SolarCoords'!N$7)</f>
        <v>102.09976670790454</v>
      </c>
      <c r="S80" s="23">
        <f>$D80*COS($E80+$F80*'25SolarCoords'!O$7)</f>
        <v>-38.723634737986636</v>
      </c>
      <c r="T80" s="23">
        <f>$D80*COS($E80+$F80*'25SolarCoords'!P$7)</f>
        <v>-92.953882444412031</v>
      </c>
      <c r="U80" s="23">
        <f>$D80*COS($E80+$F80*'25SolarCoords'!Q$7)</f>
        <v>12.965747980710915</v>
      </c>
      <c r="V80" s="23">
        <f>$D80*COS($E80+$F80*'25SolarCoords'!R$7)</f>
        <v>13.433003568940919</v>
      </c>
      <c r="W80" s="23">
        <f>$D80*COS($E80+$F80*'25SolarCoords'!S$7)</f>
        <v>-108.65625862124219</v>
      </c>
      <c r="X80" s="23">
        <f>$D80*COS($E80+$F80*'25SolarCoords'!T$7)</f>
        <v>-86.090352443040985</v>
      </c>
      <c r="Y80" s="23">
        <f>$D80*COS($E80+$F80*'25SolarCoords'!U$7)</f>
        <v>-7.4029571978845228</v>
      </c>
      <c r="Z80" s="23">
        <f>$D80*COS($E80+$F80*'25SolarCoords'!V$7)</f>
        <v>-108.6052044886252</v>
      </c>
      <c r="AA80" s="23">
        <f>$D80*COS($E80+$F80*'25SolarCoords'!W$7)</f>
        <v>-17.983351822578776</v>
      </c>
      <c r="AB80" s="23">
        <f>$D80*COS($E80+$F80*'25SolarCoords'!X$7)</f>
        <v>-106.5972508673138</v>
      </c>
      <c r="AC80" s="23">
        <f>$D80*COS($E80+$F80*'25SolarCoords'!Y$7)</f>
        <v>-14.213937965297754</v>
      </c>
      <c r="AD80" s="23">
        <f>$D80*COS($E80+$F80*'25SolarCoords'!Z$7)</f>
        <v>-108.33707160027852</v>
      </c>
      <c r="AE80" s="23">
        <f>$D80*COS($E80+$F80*'25SolarCoords'!AA$7)</f>
        <v>-107.2825610300642</v>
      </c>
      <c r="AF80" s="23">
        <f>$D80*COS($E80+$F80*'25SolarCoords'!AB$7)</f>
        <v>104.1139376709007</v>
      </c>
      <c r="AG80" s="23">
        <f>$D80*COS($E80+$F80*'25SolarCoords'!AC$7)</f>
        <v>54.298264080105348</v>
      </c>
      <c r="AH80" s="23">
        <f>$D80*COS($E80+$F80*'25SolarCoords'!AD$7)</f>
        <v>-106.19507527213916</v>
      </c>
      <c r="AI80" s="23">
        <f>$D80*COS($E80+$F80*'25SolarCoords'!AE$7)</f>
        <v>-12.742020220590064</v>
      </c>
      <c r="AJ80" s="23">
        <f>$D80*COS($E80+$F80*'25SolarCoords'!AF$7)</f>
        <v>-29.301526627800001</v>
      </c>
      <c r="AK80" s="23">
        <f>$D80*COS($E80+$F80*'25SolarCoords'!AG$7)</f>
        <v>-58.43665247184677</v>
      </c>
      <c r="AL80" s="23">
        <f>$D80*COS($E80+$F80*'25SolarCoords'!AH$7)</f>
        <v>-2.0918074980207653</v>
      </c>
      <c r="AM80" s="23">
        <f>$D80*COS($E80+$F80*'25SolarCoords'!AI$7)</f>
        <v>-107.55778900917241</v>
      </c>
      <c r="AN80" s="23">
        <f>$D80*COS($E80+$F80*'25SolarCoords'!AJ$7)</f>
        <v>31.990576111913903</v>
      </c>
      <c r="AO80" s="23">
        <f>$D80*COS($E80+$F80*'25SolarCoords'!AK$7)</f>
        <v>22.492414707773165</v>
      </c>
      <c r="AP80" s="23">
        <f>$D80*COS($E80+$F80*'25SolarCoords'!AL$7)</f>
        <v>68.573200043486452</v>
      </c>
      <c r="AQ80" s="23">
        <f>$D80*COS($E80+$F80*'25SolarCoords'!AM$7)</f>
        <v>-46.598079227003481</v>
      </c>
      <c r="AR80" s="23">
        <f>$D80*COS($E80+$F80*'25SolarCoords'!AN$7)</f>
        <v>-105.95751211536572</v>
      </c>
      <c r="AS80" s="23">
        <f>$D80*COS($E80+$F80*'25SolarCoords'!AO$7)</f>
        <v>-64.407148134865125</v>
      </c>
      <c r="AT80" s="23">
        <f>$D80*COS($E80+$F80*'25SolarCoords'!AP$7)</f>
        <v>47.096024541000574</v>
      </c>
      <c r="AU80" s="23">
        <f>$D80*COS($E80+$F80*'25SolarCoords'!AQ$7)</f>
        <v>44.079449956200698</v>
      </c>
      <c r="AV80" s="23">
        <f>$D80*COS($E80+$F80*'25SolarCoords'!AR$7)</f>
        <v>41.088574479269177</v>
      </c>
      <c r="AW80" s="23">
        <f>$D80*COS($E80+$F80*'25SolarCoords'!AS$7)</f>
        <v>37.662388005887017</v>
      </c>
      <c r="AX80" s="23">
        <f>$D80*COS($E80+$F80*'25SolarCoords'!AT$7)</f>
        <v>31.117221036483343</v>
      </c>
      <c r="AY80" s="23">
        <f>$D80*COS($E80+$F80*'25SolarCoords'!AU$7)</f>
        <v>32.294811442131675</v>
      </c>
      <c r="AZ80" s="23">
        <f>$D80*COS($E80+$F80*'25SolarCoords'!AV$7)</f>
        <v>82.265920487034222</v>
      </c>
      <c r="BA80" s="23">
        <f>$D80*COS($E80+$F80*'25SolarCoords'!AW$7)</f>
        <v>60.189452325659055</v>
      </c>
      <c r="BB80" s="23">
        <f>$D80*COS($E80+$F80*'25SolarCoords'!AX$7)</f>
        <v>-0.75597292615798917</v>
      </c>
      <c r="BC80" s="23">
        <f>$D80*COS($E80+$F80*'25SolarCoords'!AY$7)</f>
        <v>17.360337563037248</v>
      </c>
      <c r="BD80" s="23">
        <f>$D80*COS($E80+$F80*'25SolarCoords'!AZ$7)</f>
        <v>16.895465729097531</v>
      </c>
      <c r="BE80" s="23">
        <f>$D80*COS($E80+$F80*'25SolarCoords'!BA$7)</f>
        <v>16.430278799889219</v>
      </c>
      <c r="BF80" s="23">
        <f>$D80*COS($E80+$F80*'25SolarCoords'!BB$7)</f>
        <v>15.964785451009289</v>
      </c>
      <c r="BG80" s="23">
        <f>$D80*COS($E80+$F80*'25SolarCoords'!BC$7)</f>
        <v>15.498994363764764</v>
      </c>
      <c r="BH80" s="23">
        <f>$D80*COS($E80+$F80*'25SolarCoords'!BD$7)</f>
        <v>15.032914225016155</v>
      </c>
      <c r="BI80" s="23">
        <f>$D80*COS($E80+$F80*'25SolarCoords'!BE$7)</f>
        <v>14.566553727016226</v>
      </c>
      <c r="BJ80" s="23">
        <f>$D80*COS($E80+$F80*'25SolarCoords'!BF$7)</f>
        <v>14.099921567246364</v>
      </c>
      <c r="BK80" s="23">
        <f>$D80*COS($E80+$F80*'25SolarCoords'!BG$7)</f>
        <v>-12.812682482631351</v>
      </c>
    </row>
    <row r="81" spans="3:63" x14ac:dyDescent="0.25">
      <c r="C81">
        <f t="shared" si="2"/>
        <v>7</v>
      </c>
      <c r="D81">
        <v>93</v>
      </c>
      <c r="E81">
        <v>2.59</v>
      </c>
      <c r="F81">
        <v>18849.23</v>
      </c>
      <c r="H81" s="7"/>
      <c r="I81" s="23">
        <f>$D81*COS($E81+$F81*'25SolarCoords'!E$7)</f>
        <v>-34.208813581775843</v>
      </c>
      <c r="J81" s="23">
        <f>$D81*COS($E81+$F81*'25SolarCoords'!F$7)</f>
        <v>42.307015002526946</v>
      </c>
      <c r="K81" s="23">
        <f>$D81*COS($E81+$F81*'25SolarCoords'!G$7)</f>
        <v>-79.207261278250598</v>
      </c>
      <c r="L81" s="23">
        <f>$D81*COS($E81+$F81*'25SolarCoords'!H$7)</f>
        <v>-78.588124729148248</v>
      </c>
      <c r="M81" s="23">
        <f>$D81*COS($E81+$F81*'25SolarCoords'!I$7)</f>
        <v>-66.016214490718667</v>
      </c>
      <c r="N81" s="23">
        <f>$D81*COS($E81+$F81*'25SolarCoords'!J$7)</f>
        <v>30.403535432035838</v>
      </c>
      <c r="O81" s="23">
        <f>$D81*COS($E81+$F81*'25SolarCoords'!K$7)</f>
        <v>-66.876877825829595</v>
      </c>
      <c r="P81" s="23">
        <f>$D81*COS($E81+$F81*'25SolarCoords'!L$7)</f>
        <v>33.753431276446051</v>
      </c>
      <c r="Q81" s="23">
        <f>$D81*COS($E81+$F81*'25SolarCoords'!M$7)</f>
        <v>-81.916622429928267</v>
      </c>
      <c r="R81" s="23">
        <f>$D81*COS($E81+$F81*'25SolarCoords'!N$7)</f>
        <v>-89.057742249171369</v>
      </c>
      <c r="S81" s="23">
        <f>$D81*COS($E81+$F81*'25SolarCoords'!O$7)</f>
        <v>-88.695592876252505</v>
      </c>
      <c r="T81" s="23">
        <f>$D81*COS($E81+$F81*'25SolarCoords'!P$7)</f>
        <v>-74.180012858622135</v>
      </c>
      <c r="U81" s="23">
        <f>$D81*COS($E81+$F81*'25SolarCoords'!Q$7)</f>
        <v>-67.455259774799728</v>
      </c>
      <c r="V81" s="23">
        <f>$D81*COS($E81+$F81*'25SolarCoords'!R$7)</f>
        <v>-64.062989885202214</v>
      </c>
      <c r="W81" s="23">
        <f>$D81*COS($E81+$F81*'25SolarCoords'!S$7)</f>
        <v>-5.7169895324592632</v>
      </c>
      <c r="X81" s="23">
        <f>$D81*COS($E81+$F81*'25SolarCoords'!T$7)</f>
        <v>52.232079821935216</v>
      </c>
      <c r="Y81" s="23">
        <f>$D81*COS($E81+$F81*'25SolarCoords'!U$7)</f>
        <v>-87.95753512481653</v>
      </c>
      <c r="Z81" s="23">
        <f>$D81*COS($E81+$F81*'25SolarCoords'!V$7)</f>
        <v>62.439031513398376</v>
      </c>
      <c r="AA81" s="23">
        <f>$D81*COS($E81+$F81*'25SolarCoords'!W$7)</f>
        <v>15.148369829020954</v>
      </c>
      <c r="AB81" s="23">
        <f>$D81*COS($E81+$F81*'25SolarCoords'!X$7)</f>
        <v>2.1691932127207387</v>
      </c>
      <c r="AC81" s="23">
        <f>$D81*COS($E81+$F81*'25SolarCoords'!Y$7)</f>
        <v>20.32220707818627</v>
      </c>
      <c r="AD81" s="23">
        <f>$D81*COS($E81+$F81*'25SolarCoords'!Z$7)</f>
        <v>-77.187523103862873</v>
      </c>
      <c r="AE81" s="23">
        <f>$D81*COS($E81+$F81*'25SolarCoords'!AA$7)</f>
        <v>-77.923486562202967</v>
      </c>
      <c r="AF81" s="23">
        <f>$D81*COS($E81+$F81*'25SolarCoords'!AB$7)</f>
        <v>72.766449296962378</v>
      </c>
      <c r="AG81" s="23">
        <f>$D81*COS($E81+$F81*'25SolarCoords'!AC$7)</f>
        <v>92.469751331251913</v>
      </c>
      <c r="AH81" s="23">
        <f>$D81*COS($E81+$F81*'25SolarCoords'!AD$7)</f>
        <v>-44.099417295476769</v>
      </c>
      <c r="AI81" s="23">
        <f>$D81*COS($E81+$F81*'25SolarCoords'!AE$7)</f>
        <v>34.747273252147551</v>
      </c>
      <c r="AJ81" s="23">
        <f>$D81*COS($E81+$F81*'25SolarCoords'!AF$7)</f>
        <v>-37.506039275731219</v>
      </c>
      <c r="AK81" s="23">
        <f>$D81*COS($E81+$F81*'25SolarCoords'!AG$7)</f>
        <v>4.4129627080213716</v>
      </c>
      <c r="AL81" s="23">
        <f>$D81*COS($E81+$F81*'25SolarCoords'!AH$7)</f>
        <v>73.56171055331157</v>
      </c>
      <c r="AM81" s="23">
        <f>$D81*COS($E81+$F81*'25SolarCoords'!AI$7)</f>
        <v>51.818590786941229</v>
      </c>
      <c r="AN81" s="23">
        <f>$D81*COS($E81+$F81*'25SolarCoords'!AJ$7)</f>
        <v>-75.319898248425474</v>
      </c>
      <c r="AO81" s="23">
        <f>$D81*COS($E81+$F81*'25SolarCoords'!AK$7)</f>
        <v>-84.115402855029132</v>
      </c>
      <c r="AP81" s="23">
        <f>$D81*COS($E81+$F81*'25SolarCoords'!AL$7)</f>
        <v>-85.433690621449756</v>
      </c>
      <c r="AQ81" s="23">
        <f>$D81*COS($E81+$F81*'25SolarCoords'!AM$7)</f>
        <v>28.57530428348829</v>
      </c>
      <c r="AR81" s="23">
        <f>$D81*COS($E81+$F81*'25SolarCoords'!AN$7)</f>
        <v>30.625803622936832</v>
      </c>
      <c r="AS81" s="23">
        <f>$D81*COS($E81+$F81*'25SolarCoords'!AO$7)</f>
        <v>-58.757496225358992</v>
      </c>
      <c r="AT81" s="23">
        <f>$D81*COS($E81+$F81*'25SolarCoords'!AP$7)</f>
        <v>-72.099844559985939</v>
      </c>
      <c r="AU81" s="23">
        <f>$D81*COS($E81+$F81*'25SolarCoords'!AQ$7)</f>
        <v>-46.453881302335731</v>
      </c>
      <c r="AV81" s="23">
        <f>$D81*COS($E81+$F81*'25SolarCoords'!AR$7)</f>
        <v>-15.440466282209131</v>
      </c>
      <c r="AW81" s="23">
        <f>$D81*COS($E81+$F81*'25SolarCoords'!AS$7)</f>
        <v>21.749660134818679</v>
      </c>
      <c r="AX81" s="23">
        <f>$D81*COS($E81+$F81*'25SolarCoords'!AT$7)</f>
        <v>77.87313775246102</v>
      </c>
      <c r="AY81" s="23">
        <f>$D81*COS($E81+$F81*'25SolarCoords'!AU$7)</f>
        <v>-51.842729708991357</v>
      </c>
      <c r="AZ81" s="23">
        <f>$D81*COS($E81+$F81*'25SolarCoords'!AV$7)</f>
        <v>-78.609727352456161</v>
      </c>
      <c r="BA81" s="23">
        <f>$D81*COS($E81+$F81*'25SolarCoords'!AW$7)</f>
        <v>-87.772403828325693</v>
      </c>
      <c r="BB81" s="23">
        <f>$D81*COS($E81+$F81*'25SolarCoords'!AX$7)</f>
        <v>-12.055792953402955</v>
      </c>
      <c r="BC81" s="23">
        <f>$D81*COS($E81+$F81*'25SolarCoords'!AY$7)</f>
        <v>52.587856516077728</v>
      </c>
      <c r="BD81" s="23">
        <f>$D81*COS($E81+$F81*'25SolarCoords'!AZ$7)</f>
        <v>48.561182043493886</v>
      </c>
      <c r="BE81" s="23">
        <f>$D81*COS($E81+$F81*'25SolarCoords'!BA$7)</f>
        <v>44.40520723872929</v>
      </c>
      <c r="BF81" s="23">
        <f>$D81*COS($E81+$F81*'25SolarCoords'!BB$7)</f>
        <v>40.130997914035689</v>
      </c>
      <c r="BG81" s="23">
        <f>$D81*COS($E81+$F81*'25SolarCoords'!BC$7)</f>
        <v>35.749934696124271</v>
      </c>
      <c r="BH81" s="23">
        <f>$D81*COS($E81+$F81*'25SolarCoords'!BD$7)</f>
        <v>31.273682723791342</v>
      </c>
      <c r="BI81" s="23">
        <f>$D81*COS($E81+$F81*'25SolarCoords'!BE$7)</f>
        <v>26.714160588044816</v>
      </c>
      <c r="BJ81" s="23">
        <f>$D81*COS($E81+$F81*'25SolarCoords'!BF$7)</f>
        <v>22.083508597288862</v>
      </c>
      <c r="BK81" s="23">
        <f>$D81*COS($E81+$F81*'25SolarCoords'!BG$7)</f>
        <v>34.073297713810192</v>
      </c>
    </row>
    <row r="82" spans="3:63" x14ac:dyDescent="0.25">
      <c r="C82">
        <f t="shared" si="2"/>
        <v>8</v>
      </c>
      <c r="D82">
        <v>72</v>
      </c>
      <c r="E82">
        <v>1.1399999999999999</v>
      </c>
      <c r="F82">
        <v>529.69000000000005</v>
      </c>
      <c r="H82" s="7"/>
      <c r="I82" s="23">
        <f>$D82*COS($E82+$F82*'25SolarCoords'!E$7)</f>
        <v>-52.372630495014675</v>
      </c>
      <c r="J82" s="23">
        <f>$D82*COS($E82+$F82*'25SolarCoords'!F$7)</f>
        <v>-39.38812086590795</v>
      </c>
      <c r="K82" s="23">
        <f>$D82*COS($E82+$F82*'25SolarCoords'!G$7)</f>
        <v>30.066804285001787</v>
      </c>
      <c r="L82" s="23">
        <f>$D82*COS($E82+$F82*'25SolarCoords'!H$7)</f>
        <v>59.01682483033246</v>
      </c>
      <c r="M82" s="23">
        <f>$D82*COS($E82+$F82*'25SolarCoords'!I$7)</f>
        <v>60.439136269700612</v>
      </c>
      <c r="N82" s="23">
        <f>$D82*COS($E82+$F82*'25SolarCoords'!J$7)</f>
        <v>51.050712903181285</v>
      </c>
      <c r="O82" s="23">
        <f>$D82*COS($E82+$F82*'25SolarCoords'!K$7)</f>
        <v>32.409340229634751</v>
      </c>
      <c r="P82" s="23">
        <f>$D82*COS($E82+$F82*'25SolarCoords'!L$7)</f>
        <v>18.325692305242651</v>
      </c>
      <c r="Q82" s="23">
        <f>$D82*COS($E82+$F82*'25SolarCoords'!M$7)</f>
        <v>0.57627515879432645</v>
      </c>
      <c r="R82" s="23">
        <f>$D82*COS($E82+$F82*'25SolarCoords'!N$7)</f>
        <v>-69.838228956698501</v>
      </c>
      <c r="S82" s="23">
        <f>$D82*COS($E82+$F82*'25SolarCoords'!O$7)</f>
        <v>-69.122687545713106</v>
      </c>
      <c r="T82" s="23">
        <f>$D82*COS($E82+$F82*'25SolarCoords'!P$7)</f>
        <v>37.31901208385257</v>
      </c>
      <c r="U82" s="23">
        <f>$D82*COS($E82+$F82*'25SolarCoords'!Q$7)</f>
        <v>-19.523397017891863</v>
      </c>
      <c r="V82" s="23">
        <f>$D82*COS($E82+$F82*'25SolarCoords'!R$7)</f>
        <v>-19.623879787360565</v>
      </c>
      <c r="W82" s="23">
        <f>$D82*COS($E82+$F82*'25SolarCoords'!S$7)</f>
        <v>-30.916916728672089</v>
      </c>
      <c r="X82" s="23">
        <f>$D82*COS($E82+$F82*'25SolarCoords'!T$7)</f>
        <v>-17.727722561667917</v>
      </c>
      <c r="Y82" s="23">
        <f>$D82*COS($E82+$F82*'25SolarCoords'!U$7)</f>
        <v>2.4590299055842211</v>
      </c>
      <c r="Z82" s="23">
        <f>$D82*COS($E82+$F82*'25SolarCoords'!V$7)</f>
        <v>-40.157270085783594</v>
      </c>
      <c r="AA82" s="23">
        <f>$D82*COS($E82+$F82*'25SolarCoords'!W$7)</f>
        <v>55.966045782729552</v>
      </c>
      <c r="AB82" s="23">
        <f>$D82*COS($E82+$F82*'25SolarCoords'!X$7)</f>
        <v>-70.686989740347713</v>
      </c>
      <c r="AC82" s="23">
        <f>$D82*COS($E82+$F82*'25SolarCoords'!Y$7)</f>
        <v>-1.3194261390544202</v>
      </c>
      <c r="AD82" s="23">
        <f>$D82*COS($E82+$F82*'25SolarCoords'!Z$7)</f>
        <v>55.662099046467318</v>
      </c>
      <c r="AE82" s="23">
        <f>$D82*COS($E82+$F82*'25SolarCoords'!AA$7)</f>
        <v>30.114233985788808</v>
      </c>
      <c r="AF82" s="23">
        <f>$D82*COS($E82+$F82*'25SolarCoords'!AB$7)</f>
        <v>-40.490277016148767</v>
      </c>
      <c r="AG82" s="23">
        <f>$D82*COS($E82+$F82*'25SolarCoords'!AC$7)</f>
        <v>-58.233719945470042</v>
      </c>
      <c r="AH82" s="23">
        <f>$D82*COS($E82+$F82*'25SolarCoords'!AD$7)</f>
        <v>24.159826638397259</v>
      </c>
      <c r="AI82" s="23">
        <f>$D82*COS($E82+$F82*'25SolarCoords'!AE$7)</f>
        <v>-1.6483849394568675</v>
      </c>
      <c r="AJ82" s="23">
        <f>$D82*COS($E82+$F82*'25SolarCoords'!AF$7)</f>
        <v>-61.127383340147475</v>
      </c>
      <c r="AK82" s="23">
        <f>$D82*COS($E82+$F82*'25SolarCoords'!AG$7)</f>
        <v>-64.576133314177724</v>
      </c>
      <c r="AL82" s="23">
        <f>$D82*COS($E82+$F82*'25SolarCoords'!AH$7)</f>
        <v>-66.304683223618213</v>
      </c>
      <c r="AM82" s="23">
        <f>$D82*COS($E82+$F82*'25SolarCoords'!AI$7)</f>
        <v>-70.896335200731997</v>
      </c>
      <c r="AN82" s="23">
        <f>$D82*COS($E82+$F82*'25SolarCoords'!AJ$7)</f>
        <v>-52.772269887912273</v>
      </c>
      <c r="AO82" s="23">
        <f>$D82*COS($E82+$F82*'25SolarCoords'!AK$7)</f>
        <v>38.028371721082557</v>
      </c>
      <c r="AP82" s="23">
        <f>$D82*COS($E82+$F82*'25SolarCoords'!AL$7)</f>
        <v>-57.950135560841147</v>
      </c>
      <c r="AQ82" s="23">
        <f>$D82*COS($E82+$F82*'25SolarCoords'!AM$7)</f>
        <v>66.869994991848372</v>
      </c>
      <c r="AR82" s="23">
        <f>$D82*COS($E82+$F82*'25SolarCoords'!AN$7)</f>
        <v>20.747264105399932</v>
      </c>
      <c r="AS82" s="23">
        <f>$D82*COS($E82+$F82*'25SolarCoords'!AO$7)</f>
        <v>-37.157653555146673</v>
      </c>
      <c r="AT82" s="23">
        <f>$D82*COS($E82+$F82*'25SolarCoords'!AP$7)</f>
        <v>58.81367141786609</v>
      </c>
      <c r="AU82" s="23">
        <f>$D82*COS($E82+$F82*'25SolarCoords'!AQ$7)</f>
        <v>58.385636957529456</v>
      </c>
      <c r="AV82" s="23">
        <f>$D82*COS($E82+$F82*'25SolarCoords'!AR$7)</f>
        <v>57.960955125355859</v>
      </c>
      <c r="AW82" s="23">
        <f>$D82*COS($E82+$F82*'25SolarCoords'!AS$7)</f>
        <v>57.473692658331089</v>
      </c>
      <c r="AX82" s="23">
        <f>$D82*COS($E82+$F82*'25SolarCoords'!AT$7)</f>
        <v>56.539009880303325</v>
      </c>
      <c r="AY82" s="23">
        <f>$D82*COS($E82+$F82*'25SolarCoords'!AU$7)</f>
        <v>66.97239617560372</v>
      </c>
      <c r="AZ82" s="23">
        <f>$D82*COS($E82+$F82*'25SolarCoords'!AV$7)</f>
        <v>71.666364332249699</v>
      </c>
      <c r="BA82" s="23">
        <f>$D82*COS($E82+$F82*'25SolarCoords'!AW$7)</f>
        <v>-21.118426951707622</v>
      </c>
      <c r="BB82" s="23">
        <f>$D82*COS($E82+$F82*'25SolarCoords'!AX$7)</f>
        <v>-62.98944646964032</v>
      </c>
      <c r="BC82" s="23">
        <f>$D82*COS($E82+$F82*'25SolarCoords'!AY$7)</f>
        <v>54.546625293247203</v>
      </c>
      <c r="BD82" s="23">
        <f>$D82*COS($E82+$F82*'25SolarCoords'!AZ$7)</f>
        <v>54.478413143783698</v>
      </c>
      <c r="BE82" s="23">
        <f>$D82*COS($E82+$F82*'25SolarCoords'!BA$7)</f>
        <v>54.410086419951789</v>
      </c>
      <c r="BF82" s="23">
        <f>$D82*COS($E82+$F82*'25SolarCoords'!BB$7)</f>
        <v>54.341645265450602</v>
      </c>
      <c r="BG82" s="23">
        <f>$D82*COS($E82+$F82*'25SolarCoords'!BC$7)</f>
        <v>54.273089824219682</v>
      </c>
      <c r="BH82" s="23">
        <f>$D82*COS($E82+$F82*'25SolarCoords'!BD$7)</f>
        <v>54.204420240438921</v>
      </c>
      <c r="BI82" s="23">
        <f>$D82*COS($E82+$F82*'25SolarCoords'!BE$7)</f>
        <v>54.135636658528512</v>
      </c>
      <c r="BJ82" s="23">
        <f>$D82*COS($E82+$F82*'25SolarCoords'!BF$7)</f>
        <v>54.066739223148147</v>
      </c>
      <c r="BK82" s="23">
        <f>$D82*COS($E82+$F82*'25SolarCoords'!BG$7)</f>
        <v>-1.6326058942440742</v>
      </c>
    </row>
    <row r="83" spans="3:63" x14ac:dyDescent="0.25">
      <c r="C83">
        <f t="shared" si="2"/>
        <v>9</v>
      </c>
      <c r="D83">
        <v>68</v>
      </c>
      <c r="E83">
        <v>1.87</v>
      </c>
      <c r="F83">
        <v>398.15</v>
      </c>
      <c r="H83" s="7"/>
      <c r="I83" s="23">
        <f>$D83*COS($E83+$F83*'25SolarCoords'!E$7)</f>
        <v>-49.310883313583673</v>
      </c>
      <c r="J83" s="23">
        <f>$D83*COS($E83+$F83*'25SolarCoords'!F$7)</f>
        <v>-32.449609722614731</v>
      </c>
      <c r="K83" s="23">
        <f>$D83*COS($E83+$F83*'25SolarCoords'!G$7)</f>
        <v>-20.043636003813749</v>
      </c>
      <c r="L83" s="23">
        <f>$D83*COS($E83+$F83*'25SolarCoords'!H$7)</f>
        <v>6.7358171393632134</v>
      </c>
      <c r="M83" s="23">
        <f>$D83*COS($E83+$F83*'25SolarCoords'!I$7)</f>
        <v>-67.369447529515952</v>
      </c>
      <c r="N83" s="23">
        <f>$D83*COS($E83+$F83*'25SolarCoords'!J$7)</f>
        <v>-67.986212280093028</v>
      </c>
      <c r="O83" s="23">
        <f>$D83*COS($E83+$F83*'25SolarCoords'!K$7)</f>
        <v>-65.686647409431743</v>
      </c>
      <c r="P83" s="23">
        <f>$D83*COS($E83+$F83*'25SolarCoords'!L$7)</f>
        <v>-62.114826834609147</v>
      </c>
      <c r="Q83" s="23">
        <f>$D83*COS($E83+$F83*'25SolarCoords'!M$7)</f>
        <v>65.96367507226374</v>
      </c>
      <c r="R83" s="23">
        <f>$D83*COS($E83+$F83*'25SolarCoords'!N$7)</f>
        <v>64.807414270665532</v>
      </c>
      <c r="S83" s="23">
        <f>$D83*COS($E83+$F83*'25SolarCoords'!O$7)</f>
        <v>67.723345577654086</v>
      </c>
      <c r="T83" s="23">
        <f>$D83*COS($E83+$F83*'25SolarCoords'!P$7)</f>
        <v>-49.365702045974849</v>
      </c>
      <c r="U83" s="23">
        <f>$D83*COS($E83+$F83*'25SolarCoords'!Q$7)</f>
        <v>34.165323150099155</v>
      </c>
      <c r="V83" s="23">
        <f>$D83*COS($E83+$F83*'25SolarCoords'!R$7)</f>
        <v>34.229392690652119</v>
      </c>
      <c r="W83" s="23">
        <f>$D83*COS($E83+$F83*'25SolarCoords'!S$7)</f>
        <v>8.21012764893133</v>
      </c>
      <c r="X83" s="23">
        <f>$D83*COS($E83+$F83*'25SolarCoords'!T$7)</f>
        <v>17.983518422624805</v>
      </c>
      <c r="Y83" s="23">
        <f>$D83*COS($E83+$F83*'25SolarCoords'!U$7)</f>
        <v>31.420359843657568</v>
      </c>
      <c r="Z83" s="23">
        <f>$D83*COS($E83+$F83*'25SolarCoords'!V$7)</f>
        <v>67.287644280383077</v>
      </c>
      <c r="AA83" s="23">
        <f>$D83*COS($E83+$F83*'25SolarCoords'!W$7)</f>
        <v>-67.890675187710769</v>
      </c>
      <c r="AB83" s="23">
        <f>$D83*COS($E83+$F83*'25SolarCoords'!X$7)</f>
        <v>24.35123318919992</v>
      </c>
      <c r="AC83" s="23">
        <f>$D83*COS($E83+$F83*'25SolarCoords'!Y$7)</f>
        <v>39.280793414601739</v>
      </c>
      <c r="AD83" s="23">
        <f>$D83*COS($E83+$F83*'25SolarCoords'!Z$7)</f>
        <v>58.376600019817531</v>
      </c>
      <c r="AE83" s="23">
        <f>$D83*COS($E83+$F83*'25SolarCoords'!AA$7)</f>
        <v>-20.008217101852555</v>
      </c>
      <c r="AF83" s="23">
        <f>$D83*COS($E83+$F83*'25SolarCoords'!AB$7)</f>
        <v>-58.298891819426096</v>
      </c>
      <c r="AG83" s="23">
        <f>$D83*COS($E83+$F83*'25SolarCoords'!AC$7)</f>
        <v>65.70470411898792</v>
      </c>
      <c r="AH83" s="23">
        <f>$D83*COS($E83+$F83*'25SolarCoords'!AD$7)</f>
        <v>-63.75201474809996</v>
      </c>
      <c r="AI83" s="23">
        <f>$D83*COS($E83+$F83*'25SolarCoords'!AE$7)</f>
        <v>39.471227537767504</v>
      </c>
      <c r="AJ83" s="23">
        <f>$D83*COS($E83+$F83*'25SolarCoords'!AF$7)</f>
        <v>40.660429861701964</v>
      </c>
      <c r="AK83" s="23">
        <f>$D83*COS($E83+$F83*'25SolarCoords'!AG$7)</f>
        <v>36.512329665020339</v>
      </c>
      <c r="AL83" s="23">
        <f>$D83*COS($E83+$F83*'25SolarCoords'!AH$7)</f>
        <v>-5.3333158704357491</v>
      </c>
      <c r="AM83" s="23">
        <f>$D83*COS($E83+$F83*'25SolarCoords'!AI$7)</f>
        <v>23.5881996350222</v>
      </c>
      <c r="AN83" s="23">
        <f>$D83*COS($E83+$F83*'25SolarCoords'!AJ$7)</f>
        <v>48.055832243033187</v>
      </c>
      <c r="AO83" s="23">
        <f>$D83*COS($E83+$F83*'25SolarCoords'!AK$7)</f>
        <v>6.3571881778383226</v>
      </c>
      <c r="AP83" s="23">
        <f>$D83*COS($E83+$F83*'25SolarCoords'!AL$7)</f>
        <v>-17.159527521180742</v>
      </c>
      <c r="AQ83" s="23">
        <f>$D83*COS($E83+$F83*'25SolarCoords'!AM$7)</f>
        <v>67.758823123441914</v>
      </c>
      <c r="AR83" s="23">
        <f>$D83*COS($E83+$F83*'25SolarCoords'!AN$7)</f>
        <v>-26.687355530865748</v>
      </c>
      <c r="AS83" s="23">
        <f>$D83*COS($E83+$F83*'25SolarCoords'!AO$7)</f>
        <v>-46.998310368373367</v>
      </c>
      <c r="AT83" s="23">
        <f>$D83*COS($E83+$F83*'25SolarCoords'!AP$7)</f>
        <v>-5.0676112783204692</v>
      </c>
      <c r="AU83" s="23">
        <f>$D83*COS($E83+$F83*'25SolarCoords'!AQ$7)</f>
        <v>-4.5459269572776249</v>
      </c>
      <c r="AV83" s="23">
        <f>$D83*COS($E83+$F83*'25SolarCoords'!AR$7)</f>
        <v>-4.0352785025770581</v>
      </c>
      <c r="AW83" s="23">
        <f>$D83*COS($E83+$F83*'25SolarCoords'!AS$7)</f>
        <v>-3.4575199020933911</v>
      </c>
      <c r="AX83" s="23">
        <f>$D83*COS($E83+$F83*'25SolarCoords'!AT$7)</f>
        <v>-2.372133762797032</v>
      </c>
      <c r="AY83" s="23">
        <f>$D83*COS($E83+$F83*'25SolarCoords'!AU$7)</f>
        <v>-51.586251423036678</v>
      </c>
      <c r="AZ83" s="23">
        <f>$D83*COS($E83+$F83*'25SolarCoords'!AV$7)</f>
        <v>40.066541940499661</v>
      </c>
      <c r="BA83" s="23">
        <f>$D83*COS($E83+$F83*'25SolarCoords'!AW$7)</f>
        <v>29.192383816644977</v>
      </c>
      <c r="BB83" s="23">
        <f>$D83*COS($E83+$F83*'25SolarCoords'!AX$7)</f>
        <v>-57.20689627297677</v>
      </c>
      <c r="BC83" s="23">
        <f>$D83*COS($E83+$F83*'25SolarCoords'!AY$7)</f>
        <v>-0.14886142862714646</v>
      </c>
      <c r="BD83" s="23">
        <f>$D83*COS($E83+$F83*'25SolarCoords'!AZ$7)</f>
        <v>-7.4736412698992671E-2</v>
      </c>
      <c r="BE83" s="23">
        <f>$D83*COS($E83+$F83*'25SolarCoords'!BA$7)</f>
        <v>-6.113079642485166E-4</v>
      </c>
      <c r="BF83" s="23">
        <f>$D83*COS($E83+$F83*'25SolarCoords'!BB$7)</f>
        <v>7.3513797496890895E-2</v>
      </c>
      <c r="BG83" s="23">
        <f>$D83*COS($E83+$F83*'25SolarCoords'!BC$7)</f>
        <v>0.14763881560422962</v>
      </c>
      <c r="BH83" s="23">
        <f>$D83*COS($E83+$F83*'25SolarCoords'!BD$7)</f>
        <v>0.22176365827767544</v>
      </c>
      <c r="BI83" s="23">
        <f>$D83*COS($E83+$F83*'25SolarCoords'!BE$7)</f>
        <v>0.29588823743734477</v>
      </c>
      <c r="BJ83" s="23">
        <f>$D83*COS($E83+$F83*'25SolarCoords'!BF$7)</f>
        <v>0.37001246500366697</v>
      </c>
      <c r="BK83" s="23">
        <f>$D83*COS($E83+$F83*'25SolarCoords'!BG$7)</f>
        <v>39.462103247761775</v>
      </c>
    </row>
    <row r="84" spans="3:63" x14ac:dyDescent="0.25">
      <c r="C84">
        <f t="shared" si="2"/>
        <v>10</v>
      </c>
      <c r="D84">
        <v>67</v>
      </c>
      <c r="E84">
        <v>4.41</v>
      </c>
      <c r="F84">
        <v>5507.55</v>
      </c>
      <c r="H84" s="7"/>
      <c r="I84" s="23">
        <f>$D84*COS($E84+$F84*'25SolarCoords'!E$7)</f>
        <v>-30.429153566138226</v>
      </c>
      <c r="J84" s="23">
        <f>$D84*COS($E84+$F84*'25SolarCoords'!F$7)</f>
        <v>-58.287310103626709</v>
      </c>
      <c r="K84" s="23">
        <f>$D84*COS($E84+$F84*'25SolarCoords'!G$7)</f>
        <v>-19.952709968683415</v>
      </c>
      <c r="L84" s="23">
        <f>$D84*COS($E84+$F84*'25SolarCoords'!H$7)</f>
        <v>30.312112479760795</v>
      </c>
      <c r="M84" s="23">
        <f>$D84*COS($E84+$F84*'25SolarCoords'!I$7)</f>
        <v>-45.393194584187704</v>
      </c>
      <c r="N84" s="23">
        <f>$D84*COS($E84+$F84*'25SolarCoords'!J$7)</f>
        <v>-15.496546924516396</v>
      </c>
      <c r="O84" s="23">
        <f>$D84*COS($E84+$F84*'25SolarCoords'!K$7)</f>
        <v>2.3467026050127573</v>
      </c>
      <c r="P84" s="23">
        <f>$D84*COS($E84+$F84*'25SolarCoords'!L$7)</f>
        <v>-56.296286755828127</v>
      </c>
      <c r="Q84" s="23">
        <f>$D84*COS($E84+$F84*'25SolarCoords'!M$7)</f>
        <v>64.014246831792121</v>
      </c>
      <c r="R84" s="23">
        <f>$D84*COS($E84+$F84*'25SolarCoords'!N$7)</f>
        <v>57.378294325281708</v>
      </c>
      <c r="S84" s="23">
        <f>$D84*COS($E84+$F84*'25SolarCoords'!O$7)</f>
        <v>65.129482496272956</v>
      </c>
      <c r="T84" s="23">
        <f>$D84*COS($E84+$F84*'25SolarCoords'!P$7)</f>
        <v>-64.905347859883449</v>
      </c>
      <c r="U84" s="23">
        <f>$D84*COS($E84+$F84*'25SolarCoords'!Q$7)</f>
        <v>-27.189668824289438</v>
      </c>
      <c r="V84" s="23">
        <f>$D84*COS($E84+$F84*'25SolarCoords'!R$7)</f>
        <v>-26.263259814584409</v>
      </c>
      <c r="W84" s="23">
        <f>$D84*COS($E84+$F84*'25SolarCoords'!S$7)</f>
        <v>-65.402292560144019</v>
      </c>
      <c r="X84" s="23">
        <f>$D84*COS($E84+$F84*'25SolarCoords'!T$7)</f>
        <v>15.827525176751193</v>
      </c>
      <c r="Y84" s="23">
        <f>$D84*COS($E84+$F84*'25SolarCoords'!U$7)</f>
        <v>-2.5974059939944492</v>
      </c>
      <c r="Z84" s="23">
        <f>$D84*COS($E84+$F84*'25SolarCoords'!V$7)</f>
        <v>-22.267244188973024</v>
      </c>
      <c r="AA84" s="23">
        <f>$D84*COS($E84+$F84*'25SolarCoords'!W$7)</f>
        <v>-64.494624067592795</v>
      </c>
      <c r="AB84" s="23">
        <f>$D84*COS($E84+$F84*'25SolarCoords'!X$7)</f>
        <v>61.155497509454811</v>
      </c>
      <c r="AC84" s="23">
        <f>$D84*COS($E84+$F84*'25SolarCoords'!Y$7)</f>
        <v>-39.473503788393579</v>
      </c>
      <c r="AD84" s="23">
        <f>$D84*COS($E84+$F84*'25SolarCoords'!Z$7)</f>
        <v>-7.9965890992379611</v>
      </c>
      <c r="AE84" s="23">
        <f>$D84*COS($E84+$F84*'25SolarCoords'!AA$7)</f>
        <v>-20.434360401583309</v>
      </c>
      <c r="AF84" s="23">
        <f>$D84*COS($E84+$F84*'25SolarCoords'!AB$7)</f>
        <v>25.591329552024025</v>
      </c>
      <c r="AG84" s="23">
        <f>$D84*COS($E84+$F84*'25SolarCoords'!AC$7)</f>
        <v>29.116463507119612</v>
      </c>
      <c r="AH84" s="23">
        <f>$D84*COS($E84+$F84*'25SolarCoords'!AD$7)</f>
        <v>-63.825782295965823</v>
      </c>
      <c r="AI84" s="23">
        <f>$D84*COS($E84+$F84*'25SolarCoords'!AE$7)</f>
        <v>-36.857542626670657</v>
      </c>
      <c r="AJ84" s="23">
        <f>$D84*COS($E84+$F84*'25SolarCoords'!AF$7)</f>
        <v>-65.119371147993192</v>
      </c>
      <c r="AK84" s="23">
        <f>$D84*COS($E84+$F84*'25SolarCoords'!AG$7)</f>
        <v>-47.258946062173308</v>
      </c>
      <c r="AL84" s="23">
        <f>$D84*COS($E84+$F84*'25SolarCoords'!AH$7)</f>
        <v>64.206736708425865</v>
      </c>
      <c r="AM84" s="23">
        <f>$D84*COS($E84+$F84*'25SolarCoords'!AI$7)</f>
        <v>55.797505666411702</v>
      </c>
      <c r="AN84" s="23">
        <f>$D84*COS($E84+$F84*'25SolarCoords'!AJ$7)</f>
        <v>40.925404431531184</v>
      </c>
      <c r="AO84" s="23">
        <f>$D84*COS($E84+$F84*'25SolarCoords'!AK$7)</f>
        <v>31.73001132427726</v>
      </c>
      <c r="AP84" s="23">
        <f>$D84*COS($E84+$F84*'25SolarCoords'!AL$7)</f>
        <v>-61.472478033873429</v>
      </c>
      <c r="AQ84" s="23">
        <f>$D84*COS($E84+$F84*'25SolarCoords'!AM$7)</f>
        <v>-25.562396825679336</v>
      </c>
      <c r="AR84" s="23">
        <f>$D84*COS($E84+$F84*'25SolarCoords'!AN$7)</f>
        <v>60.812278595054877</v>
      </c>
      <c r="AS84" s="23">
        <f>$D84*COS($E84+$F84*'25SolarCoords'!AO$7)</f>
        <v>-66.927365777572106</v>
      </c>
      <c r="AT84" s="23">
        <f>$D84*COS($E84+$F84*'25SolarCoords'!AP$7)</f>
        <v>-46.410078402961936</v>
      </c>
      <c r="AU84" s="23">
        <f>$D84*COS($E84+$F84*'25SolarCoords'!AQ$7)</f>
        <v>-41.016307400794311</v>
      </c>
      <c r="AV84" s="23">
        <f>$D84*COS($E84+$F84*'25SolarCoords'!AR$7)</f>
        <v>-35.290016671327677</v>
      </c>
      <c r="AW84" s="23">
        <f>$D84*COS($E84+$F84*'25SolarCoords'!AS$7)</f>
        <v>-28.357423245842437</v>
      </c>
      <c r="AX84" s="23">
        <f>$D84*COS($E84+$F84*'25SolarCoords'!AT$7)</f>
        <v>-14.361343923010601</v>
      </c>
      <c r="AY84" s="23">
        <f>$D84*COS($E84+$F84*'25SolarCoords'!AU$7)</f>
        <v>-53.680156365235348</v>
      </c>
      <c r="AZ84" s="23">
        <f>$D84*COS($E84+$F84*'25SolarCoords'!AV$7)</f>
        <v>-37.317269444139818</v>
      </c>
      <c r="BA84" s="23">
        <f>$D84*COS($E84+$F84*'25SolarCoords'!AW$7)</f>
        <v>-6.3574834742003565</v>
      </c>
      <c r="BB84" s="23">
        <f>$D84*COS($E84+$F84*'25SolarCoords'!AX$7)</f>
        <v>-4.3104917255653277</v>
      </c>
      <c r="BC84" s="23">
        <f>$D84*COS($E84+$F84*'25SolarCoords'!AY$7)</f>
        <v>15.687831116556092</v>
      </c>
      <c r="BD84" s="23">
        <f>$D84*COS($E84+$F84*'25SolarCoords'!AZ$7)</f>
        <v>16.668208818203695</v>
      </c>
      <c r="BE84" s="23">
        <f>$D84*COS($E84+$F84*'25SolarCoords'!BA$7)</f>
        <v>17.644796712344736</v>
      </c>
      <c r="BF84" s="23">
        <f>$D84*COS($E84+$F84*'25SolarCoords'!BB$7)</f>
        <v>18.617372754716861</v>
      </c>
      <c r="BG84" s="23">
        <f>$D84*COS($E84+$F84*'25SolarCoords'!BC$7)</f>
        <v>19.585715813222045</v>
      </c>
      <c r="BH84" s="23">
        <f>$D84*COS($E84+$F84*'25SolarCoords'!BD$7)</f>
        <v>20.549605718204869</v>
      </c>
      <c r="BI84" s="23">
        <f>$D84*COS($E84+$F84*'25SolarCoords'!BE$7)</f>
        <v>21.5088233125119</v>
      </c>
      <c r="BJ84" s="23">
        <f>$D84*COS($E84+$F84*'25SolarCoords'!BF$7)</f>
        <v>22.463150501320897</v>
      </c>
      <c r="BK84" s="23">
        <f>$D84*COS($E84+$F84*'25SolarCoords'!BG$7)</f>
        <v>-36.98497491146761</v>
      </c>
    </row>
    <row r="85" spans="3:63" x14ac:dyDescent="0.25">
      <c r="C85">
        <f t="shared" si="2"/>
        <v>11</v>
      </c>
      <c r="D85">
        <v>59</v>
      </c>
      <c r="E85">
        <v>2.89</v>
      </c>
      <c r="F85">
        <v>5223.6899999999996</v>
      </c>
      <c r="H85" s="7"/>
      <c r="I85" s="23">
        <f>$D85*COS($E85+$F85*'25SolarCoords'!E$7)</f>
        <v>-32.058715464311831</v>
      </c>
      <c r="J85" s="23">
        <f>$D85*COS($E85+$F85*'25SolarCoords'!F$7)</f>
        <v>-35.719678443477349</v>
      </c>
      <c r="K85" s="23">
        <f>$D85*COS($E85+$F85*'25SolarCoords'!G$7)</f>
        <v>-57.142512689478352</v>
      </c>
      <c r="L85" s="23">
        <f>$D85*COS($E85+$F85*'25SolarCoords'!H$7)</f>
        <v>-40.922165737762597</v>
      </c>
      <c r="M85" s="23">
        <f>$D85*COS($E85+$F85*'25SolarCoords'!I$7)</f>
        <v>-14.428259502199724</v>
      </c>
      <c r="N85" s="23">
        <f>$D85*COS($E85+$F85*'25SolarCoords'!J$7)</f>
        <v>57.385988453890754</v>
      </c>
      <c r="O85" s="23">
        <f>$D85*COS($E85+$F85*'25SolarCoords'!K$7)</f>
        <v>-57.006782509555023</v>
      </c>
      <c r="P85" s="23">
        <f>$D85*COS($E85+$F85*'25SolarCoords'!L$7)</f>
        <v>40.49516505324992</v>
      </c>
      <c r="Q85" s="23">
        <f>$D85*COS($E85+$F85*'25SolarCoords'!M$7)</f>
        <v>-26.284632580023253</v>
      </c>
      <c r="R85" s="23">
        <f>$D85*COS($E85+$F85*'25SolarCoords'!N$7)</f>
        <v>50.824186885486689</v>
      </c>
      <c r="S85" s="23">
        <f>$D85*COS($E85+$F85*'25SolarCoords'!O$7)</f>
        <v>-1.4747406794007574</v>
      </c>
      <c r="T85" s="23">
        <f>$D85*COS($E85+$F85*'25SolarCoords'!P$7)</f>
        <v>27.034771386465017</v>
      </c>
      <c r="U85" s="23">
        <f>$D85*COS($E85+$F85*'25SolarCoords'!Q$7)</f>
        <v>-20.757989963771056</v>
      </c>
      <c r="V85" s="23">
        <f>$D85*COS($E85+$F85*'25SolarCoords'!R$7)</f>
        <v>-21.5456901821637</v>
      </c>
      <c r="W85" s="23">
        <f>$D85*COS($E85+$F85*'25SolarCoords'!S$7)</f>
        <v>18.442559674830626</v>
      </c>
      <c r="X85" s="23">
        <f>$D85*COS($E85+$F85*'25SolarCoords'!T$7)</f>
        <v>-58.964141988972742</v>
      </c>
      <c r="Y85" s="23">
        <f>$D85*COS($E85+$F85*'25SolarCoords'!U$7)</f>
        <v>56.070092263332995</v>
      </c>
      <c r="Z85" s="23">
        <f>$D85*COS($E85+$F85*'25SolarCoords'!V$7)</f>
        <v>-15.842870354106269</v>
      </c>
      <c r="AA85" s="23">
        <f>$D85*COS($E85+$F85*'25SolarCoords'!W$7)</f>
        <v>42.199292705466135</v>
      </c>
      <c r="AB85" s="23">
        <f>$D85*COS($E85+$F85*'25SolarCoords'!X$7)</f>
        <v>57.14808858697554</v>
      </c>
      <c r="AC85" s="23">
        <f>$D85*COS($E85+$F85*'25SolarCoords'!Y$7)</f>
        <v>-55.033075523285625</v>
      </c>
      <c r="AD85" s="23">
        <f>$D85*COS($E85+$F85*'25SolarCoords'!Z$7)</f>
        <v>57.204273383055614</v>
      </c>
      <c r="AE85" s="23">
        <f>$D85*COS($E85+$F85*'25SolarCoords'!AA$7)</f>
        <v>-57.036022045266144</v>
      </c>
      <c r="AF85" s="23">
        <f>$D85*COS($E85+$F85*'25SolarCoords'!AB$7)</f>
        <v>-41.358389382380402</v>
      </c>
      <c r="AG85" s="23">
        <f>$D85*COS($E85+$F85*'25SolarCoords'!AC$7)</f>
        <v>45.750537864685697</v>
      </c>
      <c r="AH85" s="23">
        <f>$D85*COS($E85+$F85*'25SolarCoords'!AD$7)</f>
        <v>-4.7254451208655679</v>
      </c>
      <c r="AI85" s="23">
        <f>$D85*COS($E85+$F85*'25SolarCoords'!AE$7)</f>
        <v>-55.935390505021758</v>
      </c>
      <c r="AJ85" s="23">
        <f>$D85*COS($E85+$F85*'25SolarCoords'!AF$7)</f>
        <v>-44.602896627802387</v>
      </c>
      <c r="AK85" s="23">
        <f>$D85*COS($E85+$F85*'25SolarCoords'!AG$7)</f>
        <v>-57.034110477294242</v>
      </c>
      <c r="AL85" s="23">
        <f>$D85*COS($E85+$F85*'25SolarCoords'!AH$7)</f>
        <v>45.151863686790676</v>
      </c>
      <c r="AM85" s="23">
        <f>$D85*COS($E85+$F85*'25SolarCoords'!AI$7)</f>
        <v>58.740115313578201</v>
      </c>
      <c r="AN85" s="23">
        <f>$D85*COS($E85+$F85*'25SolarCoords'!AJ$7)</f>
        <v>50.600990022212656</v>
      </c>
      <c r="AO85" s="23">
        <f>$D85*COS($E85+$F85*'25SolarCoords'!AK$7)</f>
        <v>34.141351541779599</v>
      </c>
      <c r="AP85" s="23">
        <f>$D85*COS($E85+$F85*'25SolarCoords'!AL$7)</f>
        <v>-2.758151407174656</v>
      </c>
      <c r="AQ85" s="23">
        <f>$D85*COS($E85+$F85*'25SolarCoords'!AM$7)</f>
        <v>-18.032860086646881</v>
      </c>
      <c r="AR85" s="23">
        <f>$D85*COS($E85+$F85*'25SolarCoords'!AN$7)</f>
        <v>-26.011883605327618</v>
      </c>
      <c r="AS85" s="23">
        <f>$D85*COS($E85+$F85*'25SolarCoords'!AO$7)</f>
        <v>-52.75718746191604</v>
      </c>
      <c r="AT85" s="23">
        <f>$D85*COS($E85+$F85*'25SolarCoords'!AP$7)</f>
        <v>-37.405120973245083</v>
      </c>
      <c r="AU85" s="23">
        <f>$D85*COS($E85+$F85*'25SolarCoords'!AQ$7)</f>
        <v>-41.811132420408718</v>
      </c>
      <c r="AV85" s="23">
        <f>$D85*COS($E85+$F85*'25SolarCoords'!AR$7)</f>
        <v>-45.710381924370765</v>
      </c>
      <c r="AW85" s="23">
        <f>$D85*COS($E85+$F85*'25SolarCoords'!AS$7)</f>
        <v>-49.581834819062514</v>
      </c>
      <c r="AX85" s="23">
        <f>$D85*COS($E85+$F85*'25SolarCoords'!AT$7)</f>
        <v>-55.150667405308305</v>
      </c>
      <c r="AY85" s="23">
        <f>$D85*COS($E85+$F85*'25SolarCoords'!AU$7)</f>
        <v>-36.766598657019379</v>
      </c>
      <c r="AZ85" s="23">
        <f>$D85*COS($E85+$F85*'25SolarCoords'!AV$7)</f>
        <v>-58.557201523403776</v>
      </c>
      <c r="BA85" s="23">
        <f>$D85*COS($E85+$F85*'25SolarCoords'!AW$7)</f>
        <v>-53.233573724701927</v>
      </c>
      <c r="BB85" s="23">
        <f>$D85*COS($E85+$F85*'25SolarCoords'!AX$7)</f>
        <v>55.888108091193146</v>
      </c>
      <c r="BC85" s="23">
        <f>$D85*COS($E85+$F85*'25SolarCoords'!AY$7)</f>
        <v>-58.872209588837251</v>
      </c>
      <c r="BD85" s="23">
        <f>$D85*COS($E85+$F85*'25SolarCoords'!AZ$7)</f>
        <v>-58.810684510349795</v>
      </c>
      <c r="BE85" s="23">
        <f>$D85*COS($E85+$F85*'25SolarCoords'!BA$7)</f>
        <v>-58.737130607760868</v>
      </c>
      <c r="BF85" s="23">
        <f>$D85*COS($E85+$F85*'25SolarCoords'!BB$7)</f>
        <v>-58.651562925394003</v>
      </c>
      <c r="BG85" s="23">
        <f>$D85*COS($E85+$F85*'25SolarCoords'!BC$7)</f>
        <v>-58.553998964807022</v>
      </c>
      <c r="BH85" s="23">
        <f>$D85*COS($E85+$F85*'25SolarCoords'!BD$7)</f>
        <v>-58.444458681212438</v>
      </c>
      <c r="BI85" s="23">
        <f>$D85*COS($E85+$F85*'25SolarCoords'!BE$7)</f>
        <v>-58.322964479396717</v>
      </c>
      <c r="BJ85" s="23">
        <f>$D85*COS($E85+$F85*'25SolarCoords'!BF$7)</f>
        <v>-58.189541209136465</v>
      </c>
      <c r="BK85" s="23">
        <f>$D85*COS($E85+$F85*'25SolarCoords'!BG$7)</f>
        <v>-55.894687398098029</v>
      </c>
    </row>
    <row r="86" spans="3:63" x14ac:dyDescent="0.25">
      <c r="C86">
        <f t="shared" si="2"/>
        <v>12</v>
      </c>
      <c r="D86">
        <v>56</v>
      </c>
      <c r="E86">
        <v>2.17</v>
      </c>
      <c r="F86">
        <v>155.41999999999999</v>
      </c>
      <c r="H86" s="7"/>
      <c r="I86" s="23">
        <f>$D86*COS($E86+$F86*'25SolarCoords'!E$7)</f>
        <v>-17.468023885694269</v>
      </c>
      <c r="J86" s="23">
        <f>$D86*COS($E86+$F86*'25SolarCoords'!F$7)</f>
        <v>42.381565456683113</v>
      </c>
      <c r="K86" s="23">
        <f>$D86*COS($E86+$F86*'25SolarCoords'!G$7)</f>
        <v>-31.583163223886963</v>
      </c>
      <c r="L86" s="23">
        <f>$D86*COS($E86+$F86*'25SolarCoords'!H$7)</f>
        <v>-24.038762471572742</v>
      </c>
      <c r="M86" s="23">
        <f>$D86*COS($E86+$F86*'25SolarCoords'!I$7)</f>
        <v>55.280286388565486</v>
      </c>
      <c r="N86" s="23">
        <f>$D86*COS($E86+$F86*'25SolarCoords'!J$7)</f>
        <v>54.631141967272221</v>
      </c>
      <c r="O86" s="23">
        <f>$D86*COS($E86+$F86*'25SolarCoords'!K$7)</f>
        <v>53.230514692981501</v>
      </c>
      <c r="P86" s="23">
        <f>$D86*COS($E86+$F86*'25SolarCoords'!L$7)</f>
        <v>52.061157480620722</v>
      </c>
      <c r="Q86" s="23">
        <f>$D86*COS($E86+$F86*'25SolarCoords'!M$7)</f>
        <v>38.797408201133564</v>
      </c>
      <c r="R86" s="23">
        <f>$D86*COS($E86+$F86*'25SolarCoords'!N$7)</f>
        <v>-53.387173571852877</v>
      </c>
      <c r="S86" s="23">
        <f>$D86*COS($E86+$F86*'25SolarCoords'!O$7)</f>
        <v>-55.359729637163831</v>
      </c>
      <c r="T86" s="23">
        <f>$D86*COS($E86+$F86*'25SolarCoords'!P$7)</f>
        <v>-48.168955992739583</v>
      </c>
      <c r="U86" s="23">
        <f>$D86*COS($E86+$F86*'25SolarCoords'!Q$7)</f>
        <v>34.788316147467057</v>
      </c>
      <c r="V86" s="23">
        <f>$D86*COS($E86+$F86*'25SolarCoords'!R$7)</f>
        <v>34.806986218276542</v>
      </c>
      <c r="W86" s="23">
        <f>$D86*COS($E86+$F86*'25SolarCoords'!S$7)</f>
        <v>32.420597733629371</v>
      </c>
      <c r="X86" s="23">
        <f>$D86*COS($E86+$F86*'25SolarCoords'!T$7)</f>
        <v>34.979345729093716</v>
      </c>
      <c r="Y86" s="23">
        <f>$D86*COS($E86+$F86*'25SolarCoords'!U$7)</f>
        <v>38.485223496307299</v>
      </c>
      <c r="Z86" s="23">
        <f>$D86*COS($E86+$F86*'25SolarCoords'!V$7)</f>
        <v>-23.57137155341082</v>
      </c>
      <c r="AA86" s="23">
        <f>$D86*COS($E86+$F86*'25SolarCoords'!W$7)</f>
        <v>54.975673880901354</v>
      </c>
      <c r="AB86" s="23">
        <f>$D86*COS($E86+$F86*'25SolarCoords'!X$7)</f>
        <v>31.664628412480425</v>
      </c>
      <c r="AC86" s="23">
        <f>$D86*COS($E86+$F86*'25SolarCoords'!Y$7)</f>
        <v>10.322525293564762</v>
      </c>
      <c r="AD86" s="23">
        <f>$D86*COS($E86+$F86*'25SolarCoords'!Z$7)</f>
        <v>-51.212345503403036</v>
      </c>
      <c r="AE86" s="23">
        <f>$D86*COS($E86+$F86*'25SolarCoords'!AA$7)</f>
        <v>-31.573323718989304</v>
      </c>
      <c r="AF86" s="23">
        <f>$D86*COS($E86+$F86*'25SolarCoords'!AB$7)</f>
        <v>10.594684952766615</v>
      </c>
      <c r="AG86" s="23">
        <f>$D86*COS($E86+$F86*'25SolarCoords'!AC$7)</f>
        <v>24.682558309020582</v>
      </c>
      <c r="AH86" s="23">
        <f>$D86*COS($E86+$F86*'25SolarCoords'!AD$7)</f>
        <v>52.558536038175227</v>
      </c>
      <c r="AI86" s="23">
        <f>$D86*COS($E86+$F86*'25SolarCoords'!AE$7)</f>
        <v>10.396318028635424</v>
      </c>
      <c r="AJ86" s="23">
        <f>$D86*COS($E86+$F86*'25SolarCoords'!AF$7)</f>
        <v>26.539470871138846</v>
      </c>
      <c r="AK86" s="23">
        <f>$D86*COS($E86+$F86*'25SolarCoords'!AG$7)</f>
        <v>27.955007260937506</v>
      </c>
      <c r="AL86" s="23">
        <f>$D86*COS($E86+$F86*'25SolarCoords'!AH$7)</f>
        <v>39.167182177959688</v>
      </c>
      <c r="AM86" s="23">
        <f>$D86*COS($E86+$F86*'25SolarCoords'!AI$7)</f>
        <v>31.880473222087389</v>
      </c>
      <c r="AN86" s="23">
        <f>$D86*COS($E86+$F86*'25SolarCoords'!AJ$7)</f>
        <v>23.729316404329197</v>
      </c>
      <c r="AO86" s="23">
        <f>$D86*COS($E86+$F86*'25SolarCoords'!AK$7)</f>
        <v>31.04086374668324</v>
      </c>
      <c r="AP86" s="23">
        <f>$D86*COS($E86+$F86*'25SolarCoords'!AL$7)</f>
        <v>41.830988813436143</v>
      </c>
      <c r="AQ86" s="23">
        <f>$D86*COS($E86+$F86*'25SolarCoords'!AM$7)</f>
        <v>-8.2398924658486941</v>
      </c>
      <c r="AR86" s="23">
        <f>$D86*COS($E86+$F86*'25SolarCoords'!AN$7)</f>
        <v>-33.435781080160268</v>
      </c>
      <c r="AS86" s="23">
        <f>$D86*COS($E86+$F86*'25SolarCoords'!AO$7)</f>
        <v>45.183107925579648</v>
      </c>
      <c r="AT86" s="23">
        <f>$D86*COS($E86+$F86*'25SolarCoords'!AP$7)</f>
        <v>46.839272479601611</v>
      </c>
      <c r="AU86" s="23">
        <f>$D86*COS($E86+$F86*'25SolarCoords'!AQ$7)</f>
        <v>46.931210618586753</v>
      </c>
      <c r="AV86" s="23">
        <f>$D86*COS($E86+$F86*'25SolarCoords'!AR$7)</f>
        <v>47.020748600987801</v>
      </c>
      <c r="AW86" s="23">
        <f>$D86*COS($E86+$F86*'25SolarCoords'!AS$7)</f>
        <v>47.121516963382774</v>
      </c>
      <c r="AX86" s="23">
        <f>$D86*COS($E86+$F86*'25SolarCoords'!AT$7)</f>
        <v>47.309304451411343</v>
      </c>
      <c r="AY86" s="23">
        <f>$D86*COS($E86+$F86*'25SolarCoords'!AU$7)</f>
        <v>-21.35187503525616</v>
      </c>
      <c r="AZ86" s="23">
        <f>$D86*COS($E86+$F86*'25SolarCoords'!AV$7)</f>
        <v>-13.118195771948583</v>
      </c>
      <c r="BA86" s="23">
        <f>$D86*COS($E86+$F86*'25SolarCoords'!AW$7)</f>
        <v>-4.2922561147532159</v>
      </c>
      <c r="BB86" s="23">
        <f>$D86*COS($E86+$F86*'25SolarCoords'!AX$7)</f>
        <v>-13.511924563422768</v>
      </c>
      <c r="BC86" s="23">
        <f>$D86*COS($E86+$F86*'25SolarCoords'!AY$7)</f>
        <v>47.687942465533425</v>
      </c>
      <c r="BD86" s="23">
        <f>$D86*COS($E86+$F86*'25SolarCoords'!AZ$7)</f>
        <v>47.700430237117004</v>
      </c>
      <c r="BE86" s="23">
        <f>$D86*COS($E86+$F86*'25SolarCoords'!BA$7)</f>
        <v>47.712909371845136</v>
      </c>
      <c r="BF86" s="23">
        <f>$D86*COS($E86+$F86*'25SolarCoords'!BB$7)</f>
        <v>47.725379867458315</v>
      </c>
      <c r="BG86" s="23">
        <f>$D86*COS($E86+$F86*'25SolarCoords'!BC$7)</f>
        <v>47.737841721698608</v>
      </c>
      <c r="BH86" s="23">
        <f>$D86*COS($E86+$F86*'25SolarCoords'!BD$7)</f>
        <v>47.750294932309586</v>
      </c>
      <c r="BI86" s="23">
        <f>$D86*COS($E86+$F86*'25SolarCoords'!BE$7)</f>
        <v>47.762739497036392</v>
      </c>
      <c r="BJ86" s="23">
        <f>$D86*COS($E86+$F86*'25SolarCoords'!BF$7)</f>
        <v>47.775175413625782</v>
      </c>
      <c r="BK86" s="23">
        <f>$D86*COS($E86+$F86*'25SolarCoords'!BG$7)</f>
        <v>10.392778701499626</v>
      </c>
    </row>
    <row r="87" spans="3:63" x14ac:dyDescent="0.25">
      <c r="C87">
        <f t="shared" si="2"/>
        <v>13</v>
      </c>
      <c r="D87">
        <v>45</v>
      </c>
      <c r="E87">
        <v>0.4</v>
      </c>
      <c r="F87">
        <v>796.3</v>
      </c>
      <c r="H87" s="7"/>
      <c r="I87" s="23">
        <f>$D87*COS($E87+$F87*'25SolarCoords'!E$7)</f>
        <v>-11.139483509388771</v>
      </c>
      <c r="J87" s="23">
        <f>$D87*COS($E87+$F87*'25SolarCoords'!F$7)</f>
        <v>16.58510085596447</v>
      </c>
      <c r="K87" s="23">
        <f>$D87*COS($E87+$F87*'25SolarCoords'!G$7)</f>
        <v>41.447744730129827</v>
      </c>
      <c r="L87" s="23">
        <f>$D87*COS($E87+$F87*'25SolarCoords'!H$7)</f>
        <v>41.502825367017955</v>
      </c>
      <c r="M87" s="23">
        <f>$D87*COS($E87+$F87*'25SolarCoords'!I$7)</f>
        <v>-40.100516860337024</v>
      </c>
      <c r="N87" s="23">
        <f>$D87*COS($E87+$F87*'25SolarCoords'!J$7)</f>
        <v>-44.438545689080705</v>
      </c>
      <c r="O87" s="23">
        <f>$D87*COS($E87+$F87*'25SolarCoords'!K$7)</f>
        <v>-42.647560551515724</v>
      </c>
      <c r="P87" s="23">
        <f>$D87*COS($E87+$F87*'25SolarCoords'!L$7)</f>
        <v>-36.099587505358102</v>
      </c>
      <c r="Q87" s="23">
        <f>$D87*COS($E87+$F87*'25SolarCoords'!M$7)</f>
        <v>-34.732020645527705</v>
      </c>
      <c r="R87" s="23">
        <f>$D87*COS($E87+$F87*'25SolarCoords'!N$7)</f>
        <v>-30.906897943849234</v>
      </c>
      <c r="S87" s="23">
        <f>$D87*COS($E87+$F87*'25SolarCoords'!O$7)</f>
        <v>-44.992761418386394</v>
      </c>
      <c r="T87" s="23">
        <f>$D87*COS($E87+$F87*'25SolarCoords'!P$7)</f>
        <v>-11.241604287186046</v>
      </c>
      <c r="U87" s="23">
        <f>$D87*COS($E87+$F87*'25SolarCoords'!Q$7)</f>
        <v>29.549880718682434</v>
      </c>
      <c r="V87" s="23">
        <f>$D87*COS($E87+$F87*'25SolarCoords'!R$7)</f>
        <v>29.475820064186333</v>
      </c>
      <c r="W87" s="23">
        <f>$D87*COS($E87+$F87*'25SolarCoords'!S$7)</f>
        <v>40.704768522579506</v>
      </c>
      <c r="X87" s="23">
        <f>$D87*COS($E87+$F87*'25SolarCoords'!T$7)</f>
        <v>33.421509544495748</v>
      </c>
      <c r="Y87" s="23">
        <f>$D87*COS($E87+$F87*'25SolarCoords'!U$7)</f>
        <v>18.009468838672547</v>
      </c>
      <c r="Z87" s="23">
        <f>$D87*COS($E87+$F87*'25SolarCoords'!V$7)</f>
        <v>-39.743999815986648</v>
      </c>
      <c r="AA87" s="23">
        <f>$D87*COS($E87+$F87*'25SolarCoords'!W$7)</f>
        <v>-42.829787372367491</v>
      </c>
      <c r="AB87" s="23">
        <f>$D87*COS($E87+$F87*'25SolarCoords'!X$7)</f>
        <v>38.733394877495599</v>
      </c>
      <c r="AC87" s="23">
        <f>$D87*COS($E87+$F87*'25SolarCoords'!Y$7)</f>
        <v>23.039114202586276</v>
      </c>
      <c r="AD87" s="23">
        <f>$D87*COS($E87+$F87*'25SolarCoords'!Z$7)</f>
        <v>-28.720650883272697</v>
      </c>
      <c r="AE87" s="23">
        <f>$D87*COS($E87+$F87*'25SolarCoords'!AA$7)</f>
        <v>41.466822389989574</v>
      </c>
      <c r="AF87" s="23">
        <f>$D87*COS($E87+$F87*'25SolarCoords'!AB$7)</f>
        <v>-12.908491143176857</v>
      </c>
      <c r="AG87" s="23">
        <f>$D87*COS($E87+$F87*'25SolarCoords'!AC$7)</f>
        <v>-33.845229786872252</v>
      </c>
      <c r="AH87" s="23">
        <f>$D87*COS($E87+$F87*'25SolarCoords'!AD$7)</f>
        <v>-39.223650179920405</v>
      </c>
      <c r="AI87" s="23">
        <f>$D87*COS($E87+$F87*'25SolarCoords'!AE$7)</f>
        <v>22.773013718852173</v>
      </c>
      <c r="AJ87" s="23">
        <f>$D87*COS($E87+$F87*'25SolarCoords'!AF$7)</f>
        <v>21.071989397831381</v>
      </c>
      <c r="AK87" s="23">
        <f>$D87*COS($E87+$F87*'25SolarCoords'!AG$7)</f>
        <v>26.713924633367977</v>
      </c>
      <c r="AL87" s="23">
        <f>$D87*COS($E87+$F87*'25SolarCoords'!AH$7)</f>
        <v>42.18734897234522</v>
      </c>
      <c r="AM87" s="23">
        <f>$D87*COS($E87+$F87*'25SolarCoords'!AI$7)</f>
        <v>39.271548970484311</v>
      </c>
      <c r="AN87" s="23">
        <f>$D87*COS($E87+$F87*'25SolarCoords'!AJ$7)</f>
        <v>8.9201805444151159</v>
      </c>
      <c r="AO87" s="23">
        <f>$D87*COS($E87+$F87*'25SolarCoords'!AK$7)</f>
        <v>44.997198865681305</v>
      </c>
      <c r="AP87" s="23">
        <f>$D87*COS($E87+$F87*'25SolarCoords'!AL$7)</f>
        <v>34.166870175529567</v>
      </c>
      <c r="AQ87" s="23">
        <f>$D87*COS($E87+$F87*'25SolarCoords'!AM$7)</f>
        <v>-44.979869553974524</v>
      </c>
      <c r="AR87" s="23">
        <f>$D87*COS($E87+$F87*'25SolarCoords'!AN$7)</f>
        <v>36.930390653948457</v>
      </c>
      <c r="AS87" s="23">
        <f>$D87*COS($E87+$F87*'25SolarCoords'!AO$7)</f>
        <v>-6.8925755627844731</v>
      </c>
      <c r="AT87" s="23">
        <f>$D87*COS($E87+$F87*'25SolarCoords'!AP$7)</f>
        <v>42.308789864612507</v>
      </c>
      <c r="AU87" s="23">
        <f>$D87*COS($E87+$F87*'25SolarCoords'!AQ$7)</f>
        <v>42.539562644132367</v>
      </c>
      <c r="AV87" s="23">
        <f>$D87*COS($E87+$F87*'25SolarCoords'!AR$7)</f>
        <v>42.755598162433508</v>
      </c>
      <c r="AW87" s="23">
        <f>$D87*COS($E87+$F87*'25SolarCoords'!AS$7)</f>
        <v>42.988240209397119</v>
      </c>
      <c r="AX87" s="23">
        <f>$D87*COS($E87+$F87*'25SolarCoords'!AT$7)</f>
        <v>43.391342833273413</v>
      </c>
      <c r="AY87" s="23">
        <f>$D87*COS($E87+$F87*'25SolarCoords'!AU$7)</f>
        <v>-15.43040032816354</v>
      </c>
      <c r="AZ87" s="23">
        <f>$D87*COS($E87+$F87*'25SolarCoords'!AV$7)</f>
        <v>5.0392160874221679</v>
      </c>
      <c r="BA87" s="23">
        <f>$D87*COS($E87+$F87*'25SolarCoords'!AW$7)</f>
        <v>20.977558766554822</v>
      </c>
      <c r="BB87" s="23">
        <f>$D87*COS($E87+$F87*'25SolarCoords'!AX$7)</f>
        <v>-26.398537293889422</v>
      </c>
      <c r="BC87" s="23">
        <f>$D87*COS($E87+$F87*'25SolarCoords'!AY$7)</f>
        <v>44.077921080444014</v>
      </c>
      <c r="BD87" s="23">
        <f>$D87*COS($E87+$F87*'25SolarCoords'!AZ$7)</f>
        <v>44.097574885332634</v>
      </c>
      <c r="BE87" s="23">
        <f>$D87*COS($E87+$F87*'25SolarCoords'!BA$7)</f>
        <v>44.11701909203677</v>
      </c>
      <c r="BF87" s="23">
        <f>$D87*COS($E87+$F87*'25SolarCoords'!BB$7)</f>
        <v>44.136253608136968</v>
      </c>
      <c r="BG87" s="23">
        <f>$D87*COS($E87+$F87*'25SolarCoords'!BC$7)</f>
        <v>44.155278342210508</v>
      </c>
      <c r="BH87" s="23">
        <f>$D87*COS($E87+$F87*'25SolarCoords'!BD$7)</f>
        <v>44.17409320383188</v>
      </c>
      <c r="BI87" s="23">
        <f>$D87*COS($E87+$F87*'25SolarCoords'!BE$7)</f>
        <v>44.192698103572937</v>
      </c>
      <c r="BJ87" s="23">
        <f>$D87*COS($E87+$F87*'25SolarCoords'!BF$7)</f>
        <v>44.211092953003565</v>
      </c>
      <c r="BK87" s="23">
        <f>$D87*COS($E87+$F87*'25SolarCoords'!BG$7)</f>
        <v>22.785802896449169</v>
      </c>
    </row>
    <row r="88" spans="3:63" x14ac:dyDescent="0.25">
      <c r="C88">
        <f t="shared" si="2"/>
        <v>14</v>
      </c>
      <c r="D88">
        <v>36</v>
      </c>
      <c r="E88">
        <v>0.47</v>
      </c>
      <c r="F88">
        <v>775.52</v>
      </c>
      <c r="H88" s="7"/>
      <c r="I88" s="23">
        <f>$D88*COS($E88+$F88*'25SolarCoords'!E$7)</f>
        <v>23.126590815206455</v>
      </c>
      <c r="J88" s="23">
        <f>$D88*COS($E88+$F88*'25SolarCoords'!F$7)</f>
        <v>-18.135065833435696</v>
      </c>
      <c r="K88" s="23">
        <f>$D88*COS($E88+$F88*'25SolarCoords'!G$7)</f>
        <v>32.096458375031844</v>
      </c>
      <c r="L88" s="23">
        <f>$D88*COS($E88+$F88*'25SolarCoords'!H$7)</f>
        <v>34.327111448724771</v>
      </c>
      <c r="M88" s="23">
        <f>$D88*COS($E88+$F88*'25SolarCoords'!I$7)</f>
        <v>-35.685361380303753</v>
      </c>
      <c r="N88" s="23">
        <f>$D88*COS($E88+$F88*'25SolarCoords'!J$7)</f>
        <v>-35.466459390372584</v>
      </c>
      <c r="O88" s="23">
        <f>$D88*COS($E88+$F88*'25SolarCoords'!K$7)</f>
        <v>-28.817703781392744</v>
      </c>
      <c r="P88" s="23">
        <f>$D88*COS($E88+$F88*'25SolarCoords'!L$7)</f>
        <v>-20.955469296122946</v>
      </c>
      <c r="Q88" s="23">
        <f>$D88*COS($E88+$F88*'25SolarCoords'!M$7)</f>
        <v>-4.0206541287696096</v>
      </c>
      <c r="R88" s="23">
        <f>$D88*COS($E88+$F88*'25SolarCoords'!N$7)</f>
        <v>-10.149837806034084</v>
      </c>
      <c r="S88" s="23">
        <f>$D88*COS($E88+$F88*'25SolarCoords'!O$7)</f>
        <v>16.916279906174911</v>
      </c>
      <c r="T88" s="23">
        <f>$D88*COS($E88+$F88*'25SolarCoords'!P$7)</f>
        <v>-32.925228212166594</v>
      </c>
      <c r="U88" s="23">
        <f>$D88*COS($E88+$F88*'25SolarCoords'!Q$7)</f>
        <v>18.329704932353209</v>
      </c>
      <c r="V88" s="23">
        <f>$D88*COS($E88+$F88*'25SolarCoords'!R$7)</f>
        <v>18.263876169324245</v>
      </c>
      <c r="W88" s="23">
        <f>$D88*COS($E88+$F88*'25SolarCoords'!S$7)</f>
        <v>23.102259354824515</v>
      </c>
      <c r="X88" s="23">
        <f>$D88*COS($E88+$F88*'25SolarCoords'!T$7)</f>
        <v>14.388651902556218</v>
      </c>
      <c r="Y88" s="23">
        <f>$D88*COS($E88+$F88*'25SolarCoords'!U$7)</f>
        <v>-0.11068941453254956</v>
      </c>
      <c r="Z88" s="23">
        <f>$D88*COS($E88+$F88*'25SolarCoords'!V$7)</f>
        <v>-24.391287539841258</v>
      </c>
      <c r="AA88" s="23">
        <f>$D88*COS($E88+$F88*'25SolarCoords'!W$7)</f>
        <v>-35.990733598965207</v>
      </c>
      <c r="AB88" s="23">
        <f>$D88*COS($E88+$F88*'25SolarCoords'!X$7)</f>
        <v>25.981330247438631</v>
      </c>
      <c r="AC88" s="23">
        <f>$D88*COS($E88+$F88*'25SolarCoords'!Y$7)</f>
        <v>-0.28356982942245518</v>
      </c>
      <c r="AD88" s="23">
        <f>$D88*COS($E88+$F88*'25SolarCoords'!Z$7)</f>
        <v>-35.978826266596293</v>
      </c>
      <c r="AE88" s="23">
        <f>$D88*COS($E88+$F88*'25SolarCoords'!AA$7)</f>
        <v>32.11374898458569</v>
      </c>
      <c r="AF88" s="23">
        <f>$D88*COS($E88+$F88*'25SolarCoords'!AB$7)</f>
        <v>-34.750726871940813</v>
      </c>
      <c r="AG88" s="23">
        <f>$D88*COS($E88+$F88*'25SolarCoords'!AC$7)</f>
        <v>-35.206078722799411</v>
      </c>
      <c r="AH88" s="23">
        <f>$D88*COS($E88+$F88*'25SolarCoords'!AD$7)</f>
        <v>-24.420612962969521</v>
      </c>
      <c r="AI88" s="23">
        <f>$D88*COS($E88+$F88*'25SolarCoords'!AE$7)</f>
        <v>-0.52442014389680047</v>
      </c>
      <c r="AJ88" s="23">
        <f>$D88*COS($E88+$F88*'25SolarCoords'!AF$7)</f>
        <v>9.6439354768833034</v>
      </c>
      <c r="AK88" s="23">
        <f>$D88*COS($E88+$F88*'25SolarCoords'!AG$7)</f>
        <v>14.533970626165605</v>
      </c>
      <c r="AL88" s="23">
        <f>$D88*COS($E88+$F88*'25SolarCoords'!AH$7)</f>
        <v>35.81379359392912</v>
      </c>
      <c r="AM88" s="23">
        <f>$D88*COS($E88+$F88*'25SolarCoords'!AI$7)</f>
        <v>26.556201972639489</v>
      </c>
      <c r="AN88" s="23">
        <f>$D88*COS($E88+$F88*'25SolarCoords'!AJ$7)</f>
        <v>-0.32654288159433531</v>
      </c>
      <c r="AO88" s="23">
        <f>$D88*COS($E88+$F88*'25SolarCoords'!AK$7)</f>
        <v>-27.55396000419266</v>
      </c>
      <c r="AP88" s="23">
        <f>$D88*COS($E88+$F88*'25SolarCoords'!AL$7)</f>
        <v>32.482801214548225</v>
      </c>
      <c r="AQ88" s="23">
        <f>$D88*COS($E88+$F88*'25SolarCoords'!AM$7)</f>
        <v>33.314447835715377</v>
      </c>
      <c r="AR88" s="23">
        <f>$D88*COS($E88+$F88*'25SolarCoords'!AN$7)</f>
        <v>28.155521430234227</v>
      </c>
      <c r="AS88" s="23">
        <f>$D88*COS($E88+$F88*'25SolarCoords'!AO$7)</f>
        <v>-20.737391732202759</v>
      </c>
      <c r="AT88" s="23">
        <f>$D88*COS($E88+$F88*'25SolarCoords'!AP$7)</f>
        <v>26.341380749927261</v>
      </c>
      <c r="AU88" s="23">
        <f>$D88*COS($E88+$F88*'25SolarCoords'!AQ$7)</f>
        <v>26.706014819495042</v>
      </c>
      <c r="AV88" s="23">
        <f>$D88*COS($E88+$F88*'25SolarCoords'!AR$7)</f>
        <v>27.056953754117117</v>
      </c>
      <c r="AW88" s="23">
        <f>$D88*COS($E88+$F88*'25SolarCoords'!AS$7)</f>
        <v>27.446818706798801</v>
      </c>
      <c r="AX88" s="23">
        <f>$D88*COS($E88+$F88*'25SolarCoords'!AT$7)</f>
        <v>28.158340358562249</v>
      </c>
      <c r="AY88" s="23">
        <f>$D88*COS($E88+$F88*'25SolarCoords'!AU$7)</f>
        <v>9.6874817152153874</v>
      </c>
      <c r="AZ88" s="23">
        <f>$D88*COS($E88+$F88*'25SolarCoords'!AV$7)</f>
        <v>8.2323856941676201</v>
      </c>
      <c r="BA88" s="23">
        <f>$D88*COS($E88+$F88*'25SolarCoords'!AW$7)</f>
        <v>34.002974515871891</v>
      </c>
      <c r="BB88" s="23">
        <f>$D88*COS($E88+$F88*'25SolarCoords'!AX$7)</f>
        <v>11.689812508872288</v>
      </c>
      <c r="BC88" s="23">
        <f>$D88*COS($E88+$F88*'25SolarCoords'!AY$7)</f>
        <v>29.529013396357808</v>
      </c>
      <c r="BD88" s="23">
        <f>$D88*COS($E88+$F88*'25SolarCoords'!AZ$7)</f>
        <v>29.572669287355655</v>
      </c>
      <c r="BE88" s="23">
        <f>$D88*COS($E88+$F88*'25SolarCoords'!BA$7)</f>
        <v>29.616191858165024</v>
      </c>
      <c r="BF88" s="23">
        <f>$D88*COS($E88+$F88*'25SolarCoords'!BB$7)</f>
        <v>29.659580912576388</v>
      </c>
      <c r="BG88" s="23">
        <f>$D88*COS($E88+$F88*'25SolarCoords'!BC$7)</f>
        <v>29.702836254982284</v>
      </c>
      <c r="BH88" s="23">
        <f>$D88*COS($E88+$F88*'25SolarCoords'!BD$7)</f>
        <v>29.745957690378063</v>
      </c>
      <c r="BI88" s="23">
        <f>$D88*COS($E88+$F88*'25SolarCoords'!BE$7)</f>
        <v>29.78894502436259</v>
      </c>
      <c r="BJ88" s="23">
        <f>$D88*COS($E88+$F88*'25SolarCoords'!BF$7)</f>
        <v>29.831798063139313</v>
      </c>
      <c r="BK88" s="23">
        <f>$D88*COS($E88+$F88*'25SolarCoords'!BG$7)</f>
        <v>-0.51286728053490538</v>
      </c>
    </row>
    <row r="89" spans="3:63" x14ac:dyDescent="0.25">
      <c r="C89">
        <f t="shared" si="2"/>
        <v>15</v>
      </c>
      <c r="D89">
        <v>29</v>
      </c>
      <c r="E89">
        <v>2.65</v>
      </c>
      <c r="F89">
        <v>7.11</v>
      </c>
      <c r="H89" s="7"/>
      <c r="I89" s="23">
        <f>$D89*COS($E89+$F89*'25SolarCoords'!E$7)</f>
        <v>-20.371730680408962</v>
      </c>
      <c r="J89" s="23">
        <f>$D89*COS($E89+$F89*'25SolarCoords'!F$7)</f>
        <v>-28.280746671086241</v>
      </c>
      <c r="K89" s="23">
        <f>$D89*COS($E89+$F89*'25SolarCoords'!G$7)</f>
        <v>-25.565883680470293</v>
      </c>
      <c r="L89" s="23">
        <f>$D89*COS($E89+$F89*'25SolarCoords'!H$7)</f>
        <v>-25.467842820764016</v>
      </c>
      <c r="M89" s="23">
        <f>$D89*COS($E89+$F89*'25SolarCoords'!I$7)</f>
        <v>-24.201302014659042</v>
      </c>
      <c r="N89" s="23">
        <f>$D89*COS($E89+$F89*'25SolarCoords'!J$7)</f>
        <v>-24.245840333423807</v>
      </c>
      <c r="O89" s="23">
        <f>$D89*COS($E89+$F89*'25SolarCoords'!K$7)</f>
        <v>-24.314216118873318</v>
      </c>
      <c r="P89" s="23">
        <f>$D89*COS($E89+$F89*'25SolarCoords'!L$7)</f>
        <v>-24.358578889302535</v>
      </c>
      <c r="Q89" s="23">
        <f>$D89*COS($E89+$F89*'25SolarCoords'!M$7)</f>
        <v>-10.438525806553708</v>
      </c>
      <c r="R89" s="23">
        <f>$D89*COS($E89+$F89*'25SolarCoords'!N$7)</f>
        <v>28.456259463423201</v>
      </c>
      <c r="S89" s="23">
        <f>$D89*COS($E89+$F89*'25SolarCoords'!O$7)</f>
        <v>28.49525422737765</v>
      </c>
      <c r="T89" s="23">
        <f>$D89*COS($E89+$F89*'25SolarCoords'!P$7)</f>
        <v>22.794683238024856</v>
      </c>
      <c r="U89" s="23">
        <f>$D89*COS($E89+$F89*'25SolarCoords'!Q$7)</f>
        <v>28.758352230014925</v>
      </c>
      <c r="V89" s="23">
        <f>$D89*COS($E89+$F89*'25SolarCoords'!R$7)</f>
        <v>28.758279500497373</v>
      </c>
      <c r="W89" s="23">
        <f>$D89*COS($E89+$F89*'25SolarCoords'!S$7)</f>
        <v>28.564281015136437</v>
      </c>
      <c r="X89" s="23">
        <f>$D89*COS($E89+$F89*'25SolarCoords'!T$7)</f>
        <v>28.577295474584943</v>
      </c>
      <c r="Y89" s="23">
        <f>$D89*COS($E89+$F89*'25SolarCoords'!U$7)</f>
        <v>28.595825502202658</v>
      </c>
      <c r="Z89" s="23">
        <f>$D89*COS($E89+$F89*'25SolarCoords'!V$7)</f>
        <v>13.417994480007145</v>
      </c>
      <c r="AA89" s="23">
        <f>$D89*COS($E89+$F89*'25SolarCoords'!W$7)</f>
        <v>-24.22398275858205</v>
      </c>
      <c r="AB89" s="23">
        <f>$D89*COS($E89+$F89*'25SolarCoords'!X$7)</f>
        <v>-24.776159943134289</v>
      </c>
      <c r="AC89" s="23">
        <f>$D89*COS($E89+$F89*'25SolarCoords'!Y$7)</f>
        <v>-23.011777168269557</v>
      </c>
      <c r="AD89" s="23">
        <f>$D89*COS($E89+$F89*'25SolarCoords'!Z$7)</f>
        <v>-28.537870750898954</v>
      </c>
      <c r="AE89" s="23">
        <f>$D89*COS($E89+$F89*'25SolarCoords'!AA$7)</f>
        <v>-25.565750444519693</v>
      </c>
      <c r="AF89" s="23">
        <f>$D89*COS($E89+$F89*'25SolarCoords'!AB$7)</f>
        <v>-19.887043918474145</v>
      </c>
      <c r="AG89" s="23">
        <f>$D89*COS($E89+$F89*'25SolarCoords'!AC$7)</f>
        <v>-23.228838392280377</v>
      </c>
      <c r="AH89" s="23">
        <f>$D89*COS($E89+$F89*'25SolarCoords'!AD$7)</f>
        <v>-24.340642073739602</v>
      </c>
      <c r="AI89" s="23">
        <f>$D89*COS($E89+$F89*'25SolarCoords'!AE$7)</f>
        <v>-23.012859678297254</v>
      </c>
      <c r="AJ89" s="23">
        <f>$D89*COS($E89+$F89*'25SolarCoords'!AF$7)</f>
        <v>-24.849792879947639</v>
      </c>
      <c r="AK89" s="23">
        <f>$D89*COS($E89+$F89*'25SolarCoords'!AG$7)</f>
        <v>-24.829982509572925</v>
      </c>
      <c r="AL89" s="23">
        <f>$D89*COS($E89+$F89*'25SolarCoords'!AH$7)</f>
        <v>-24.655681437943606</v>
      </c>
      <c r="AM89" s="23">
        <f>$D89*COS($E89+$F89*'25SolarCoords'!AI$7)</f>
        <v>-24.772932213754508</v>
      </c>
      <c r="AN89" s="23">
        <f>$D89*COS($E89+$F89*'25SolarCoords'!AJ$7)</f>
        <v>-24.888123978276795</v>
      </c>
      <c r="AO89" s="23">
        <f>$D89*COS($E89+$F89*'25SolarCoords'!AK$7)</f>
        <v>6.1813198856957561</v>
      </c>
      <c r="AP89" s="23">
        <f>$D89*COS($E89+$F89*'25SolarCoords'!AL$7)</f>
        <v>-24.607412603979107</v>
      </c>
      <c r="AQ89" s="23">
        <f>$D89*COS($E89+$F89*'25SolarCoords'!AM$7)</f>
        <v>18.913514905935404</v>
      </c>
      <c r="AR89" s="23">
        <f>$D89*COS($E89+$F89*'25SolarCoords'!AN$7)</f>
        <v>-25.591287324088007</v>
      </c>
      <c r="AS89" s="23">
        <f>$D89*COS($E89+$F89*'25SolarCoords'!AO$7)</f>
        <v>15.576474922452389</v>
      </c>
      <c r="AT89" s="23">
        <f>$D89*COS($E89+$F89*'25SolarCoords'!AP$7)</f>
        <v>-27.435566943949745</v>
      </c>
      <c r="AU89" s="23">
        <f>$D89*COS($E89+$F89*'25SolarCoords'!AQ$7)</f>
        <v>-27.436857207530196</v>
      </c>
      <c r="AV89" s="23">
        <f>$D89*COS($E89+$F89*'25SolarCoords'!AR$7)</f>
        <v>-27.438119031467679</v>
      </c>
      <c r="AW89" s="23">
        <f>$D89*COS($E89+$F89*'25SolarCoords'!AS$7)</f>
        <v>-27.439545412712569</v>
      </c>
      <c r="AX89" s="23">
        <f>$D89*COS($E89+$F89*'25SolarCoords'!AT$7)</f>
        <v>-27.442221734790628</v>
      </c>
      <c r="AY89" s="23">
        <f>$D89*COS($E89+$F89*'25SolarCoords'!AU$7)</f>
        <v>-22.538327954083879</v>
      </c>
      <c r="AZ89" s="23">
        <f>$D89*COS($E89+$F89*'25SolarCoords'!AV$7)</f>
        <v>-25.335208667335849</v>
      </c>
      <c r="BA89" s="23">
        <f>$D89*COS($E89+$F89*'25SolarCoords'!AW$7)</f>
        <v>-16.782132518901307</v>
      </c>
      <c r="BB89" s="23">
        <f>$D89*COS($E89+$F89*'25SolarCoords'!AX$7)</f>
        <v>-20.30218521106805</v>
      </c>
      <c r="BC89" s="23">
        <f>$D89*COS($E89+$F89*'25SolarCoords'!AY$7)</f>
        <v>-27.447692954982788</v>
      </c>
      <c r="BD89" s="23">
        <f>$D89*COS($E89+$F89*'25SolarCoords'!AZ$7)</f>
        <v>-27.447875167787942</v>
      </c>
      <c r="BE89" s="23">
        <f>$D89*COS($E89+$F89*'25SolarCoords'!BA$7)</f>
        <v>-27.448057370192274</v>
      </c>
      <c r="BF89" s="23">
        <f>$D89*COS($E89+$F89*'25SolarCoords'!BB$7)</f>
        <v>-27.448239562195727</v>
      </c>
      <c r="BG89" s="23">
        <f>$D89*COS($E89+$F89*'25SolarCoords'!BC$7)</f>
        <v>-27.448421743798217</v>
      </c>
      <c r="BH89" s="23">
        <f>$D89*COS($E89+$F89*'25SolarCoords'!BD$7)</f>
        <v>-27.448603914999683</v>
      </c>
      <c r="BI89" s="23">
        <f>$D89*COS($E89+$F89*'25SolarCoords'!BE$7)</f>
        <v>-27.448786075800058</v>
      </c>
      <c r="BJ89" s="23">
        <f>$D89*COS($E89+$F89*'25SolarCoords'!BF$7)</f>
        <v>-27.448968226199266</v>
      </c>
      <c r="BK89" s="23">
        <f>$D89*COS($E89+$F89*'25SolarCoords'!BG$7)</f>
        <v>-23.012807753509652</v>
      </c>
    </row>
    <row r="90" spans="3:63" x14ac:dyDescent="0.25">
      <c r="C90">
        <f t="shared" si="2"/>
        <v>16</v>
      </c>
      <c r="D90">
        <v>21</v>
      </c>
      <c r="E90">
        <v>5.34</v>
      </c>
      <c r="F90">
        <v>0.98</v>
      </c>
      <c r="H90" s="7"/>
      <c r="I90" s="23">
        <f>$D90*COS($E90+$F90*'25SolarCoords'!E$7)</f>
        <v>11.617440089557981</v>
      </c>
      <c r="J90" s="23">
        <f>$D90*COS($E90+$F90*'25SolarCoords'!F$7)</f>
        <v>-17.7380020116262</v>
      </c>
      <c r="K90" s="23">
        <f>$D90*COS($E90+$F90*'25SolarCoords'!G$7)</f>
        <v>12.331467051121535</v>
      </c>
      <c r="L90" s="23">
        <f>$D90*COS($E90+$F90*'25SolarCoords'!H$7)</f>
        <v>12.314791598180259</v>
      </c>
      <c r="M90" s="23">
        <f>$D90*COS($E90+$F90*'25SolarCoords'!I$7)</f>
        <v>12.115101686116924</v>
      </c>
      <c r="N90" s="23">
        <f>$D90*COS($E90+$F90*'25SolarCoords'!J$7)</f>
        <v>12.121705091560544</v>
      </c>
      <c r="O90" s="23">
        <f>$D90*COS($E90+$F90*'25SolarCoords'!K$7)</f>
        <v>12.131894276604095</v>
      </c>
      <c r="P90" s="23">
        <f>$D90*COS($E90+$F90*'25SolarCoords'!L$7)</f>
        <v>12.138539088038907</v>
      </c>
      <c r="Q90" s="23">
        <f>$D90*COS($E90+$F90*'25SolarCoords'!M$7)</f>
        <v>10.609175760293496</v>
      </c>
      <c r="R90" s="23">
        <f>$D90*COS($E90+$F90*'25SolarCoords'!N$7)</f>
        <v>4.9023174848745095</v>
      </c>
      <c r="S90" s="23">
        <f>$D90*COS($E90+$F90*'25SolarCoords'!O$7)</f>
        <v>4.9223128149959319</v>
      </c>
      <c r="T90" s="23">
        <f>$D90*COS($E90+$F90*'25SolarCoords'!P$7)</f>
        <v>-10.285189611373104</v>
      </c>
      <c r="U90" s="23">
        <f>$D90*COS($E90+$F90*'25SolarCoords'!Q$7)</f>
        <v>-20.851785043848427</v>
      </c>
      <c r="V90" s="23">
        <f>$D90*COS($E90+$F90*'25SolarCoords'!R$7)</f>
        <v>-20.851778361275041</v>
      </c>
      <c r="W90" s="23">
        <f>$D90*COS($E90+$F90*'25SolarCoords'!S$7)</f>
        <v>-15.493105804753244</v>
      </c>
      <c r="X90" s="23">
        <f>$D90*COS($E90+$F90*'25SolarCoords'!T$7)</f>
        <v>-15.487988956472323</v>
      </c>
      <c r="Y90" s="23">
        <f>$D90*COS($E90+$F90*'25SolarCoords'!U$7)</f>
        <v>-15.480563088447463</v>
      </c>
      <c r="Z90" s="23">
        <f>$D90*COS($E90+$F90*'25SolarCoords'!V$7)</f>
        <v>6.8658867369087231</v>
      </c>
      <c r="AA90" s="23">
        <f>$D90*COS($E90+$F90*'25SolarCoords'!W$7)</f>
        <v>12.118461134283521</v>
      </c>
      <c r="AB90" s="23">
        <f>$D90*COS($E90+$F90*'25SolarCoords'!X$7)</f>
        <v>12.202479336164419</v>
      </c>
      <c r="AC90" s="23">
        <f>$D90*COS($E90+$F90*'25SolarCoords'!Y$7)</f>
        <v>11.947327129167014</v>
      </c>
      <c r="AD90" s="23">
        <f>$D90*COS($E90+$F90*'25SolarCoords'!Z$7)</f>
        <v>13.052712942132203</v>
      </c>
      <c r="AE90" s="23">
        <f>$D90*COS($E90+$F90*'25SolarCoords'!AA$7)</f>
        <v>12.331444247381386</v>
      </c>
      <c r="AF90" s="23">
        <f>$D90*COS($E90+$F90*'25SolarCoords'!AB$7)</f>
        <v>11.561392974648491</v>
      </c>
      <c r="AG90" s="23">
        <f>$D90*COS($E90+$F90*'25SolarCoords'!AC$7)</f>
        <v>11.976826772049964</v>
      </c>
      <c r="AH90" s="23">
        <f>$D90*COS($E90+$F90*'25SolarCoords'!AD$7)</f>
        <v>12.135849193828271</v>
      </c>
      <c r="AI90" s="23">
        <f>$D90*COS($E90+$F90*'25SolarCoords'!AE$7)</f>
        <v>11.947473146087921</v>
      </c>
      <c r="AJ90" s="23">
        <f>$D90*COS($E90+$F90*'25SolarCoords'!AF$7)</f>
        <v>12.214032393386553</v>
      </c>
      <c r="AK90" s="23">
        <f>$D90*COS($E90+$F90*'25SolarCoords'!AG$7)</f>
        <v>12.210915451617073</v>
      </c>
      <c r="AL90" s="23">
        <f>$D90*COS($E90+$F90*'25SolarCoords'!AH$7)</f>
        <v>12.18376256116307</v>
      </c>
      <c r="AM90" s="23">
        <f>$D90*COS($E90+$F90*'25SolarCoords'!AI$7)</f>
        <v>12.201974908940644</v>
      </c>
      <c r="AN90" s="23">
        <f>$D90*COS($E90+$F90*'25SolarCoords'!AJ$7)</f>
        <v>12.220081766657612</v>
      </c>
      <c r="AO90" s="23">
        <f>$D90*COS($E90+$F90*'25SolarCoords'!AK$7)</f>
        <v>9.1201616480391738</v>
      </c>
      <c r="AP90" s="23">
        <f>$D90*COS($E90+$F90*'25SolarCoords'!AL$7)</f>
        <v>12.176326849642127</v>
      </c>
      <c r="AQ90" s="23">
        <f>$D90*COS($E90+$F90*'25SolarCoords'!AM$7)</f>
        <v>-13.882852839040634</v>
      </c>
      <c r="AR90" s="23">
        <f>$D90*COS($E90+$F90*'25SolarCoords'!AN$7)</f>
        <v>12.335822158500919</v>
      </c>
      <c r="AS90" s="23">
        <f>$D90*COS($E90+$F90*'25SolarCoords'!AO$7)</f>
        <v>-20.400948106017253</v>
      </c>
      <c r="AT90" s="23">
        <f>$D90*COS($E90+$F90*'25SolarCoords'!AP$7)</f>
        <v>12.707058095558143</v>
      </c>
      <c r="AU90" s="23">
        <f>$D90*COS($E90+$F90*'25SolarCoords'!AQ$7)</f>
        <v>12.707374599176147</v>
      </c>
      <c r="AV90" s="23">
        <f>$D90*COS($E90+$F90*'25SolarCoords'!AR$7)</f>
        <v>12.70768424496225</v>
      </c>
      <c r="AW90" s="23">
        <f>$D90*COS($E90+$F90*'25SolarCoords'!AS$7)</f>
        <v>12.70803441358149</v>
      </c>
      <c r="AX90" s="23">
        <f>$D90*COS($E90+$F90*'25SolarCoords'!AT$7)</f>
        <v>12.708691840805731</v>
      </c>
      <c r="AY90" s="23">
        <f>$D90*COS($E90+$F90*'25SolarCoords'!AU$7)</f>
        <v>11.884460743620041</v>
      </c>
      <c r="AZ90" s="23">
        <f>$D90*COS($E90+$F90*'25SolarCoords'!AV$7)</f>
        <v>12.2925544684329</v>
      </c>
      <c r="BA90" s="23">
        <f>$D90*COS($E90+$F90*'25SolarCoords'!AW$7)</f>
        <v>11.224589503122576</v>
      </c>
      <c r="BB90" s="23">
        <f>$D90*COS($E90+$F90*'25SolarCoords'!AX$7)</f>
        <v>11.609327543545179</v>
      </c>
      <c r="BC90" s="23">
        <f>$D90*COS($E90+$F90*'25SolarCoords'!AY$7)</f>
        <v>12.710037472772962</v>
      </c>
      <c r="BD90" s="23">
        <f>$D90*COS($E90+$F90*'25SolarCoords'!AZ$7)</f>
        <v>12.710082325753671</v>
      </c>
      <c r="BE90" s="23">
        <f>$D90*COS($E90+$F90*'25SolarCoords'!BA$7)</f>
        <v>12.710127178642884</v>
      </c>
      <c r="BF90" s="23">
        <f>$D90*COS($E90+$F90*'25SolarCoords'!BB$7)</f>
        <v>12.710172031440607</v>
      </c>
      <c r="BG90" s="23">
        <f>$D90*COS($E90+$F90*'25SolarCoords'!BC$7)</f>
        <v>12.710216884146817</v>
      </c>
      <c r="BH90" s="23">
        <f>$D90*COS($E90+$F90*'25SolarCoords'!BD$7)</f>
        <v>12.710261736761527</v>
      </c>
      <c r="BI90" s="23">
        <f>$D90*COS($E90+$F90*'25SolarCoords'!BE$7)</f>
        <v>12.710306589284736</v>
      </c>
      <c r="BJ90" s="23">
        <f>$D90*COS($E90+$F90*'25SolarCoords'!BF$7)</f>
        <v>12.710351441716456</v>
      </c>
      <c r="BK90" s="23">
        <f>$D90*COS($E90+$F90*'25SolarCoords'!BG$7)</f>
        <v>11.947466141843154</v>
      </c>
    </row>
    <row r="91" spans="3:63" x14ac:dyDescent="0.25">
      <c r="C91">
        <f t="shared" si="2"/>
        <v>17</v>
      </c>
      <c r="D91">
        <v>19</v>
      </c>
      <c r="E91">
        <v>1.85</v>
      </c>
      <c r="F91">
        <v>5486.78</v>
      </c>
      <c r="H91" s="7"/>
      <c r="I91" s="23">
        <f>$D91*COS($E91+$F91*'25SolarCoords'!E$7)</f>
        <v>-15.858498279969108</v>
      </c>
      <c r="J91" s="23">
        <f>$D91*COS($E91+$F91*'25SolarCoords'!F$7)</f>
        <v>-7.5686599556277612</v>
      </c>
      <c r="K91" s="23">
        <f>$D91*COS($E91+$F91*'25SolarCoords'!G$7)</f>
        <v>-5.2362146896657462</v>
      </c>
      <c r="L91" s="23">
        <f>$D91*COS($E91+$F91*'25SolarCoords'!H$7)</f>
        <v>-16.683689093253374</v>
      </c>
      <c r="M91" s="23">
        <f>$D91*COS($E91+$F91*'25SolarCoords'!I$7)</f>
        <v>18.99465766797951</v>
      </c>
      <c r="N91" s="23">
        <f>$D91*COS($E91+$F91*'25SolarCoords'!J$7)</f>
        <v>-10.86224760641829</v>
      </c>
      <c r="O91" s="23">
        <f>$D91*COS($E91+$F91*'25SolarCoords'!K$7)</f>
        <v>13.554757306727552</v>
      </c>
      <c r="P91" s="23">
        <f>$D91*COS($E91+$F91*'25SolarCoords'!L$7)</f>
        <v>3.3373466370605587</v>
      </c>
      <c r="Q91" s="23">
        <f>$D91*COS($E91+$F91*'25SolarCoords'!M$7)</f>
        <v>18.681470789510353</v>
      </c>
      <c r="R91" s="23">
        <f>$D91*COS($E91+$F91*'25SolarCoords'!N$7)</f>
        <v>18.999503798561314</v>
      </c>
      <c r="S91" s="23">
        <f>$D91*COS($E91+$F91*'25SolarCoords'!O$7)</f>
        <v>13.333409076079818</v>
      </c>
      <c r="T91" s="23">
        <f>$D91*COS($E91+$F91*'25SolarCoords'!P$7)</f>
        <v>18.782860980066076</v>
      </c>
      <c r="U91" s="23">
        <f>$D91*COS($E91+$F91*'25SolarCoords'!Q$7)</f>
        <v>-4.7868103156843524</v>
      </c>
      <c r="V91" s="23">
        <f>$D91*COS($E91+$F91*'25SolarCoords'!R$7)</f>
        <v>-5.0624709897992535</v>
      </c>
      <c r="W91" s="23">
        <f>$D91*COS($E91+$F91*'25SolarCoords'!S$7)</f>
        <v>18.327528041952935</v>
      </c>
      <c r="X91" s="23">
        <f>$D91*COS($E91+$F91*'25SolarCoords'!T$7)</f>
        <v>-3.4541177839952932</v>
      </c>
      <c r="Y91" s="23">
        <f>$D91*COS($E91+$F91*'25SolarCoords'!U$7)</f>
        <v>-0.53176230725828522</v>
      </c>
      <c r="Z91" s="23">
        <f>$D91*COS($E91+$F91*'25SolarCoords'!V$7)</f>
        <v>16.421969054647693</v>
      </c>
      <c r="AA91" s="23">
        <f>$D91*COS($E91+$F91*'25SolarCoords'!W$7)</f>
        <v>8.2725038447373862</v>
      </c>
      <c r="AB91" s="23">
        <f>$D91*COS($E91+$F91*'25SolarCoords'!X$7)</f>
        <v>-18.028312026008418</v>
      </c>
      <c r="AC91" s="23">
        <f>$D91*COS($E91+$F91*'25SolarCoords'!Y$7)</f>
        <v>-7.863763208794543</v>
      </c>
      <c r="AD91" s="23">
        <f>$D91*COS($E91+$F91*'25SolarCoords'!Z$7)</f>
        <v>-4.0094413900756241</v>
      </c>
      <c r="AE91" s="23">
        <f>$D91*COS($E91+$F91*'25SolarCoords'!AA$7)</f>
        <v>-5.0988857942400632</v>
      </c>
      <c r="AF91" s="23">
        <f>$D91*COS($E91+$F91*'25SolarCoords'!AB$7)</f>
        <v>-17.861743732146891</v>
      </c>
      <c r="AG91" s="23">
        <f>$D91*COS($E91+$F91*'25SolarCoords'!AC$7)</f>
        <v>10.268058052072698</v>
      </c>
      <c r="AH91" s="23">
        <f>$D91*COS($E91+$F91*'25SolarCoords'!AD$7)</f>
        <v>16.531401391082152</v>
      </c>
      <c r="AI91" s="23">
        <f>$D91*COS($E91+$F91*'25SolarCoords'!AE$7)</f>
        <v>-8.6733963899292732</v>
      </c>
      <c r="AJ91" s="23">
        <f>$D91*COS($E91+$F91*'25SolarCoords'!AF$7)</f>
        <v>10.816678909598787</v>
      </c>
      <c r="AK91" s="23">
        <f>$D91*COS($E91+$F91*'25SolarCoords'!AG$7)</f>
        <v>18.969840859424671</v>
      </c>
      <c r="AL91" s="23">
        <f>$D91*COS($E91+$F91*'25SolarCoords'!AH$7)</f>
        <v>-16.892985282576902</v>
      </c>
      <c r="AM91" s="23">
        <f>$D91*COS($E91+$F91*'25SolarCoords'!AI$7)</f>
        <v>-18.769411853844922</v>
      </c>
      <c r="AN91" s="23">
        <f>$D91*COS($E91+$F91*'25SolarCoords'!AJ$7)</f>
        <v>-18.645234912789647</v>
      </c>
      <c r="AO91" s="23">
        <f>$D91*COS($E91+$F91*'25SolarCoords'!AK$7)</f>
        <v>-12.624150615626478</v>
      </c>
      <c r="AP91" s="23">
        <f>$D91*COS($E91+$F91*'25SolarCoords'!AL$7)</f>
        <v>7.1770525146595645</v>
      </c>
      <c r="AQ91" s="23">
        <f>$D91*COS($E91+$F91*'25SolarCoords'!AM$7)</f>
        <v>-18.347101761743978</v>
      </c>
      <c r="AR91" s="23">
        <f>$D91*COS($E91+$F91*'25SolarCoords'!AN$7)</f>
        <v>-18.806046612491244</v>
      </c>
      <c r="AS91" s="23">
        <f>$D91*COS($E91+$F91*'25SolarCoords'!AO$7)</f>
        <v>-4.9758612145639374</v>
      </c>
      <c r="AT91" s="23">
        <f>$D91*COS($E91+$F91*'25SolarCoords'!AP$7)</f>
        <v>11.585658484998342</v>
      </c>
      <c r="AU91" s="23">
        <f>$D91*COS($E91+$F91*'25SolarCoords'!AQ$7)</f>
        <v>9.9275552577515018</v>
      </c>
      <c r="AV91" s="23">
        <f>$D91*COS($E91+$F91*'25SolarCoords'!AR$7)</f>
        <v>8.1973945265419861</v>
      </c>
      <c r="AW91" s="23">
        <f>$D91*COS($E91+$F91*'25SolarCoords'!AS$7)</f>
        <v>6.1356931664291352</v>
      </c>
      <c r="AX91" s="23">
        <f>$D91*COS($E91+$F91*'25SolarCoords'!AT$7)</f>
        <v>2.0604617486640526</v>
      </c>
      <c r="AY91" s="23">
        <f>$D91*COS($E91+$F91*'25SolarCoords'!AU$7)</f>
        <v>16.743917601677278</v>
      </c>
      <c r="AZ91" s="23">
        <f>$D91*COS($E91+$F91*'25SolarCoords'!AV$7)</f>
        <v>-0.74711769996463095</v>
      </c>
      <c r="BA91" s="23">
        <f>$D91*COS($E91+$F91*'25SolarCoords'!AW$7)</f>
        <v>-18.333756983961994</v>
      </c>
      <c r="BB91" s="23">
        <f>$D91*COS($E91+$F91*'25SolarCoords'!AX$7)</f>
        <v>18.986541059292481</v>
      </c>
      <c r="BC91" s="23">
        <f>$D91*COS($E91+$F91*'25SolarCoords'!AY$7)</f>
        <v>-6.3720756846398405</v>
      </c>
      <c r="BD91" s="23">
        <f>$D91*COS($E91+$F91*'25SolarCoords'!AZ$7)</f>
        <v>-6.6402345532401847</v>
      </c>
      <c r="BE91" s="23">
        <f>$D91*COS($E91+$F91*'25SolarCoords'!BA$7)</f>
        <v>-6.9068950144798409</v>
      </c>
      <c r="BF91" s="23">
        <f>$D91*COS($E91+$F91*'25SolarCoords'!BB$7)</f>
        <v>-7.1719968948812696</v>
      </c>
      <c r="BG91" s="23">
        <f>$D91*COS($E91+$F91*'25SolarCoords'!BC$7)</f>
        <v>-7.4354803726712291</v>
      </c>
      <c r="BH91" s="23">
        <f>$D91*COS($E91+$F91*'25SolarCoords'!BD$7)</f>
        <v>-7.6972859912783882</v>
      </c>
      <c r="BI91" s="23">
        <f>$D91*COS($E91+$F91*'25SolarCoords'!BE$7)</f>
        <v>-7.9573546727485605</v>
      </c>
      <c r="BJ91" s="23">
        <f>$D91*COS($E91+$F91*'25SolarCoords'!BF$7)</f>
        <v>-8.2156277310789712</v>
      </c>
      <c r="BK91" s="23">
        <f>$D91*COS($E91+$F91*'25SolarCoords'!BG$7)</f>
        <v>-8.6349886034860752</v>
      </c>
    </row>
    <row r="92" spans="3:63" x14ac:dyDescent="0.25">
      <c r="C92">
        <f t="shared" si="2"/>
        <v>18</v>
      </c>
      <c r="D92">
        <v>19</v>
      </c>
      <c r="E92">
        <v>4.97</v>
      </c>
      <c r="F92">
        <v>213.3</v>
      </c>
      <c r="H92" s="7"/>
      <c r="I92" s="23">
        <f>$D92*COS($E92+$F92*'25SolarCoords'!E$7)</f>
        <v>-11.832769244313463</v>
      </c>
      <c r="J92" s="23">
        <f>$D92*COS($E92+$F92*'25SolarCoords'!F$7)</f>
        <v>5.4386592057466672</v>
      </c>
      <c r="K92" s="23">
        <f>$D92*COS($E92+$F92*'25SolarCoords'!G$7)</f>
        <v>4.8406515417866158</v>
      </c>
      <c r="L92" s="23">
        <f>$D92*COS($E92+$F92*'25SolarCoords'!H$7)</f>
        <v>0.83886268147630072</v>
      </c>
      <c r="M92" s="23">
        <f>$D92*COS($E92+$F92*'25SolarCoords'!I$7)</f>
        <v>-11.367143584588389</v>
      </c>
      <c r="N92" s="23">
        <f>$D92*COS($E92+$F92*'25SolarCoords'!J$7)</f>
        <v>-12.601605432023966</v>
      </c>
      <c r="O92" s="23">
        <f>$D92*COS($E92+$F92*'25SolarCoords'!K$7)</f>
        <v>-14.330552334761681</v>
      </c>
      <c r="P92" s="23">
        <f>$D92*COS($E92+$F92*'25SolarCoords'!L$7)</f>
        <v>-15.331053480710967</v>
      </c>
      <c r="Q92" s="23">
        <f>$D92*COS($E92+$F92*'25SolarCoords'!M$7)</f>
        <v>-15.1055072697618</v>
      </c>
      <c r="R92" s="23">
        <f>$D92*COS($E92+$F92*'25SolarCoords'!N$7)</f>
        <v>4.4780890521481878</v>
      </c>
      <c r="S92" s="23">
        <f>$D92*COS($E92+$F92*'25SolarCoords'!O$7)</f>
        <v>0.47064589376654048</v>
      </c>
      <c r="T92" s="23">
        <f>$D92*COS($E92+$F92*'25SolarCoords'!P$7)</f>
        <v>-8.1144688756117542</v>
      </c>
      <c r="U92" s="23">
        <f>$D92*COS($E92+$F92*'25SolarCoords'!Q$7)</f>
        <v>0.59576018190938607</v>
      </c>
      <c r="V92" s="23">
        <f>$D92*COS($E92+$F92*'25SolarCoords'!R$7)</f>
        <v>0.60685031167107273</v>
      </c>
      <c r="W92" s="23">
        <f>$D92*COS($E92+$F92*'25SolarCoords'!S$7)</f>
        <v>18.590536975587924</v>
      </c>
      <c r="X92" s="23">
        <f>$D92*COS($E92+$F92*'25SolarCoords'!T$7)</f>
        <v>18.225381382708029</v>
      </c>
      <c r="Y92" s="23">
        <f>$D92*COS($E92+$F92*'25SolarCoords'!U$7)</f>
        <v>17.496721338688687</v>
      </c>
      <c r="Z92" s="23">
        <f>$D92*COS($E92+$F92*'25SolarCoords'!V$7)</f>
        <v>17.433287513879616</v>
      </c>
      <c r="AA92" s="23">
        <f>$D92*COS($E92+$F92*'25SolarCoords'!W$7)</f>
        <v>-12.00565566842219</v>
      </c>
      <c r="AB92" s="23">
        <f>$D92*COS($E92+$F92*'25SolarCoords'!X$7)</f>
        <v>-18.688655099989294</v>
      </c>
      <c r="AC92" s="23">
        <f>$D92*COS($E92+$F92*'25SolarCoords'!Y$7)</f>
        <v>18.922202340030971</v>
      </c>
      <c r="AD92" s="23">
        <f>$D92*COS($E92+$F92*'25SolarCoords'!Z$7)</f>
        <v>-4.1044670441759346</v>
      </c>
      <c r="AE92" s="23">
        <f>$D92*COS($E92+$F92*'25SolarCoords'!AA$7)</f>
        <v>4.8352865627580277</v>
      </c>
      <c r="AF92" s="23">
        <f>$D92*COS($E92+$F92*'25SolarCoords'!AB$7)</f>
        <v>0.46154015030483353</v>
      </c>
      <c r="AG92" s="23">
        <f>$D92*COS($E92+$F92*'25SolarCoords'!AC$7)</f>
        <v>17.00366350688914</v>
      </c>
      <c r="AH92" s="23">
        <f>$D92*COS($E92+$F92*'25SolarCoords'!AD$7)</f>
        <v>-14.938765930825959</v>
      </c>
      <c r="AI92" s="23">
        <f>$D92*COS($E92+$F92*'25SolarCoords'!AE$7)</f>
        <v>18.919009475188577</v>
      </c>
      <c r="AJ92" s="23">
        <f>$D92*COS($E92+$F92*'25SolarCoords'!AF$7)</f>
        <v>-17.984353336610866</v>
      </c>
      <c r="AK92" s="23">
        <f>$D92*COS($E92+$F92*'25SolarCoords'!AG$7)</f>
        <v>-18.213493785791275</v>
      </c>
      <c r="AL92" s="23">
        <f>$D92*COS($E92+$F92*'25SolarCoords'!AH$7)</f>
        <v>-18.969160584745978</v>
      </c>
      <c r="AM92" s="23">
        <f>$D92*COS($E92+$F92*'25SolarCoords'!AI$7)</f>
        <v>-18.710274257873099</v>
      </c>
      <c r="AN92" s="23">
        <f>$D92*COS($E92+$F92*'25SolarCoords'!AJ$7)</f>
        <v>-17.458965047867888</v>
      </c>
      <c r="AO92" s="23">
        <f>$D92*COS($E92+$F92*'25SolarCoords'!AK$7)</f>
        <v>-14.439753504475316</v>
      </c>
      <c r="AP92" s="23">
        <f>$D92*COS($E92+$F92*'25SolarCoords'!AL$7)</f>
        <v>-18.782115200591722</v>
      </c>
      <c r="AQ92" s="23">
        <f>$D92*COS($E92+$F92*'25SolarCoords'!AM$7)</f>
        <v>18.653845186873589</v>
      </c>
      <c r="AR92" s="23">
        <f>$D92*COS($E92+$F92*'25SolarCoords'!AN$7)</f>
        <v>5.8572659524730009</v>
      </c>
      <c r="AS92" s="23">
        <f>$D92*COS($E92+$F92*'25SolarCoords'!AO$7)</f>
        <v>17.235502345154337</v>
      </c>
      <c r="AT92" s="23">
        <f>$D92*COS($E92+$F92*'25SolarCoords'!AP$7)</f>
        <v>-17.543625463672146</v>
      </c>
      <c r="AU92" s="23">
        <f>$D92*COS($E92+$F92*'25SolarCoords'!AQ$7)</f>
        <v>-17.513417651607103</v>
      </c>
      <c r="AV92" s="23">
        <f>$D92*COS($E92+$F92*'25SolarCoords'!AR$7)</f>
        <v>-17.483576202911092</v>
      </c>
      <c r="AW92" s="23">
        <f>$D92*COS($E92+$F92*'25SolarCoords'!AS$7)</f>
        <v>-17.449486656441234</v>
      </c>
      <c r="AX92" s="23">
        <f>$D92*COS($E92+$F92*'25SolarCoords'!AT$7)</f>
        <v>-17.384504463290025</v>
      </c>
      <c r="AY92" s="23">
        <f>$D92*COS($E92+$F92*'25SolarCoords'!AU$7)</f>
        <v>14.522541906886072</v>
      </c>
      <c r="AZ92" s="23">
        <f>$D92*COS($E92+$F92*'25SolarCoords'!AV$7)</f>
        <v>-4.5206863636497312</v>
      </c>
      <c r="BA92" s="23">
        <f>$D92*COS($E92+$F92*'25SolarCoords'!AW$7)</f>
        <v>-16.369579940922502</v>
      </c>
      <c r="BB92" s="23">
        <f>$D92*COS($E92+$F92*'25SolarCoords'!AX$7)</f>
        <v>-10.27490227841737</v>
      </c>
      <c r="BC92" s="23">
        <f>$D92*COS($E92+$F92*'25SolarCoords'!AY$7)</f>
        <v>-17.247525838851857</v>
      </c>
      <c r="BD92" s="23">
        <f>$D92*COS($E92+$F92*'25SolarCoords'!AZ$7)</f>
        <v>-17.242868477490219</v>
      </c>
      <c r="BE92" s="23">
        <f>$D92*COS($E92+$F92*'25SolarCoords'!BA$7)</f>
        <v>-17.238205235675817</v>
      </c>
      <c r="BF92" s="23">
        <f>$D92*COS($E92+$F92*'25SolarCoords'!BB$7)</f>
        <v>-17.233536114999012</v>
      </c>
      <c r="BG92" s="23">
        <f>$D92*COS($E92+$F92*'25SolarCoords'!BC$7)</f>
        <v>-17.228861117052137</v>
      </c>
      <c r="BH92" s="23">
        <f>$D92*COS($E92+$F92*'25SolarCoords'!BD$7)</f>
        <v>-17.224180243429529</v>
      </c>
      <c r="BI92" s="23">
        <f>$D92*COS($E92+$F92*'25SolarCoords'!BE$7)</f>
        <v>-17.219493495727551</v>
      </c>
      <c r="BJ92" s="23">
        <f>$D92*COS($E92+$F92*'25SolarCoords'!BF$7)</f>
        <v>-17.214800875544544</v>
      </c>
      <c r="BK92" s="23">
        <f>$D92*COS($E92+$F92*'25SolarCoords'!BG$7)</f>
        <v>18.919164096259866</v>
      </c>
    </row>
    <row r="93" spans="3:63" x14ac:dyDescent="0.25">
      <c r="C93">
        <f t="shared" si="2"/>
        <v>19</v>
      </c>
      <c r="D93">
        <v>17</v>
      </c>
      <c r="E93">
        <v>2.99</v>
      </c>
      <c r="F93">
        <v>6275.96</v>
      </c>
      <c r="H93" s="7"/>
      <c r="I93" s="23">
        <f>$D93*COS($E93+$F93*'25SolarCoords'!E$7)</f>
        <v>-3.4994024889626743</v>
      </c>
      <c r="J93" s="23">
        <f>$D93*COS($E93+$F93*'25SolarCoords'!F$7)</f>
        <v>-16.999211116798602</v>
      </c>
      <c r="K93" s="23">
        <f>$D93*COS($E93+$F93*'25SolarCoords'!G$7)</f>
        <v>-16.805040954065731</v>
      </c>
      <c r="L93" s="23">
        <f>$D93*COS($E93+$F93*'25SolarCoords'!H$7)</f>
        <v>-16.812489862079453</v>
      </c>
      <c r="M93" s="23">
        <f>$D93*COS($E93+$F93*'25SolarCoords'!I$7)</f>
        <v>-15.75691776207557</v>
      </c>
      <c r="N93" s="23">
        <f>$D93*COS($E93+$F93*'25SolarCoords'!J$7)</f>
        <v>16.284817260527387</v>
      </c>
      <c r="O93" s="23">
        <f>$D93*COS($E93+$F93*'25SolarCoords'!K$7)</f>
        <v>-15.829387863012442</v>
      </c>
      <c r="P93" s="23">
        <f>$D93*COS($E93+$F93*'25SolarCoords'!L$7)</f>
        <v>16.312179471234131</v>
      </c>
      <c r="Q93" s="23">
        <f>$D93*COS($E93+$F93*'25SolarCoords'!M$7)</f>
        <v>-14.224246059547447</v>
      </c>
      <c r="R93" s="23">
        <f>$D93*COS($E93+$F93*'25SolarCoords'!N$7)</f>
        <v>15.909612131655662</v>
      </c>
      <c r="S93" s="23">
        <f>$D93*COS($E93+$F93*'25SolarCoords'!O$7)</f>
        <v>15.83954322776855</v>
      </c>
      <c r="T93" s="23">
        <f>$D93*COS($E93+$F93*'25SolarCoords'!P$7)</f>
        <v>12.315558022170142</v>
      </c>
      <c r="U93" s="23">
        <f>$D93*COS($E93+$F93*'25SolarCoords'!Q$7)</f>
        <v>16.130238496602885</v>
      </c>
      <c r="V93" s="23">
        <f>$D93*COS($E93+$F93*'25SolarCoords'!R$7)</f>
        <v>16.220089238698399</v>
      </c>
      <c r="W93" s="23">
        <f>$D93*COS($E93+$F93*'25SolarCoords'!S$7)</f>
        <v>-16.959795550225234</v>
      </c>
      <c r="X93" s="23">
        <f>$D93*COS($E93+$F93*'25SolarCoords'!T$7)</f>
        <v>12.301824454766818</v>
      </c>
      <c r="Y93" s="23">
        <f>$D93*COS($E93+$F93*'25SolarCoords'!U$7)</f>
        <v>-14.484038105386162</v>
      </c>
      <c r="Z93" s="23">
        <f>$D93*COS($E93+$F93*'25SolarCoords'!V$7)</f>
        <v>2.1471747399282086</v>
      </c>
      <c r="AA93" s="23">
        <f>$D93*COS($E93+$F93*'25SolarCoords'!W$7)</f>
        <v>1.1606369704016686</v>
      </c>
      <c r="AB93" s="23">
        <f>$D93*COS($E93+$F93*'25SolarCoords'!X$7)</f>
        <v>1.3492573341814755</v>
      </c>
      <c r="AC93" s="23">
        <f>$D93*COS($E93+$F93*'25SolarCoords'!Y$7)</f>
        <v>-11.939936429858435</v>
      </c>
      <c r="AD93" s="23">
        <f>$D93*COS($E93+$F93*'25SolarCoords'!Z$7)</f>
        <v>-15.09382155638913</v>
      </c>
      <c r="AE93" s="23">
        <f>$D93*COS($E93+$F93*'25SolarCoords'!AA$7)</f>
        <v>-16.782365254802308</v>
      </c>
      <c r="AF93" s="23">
        <f>$D93*COS($E93+$F93*'25SolarCoords'!AB$7)</f>
        <v>16.851989205196027</v>
      </c>
      <c r="AG93" s="23">
        <f>$D93*COS($E93+$F93*'25SolarCoords'!AC$7)</f>
        <v>-11.486383520937714</v>
      </c>
      <c r="AH93" s="23">
        <f>$D93*COS($E93+$F93*'25SolarCoords'!AD$7)</f>
        <v>4.7009752070568389</v>
      </c>
      <c r="AI93" s="23">
        <f>$D93*COS($E93+$F93*'25SolarCoords'!AE$7)</f>
        <v>-11.267539133508304</v>
      </c>
      <c r="AJ93" s="23">
        <f>$D93*COS($E93+$F93*'25SolarCoords'!AF$7)</f>
        <v>-16.226024341485878</v>
      </c>
      <c r="AK93" s="23">
        <f>$D93*COS($E93+$F93*'25SolarCoords'!AG$7)</f>
        <v>-1.6881203395122659</v>
      </c>
      <c r="AL93" s="23">
        <f>$D93*COS($E93+$F93*'25SolarCoords'!AH$7)</f>
        <v>-10.25946845035455</v>
      </c>
      <c r="AM93" s="23">
        <f>$D93*COS($E93+$F93*'25SolarCoords'!AI$7)</f>
        <v>-1.8587525383146328</v>
      </c>
      <c r="AN93" s="23">
        <f>$D93*COS($E93+$F93*'25SolarCoords'!AJ$7)</f>
        <v>6.5323371772976238</v>
      </c>
      <c r="AO93" s="23">
        <f>$D93*COS($E93+$F93*'25SolarCoords'!AK$7)</f>
        <v>-6.4663544054578264</v>
      </c>
      <c r="AP93" s="23">
        <f>$D93*COS($E93+$F93*'25SolarCoords'!AL$7)</f>
        <v>4.8591735353090577</v>
      </c>
      <c r="AQ93" s="23">
        <f>$D93*COS($E93+$F93*'25SolarCoords'!AM$7)</f>
        <v>-11.476873977477181</v>
      </c>
      <c r="AR93" s="23">
        <f>$D93*COS($E93+$F93*'25SolarCoords'!AN$7)</f>
        <v>-1.3830630479055612</v>
      </c>
      <c r="AS93" s="23">
        <f>$D93*COS($E93+$F93*'25SolarCoords'!AO$7)</f>
        <v>6.8801177561053493</v>
      </c>
      <c r="AT93" s="23">
        <f>$D93*COS($E93+$F93*'25SolarCoords'!AP$7)</f>
        <v>7.0128814268542756</v>
      </c>
      <c r="AU93" s="23">
        <f>$D93*COS($E93+$F93*'25SolarCoords'!AQ$7)</f>
        <v>5.0885757973988026</v>
      </c>
      <c r="AV93" s="23">
        <f>$D93*COS($E93+$F93*'25SolarCoords'!AR$7)</f>
        <v>3.1334458341402152</v>
      </c>
      <c r="AW93" s="23">
        <f>$D93*COS($E93+$F93*'25SolarCoords'!AS$7)</f>
        <v>0.87084001357832441</v>
      </c>
      <c r="AX93" s="23">
        <f>$D93*COS($E93+$F93*'25SolarCoords'!AT$7)</f>
        <v>-3.3871212084802966</v>
      </c>
      <c r="AY93" s="23">
        <f>$D93*COS($E93+$F93*'25SolarCoords'!AU$7)</f>
        <v>14.925195913661303</v>
      </c>
      <c r="AZ93" s="23">
        <f>$D93*COS($E93+$F93*'25SolarCoords'!AV$7)</f>
        <v>10.458244674160026</v>
      </c>
      <c r="BA93" s="23">
        <f>$D93*COS($E93+$F93*'25SolarCoords'!AW$7)</f>
        <v>-15.771566450713152</v>
      </c>
      <c r="BB93" s="23">
        <f>$D93*COS($E93+$F93*'25SolarCoords'!AX$7)</f>
        <v>6.2991692820210634</v>
      </c>
      <c r="BC93" s="23">
        <f>$D93*COS($E93+$F93*'25SolarCoords'!AY$7)</f>
        <v>-11.159148472994108</v>
      </c>
      <c r="BD93" s="23">
        <f>$D93*COS($E93+$F93*'25SolarCoords'!AZ$7)</f>
        <v>-11.377852886555385</v>
      </c>
      <c r="BE93" s="23">
        <f>$D93*COS($E93+$F93*'25SolarCoords'!BA$7)</f>
        <v>-11.593198149218063</v>
      </c>
      <c r="BF93" s="23">
        <f>$D93*COS($E93+$F93*'25SolarCoords'!BB$7)</f>
        <v>-11.805120683324045</v>
      </c>
      <c r="BG93" s="23">
        <f>$D93*COS($E93+$F93*'25SolarCoords'!BC$7)</f>
        <v>-12.013557921728717</v>
      </c>
      <c r="BH93" s="23">
        <f>$D93*COS($E93+$F93*'25SolarCoords'!BD$7)</f>
        <v>-12.21844832627195</v>
      </c>
      <c r="BI93" s="23">
        <f>$D93*COS($E93+$F93*'25SolarCoords'!BE$7)</f>
        <v>-12.419731405945358</v>
      </c>
      <c r="BJ93" s="23">
        <f>$D93*COS($E93+$F93*'25SolarCoords'!BF$7)</f>
        <v>-12.617347734753467</v>
      </c>
      <c r="BK93" s="23">
        <f>$D93*COS($E93+$F93*'25SolarCoords'!BG$7)</f>
        <v>-11.300563457486454</v>
      </c>
    </row>
    <row r="94" spans="3:63" x14ac:dyDescent="0.25">
      <c r="C94">
        <f t="shared" si="2"/>
        <v>20</v>
      </c>
      <c r="D94">
        <v>16</v>
      </c>
      <c r="E94">
        <v>0.03</v>
      </c>
      <c r="F94">
        <v>2544.31</v>
      </c>
      <c r="H94" s="7"/>
      <c r="I94" s="23">
        <f>$D94*COS($E94+$F94*'25SolarCoords'!E$7)</f>
        <v>12.917155818337774</v>
      </c>
      <c r="J94" s="23">
        <f>$D94*COS($E94+$F94*'25SolarCoords'!F$7)</f>
        <v>15.932028911114344</v>
      </c>
      <c r="K94" s="23">
        <f>$D94*COS($E94+$F94*'25SolarCoords'!G$7)</f>
        <v>15.992800539983801</v>
      </c>
      <c r="L94" s="23">
        <f>$D94*COS($E94+$F94*'25SolarCoords'!H$7)</f>
        <v>-12.970341834722946</v>
      </c>
      <c r="M94" s="23">
        <f>$D94*COS($E94+$F94*'25SolarCoords'!I$7)</f>
        <v>1.9164412872022376</v>
      </c>
      <c r="N94" s="23">
        <f>$D94*COS($E94+$F94*'25SolarCoords'!J$7)</f>
        <v>14.39936448248528</v>
      </c>
      <c r="O94" s="23">
        <f>$D94*COS($E94+$F94*'25SolarCoords'!K$7)</f>
        <v>7.373678966123598</v>
      </c>
      <c r="P94" s="23">
        <f>$D94*COS($E94+$F94*'25SolarCoords'!L$7)</f>
        <v>-8.0556576847619894</v>
      </c>
      <c r="Q94" s="23">
        <f>$D94*COS($E94+$F94*'25SolarCoords'!M$7)</f>
        <v>-15.959133144770712</v>
      </c>
      <c r="R94" s="23">
        <f>$D94*COS($E94+$F94*'25SolarCoords'!N$7)</f>
        <v>15.682859930652269</v>
      </c>
      <c r="S94" s="23">
        <f>$D94*COS($E94+$F94*'25SolarCoords'!O$7)</f>
        <v>-14.73953221918585</v>
      </c>
      <c r="T94" s="23">
        <f>$D94*COS($E94+$F94*'25SolarCoords'!P$7)</f>
        <v>6.3635120988311469</v>
      </c>
      <c r="U94" s="23">
        <f>$D94*COS($E94+$F94*'25SolarCoords'!Q$7)</f>
        <v>-1.3624044338485244</v>
      </c>
      <c r="V94" s="23">
        <f>$D94*COS($E94+$F94*'25SolarCoords'!R$7)</f>
        <v>-1.2513220104422682</v>
      </c>
      <c r="W94" s="23">
        <f>$D94*COS($E94+$F94*'25SolarCoords'!S$7)</f>
        <v>-13.75236896652207</v>
      </c>
      <c r="X94" s="23">
        <f>$D94*COS($E94+$F94*'25SolarCoords'!T$7)</f>
        <v>-1.5562028772827934</v>
      </c>
      <c r="Y94" s="23">
        <f>$D94*COS($E94+$F94*'25SolarCoords'!U$7)</f>
        <v>15.241441959116548</v>
      </c>
      <c r="Z94" s="23">
        <f>$D94*COS($E94+$F94*'25SolarCoords'!V$7)</f>
        <v>14.677106516001716</v>
      </c>
      <c r="AA94" s="23">
        <f>$D94*COS($E94+$F94*'25SolarCoords'!W$7)</f>
        <v>9.4079424194503662</v>
      </c>
      <c r="AB94" s="23">
        <f>$D94*COS($E94+$F94*'25SolarCoords'!X$7)</f>
        <v>11.510146086432485</v>
      </c>
      <c r="AC94" s="23">
        <f>$D94*COS($E94+$F94*'25SolarCoords'!Y$7)</f>
        <v>-0.87088256157367161</v>
      </c>
      <c r="AD94" s="23">
        <f>$D94*COS($E94+$F94*'25SolarCoords'!Z$7)</f>
        <v>6.9539420124682927</v>
      </c>
      <c r="AE94" s="23">
        <f>$D94*COS($E94+$F94*'25SolarCoords'!AA$7)</f>
        <v>15.994375106809091</v>
      </c>
      <c r="AF94" s="23">
        <f>$D94*COS($E94+$F94*'25SolarCoords'!AB$7)</f>
        <v>-14.158246962648459</v>
      </c>
      <c r="AG94" s="23">
        <f>$D94*COS($E94+$F94*'25SolarCoords'!AC$7)</f>
        <v>-15.139052832342941</v>
      </c>
      <c r="AH94" s="23">
        <f>$D94*COS($E94+$F94*'25SolarCoords'!AD$7)</f>
        <v>-1.9171846758800442</v>
      </c>
      <c r="AI94" s="23">
        <f>$D94*COS($E94+$F94*'25SolarCoords'!AE$7)</f>
        <v>-0.52000913258320813</v>
      </c>
      <c r="AJ94" s="23">
        <f>$D94*COS($E94+$F94*'25SolarCoords'!AF$7)</f>
        <v>8.8119690624786635</v>
      </c>
      <c r="AK94" s="23">
        <f>$D94*COS($E94+$F94*'25SolarCoords'!AG$7)</f>
        <v>13.933720347482732</v>
      </c>
      <c r="AL94" s="23">
        <f>$D94*COS($E94+$F94*'25SolarCoords'!AH$7)</f>
        <v>-14.276723254729527</v>
      </c>
      <c r="AM94" s="23">
        <f>$D94*COS($E94+$F94*'25SolarCoords'!AI$7)</f>
        <v>10.62560633510847</v>
      </c>
      <c r="AN94" s="23">
        <f>$D94*COS($E94+$F94*'25SolarCoords'!AJ$7)</f>
        <v>-5.2791004329767617</v>
      </c>
      <c r="AO94" s="23">
        <f>$D94*COS($E94+$F94*'25SolarCoords'!AK$7)</f>
        <v>-5.5983699022807478</v>
      </c>
      <c r="AP94" s="23">
        <f>$D94*COS($E94+$F94*'25SolarCoords'!AL$7)</f>
        <v>0.41720903259346315</v>
      </c>
      <c r="AQ94" s="23">
        <f>$D94*COS($E94+$F94*'25SolarCoords'!AM$7)</f>
        <v>2.0216730542192964</v>
      </c>
      <c r="AR94" s="23">
        <f>$D94*COS($E94+$F94*'25SolarCoords'!AN$7)</f>
        <v>12.28632417117176</v>
      </c>
      <c r="AS94" s="23">
        <f>$D94*COS($E94+$F94*'25SolarCoords'!AO$7)</f>
        <v>-15.289884087770353</v>
      </c>
      <c r="AT94" s="23">
        <f>$D94*COS($E94+$F94*'25SolarCoords'!AP$7)</f>
        <v>3.969366386478753</v>
      </c>
      <c r="AU94" s="23">
        <f>$D94*COS($E94+$F94*'25SolarCoords'!AQ$7)</f>
        <v>3.2030860859647756</v>
      </c>
      <c r="AV94" s="23">
        <f>$D94*COS($E94+$F94*'25SolarCoords'!AR$7)</f>
        <v>2.445899122606459</v>
      </c>
      <c r="AW94" s="23">
        <f>$D94*COS($E94+$F94*'25SolarCoords'!AS$7)</f>
        <v>1.5828875178378277</v>
      </c>
      <c r="AX94" s="23">
        <f>$D94*COS($E94+$F94*'25SolarCoords'!AT$7)</f>
        <v>-4.8032151792104003E-2</v>
      </c>
      <c r="AY94" s="23">
        <f>$D94*COS($E94+$F94*'25SolarCoords'!AU$7)</f>
        <v>1.0956115970712919</v>
      </c>
      <c r="AZ94" s="23">
        <f>$D94*COS($E94+$F94*'25SolarCoords'!AV$7)</f>
        <v>14.889759406775898</v>
      </c>
      <c r="BA94" s="23">
        <f>$D94*COS($E94+$F94*'25SolarCoords'!AW$7)</f>
        <v>-6.0891319481314525</v>
      </c>
      <c r="BB94" s="23">
        <f>$D94*COS($E94+$F94*'25SolarCoords'!AX$7)</f>
        <v>-4.1779480035033911</v>
      </c>
      <c r="BC94" s="23">
        <f>$D94*COS($E94+$F94*'25SolarCoords'!AY$7)</f>
        <v>-3.3663397391726062</v>
      </c>
      <c r="BD94" s="23">
        <f>$D94*COS($E94+$F94*'25SolarCoords'!AZ$7)</f>
        <v>-3.4752174534982081</v>
      </c>
      <c r="BE94" s="23">
        <f>$D94*COS($E94+$F94*'25SolarCoords'!BA$7)</f>
        <v>-3.5839265358868451</v>
      </c>
      <c r="BF94" s="23">
        <f>$D94*COS($E94+$F94*'25SolarCoords'!BB$7)</f>
        <v>-3.6924617113234843</v>
      </c>
      <c r="BG94" s="23">
        <f>$D94*COS($E94+$F94*'25SolarCoords'!BC$7)</f>
        <v>-3.800817713232111</v>
      </c>
      <c r="BH94" s="23">
        <f>$D94*COS($E94+$F94*'25SolarCoords'!BD$7)</f>
        <v>-3.9089892837312834</v>
      </c>
      <c r="BI94" s="23">
        <f>$D94*COS($E94+$F94*'25SolarCoords'!BE$7)</f>
        <v>-4.0169711738882716</v>
      </c>
      <c r="BJ94" s="23">
        <f>$D94*COS($E94+$F94*'25SolarCoords'!BF$7)</f>
        <v>-4.1247581439747547</v>
      </c>
      <c r="BK94" s="23">
        <f>$D94*COS($E94+$F94*'25SolarCoords'!BG$7)</f>
        <v>-0.53684719873374143</v>
      </c>
    </row>
    <row r="95" spans="3:63" x14ac:dyDescent="0.25">
      <c r="C95">
        <f t="shared" si="2"/>
        <v>21</v>
      </c>
      <c r="D95">
        <v>16</v>
      </c>
      <c r="E95">
        <v>1.43</v>
      </c>
      <c r="F95">
        <v>2146.17</v>
      </c>
      <c r="H95" s="7"/>
      <c r="I95" s="23">
        <f>$D95*COS($E95+$F95*'25SolarCoords'!E$7)</f>
        <v>4.8513015562887665</v>
      </c>
      <c r="J95" s="23">
        <f>$D95*COS($E95+$F95*'25SolarCoords'!F$7)</f>
        <v>10.324762634427088</v>
      </c>
      <c r="K95" s="23">
        <f>$D95*COS($E95+$F95*'25SolarCoords'!G$7)</f>
        <v>2.2453056935477878</v>
      </c>
      <c r="L95" s="23">
        <f>$D95*COS($E95+$F95*'25SolarCoords'!H$7)</f>
        <v>12.053767312912273</v>
      </c>
      <c r="M95" s="23">
        <f>$D95*COS($E95+$F95*'25SolarCoords'!I$7)</f>
        <v>6.0034859152168973</v>
      </c>
      <c r="N95" s="23">
        <f>$D95*COS($E95+$F95*'25SolarCoords'!J$7)</f>
        <v>15.068140159176272</v>
      </c>
      <c r="O95" s="23">
        <f>$D95*COS($E95+$F95*'25SolarCoords'!K$7)</f>
        <v>9.1954920554187218</v>
      </c>
      <c r="P95" s="23">
        <f>$D95*COS($E95+$F95*'25SolarCoords'!L$7)</f>
        <v>-3.7535951164203851</v>
      </c>
      <c r="Q95" s="23">
        <f>$D95*COS($E95+$F95*'25SolarCoords'!M$7)</f>
        <v>14.447011441198809</v>
      </c>
      <c r="R95" s="23">
        <f>$D95*COS($E95+$F95*'25SolarCoords'!N$7)</f>
        <v>-12.914435708825993</v>
      </c>
      <c r="S95" s="23">
        <f>$D95*COS($E95+$F95*'25SolarCoords'!O$7)</f>
        <v>14.943651835198434</v>
      </c>
      <c r="T95" s="23">
        <f>$D95*COS($E95+$F95*'25SolarCoords'!P$7)</f>
        <v>13.883606187584132</v>
      </c>
      <c r="U95" s="23">
        <f>$D95*COS($E95+$F95*'25SolarCoords'!Q$7)</f>
        <v>-14.006859600507626</v>
      </c>
      <c r="V95" s="23">
        <f>$D95*COS($E95+$F95*'25SolarCoords'!R$7)</f>
        <v>-14.052059086115992</v>
      </c>
      <c r="W95" s="23">
        <f>$D95*COS($E95+$F95*'25SolarCoords'!S$7)</f>
        <v>-4.9877089125441652</v>
      </c>
      <c r="X95" s="23">
        <f>$D95*COS($E95+$F95*'25SolarCoords'!T$7)</f>
        <v>-14.312080153896323</v>
      </c>
      <c r="Y95" s="23">
        <f>$D95*COS($E95+$F95*'25SolarCoords'!U$7)</f>
        <v>-12.411801982185651</v>
      </c>
      <c r="Z95" s="23">
        <f>$D95*COS($E95+$F95*'25SolarCoords'!V$7)</f>
        <v>-13.062248935563064</v>
      </c>
      <c r="AA95" s="23">
        <f>$D95*COS($E95+$F95*'25SolarCoords'!W$7)</f>
        <v>11.627927115047378</v>
      </c>
      <c r="AB95" s="23">
        <f>$D95*COS($E95+$F95*'25SolarCoords'!X$7)</f>
        <v>-13.513362521487696</v>
      </c>
      <c r="AC95" s="23">
        <f>$D95*COS($E95+$F95*'25SolarCoords'!Y$7)</f>
        <v>-13.705736267906282</v>
      </c>
      <c r="AD95" s="23">
        <f>$D95*COS($E95+$F95*'25SolarCoords'!Z$7)</f>
        <v>-0.63928768262987812</v>
      </c>
      <c r="AE95" s="23">
        <f>$D95*COS($E95+$F95*'25SolarCoords'!AA$7)</f>
        <v>2.2918379258036277</v>
      </c>
      <c r="AF95" s="23">
        <f>$D95*COS($E95+$F95*'25SolarCoords'!AB$7)</f>
        <v>-6.4888414225534126</v>
      </c>
      <c r="AG95" s="23">
        <f>$D95*COS($E95+$F95*'25SolarCoords'!AC$7)</f>
        <v>15.97195657972132</v>
      </c>
      <c r="AH95" s="23">
        <f>$D95*COS($E95+$F95*'25SolarCoords'!AD$7)</f>
        <v>1.7076692728031524</v>
      </c>
      <c r="AI95" s="23">
        <f>$D95*COS($E95+$F95*'25SolarCoords'!AE$7)</f>
        <v>-13.856235355631938</v>
      </c>
      <c r="AJ95" s="23">
        <f>$D95*COS($E95+$F95*'25SolarCoords'!AF$7)</f>
        <v>7.3164930606774119</v>
      </c>
      <c r="AK95" s="23">
        <f>$D95*COS($E95+$F95*'25SolarCoords'!AG$7)</f>
        <v>1.2048496943964242</v>
      </c>
      <c r="AL95" s="23">
        <f>$D95*COS($E95+$F95*'25SolarCoords'!AH$7)</f>
        <v>4.1374308496437502</v>
      </c>
      <c r="AM95" s="23">
        <f>$D95*COS($E95+$F95*'25SolarCoords'!AI$7)</f>
        <v>-14.038469512257674</v>
      </c>
      <c r="AN95" s="23">
        <f>$D95*COS($E95+$F95*'25SolarCoords'!AJ$7)</f>
        <v>15.186542070461535</v>
      </c>
      <c r="AO95" s="23">
        <f>$D95*COS($E95+$F95*'25SolarCoords'!AK$7)</f>
        <v>14.795958715433883</v>
      </c>
      <c r="AP95" s="23">
        <f>$D95*COS($E95+$F95*'25SolarCoords'!AL$7)</f>
        <v>14.989289277522182</v>
      </c>
      <c r="AQ95" s="23">
        <f>$D95*COS($E95+$F95*'25SolarCoords'!AM$7)</f>
        <v>-1.5385408962026772</v>
      </c>
      <c r="AR95" s="23">
        <f>$D95*COS($E95+$F95*'25SolarCoords'!AN$7)</f>
        <v>-6.5293017086051641</v>
      </c>
      <c r="AS95" s="23">
        <f>$D95*COS($E95+$F95*'25SolarCoords'!AO$7)</f>
        <v>-14.73541478845133</v>
      </c>
      <c r="AT95" s="23">
        <f>$D95*COS($E95+$F95*'25SolarCoords'!AP$7)</f>
        <v>15.981971739615238</v>
      </c>
      <c r="AU95" s="23">
        <f>$D95*COS($E95+$F95*'25SolarCoords'!AQ$7)</f>
        <v>15.999710255443725</v>
      </c>
      <c r="AV95" s="23">
        <f>$D95*COS($E95+$F95*'25SolarCoords'!AR$7)</f>
        <v>15.990455844268077</v>
      </c>
      <c r="AW95" s="23">
        <f>$D95*COS($E95+$F95*'25SolarCoords'!AS$7)</f>
        <v>15.948301048404669</v>
      </c>
      <c r="AX95" s="23">
        <f>$D95*COS($E95+$F95*'25SolarCoords'!AT$7)</f>
        <v>15.778656750290725</v>
      </c>
      <c r="AY95" s="23">
        <f>$D95*COS($E95+$F95*'25SolarCoords'!AU$7)</f>
        <v>9.6828514504696432</v>
      </c>
      <c r="AZ95" s="23">
        <f>$D95*COS($E95+$F95*'25SolarCoords'!AV$7)</f>
        <v>-14.492298130672086</v>
      </c>
      <c r="BA95" s="23">
        <f>$D95*COS($E95+$F95*'25SolarCoords'!AW$7)</f>
        <v>15.738449988738086</v>
      </c>
      <c r="BB95" s="23">
        <f>$D95*COS($E95+$F95*'25SolarCoords'!AX$7)</f>
        <v>-10.397240470488322</v>
      </c>
      <c r="BC95" s="23">
        <f>$D95*COS($E95+$F95*'25SolarCoords'!AY$7)</f>
        <v>15.069043697429214</v>
      </c>
      <c r="BD95" s="23">
        <f>$D95*COS($E95+$F95*'25SolarCoords'!AZ$7)</f>
        <v>15.03718262138103</v>
      </c>
      <c r="BE95" s="23">
        <f>$D95*COS($E95+$F95*'25SolarCoords'!BA$7)</f>
        <v>15.004802371237208</v>
      </c>
      <c r="BF95" s="23">
        <f>$D95*COS($E95+$F95*'25SolarCoords'!BB$7)</f>
        <v>14.97190406495905</v>
      </c>
      <c r="BG95" s="23">
        <f>$D95*COS($E95+$F95*'25SolarCoords'!BC$7)</f>
        <v>14.938488838394159</v>
      </c>
      <c r="BH95" s="23">
        <f>$D95*COS($E95+$F95*'25SolarCoords'!BD$7)</f>
        <v>14.904557845237333</v>
      </c>
      <c r="BI95" s="23">
        <f>$D95*COS($E95+$F95*'25SolarCoords'!BE$7)</f>
        <v>14.870112256990828</v>
      </c>
      <c r="BJ95" s="23">
        <f>$D95*COS($E95+$F95*'25SolarCoords'!BF$7)</f>
        <v>14.835153262923813</v>
      </c>
      <c r="BK95" s="23">
        <f>$D95*COS($E95+$F95*'25SolarCoords'!BG$7)</f>
        <v>-13.849124149654617</v>
      </c>
    </row>
    <row r="96" spans="3:63" x14ac:dyDescent="0.25">
      <c r="C96">
        <f t="shared" si="2"/>
        <v>22</v>
      </c>
      <c r="D96">
        <v>15</v>
      </c>
      <c r="E96">
        <v>1.21</v>
      </c>
      <c r="F96">
        <v>10977.08</v>
      </c>
      <c r="H96" s="7"/>
      <c r="I96" s="23">
        <f>$D96*COS($E96+$F96*'25SolarCoords'!E$7)</f>
        <v>-11.816074448755444</v>
      </c>
      <c r="J96" s="23">
        <f>$D96*COS($E96+$F96*'25SolarCoords'!F$7)</f>
        <v>14.541501269200573</v>
      </c>
      <c r="K96" s="23">
        <f>$D96*COS($E96+$F96*'25SolarCoords'!G$7)</f>
        <v>5.295291018289956</v>
      </c>
      <c r="L96" s="23">
        <f>$D96*COS($E96+$F96*'25SolarCoords'!H$7)</f>
        <v>-14.091539725822418</v>
      </c>
      <c r="M96" s="23">
        <f>$D96*COS($E96+$F96*'25SolarCoords'!I$7)</f>
        <v>-11.909322291724981</v>
      </c>
      <c r="N96" s="23">
        <f>$D96*COS($E96+$F96*'25SolarCoords'!J$7)</f>
        <v>-3.766455552743083</v>
      </c>
      <c r="O96" s="23">
        <f>$D96*COS($E96+$F96*'25SolarCoords'!K$7)</f>
        <v>-8.8068683188866093</v>
      </c>
      <c r="P96" s="23">
        <f>$D96*COS($E96+$F96*'25SolarCoords'!L$7)</f>
        <v>14.50407123097728</v>
      </c>
      <c r="Q96" s="23">
        <f>$D96*COS($E96+$F96*'25SolarCoords'!M$7)</f>
        <v>-14.966207625941953</v>
      </c>
      <c r="R96" s="23">
        <f>$D96*COS($E96+$F96*'25SolarCoords'!N$7)</f>
        <v>-11.057498101889079</v>
      </c>
      <c r="S96" s="23">
        <f>$D96*COS($E96+$F96*'25SolarCoords'!O$7)</f>
        <v>10.419786384246786</v>
      </c>
      <c r="T96" s="23">
        <f>$D96*COS($E96+$F96*'25SolarCoords'!P$7)</f>
        <v>12.361815980422925</v>
      </c>
      <c r="U96" s="23">
        <f>$D96*COS($E96+$F96*'25SolarCoords'!Q$7)</f>
        <v>14.995243875250743</v>
      </c>
      <c r="V96" s="23">
        <f>$D96*COS($E96+$F96*'25SolarCoords'!R$7)</f>
        <v>14.999822079238427</v>
      </c>
      <c r="W96" s="23">
        <f>$D96*COS($E96+$F96*'25SolarCoords'!S$7)</f>
        <v>14.979683470882211</v>
      </c>
      <c r="X96" s="23">
        <f>$D96*COS($E96+$F96*'25SolarCoords'!T$7)</f>
        <v>-9.915910366808502</v>
      </c>
      <c r="Y96" s="23">
        <f>$D96*COS($E96+$F96*'25SolarCoords'!U$7)</f>
        <v>-13.641741487190062</v>
      </c>
      <c r="Z96" s="23">
        <f>$D96*COS($E96+$F96*'25SolarCoords'!V$7)</f>
        <v>14.962581085624542</v>
      </c>
      <c r="AA96" s="23">
        <f>$D96*COS($E96+$F96*'25SolarCoords'!W$7)</f>
        <v>14.355648906488195</v>
      </c>
      <c r="AB96" s="23">
        <f>$D96*COS($E96+$F96*'25SolarCoords'!X$7)</f>
        <v>-4.4899954654617531</v>
      </c>
      <c r="AC96" s="23">
        <f>$D96*COS($E96+$F96*'25SolarCoords'!Y$7)</f>
        <v>2.1866550060984058</v>
      </c>
      <c r="AD96" s="23">
        <f>$D96*COS($E96+$F96*'25SolarCoords'!Z$7)</f>
        <v>13.923145966933708</v>
      </c>
      <c r="AE96" s="23">
        <f>$D96*COS($E96+$F96*'25SolarCoords'!AA$7)</f>
        <v>5.5055750097762379</v>
      </c>
      <c r="AF96" s="23">
        <f>$D96*COS($E96+$F96*'25SolarCoords'!AB$7)</f>
        <v>-5.6138509550595854</v>
      </c>
      <c r="AG96" s="23">
        <f>$D96*COS($E96+$F96*'25SolarCoords'!AC$7)</f>
        <v>-2.2162585993895672</v>
      </c>
      <c r="AH96" s="23">
        <f>$D96*COS($E96+$F96*'25SolarCoords'!AD$7)</f>
        <v>1.0569184395373068</v>
      </c>
      <c r="AI96" s="23">
        <f>$D96*COS($E96+$F96*'25SolarCoords'!AE$7)</f>
        <v>0.77357674399298093</v>
      </c>
      <c r="AJ96" s="23">
        <f>$D96*COS($E96+$F96*'25SolarCoords'!AF$7)</f>
        <v>12.510100987654411</v>
      </c>
      <c r="AK96" s="23">
        <f>$D96*COS($E96+$F96*'25SolarCoords'!AG$7)</f>
        <v>-13.065596908390146</v>
      </c>
      <c r="AL96" s="23">
        <f>$D96*COS($E96+$F96*'25SolarCoords'!AH$7)</f>
        <v>7.5802901081517479E-3</v>
      </c>
      <c r="AM96" s="23">
        <f>$D96*COS($E96+$F96*'25SolarCoords'!AI$7)</f>
        <v>-8.8926290650706683</v>
      </c>
      <c r="AN96" s="23">
        <f>$D96*COS($E96+$F96*'25SolarCoords'!AJ$7)</f>
        <v>-14.566434901881198</v>
      </c>
      <c r="AO96" s="23">
        <f>$D96*COS($E96+$F96*'25SolarCoords'!AK$7)</f>
        <v>1.5926179943623906</v>
      </c>
      <c r="AP96" s="23">
        <f>$D96*COS($E96+$F96*'25SolarCoords'!AL$7)</f>
        <v>14.818338886205428</v>
      </c>
      <c r="AQ96" s="23">
        <f>$D96*COS($E96+$F96*'25SolarCoords'!AM$7)</f>
        <v>-0.15585786596695483</v>
      </c>
      <c r="AR96" s="23">
        <f>$D96*COS($E96+$F96*'25SolarCoords'!AN$7)</f>
        <v>-8.8646558704550298</v>
      </c>
      <c r="AS96" s="23">
        <f>$D96*COS($E96+$F96*'25SolarCoords'!AO$7)</f>
        <v>12.107056274199948</v>
      </c>
      <c r="AT96" s="23">
        <f>$D96*COS($E96+$F96*'25SolarCoords'!AP$7)</f>
        <v>12.547489341178601</v>
      </c>
      <c r="AU96" s="23">
        <f>$D96*COS($E96+$F96*'25SolarCoords'!AQ$7)</f>
        <v>13.99633364360748</v>
      </c>
      <c r="AV96" s="23">
        <f>$D96*COS($E96+$F96*'25SolarCoords'!AR$7)</f>
        <v>14.807368602434085</v>
      </c>
      <c r="AW96" s="23">
        <f>$D96*COS($E96+$F96*'25SolarCoords'!AS$7)</f>
        <v>14.958758774310224</v>
      </c>
      <c r="AX96" s="23">
        <f>$D96*COS($E96+$F96*'25SolarCoords'!AT$7)</f>
        <v>13.057018099458073</v>
      </c>
      <c r="AY96" s="23">
        <f>$D96*COS($E96+$F96*'25SolarCoords'!AU$7)</f>
        <v>-0.42341574420264216</v>
      </c>
      <c r="AZ96" s="23">
        <f>$D96*COS($E96+$F96*'25SolarCoords'!AV$7)</f>
        <v>11.256873812133311</v>
      </c>
      <c r="BA96" s="23">
        <f>$D96*COS($E96+$F96*'25SolarCoords'!AW$7)</f>
        <v>-8.6759631545669151</v>
      </c>
      <c r="BB96" s="23">
        <f>$D96*COS($E96+$F96*'25SolarCoords'!AX$7)</f>
        <v>-13.659674918793566</v>
      </c>
      <c r="BC96" s="23">
        <f>$D96*COS($E96+$F96*'25SolarCoords'!AY$7)</f>
        <v>2.3089408256447888</v>
      </c>
      <c r="BD96" s="23">
        <f>$D96*COS($E96+$F96*'25SolarCoords'!AZ$7)</f>
        <v>1.8625338587796947</v>
      </c>
      <c r="BE96" s="23">
        <f>$D96*COS($E96+$F96*'25SolarCoords'!BA$7)</f>
        <v>1.4144447420022994</v>
      </c>
      <c r="BF96" s="23">
        <f>$D96*COS($E96+$F96*'25SolarCoords'!BB$7)</f>
        <v>0.96507816759119613</v>
      </c>
      <c r="BG96" s="23">
        <f>$D96*COS($E96+$F96*'25SolarCoords'!BC$7)</f>
        <v>0.51483998155955812</v>
      </c>
      <c r="BH96" s="23">
        <f>$D96*COS($E96+$F96*'25SolarCoords'!BD$7)</f>
        <v>6.4136817119440831E-2</v>
      </c>
      <c r="BI96" s="23">
        <f>$D96*COS($E96+$F96*'25SolarCoords'!BE$7)</f>
        <v>-0.38662427257123561</v>
      </c>
      <c r="BJ96" s="23">
        <f>$D96*COS($E96+$F96*'25SolarCoords'!BF$7)</f>
        <v>-0.83703618204056329</v>
      </c>
      <c r="BK96" s="23">
        <f>$D96*COS($E96+$F96*'25SolarCoords'!BG$7)</f>
        <v>0.84162023004997977</v>
      </c>
    </row>
    <row r="97" spans="2:63" x14ac:dyDescent="0.25">
      <c r="C97">
        <f t="shared" si="2"/>
        <v>23</v>
      </c>
      <c r="D97">
        <v>12</v>
      </c>
      <c r="E97">
        <v>2.83</v>
      </c>
      <c r="F97">
        <v>1748.02</v>
      </c>
      <c r="H97" s="7"/>
      <c r="I97" s="23">
        <f>$D97*COS($E97+$F97*'25SolarCoords'!E$7)</f>
        <v>-3.8097117741138233</v>
      </c>
      <c r="J97" s="23">
        <f>$D97*COS($E97+$F97*'25SolarCoords'!F$7)</f>
        <v>-2.8933287862618702</v>
      </c>
      <c r="K97" s="23">
        <f>$D97*COS($E97+$F97*'25SolarCoords'!G$7)</f>
        <v>-11.422158114482908</v>
      </c>
      <c r="L97" s="23">
        <f>$D97*COS($E97+$F97*'25SolarCoords'!H$7)</f>
        <v>5.6476459856925993</v>
      </c>
      <c r="M97" s="23">
        <f>$D97*COS($E97+$F97*'25SolarCoords'!I$7)</f>
        <v>7.2558066264124772</v>
      </c>
      <c r="N97" s="23">
        <f>$D97*COS($E97+$F97*'25SolarCoords'!J$7)</f>
        <v>11.670997545409982</v>
      </c>
      <c r="O97" s="23">
        <f>$D97*COS($E97+$F97*'25SolarCoords'!K$7)</f>
        <v>8.1395602598117236</v>
      </c>
      <c r="P97" s="23">
        <f>$D97*COS($E97+$F97*'25SolarCoords'!L$7)</f>
        <v>0.64638329436686892</v>
      </c>
      <c r="Q97" s="23">
        <f>$D97*COS($E97+$F97*'25SolarCoords'!M$7)</f>
        <v>-8.2042827052410416</v>
      </c>
      <c r="R97" s="23">
        <f>$D97*COS($E97+$F97*'25SolarCoords'!N$7)</f>
        <v>5.7874350869129376</v>
      </c>
      <c r="S97" s="23">
        <f>$D97*COS($E97+$F97*'25SolarCoords'!O$7)</f>
        <v>-11.363214661513307</v>
      </c>
      <c r="T97" s="23">
        <f>$D97*COS($E97+$F97*'25SolarCoords'!P$7)</f>
        <v>11.927786400455217</v>
      </c>
      <c r="U97" s="23">
        <f>$D97*COS($E97+$F97*'25SolarCoords'!Q$7)</f>
        <v>9.4183579722489608</v>
      </c>
      <c r="V97" s="23">
        <f>$D97*COS($E97+$F97*'25SolarCoords'!R$7)</f>
        <v>9.3826627662089006</v>
      </c>
      <c r="W97" s="23">
        <f>$D97*COS($E97+$F97*'25SolarCoords'!S$7)</f>
        <v>11.972611882873895</v>
      </c>
      <c r="X97" s="23">
        <f>$D97*COS($E97+$F97*'25SolarCoords'!T$7)</f>
        <v>9.0904182275499341</v>
      </c>
      <c r="Y97" s="23">
        <f>$D97*COS($E97+$F97*'25SolarCoords'!U$7)</f>
        <v>-0.88939868017040136</v>
      </c>
      <c r="Z97" s="23">
        <f>$D97*COS($E97+$F97*'25SolarCoords'!V$7)</f>
        <v>7.5627858786723765</v>
      </c>
      <c r="AA97" s="23">
        <f>$D97*COS($E97+$F97*'25SolarCoords'!W$7)</f>
        <v>10.089161097861655</v>
      </c>
      <c r="AB97" s="23">
        <f>$D97*COS($E97+$F97*'25SolarCoords'!X$7)</f>
        <v>-3.8564278470097171</v>
      </c>
      <c r="AC97" s="23">
        <f>$D97*COS($E97+$F97*'25SolarCoords'!Y$7)</f>
        <v>10.285030742673117</v>
      </c>
      <c r="AD97" s="23">
        <f>$D97*COS($E97+$F97*'25SolarCoords'!Z$7)</f>
        <v>-4.3407900791017653</v>
      </c>
      <c r="AE97" s="23">
        <f>$D97*COS($E97+$F97*'25SolarCoords'!AA$7)</f>
        <v>-11.413322148779304</v>
      </c>
      <c r="AF97" s="23">
        <f>$D97*COS($E97+$F97*'25SolarCoords'!AB$7)</f>
        <v>2.9868336410843632</v>
      </c>
      <c r="AG97" s="23">
        <f>$D97*COS($E97+$F97*'25SolarCoords'!AC$7)</f>
        <v>-10.814828908686275</v>
      </c>
      <c r="AH97" s="23">
        <f>$D97*COS($E97+$F97*'25SolarCoords'!AD$7)</f>
        <v>3.9323272832602241</v>
      </c>
      <c r="AI97" s="23">
        <f>$D97*COS($E97+$F97*'25SolarCoords'!AE$7)</f>
        <v>10.190633569821999</v>
      </c>
      <c r="AJ97" s="23">
        <f>$D97*COS($E97+$F97*'25SolarCoords'!AF$7)</f>
        <v>-11.991520514241644</v>
      </c>
      <c r="AK97" s="23">
        <f>$D97*COS($E97+$F97*'25SolarCoords'!AG$7)</f>
        <v>-11.217897314505594</v>
      </c>
      <c r="AL97" s="23">
        <f>$D97*COS($E97+$F97*'25SolarCoords'!AH$7)</f>
        <v>11.98208958643308</v>
      </c>
      <c r="AM97" s="23">
        <f>$D97*COS($E97+$F97*'25SolarCoords'!AI$7)</f>
        <v>-3.2531441673650505</v>
      </c>
      <c r="AN97" s="23">
        <f>$D97*COS($E97+$F97*'25SolarCoords'!AJ$7)</f>
        <v>-9.9436126906706885</v>
      </c>
      <c r="AO97" s="23">
        <f>$D97*COS($E97+$F97*'25SolarCoords'!AK$7)</f>
        <v>4.9501178013565408</v>
      </c>
      <c r="AP97" s="23">
        <f>$D97*COS($E97+$F97*'25SolarCoords'!AL$7)</f>
        <v>8.0989953710446869</v>
      </c>
      <c r="AQ97" s="23">
        <f>$D97*COS($E97+$F97*'25SolarCoords'!AM$7)</f>
        <v>0.62548916738129157</v>
      </c>
      <c r="AR97" s="23">
        <f>$D97*COS($E97+$F97*'25SolarCoords'!AN$7)</f>
        <v>-11.873284262617892</v>
      </c>
      <c r="AS97" s="23">
        <f>$D97*COS($E97+$F97*'25SolarCoords'!AO$7)</f>
        <v>-5.6606162587009479</v>
      </c>
      <c r="AT97" s="23">
        <f>$D97*COS($E97+$F97*'25SolarCoords'!AP$7)</f>
        <v>1.8587777127336866</v>
      </c>
      <c r="AU97" s="23">
        <f>$D97*COS($E97+$F97*'25SolarCoords'!AQ$7)</f>
        <v>2.2579507502030585</v>
      </c>
      <c r="AV97" s="23">
        <f>$D97*COS($E97+$F97*'25SolarCoords'!AR$7)</f>
        <v>2.6459922158403089</v>
      </c>
      <c r="AW97" s="23">
        <f>$D97*COS($E97+$F97*'25SolarCoords'!AS$7)</f>
        <v>3.0813214491641499</v>
      </c>
      <c r="AX97" s="23">
        <f>$D97*COS($E97+$F97*'25SolarCoords'!AT$7)</f>
        <v>3.8865617007462951</v>
      </c>
      <c r="AY97" s="23">
        <f>$D97*COS($E97+$F97*'25SolarCoords'!AU$7)</f>
        <v>11.314607400485727</v>
      </c>
      <c r="AZ97" s="23">
        <f>$D97*COS($E97+$F97*'25SolarCoords'!AV$7)</f>
        <v>3.7848956530395346</v>
      </c>
      <c r="BA97" s="23">
        <f>$D97*COS($E97+$F97*'25SolarCoords'!AW$7)</f>
        <v>-8.207597659922083</v>
      </c>
      <c r="BB97" s="23">
        <f>$D97*COS($E97+$F97*'25SolarCoords'!AX$7)</f>
        <v>-10.953675912196658</v>
      </c>
      <c r="BC97" s="23">
        <f>$D97*COS($E97+$F97*'25SolarCoords'!AY$7)</f>
        <v>5.4710051994179514</v>
      </c>
      <c r="BD97" s="23">
        <f>$D97*COS($E97+$F97*'25SolarCoords'!AZ$7)</f>
        <v>5.5220561634157797</v>
      </c>
      <c r="BE97" s="23">
        <f>$D97*COS($E97+$F97*'25SolarCoords'!BA$7)</f>
        <v>5.5729806501864667</v>
      </c>
      <c r="BF97" s="23">
        <f>$D97*COS($E97+$F97*'25SolarCoords'!BB$7)</f>
        <v>5.6237774933549289</v>
      </c>
      <c r="BG97" s="23">
        <f>$D97*COS($E97+$F97*'25SolarCoords'!BC$7)</f>
        <v>5.6744455294698586</v>
      </c>
      <c r="BH97" s="23">
        <f>$D97*COS($E97+$F97*'25SolarCoords'!BD$7)</f>
        <v>5.724983598030148</v>
      </c>
      <c r="BI97" s="23">
        <f>$D97*COS($E97+$F97*'25SolarCoords'!BE$7)</f>
        <v>5.7753905415112401</v>
      </c>
      <c r="BJ97" s="23">
        <f>$D97*COS($E97+$F97*'25SolarCoords'!BF$7)</f>
        <v>5.8256652053921689</v>
      </c>
      <c r="BK97" s="23">
        <f>$D97*COS($E97+$F97*'25SolarCoords'!BG$7)</f>
        <v>10.195214788015136</v>
      </c>
    </row>
    <row r="98" spans="2:63" x14ac:dyDescent="0.25">
      <c r="C98">
        <f t="shared" si="2"/>
        <v>24</v>
      </c>
      <c r="D98">
        <v>12</v>
      </c>
      <c r="E98">
        <v>3.26</v>
      </c>
      <c r="F98">
        <v>5088.63</v>
      </c>
      <c r="H98" s="7"/>
      <c r="I98" s="23">
        <f>$D98*COS($E98+$F98*'25SolarCoords'!E$7)</f>
        <v>-4.2989574297720976</v>
      </c>
      <c r="J98" s="23">
        <f>$D98*COS($E98+$F98*'25SolarCoords'!F$7)</f>
        <v>-11.694428024872598</v>
      </c>
      <c r="K98" s="23">
        <f>$D98*COS($E98+$F98*'25SolarCoords'!G$7)</f>
        <v>-11.915976440377113</v>
      </c>
      <c r="L98" s="23">
        <f>$D98*COS($E98+$F98*'25SolarCoords'!H$7)</f>
        <v>-3.1002327198350037</v>
      </c>
      <c r="M98" s="23">
        <f>$D98*COS($E98+$F98*'25SolarCoords'!I$7)</f>
        <v>11.46966280011916</v>
      </c>
      <c r="N98" s="23">
        <f>$D98*COS($E98+$F98*'25SolarCoords'!J$7)</f>
        <v>-7.9741606998231562</v>
      </c>
      <c r="O98" s="23">
        <f>$D98*COS($E98+$F98*'25SolarCoords'!K$7)</f>
        <v>7.4628108066234571</v>
      </c>
      <c r="P98" s="23">
        <f>$D98*COS($E98+$F98*'25SolarCoords'!L$7)</f>
        <v>5.2979373401497067</v>
      </c>
      <c r="Q98" s="23">
        <f>$D98*COS($E98+$F98*'25SolarCoords'!M$7)</f>
        <v>-11.7598841655537</v>
      </c>
      <c r="R98" s="23">
        <f>$D98*COS($E98+$F98*'25SolarCoords'!N$7)</f>
        <v>-10.788204512745647</v>
      </c>
      <c r="S98" s="23">
        <f>$D98*COS($E98+$F98*'25SolarCoords'!O$7)</f>
        <v>-8.8229938116346904</v>
      </c>
      <c r="T98" s="23">
        <f>$D98*COS($E98+$F98*'25SolarCoords'!P$7)</f>
        <v>8.6042324189103567</v>
      </c>
      <c r="U98" s="23">
        <f>$D98*COS($E98+$F98*'25SolarCoords'!Q$7)</f>
        <v>11.893513570891926</v>
      </c>
      <c r="V98" s="23">
        <f>$D98*COS($E98+$F98*'25SolarCoords'!R$7)</f>
        <v>11.914581365904988</v>
      </c>
      <c r="W98" s="23">
        <f>$D98*COS($E98+$F98*'25SolarCoords'!S$7)</f>
        <v>-6.0279275908703003</v>
      </c>
      <c r="X98" s="23">
        <f>$D98*COS($E98+$F98*'25SolarCoords'!T$7)</f>
        <v>11.702216053654181</v>
      </c>
      <c r="Y98" s="23">
        <f>$D98*COS($E98+$F98*'25SolarCoords'!U$7)</f>
        <v>-9.5767760251079697</v>
      </c>
      <c r="Z98" s="23">
        <f>$D98*COS($E98+$F98*'25SolarCoords'!V$7)</f>
        <v>-8.2714429395732125</v>
      </c>
      <c r="AA98" s="23">
        <f>$D98*COS($E98+$F98*'25SolarCoords'!W$7)</f>
        <v>3.0310922349730776</v>
      </c>
      <c r="AB98" s="23">
        <f>$D98*COS($E98+$F98*'25SolarCoords'!X$7)</f>
        <v>-1.1187451639590591</v>
      </c>
      <c r="AC98" s="23">
        <f>$D98*COS($E98+$F98*'25SolarCoords'!Y$7)</f>
        <v>11.984558730982625</v>
      </c>
      <c r="AD98" s="23">
        <f>$D98*COS($E98+$F98*'25SolarCoords'!Z$7)</f>
        <v>6.9010719889095968</v>
      </c>
      <c r="AE98" s="23">
        <f>$D98*COS($E98+$F98*'25SolarCoords'!AA$7)</f>
        <v>-11.925561983594845</v>
      </c>
      <c r="AF98" s="23">
        <f>$D98*COS($E98+$F98*'25SolarCoords'!AB$7)</f>
        <v>-6.2083791781445701</v>
      </c>
      <c r="AG98" s="23">
        <f>$D98*COS($E98+$F98*'25SolarCoords'!AC$7)</f>
        <v>-9.8980129393277672</v>
      </c>
      <c r="AH98" s="23">
        <f>$D98*COS($E98+$F98*'25SolarCoords'!AD$7)</f>
        <v>11.469288959654255</v>
      </c>
      <c r="AI98" s="23">
        <f>$D98*COS($E98+$F98*'25SolarCoords'!AE$7)</f>
        <v>11.999719786416417</v>
      </c>
      <c r="AJ98" s="23">
        <f>$D98*COS($E98+$F98*'25SolarCoords'!AF$7)</f>
        <v>5.3554548737084424</v>
      </c>
      <c r="AK98" s="23">
        <f>$D98*COS($E98+$F98*'25SolarCoords'!AG$7)</f>
        <v>-5.5919197137599426</v>
      </c>
      <c r="AL98" s="23">
        <f>$D98*COS($E98+$F98*'25SolarCoords'!AH$7)</f>
        <v>-7.6599942328748245</v>
      </c>
      <c r="AM98" s="23">
        <f>$D98*COS($E98+$F98*'25SolarCoords'!AI$7)</f>
        <v>0.71821044424259139</v>
      </c>
      <c r="AN98" s="23">
        <f>$D98*COS($E98+$F98*'25SolarCoords'!AJ$7)</f>
        <v>8.9354583689453726</v>
      </c>
      <c r="AO98" s="23">
        <f>$D98*COS($E98+$F98*'25SolarCoords'!AK$7)</f>
        <v>8.6022869706419964</v>
      </c>
      <c r="AP98" s="23">
        <f>$D98*COS($E98+$F98*'25SolarCoords'!AL$7)</f>
        <v>11.99977251344778</v>
      </c>
      <c r="AQ98" s="23">
        <f>$D98*COS($E98+$F98*'25SolarCoords'!AM$7)</f>
        <v>11.739480305403227</v>
      </c>
      <c r="AR98" s="23">
        <f>$D98*COS($E98+$F98*'25SolarCoords'!AN$7)</f>
        <v>-1.4590799696062882</v>
      </c>
      <c r="AS98" s="23">
        <f>$D98*COS($E98+$F98*'25SolarCoords'!AO$7)</f>
        <v>-9.6500917534631832</v>
      </c>
      <c r="AT98" s="23">
        <f>$D98*COS($E98+$F98*'25SolarCoords'!AP$7)</f>
        <v>10.842809495388529</v>
      </c>
      <c r="AU98" s="23">
        <f>$D98*COS($E98+$F98*'25SolarCoords'!AQ$7)</f>
        <v>11.295035732074808</v>
      </c>
      <c r="AV98" s="23">
        <f>$D98*COS($E98+$F98*'25SolarCoords'!AR$7)</f>
        <v>11.63196212506495</v>
      </c>
      <c r="AW98" s="23">
        <f>$D98*COS($E98+$F98*'25SolarCoords'!AS$7)</f>
        <v>11.883344529012216</v>
      </c>
      <c r="AX98" s="23">
        <f>$D98*COS($E98+$F98*'25SolarCoords'!AT$7)</f>
        <v>11.974938984906924</v>
      </c>
      <c r="AY98" s="23">
        <f>$D98*COS($E98+$F98*'25SolarCoords'!AU$7)</f>
        <v>11.962651829018528</v>
      </c>
      <c r="AZ98" s="23">
        <f>$D98*COS($E98+$F98*'25SolarCoords'!AV$7)</f>
        <v>-8.2928656495789976</v>
      </c>
      <c r="BA98" s="23">
        <f>$D98*COS($E98+$F98*'25SolarCoords'!AW$7)</f>
        <v>8.9973395807405296</v>
      </c>
      <c r="BB98" s="23">
        <f>$D98*COS($E98+$F98*'25SolarCoords'!AX$7)</f>
        <v>10.696710151668254</v>
      </c>
      <c r="BC98" s="23">
        <f>$D98*COS($E98+$F98*'25SolarCoords'!AY$7)</f>
        <v>10.629512382198325</v>
      </c>
      <c r="BD98" s="23">
        <f>$D98*COS($E98+$F98*'25SolarCoords'!AZ$7)</f>
        <v>10.550896888150806</v>
      </c>
      <c r="BE98" s="23">
        <f>$D98*COS($E98+$F98*'25SolarCoords'!BA$7)</f>
        <v>10.470233518119501</v>
      </c>
      <c r="BF98" s="23">
        <f>$D98*COS($E98+$F98*'25SolarCoords'!BB$7)</f>
        <v>10.387537928458725</v>
      </c>
      <c r="BG98" s="23">
        <f>$D98*COS($E98+$F98*'25SolarCoords'!BC$7)</f>
        <v>10.302826169966146</v>
      </c>
      <c r="BH98" s="23">
        <f>$D98*COS($E98+$F98*'25SolarCoords'!BD$7)</f>
        <v>10.216114684767643</v>
      </c>
      <c r="BI98" s="23">
        <f>$D98*COS($E98+$F98*'25SolarCoords'!BE$7)</f>
        <v>10.127420303126259</v>
      </c>
      <c r="BJ98" s="23">
        <f>$D98*COS($E98+$F98*'25SolarCoords'!BF$7)</f>
        <v>10.036760240175077</v>
      </c>
      <c r="BK98" s="23">
        <f>$D98*COS($E98+$F98*'25SolarCoords'!BG$7)</f>
        <v>11.999520479819227</v>
      </c>
    </row>
    <row r="99" spans="2:63" x14ac:dyDescent="0.25">
      <c r="C99">
        <f t="shared" si="2"/>
        <v>25</v>
      </c>
      <c r="D99">
        <v>12</v>
      </c>
      <c r="E99">
        <v>5.27</v>
      </c>
      <c r="F99">
        <v>1194.45</v>
      </c>
      <c r="H99" s="7"/>
      <c r="I99" s="23">
        <f>$D99*COS($E99+$F99*'25SolarCoords'!E$7)</f>
        <v>4.3146745620388165</v>
      </c>
      <c r="J99" s="23">
        <f>$D99*COS($E99+$F99*'25SolarCoords'!F$7)</f>
        <v>11.591724440539227</v>
      </c>
      <c r="K99" s="23">
        <f>$D99*COS($E99+$F99*'25SolarCoords'!G$7)</f>
        <v>6.349927298468339</v>
      </c>
      <c r="L99" s="23">
        <f>$D99*COS($E99+$F99*'25SolarCoords'!H$7)</f>
        <v>-7.1437694566770276</v>
      </c>
      <c r="M99" s="23">
        <f>$D99*COS($E99+$F99*'25SolarCoords'!I$7)</f>
        <v>-8.7895551215453622</v>
      </c>
      <c r="N99" s="23">
        <f>$D99*COS($E99+$F99*'25SolarCoords'!J$7)</f>
        <v>-11.534036178742298</v>
      </c>
      <c r="O99" s="23">
        <f>$D99*COS($E99+$F99*'25SolarCoords'!K$7)</f>
        <v>-10.832522367939264</v>
      </c>
      <c r="P99" s="23">
        <f>$D99*COS($E99+$F99*'25SolarCoords'!L$7)</f>
        <v>-7.2954369788603621</v>
      </c>
      <c r="Q99" s="23">
        <f>$D99*COS($E99+$F99*'25SolarCoords'!M$7)</f>
        <v>5.6979193399831543</v>
      </c>
      <c r="R99" s="23">
        <f>$D99*COS($E99+$F99*'25SolarCoords'!N$7)</f>
        <v>3.6363529044347862</v>
      </c>
      <c r="S99" s="23">
        <f>$D99*COS($E99+$F99*'25SolarCoords'!O$7)</f>
        <v>11.971201614287649</v>
      </c>
      <c r="T99" s="23">
        <f>$D99*COS($E99+$F99*'25SolarCoords'!P$7)</f>
        <v>4.275295244250052</v>
      </c>
      <c r="U99" s="23">
        <f>$D99*COS($E99+$F99*'25SolarCoords'!Q$7)</f>
        <v>-11.346384671504364</v>
      </c>
      <c r="V99" s="23">
        <f>$D99*COS($E99+$F99*'25SolarCoords'!R$7)</f>
        <v>-11.359098617904703</v>
      </c>
      <c r="W99" s="23">
        <f>$D99*COS($E99+$F99*'25SolarCoords'!S$7)</f>
        <v>-7.7590030021893153</v>
      </c>
      <c r="X99" s="23">
        <f>$D99*COS($E99+$F99*'25SolarCoords'!T$7)</f>
        <v>-10.918301176339998</v>
      </c>
      <c r="Y99" s="23">
        <f>$D99*COS($E99+$F99*'25SolarCoords'!U$7)</f>
        <v>-11.735951859999808</v>
      </c>
      <c r="Z99" s="23">
        <f>$D99*COS($E99+$F99*'25SolarCoords'!V$7)</f>
        <v>8.5762390563243649</v>
      </c>
      <c r="AA99" s="23">
        <f>$D99*COS($E99+$F99*'25SolarCoords'!W$7)</f>
        <v>-10.472130057164215</v>
      </c>
      <c r="AB99" s="23">
        <f>$D99*COS($E99+$F99*'25SolarCoords'!X$7)</f>
        <v>-8.2558901504299502</v>
      </c>
      <c r="AC99" s="23">
        <f>$D99*COS($E99+$F99*'25SolarCoords'!Y$7)</f>
        <v>-11.976024567301295</v>
      </c>
      <c r="AD99" s="23">
        <f>$D99*COS($E99+$F99*'25SolarCoords'!Z$7)</f>
        <v>3.4923133975929472</v>
      </c>
      <c r="AE99" s="23">
        <f>$D99*COS($E99+$F99*'25SolarCoords'!AA$7)</f>
        <v>6.3332696719080142</v>
      </c>
      <c r="AF99" s="23">
        <f>$D99*COS($E99+$F99*'25SolarCoords'!AB$7)</f>
        <v>4.5774978328137195</v>
      </c>
      <c r="AG99" s="23">
        <f>$D99*COS($E99+$F99*'25SolarCoords'!AC$7)</f>
        <v>5.210009186564581</v>
      </c>
      <c r="AH99" s="23">
        <f>$D99*COS($E99+$F99*'25SolarCoords'!AD$7)</f>
        <v>-8.9739660557550636</v>
      </c>
      <c r="AI99" s="23">
        <f>$D99*COS($E99+$F99*'25SolarCoords'!AE$7)</f>
        <v>-11.983201583009489</v>
      </c>
      <c r="AJ99" s="23">
        <f>$D99*COS($E99+$F99*'25SolarCoords'!AF$7)</f>
        <v>-11.999133488650809</v>
      </c>
      <c r="AK99" s="23">
        <f>$D99*COS($E99+$F99*'25SolarCoords'!AG$7)</f>
        <v>-11.735475032298085</v>
      </c>
      <c r="AL99" s="23">
        <f>$D99*COS($E99+$F99*'25SolarCoords'!AH$7)</f>
        <v>6.5314066811977689</v>
      </c>
      <c r="AM99" s="23">
        <f>$D99*COS($E99+$F99*'25SolarCoords'!AI$7)</f>
        <v>-7.9373454992303865</v>
      </c>
      <c r="AN99" s="23">
        <f>$D99*COS($E99+$F99*'25SolarCoords'!AJ$7)</f>
        <v>-10.838099319210606</v>
      </c>
      <c r="AO99" s="23">
        <f>$D99*COS($E99+$F99*'25SolarCoords'!AK$7)</f>
        <v>0.70909456598417275</v>
      </c>
      <c r="AP99" s="23">
        <f>$D99*COS($E99+$F99*'25SolarCoords'!AL$7)</f>
        <v>10.723250474673563</v>
      </c>
      <c r="AQ99" s="23">
        <f>$D99*COS($E99+$F99*'25SolarCoords'!AM$7)</f>
        <v>11.954345626155785</v>
      </c>
      <c r="AR99" s="23">
        <f>$D99*COS($E99+$F99*'25SolarCoords'!AN$7)</f>
        <v>9.1713095348305789</v>
      </c>
      <c r="AS99" s="23">
        <f>$D99*COS($E99+$F99*'25SolarCoords'!AO$7)</f>
        <v>5.8827084831127516</v>
      </c>
      <c r="AT99" s="23">
        <f>$D99*COS($E99+$F99*'25SolarCoords'!AP$7)</f>
        <v>6.4126055179181476</v>
      </c>
      <c r="AU99" s="23">
        <f>$D99*COS($E99+$F99*'25SolarCoords'!AQ$7)</f>
        <v>6.1768895500248373</v>
      </c>
      <c r="AV99" s="23">
        <f>$D99*COS($E99+$F99*'25SolarCoords'!AR$7)</f>
        <v>5.9430945379503344</v>
      </c>
      <c r="AW99" s="23">
        <f>$D99*COS($E99+$F99*'25SolarCoords'!AS$7)</f>
        <v>5.6750567521631021</v>
      </c>
      <c r="AX99" s="23">
        <f>$D99*COS($E99+$F99*'25SolarCoords'!AT$7)</f>
        <v>5.1619654146494955</v>
      </c>
      <c r="AY99" s="23">
        <f>$D99*COS($E99+$F99*'25SolarCoords'!AU$7)</f>
        <v>2.5954367229930488</v>
      </c>
      <c r="AZ99" s="23">
        <f>$D99*COS($E99+$F99*'25SolarCoords'!AV$7)</f>
        <v>-9.4838768484000955</v>
      </c>
      <c r="BA99" s="23">
        <f>$D99*COS($E99+$F99*'25SolarCoords'!AW$7)</f>
        <v>-11.939623194731535</v>
      </c>
      <c r="BB99" s="23">
        <f>$D99*COS($E99+$F99*'25SolarCoords'!AX$7)</f>
        <v>-2.3526866093714682</v>
      </c>
      <c r="BC99" s="23">
        <f>$D99*COS($E99+$F99*'25SolarCoords'!AY$7)</f>
        <v>4.0760558739633082</v>
      </c>
      <c r="BD99" s="23">
        <f>$D99*COS($E99+$F99*'25SolarCoords'!AZ$7)</f>
        <v>4.0391246405974197</v>
      </c>
      <c r="BE99" s="23">
        <f>$D99*COS($E99+$F99*'25SolarCoords'!BA$7)</f>
        <v>4.0021502113471659</v>
      </c>
      <c r="BF99" s="23">
        <f>$D99*COS($E99+$F99*'25SolarCoords'!BB$7)</f>
        <v>3.9651329816309309</v>
      </c>
      <c r="BG99" s="23">
        <f>$D99*COS($E99+$F99*'25SolarCoords'!BC$7)</f>
        <v>3.928073347324502</v>
      </c>
      <c r="BH99" s="23">
        <f>$D99*COS($E99+$F99*'25SolarCoords'!BD$7)</f>
        <v>3.8909717047572352</v>
      </c>
      <c r="BI99" s="23">
        <f>$D99*COS($E99+$F99*'25SolarCoords'!BE$7)</f>
        <v>3.8538284507077405</v>
      </c>
      <c r="BJ99" s="23">
        <f>$D99*COS($E99+$F99*'25SolarCoords'!BF$7)</f>
        <v>3.8166439823997149</v>
      </c>
      <c r="BK99" s="23">
        <f>$D99*COS($E99+$F99*'25SolarCoords'!BG$7)</f>
        <v>-11.982886360870436</v>
      </c>
    </row>
    <row r="100" spans="2:63" x14ac:dyDescent="0.25">
      <c r="C100">
        <f t="shared" si="2"/>
        <v>26</v>
      </c>
      <c r="D100">
        <v>12</v>
      </c>
      <c r="E100">
        <v>2.08</v>
      </c>
      <c r="F100">
        <v>4694</v>
      </c>
      <c r="H100" s="7"/>
      <c r="I100" s="23">
        <f>$D100*COS($E100+$F100*'25SolarCoords'!E$7)</f>
        <v>1.7715360758376124</v>
      </c>
      <c r="J100" s="23">
        <f>$D100*COS($E100+$F100*'25SolarCoords'!F$7)</f>
        <v>11.601130209084058</v>
      </c>
      <c r="K100" s="23">
        <f>$D100*COS($E100+$F100*'25SolarCoords'!G$7)</f>
        <v>-5.8497852280123128</v>
      </c>
      <c r="L100" s="23">
        <f>$D100*COS($E100+$F100*'25SolarCoords'!H$7)</f>
        <v>-10.387615615800804</v>
      </c>
      <c r="M100" s="23">
        <f>$D100*COS($E100+$F100*'25SolarCoords'!I$7)</f>
        <v>-5.6645554504307674</v>
      </c>
      <c r="N100" s="23">
        <f>$D100*COS($E100+$F100*'25SolarCoords'!J$7)</f>
        <v>11.715410486747993</v>
      </c>
      <c r="O100" s="23">
        <f>$D100*COS($E100+$F100*'25SolarCoords'!K$7)</f>
        <v>-10.454061655504193</v>
      </c>
      <c r="P100" s="23">
        <f>$D100*COS($E100+$F100*'25SolarCoords'!L$7)</f>
        <v>-2.7003274825685626</v>
      </c>
      <c r="Q100" s="23">
        <f>$D100*COS($E100+$F100*'25SolarCoords'!M$7)</f>
        <v>-8.4994136437863368</v>
      </c>
      <c r="R100" s="23">
        <f>$D100*COS($E100+$F100*'25SolarCoords'!N$7)</f>
        <v>-11.98893715864808</v>
      </c>
      <c r="S100" s="23">
        <f>$D100*COS($E100+$F100*'25SolarCoords'!O$7)</f>
        <v>-0.25607284708368927</v>
      </c>
      <c r="T100" s="23">
        <f>$D100*COS($E100+$F100*'25SolarCoords'!P$7)</f>
        <v>-2.6178644359370944</v>
      </c>
      <c r="U100" s="23">
        <f>$D100*COS($E100+$F100*'25SolarCoords'!Q$7)</f>
        <v>10.981736729716889</v>
      </c>
      <c r="V100" s="23">
        <f>$D100*COS($E100+$F100*'25SolarCoords'!R$7)</f>
        <v>10.918662516798548</v>
      </c>
      <c r="W100" s="23">
        <f>$D100*COS($E100+$F100*'25SolarCoords'!S$7)</f>
        <v>-11.750964776384665</v>
      </c>
      <c r="X100" s="23">
        <f>$D100*COS($E100+$F100*'25SolarCoords'!T$7)</f>
        <v>-0.55608815826551072</v>
      </c>
      <c r="Y100" s="23">
        <f>$D100*COS($E100+$F100*'25SolarCoords'!U$7)</f>
        <v>7.5513729757027175</v>
      </c>
      <c r="Z100" s="23">
        <f>$D100*COS($E100+$F100*'25SolarCoords'!V$7)</f>
        <v>11.999375847516227</v>
      </c>
      <c r="AA100" s="23">
        <f>$D100*COS($E100+$F100*'25SolarCoords'!W$7)</f>
        <v>5.1822434812932929</v>
      </c>
      <c r="AB100" s="23">
        <f>$D100*COS($E100+$F100*'25SolarCoords'!X$7)</f>
        <v>-11.099166211225356</v>
      </c>
      <c r="AC100" s="23">
        <f>$D100*COS($E100+$F100*'25SolarCoords'!Y$7)</f>
        <v>0.68503156993448344</v>
      </c>
      <c r="AD100" s="23">
        <f>$D100*COS($E100+$F100*'25SolarCoords'!Z$7)</f>
        <v>3.6188206804501046</v>
      </c>
      <c r="AE100" s="23">
        <f>$D100*COS($E100+$F100*'25SolarCoords'!AA$7)</f>
        <v>-5.7823386605853688</v>
      </c>
      <c r="AF100" s="23">
        <f>$D100*COS($E100+$F100*'25SolarCoords'!AB$7)</f>
        <v>-6.032915777661584</v>
      </c>
      <c r="AG100" s="23">
        <f>$D100*COS($E100+$F100*'25SolarCoords'!AC$7)</f>
        <v>-11.54816095765946</v>
      </c>
      <c r="AH100" s="23">
        <f>$D100*COS($E100+$F100*'25SolarCoords'!AD$7)</f>
        <v>-9.9578205042736805</v>
      </c>
      <c r="AI100" s="23">
        <f>$D100*COS($E100+$F100*'25SolarCoords'!AE$7)</f>
        <v>0.19943088037979795</v>
      </c>
      <c r="AJ100" s="23">
        <f>$D100*COS($E100+$F100*'25SolarCoords'!AF$7)</f>
        <v>10.605328591656834</v>
      </c>
      <c r="AK100" s="23">
        <f>$D100*COS($E100+$F100*'25SolarCoords'!AG$7)</f>
        <v>11.112643703388533</v>
      </c>
      <c r="AL100" s="23">
        <f>$D100*COS($E100+$F100*'25SolarCoords'!AH$7)</f>
        <v>-1.68720552875449</v>
      </c>
      <c r="AM100" s="23">
        <f>$D100*COS($E100+$F100*'25SolarCoords'!AI$7)</f>
        <v>-11.631160868380171</v>
      </c>
      <c r="AN100" s="23">
        <f>$D100*COS($E100+$F100*'25SolarCoords'!AJ$7)</f>
        <v>-6.8991705674083876</v>
      </c>
      <c r="AO100" s="23">
        <f>$D100*COS($E100+$F100*'25SolarCoords'!AK$7)</f>
        <v>-7.9778766786837378</v>
      </c>
      <c r="AP100" s="23">
        <f>$D100*COS($E100+$F100*'25SolarCoords'!AL$7)</f>
        <v>-9.5369331202389844</v>
      </c>
      <c r="AQ100" s="23">
        <f>$D100*COS($E100+$F100*'25SolarCoords'!AM$7)</f>
        <v>-3.0947336924315763</v>
      </c>
      <c r="AR100" s="23">
        <f>$D100*COS($E100+$F100*'25SolarCoords'!AN$7)</f>
        <v>-11.835592347479059</v>
      </c>
      <c r="AS100" s="23">
        <f>$D100*COS($E100+$F100*'25SolarCoords'!AO$7)</f>
        <v>11.671981795842173</v>
      </c>
      <c r="AT100" s="23">
        <f>$D100*COS($E100+$F100*'25SolarCoords'!AP$7)</f>
        <v>-4.6933438111189121</v>
      </c>
      <c r="AU100" s="23">
        <f>$D100*COS($E100+$F100*'25SolarCoords'!AQ$7)</f>
        <v>-5.6741087037052882</v>
      </c>
      <c r="AV100" s="23">
        <f>$D100*COS($E100+$F100*'25SolarCoords'!AR$7)</f>
        <v>-6.5885746470932709</v>
      </c>
      <c r="AW100" s="23">
        <f>$D100*COS($E100+$F100*'25SolarCoords'!AS$7)</f>
        <v>-7.5599368518912922</v>
      </c>
      <c r="AX100" s="23">
        <f>$D100*COS($E100+$F100*'25SolarCoords'!AT$7)</f>
        <v>-9.1711797212513471</v>
      </c>
      <c r="AY100" s="23">
        <f>$D100*COS($E100+$F100*'25SolarCoords'!AU$7)</f>
        <v>-11.779262317774688</v>
      </c>
      <c r="AZ100" s="23">
        <f>$D100*COS($E100+$F100*'25SolarCoords'!AV$7)</f>
        <v>-10.237197398924826</v>
      </c>
      <c r="BA100" s="23">
        <f>$D100*COS($E100+$F100*'25SolarCoords'!AW$7)</f>
        <v>2.1705948543657025</v>
      </c>
      <c r="BB100" s="23">
        <f>$D100*COS($E100+$F100*'25SolarCoords'!AX$7)</f>
        <v>-10.52005867689997</v>
      </c>
      <c r="BC100" s="23">
        <f>$D100*COS($E100+$F100*'25SolarCoords'!AY$7)</f>
        <v>-11.408249546242981</v>
      </c>
      <c r="BD100" s="23">
        <f>$D100*COS($E100+$F100*'25SolarCoords'!AZ$7)</f>
        <v>-11.455136835728082</v>
      </c>
      <c r="BE100" s="23">
        <f>$D100*COS($E100+$F100*'25SolarCoords'!BA$7)</f>
        <v>-11.500132217162324</v>
      </c>
      <c r="BF100" s="23">
        <f>$D100*COS($E100+$F100*'25SolarCoords'!BB$7)</f>
        <v>-11.543228259196301</v>
      </c>
      <c r="BG100" s="23">
        <f>$D100*COS($E100+$F100*'25SolarCoords'!BC$7)</f>
        <v>-11.584417844171739</v>
      </c>
      <c r="BH100" s="23">
        <f>$D100*COS($E100+$F100*'25SolarCoords'!BD$7)</f>
        <v>-11.623694169297284</v>
      </c>
      <c r="BI100" s="23">
        <f>$D100*COS($E100+$F100*'25SolarCoords'!BE$7)</f>
        <v>-11.66105074777153</v>
      </c>
      <c r="BJ100" s="23">
        <f>$D100*COS($E100+$F100*'25SolarCoords'!BF$7)</f>
        <v>-11.696481409854986</v>
      </c>
      <c r="BK100" s="23">
        <f>$D100*COS($E100+$F100*'25SolarCoords'!BG$7)</f>
        <v>0.22273841150022822</v>
      </c>
    </row>
    <row r="101" spans="2:63" x14ac:dyDescent="0.25">
      <c r="C101">
        <f t="shared" si="2"/>
        <v>27</v>
      </c>
      <c r="D101">
        <v>11</v>
      </c>
      <c r="E101">
        <v>0.77</v>
      </c>
      <c r="F101">
        <v>553.57000000000005</v>
      </c>
      <c r="H101" s="7"/>
      <c r="I101" s="23">
        <f>$D101*COS($E101+$F101*'25SolarCoords'!E$7)</f>
        <v>-8.93696772495381</v>
      </c>
      <c r="J101" s="23">
        <f>$D101*COS($E101+$F101*'25SolarCoords'!F$7)</f>
        <v>-0.9502986837069336</v>
      </c>
      <c r="K101" s="23">
        <f>$D101*COS($E101+$F101*'25SolarCoords'!G$7)</f>
        <v>7.8970173657203766</v>
      </c>
      <c r="L101" s="23">
        <f>$D101*COS($E101+$F101*'25SolarCoords'!H$7)</f>
        <v>10.744267651189171</v>
      </c>
      <c r="M101" s="23">
        <f>$D101*COS($E101+$F101*'25SolarCoords'!I$7)</f>
        <v>10.940339055142021</v>
      </c>
      <c r="N101" s="23">
        <f>$D101*COS($E101+$F101*'25SolarCoords'!J$7)</f>
        <v>10.929485951306411</v>
      </c>
      <c r="O101" s="23">
        <f>$D101*COS($E101+$F101*'25SolarCoords'!K$7)</f>
        <v>9.9097316712001984</v>
      </c>
      <c r="P101" s="23">
        <f>$D101*COS($E101+$F101*'25SolarCoords'!L$7)</f>
        <v>8.6357103076357973</v>
      </c>
      <c r="Q101" s="23">
        <f>$D101*COS($E101+$F101*'25SolarCoords'!M$7)</f>
        <v>-4.1986430115658493</v>
      </c>
      <c r="R101" s="23">
        <f>$D101*COS($E101+$F101*'25SolarCoords'!N$7)</f>
        <v>8.1029102332380845</v>
      </c>
      <c r="S101" s="23">
        <f>$D101*COS($E101+$F101*'25SolarCoords'!O$7)</f>
        <v>10.803013158865316</v>
      </c>
      <c r="T101" s="23">
        <f>$D101*COS($E101+$F101*'25SolarCoords'!P$7)</f>
        <v>-4.3405996918136429</v>
      </c>
      <c r="U101" s="23">
        <f>$D101*COS($E101+$F101*'25SolarCoords'!Q$7)</f>
        <v>5.2977668933435691</v>
      </c>
      <c r="V101" s="23">
        <f>$D101*COS($E101+$F101*'25SolarCoords'!R$7)</f>
        <v>5.2831501873221685</v>
      </c>
      <c r="W101" s="23">
        <f>$D101*COS($E101+$F101*'25SolarCoords'!S$7)</f>
        <v>7.1193987345405496</v>
      </c>
      <c r="X101" s="23">
        <f>$D101*COS($E101+$F101*'25SolarCoords'!T$7)</f>
        <v>5.2744749431857585</v>
      </c>
      <c r="Y101" s="23">
        <f>$D101*COS($E101+$F101*'25SolarCoords'!U$7)</f>
        <v>2.232671466942906</v>
      </c>
      <c r="Z101" s="23">
        <f>$D101*COS($E101+$F101*'25SolarCoords'!V$7)</f>
        <v>1.765265125736373</v>
      </c>
      <c r="AA101" s="23">
        <f>$D101*COS($E101+$F101*'25SolarCoords'!W$7)</f>
        <v>10.99977189435001</v>
      </c>
      <c r="AB101" s="23">
        <f>$D101*COS($E101+$F101*'25SolarCoords'!X$7)</f>
        <v>-10.282667281182574</v>
      </c>
      <c r="AC101" s="23">
        <f>$D101*COS($E101+$F101*'25SolarCoords'!Y$7)</f>
        <v>8.6025960591362516</v>
      </c>
      <c r="AD101" s="23">
        <f>$D101*COS($E101+$F101*'25SolarCoords'!Z$7)</f>
        <v>10.999773379445172</v>
      </c>
      <c r="AE101" s="23">
        <f>$D101*COS($E101+$F101*'25SolarCoords'!AA$7)</f>
        <v>7.9028179114377624</v>
      </c>
      <c r="AF101" s="23">
        <f>$D101*COS($E101+$F101*'25SolarCoords'!AB$7)</f>
        <v>8.3324527344831836</v>
      </c>
      <c r="AG101" s="23">
        <f>$D101*COS($E101+$F101*'25SolarCoords'!AC$7)</f>
        <v>-0.7416835464210576</v>
      </c>
      <c r="AH101" s="23">
        <f>$D101*COS($E101+$F101*'25SolarCoords'!AD$7)</f>
        <v>9.2051030041009465</v>
      </c>
      <c r="AI101" s="23">
        <f>$D101*COS($E101+$F101*'25SolarCoords'!AE$7)</f>
        <v>8.5697579893327767</v>
      </c>
      <c r="AJ101" s="23">
        <f>$D101*COS($E101+$F101*'25SolarCoords'!AF$7)</f>
        <v>-10.998057285401819</v>
      </c>
      <c r="AK101" s="23">
        <f>$D101*COS($E101+$F101*'25SolarCoords'!AG$7)</f>
        <v>-10.960969103826686</v>
      </c>
      <c r="AL101" s="23">
        <f>$D101*COS($E101+$F101*'25SolarCoords'!AH$7)</f>
        <v>-6.1135716372651592</v>
      </c>
      <c r="AM101" s="23">
        <f>$D101*COS($E101+$F101*'25SolarCoords'!AI$7)</f>
        <v>-10.216101262844925</v>
      </c>
      <c r="AN101" s="23">
        <f>$D101*COS($E101+$F101*'25SolarCoords'!AJ$7)</f>
        <v>-10.737619241812306</v>
      </c>
      <c r="AO101" s="23">
        <f>$D101*COS($E101+$F101*'25SolarCoords'!AK$7)</f>
        <v>9.3619778393758537</v>
      </c>
      <c r="AP101" s="23">
        <f>$D101*COS($E101+$F101*'25SolarCoords'!AL$7)</f>
        <v>-3.7074703508612843</v>
      </c>
      <c r="AQ101" s="23">
        <f>$D101*COS($E101+$F101*'25SolarCoords'!AM$7)</f>
        <v>1.1366570214757343</v>
      </c>
      <c r="AR101" s="23">
        <f>$D101*COS($E101+$F101*'25SolarCoords'!AN$7)</f>
        <v>6.7099711845198868</v>
      </c>
      <c r="AS101" s="23">
        <f>$D101*COS($E101+$F101*'25SolarCoords'!AO$7)</f>
        <v>10.987698841167639</v>
      </c>
      <c r="AT101" s="23">
        <f>$D101*COS($E101+$F101*'25SolarCoords'!AP$7)</f>
        <v>7.7601700359628785</v>
      </c>
      <c r="AU101" s="23">
        <f>$D101*COS($E101+$F101*'25SolarCoords'!AQ$7)</f>
        <v>7.6763611697926102</v>
      </c>
      <c r="AV101" s="23">
        <f>$D101*COS($E101+$F101*'25SolarCoords'!AR$7)</f>
        <v>7.5935175342220322</v>
      </c>
      <c r="AW101" s="23">
        <f>$D101*COS($E101+$F101*'25SolarCoords'!AS$7)</f>
        <v>7.4988299812022765</v>
      </c>
      <c r="AX101" s="23">
        <f>$D101*COS($E101+$F101*'25SolarCoords'!AT$7)</f>
        <v>7.3182291626529183</v>
      </c>
      <c r="AY101" s="23">
        <f>$D101*COS($E101+$F101*'25SolarCoords'!AU$7)</f>
        <v>2.077558460444247</v>
      </c>
      <c r="AZ101" s="23">
        <f>$D101*COS($E101+$F101*'25SolarCoords'!AV$7)</f>
        <v>9.5348288912708554</v>
      </c>
      <c r="BA101" s="23">
        <f>$D101*COS($E101+$F101*'25SolarCoords'!AW$7)</f>
        <v>-8.7645892788912914</v>
      </c>
      <c r="BB101" s="23">
        <f>$D101*COS($E101+$F101*'25SolarCoords'!AX$7)</f>
        <v>-6.9716233456018637</v>
      </c>
      <c r="BC101" s="23">
        <f>$D101*COS($E101+$F101*'25SolarCoords'!AY$7)</f>
        <v>6.9373950875566264</v>
      </c>
      <c r="BD101" s="23">
        <f>$D101*COS($E101+$F101*'25SolarCoords'!AZ$7)</f>
        <v>6.9244492095618213</v>
      </c>
      <c r="BE101" s="23">
        <f>$D101*COS($E101+$F101*'25SolarCoords'!BA$7)</f>
        <v>6.9114874259766026</v>
      </c>
      <c r="BF101" s="23">
        <f>$D101*COS($E101+$F101*'25SolarCoords'!BB$7)</f>
        <v>6.8985097665744926</v>
      </c>
      <c r="BG101" s="23">
        <f>$D101*COS($E101+$F101*'25SolarCoords'!BC$7)</f>
        <v>6.885516261165388</v>
      </c>
      <c r="BH101" s="23">
        <f>$D101*COS($E101+$F101*'25SolarCoords'!BD$7)</f>
        <v>6.8725069395955867</v>
      </c>
      <c r="BI101" s="23">
        <f>$D101*COS($E101+$F101*'25SolarCoords'!BE$7)</f>
        <v>6.8594818317478055</v>
      </c>
      <c r="BJ101" s="23">
        <f>$D101*COS($E101+$F101*'25SolarCoords'!BF$7)</f>
        <v>6.8464409675409321</v>
      </c>
      <c r="BK101" s="23">
        <f>$D101*COS($E101+$F101*'25SolarCoords'!BG$7)</f>
        <v>8.5713376631481548</v>
      </c>
    </row>
    <row r="102" spans="2:63" x14ac:dyDescent="0.25">
      <c r="C102">
        <f t="shared" si="2"/>
        <v>28</v>
      </c>
      <c r="D102">
        <v>10</v>
      </c>
      <c r="E102">
        <v>1.3</v>
      </c>
      <c r="F102">
        <v>6286.6</v>
      </c>
      <c r="H102" s="7"/>
      <c r="I102" s="23">
        <f>$D102*COS($E102+$F102*'25SolarCoords'!E$7)</f>
        <v>9.3542982644608248</v>
      </c>
      <c r="J102" s="23">
        <f>$D102*COS($E102+$F102*'25SolarCoords'!F$7)</f>
        <v>-8.4376718571957952</v>
      </c>
      <c r="K102" s="23">
        <f>$D102*COS($E102+$F102*'25SolarCoords'!G$7)</f>
        <v>2.6749882862458736</v>
      </c>
      <c r="L102" s="23">
        <f>$D102*COS($E102+$F102*'25SolarCoords'!H$7)</f>
        <v>2.7492717982293637</v>
      </c>
      <c r="M102" s="23">
        <f>$D102*COS($E102+$F102*'25SolarCoords'!I$7)</f>
        <v>-1.2766644655805348</v>
      </c>
      <c r="N102" s="23">
        <f>$D102*COS($E102+$F102*'25SolarCoords'!J$7)</f>
        <v>-5.1729524496528869</v>
      </c>
      <c r="O102" s="23">
        <f>$D102*COS($E102+$F102*'25SolarCoords'!K$7)</f>
        <v>-1.2678541435189692</v>
      </c>
      <c r="P102" s="23">
        <f>$D102*COS($E102+$F102*'25SolarCoords'!L$7)</f>
        <v>-5.0325716350635119</v>
      </c>
      <c r="Q102" s="23">
        <f>$D102*COS($E102+$F102*'25SolarCoords'!M$7)</f>
        <v>5.6765902065075755</v>
      </c>
      <c r="R102" s="23">
        <f>$D102*COS($E102+$F102*'25SolarCoords'!N$7)</f>
        <v>9.99739002741644</v>
      </c>
      <c r="S102" s="23">
        <f>$D102*COS($E102+$F102*'25SolarCoords'!O$7)</f>
        <v>9.9971831564392684</v>
      </c>
      <c r="T102" s="23">
        <f>$D102*COS($E102+$F102*'25SolarCoords'!P$7)</f>
        <v>7.4243215499283046</v>
      </c>
      <c r="U102" s="23">
        <f>$D102*COS($E102+$F102*'25SolarCoords'!Q$7)</f>
        <v>8.5577546496682384</v>
      </c>
      <c r="V102" s="23">
        <f>$D102*COS($E102+$F102*'25SolarCoords'!R$7)</f>
        <v>8.4674468184750253</v>
      </c>
      <c r="W102" s="23">
        <f>$D102*COS($E102+$F102*'25SolarCoords'!S$7)</f>
        <v>6.334968615233322</v>
      </c>
      <c r="X102" s="23">
        <f>$D102*COS($E102+$F102*'25SolarCoords'!T$7)</f>
        <v>1.4008268730857649</v>
      </c>
      <c r="Y102" s="23">
        <f>$D102*COS($E102+$F102*'25SolarCoords'!U$7)</f>
        <v>0.75806492976758277</v>
      </c>
      <c r="Z102" s="23">
        <f>$D102*COS($E102+$F102*'25SolarCoords'!V$7)</f>
        <v>-8.2787744634100182</v>
      </c>
      <c r="AA102" s="23">
        <f>$D102*COS($E102+$F102*'25SolarCoords'!W$7)</f>
        <v>-9.8269238110616328</v>
      </c>
      <c r="AB102" s="23">
        <f>$D102*COS($E102+$F102*'25SolarCoords'!X$7)</f>
        <v>-9.9257753492864147</v>
      </c>
      <c r="AC102" s="23">
        <f>$D102*COS($E102+$F102*'25SolarCoords'!Y$7)</f>
        <v>-4.164148633832597</v>
      </c>
      <c r="AD102" s="23">
        <f>$D102*COS($E102+$F102*'25SolarCoords'!Z$7)</f>
        <v>1.2879694964162467</v>
      </c>
      <c r="AE102" s="23">
        <f>$D102*COS($E102+$F102*'25SolarCoords'!AA$7)</f>
        <v>2.7578109294061957</v>
      </c>
      <c r="AF102" s="23">
        <f>$D102*COS($E102+$F102*'25SolarCoords'!AB$7)</f>
        <v>-4.5408570616290191</v>
      </c>
      <c r="AG102" s="23">
        <f>$D102*COS($E102+$F102*'25SolarCoords'!AC$7)</f>
        <v>9.219064136141558</v>
      </c>
      <c r="AH102" s="23">
        <f>$D102*COS($E102+$F102*'25SolarCoords'!AD$7)</f>
        <v>-9.9933235347851017</v>
      </c>
      <c r="AI102" s="23">
        <f>$D102*COS($E102+$F102*'25SolarCoords'!AE$7)</f>
        <v>-4.6508928091540893</v>
      </c>
      <c r="AJ102" s="23">
        <f>$D102*COS($E102+$F102*'25SolarCoords'!AF$7)</f>
        <v>4.7673570363650555</v>
      </c>
      <c r="AK102" s="23">
        <f>$D102*COS($E102+$F102*'25SolarCoords'!AG$7)</f>
        <v>9.9534346583161515</v>
      </c>
      <c r="AL102" s="23">
        <f>$D102*COS($E102+$F102*'25SolarCoords'!AH$7)</f>
        <v>-6.5157823234228482</v>
      </c>
      <c r="AM102" s="23">
        <f>$D102*COS($E102+$F102*'25SolarCoords'!AI$7)</f>
        <v>-9.5195310694440156</v>
      </c>
      <c r="AN102" s="23">
        <f>$D102*COS($E102+$F102*'25SolarCoords'!AJ$7)</f>
        <v>-9.7921943440616523</v>
      </c>
      <c r="AO102" s="23">
        <f>$D102*COS($E102+$F102*'25SolarCoords'!AK$7)</f>
        <v>7.675810936842681</v>
      </c>
      <c r="AP102" s="23">
        <f>$D102*COS($E102+$F102*'25SolarCoords'!AL$7)</f>
        <v>8.7379315392751309</v>
      </c>
      <c r="AQ102" s="23">
        <f>$D102*COS($E102+$F102*'25SolarCoords'!AM$7)</f>
        <v>9.8166006771380605</v>
      </c>
      <c r="AR102" s="23">
        <f>$D102*COS($E102+$F102*'25SolarCoords'!AN$7)</f>
        <v>-9.8048784330739771</v>
      </c>
      <c r="AS102" s="23">
        <f>$D102*COS($E102+$F102*'25SolarCoords'!AO$7)</f>
        <v>5.2362676232879677</v>
      </c>
      <c r="AT102" s="23">
        <f>$D102*COS($E102+$F102*'25SolarCoords'!AP$7)</f>
        <v>9.5457973182161364</v>
      </c>
      <c r="AU102" s="23">
        <f>$D102*COS($E102+$F102*'25SolarCoords'!AQ$7)</f>
        <v>9.8364406946294611</v>
      </c>
      <c r="AV102" s="23">
        <f>$D102*COS($E102+$F102*'25SolarCoords'!AR$7)</f>
        <v>9.9805982121183803</v>
      </c>
      <c r="AW102" s="23">
        <f>$D102*COS($E102+$F102*'25SolarCoords'!AS$7)</f>
        <v>9.9740503123129134</v>
      </c>
      <c r="AX102" s="23">
        <f>$D102*COS($E102+$F102*'25SolarCoords'!AT$7)</f>
        <v>9.4786863997416475</v>
      </c>
      <c r="AY102" s="23">
        <f>$D102*COS($E102+$F102*'25SolarCoords'!AU$7)</f>
        <v>-7.8413747866133301</v>
      </c>
      <c r="AZ102" s="23">
        <f>$D102*COS($E102+$F102*'25SolarCoords'!AV$7)</f>
        <v>6.9190961375428204</v>
      </c>
      <c r="BA102" s="23">
        <f>$D102*COS($E102+$F102*'25SolarCoords'!AW$7)</f>
        <v>4.1524055073675932</v>
      </c>
      <c r="BB102" s="23">
        <f>$D102*COS($E102+$F102*'25SolarCoords'!AX$7)</f>
        <v>-9.81222214727884</v>
      </c>
      <c r="BC102" s="23">
        <f>$D102*COS($E102+$F102*'25SolarCoords'!AY$7)</f>
        <v>6.6696373822630868</v>
      </c>
      <c r="BD102" s="23">
        <f>$D102*COS($E102+$F102*'25SolarCoords'!AZ$7)</f>
        <v>6.5404125865812723</v>
      </c>
      <c r="BE102" s="23">
        <f>$D102*COS($E102+$F102*'25SolarCoords'!BA$7)</f>
        <v>6.4092502734103443</v>
      </c>
      <c r="BF102" s="23">
        <f>$D102*COS($E102+$F102*'25SolarCoords'!BB$7)</f>
        <v>6.276189297986897</v>
      </c>
      <c r="BG102" s="23">
        <f>$D102*COS($E102+$F102*'25SolarCoords'!BC$7)</f>
        <v>6.1412690780024253</v>
      </c>
      <c r="BH102" s="23">
        <f>$D102*COS($E102+$F102*'25SolarCoords'!BD$7)</f>
        <v>6.0045295819269384</v>
      </c>
      <c r="BI102" s="23">
        <f>$D102*COS($E102+$F102*'25SolarCoords'!BE$7)</f>
        <v>5.8660113171692627</v>
      </c>
      <c r="BJ102" s="23">
        <f>$D102*COS($E102+$F102*'25SolarCoords'!BF$7)</f>
        <v>5.7257553180767671</v>
      </c>
      <c r="BK102" s="23">
        <f>$D102*COS($E102+$F102*'25SolarCoords'!BG$7)</f>
        <v>-4.627845302479864</v>
      </c>
    </row>
    <row r="103" spans="2:63" x14ac:dyDescent="0.25">
      <c r="C103">
        <f t="shared" si="2"/>
        <v>29</v>
      </c>
      <c r="D103">
        <v>10</v>
      </c>
      <c r="E103">
        <v>4.24</v>
      </c>
      <c r="F103">
        <v>1349.87</v>
      </c>
      <c r="H103" s="7"/>
      <c r="I103" s="23">
        <f>$D103*COS($E103+$F103*'25SolarCoords'!E$7)</f>
        <v>-8.1002148871823625</v>
      </c>
      <c r="J103" s="23">
        <f>$D103*COS($E103+$F103*'25SolarCoords'!F$7)</f>
        <v>-9.240080600699029</v>
      </c>
      <c r="K103" s="23">
        <f>$D103*COS($E103+$F103*'25SolarCoords'!G$7)</f>
        <v>-4.5501493014330467</v>
      </c>
      <c r="L103" s="23">
        <f>$D103*COS($E103+$F103*'25SolarCoords'!H$7)</f>
        <v>-9.6831921127315024</v>
      </c>
      <c r="M103" s="23">
        <f>$D103*COS($E103+$F103*'25SolarCoords'!I$7)</f>
        <v>7.9803197646074695</v>
      </c>
      <c r="N103" s="23">
        <f>$D103*COS($E103+$F103*'25SolarCoords'!J$7)</f>
        <v>9.9322910662765818</v>
      </c>
      <c r="O103" s="23">
        <f>$D103*COS($E103+$F103*'25SolarCoords'!K$7)</f>
        <v>7.6344111005327573</v>
      </c>
      <c r="P103" s="23">
        <f>$D103*COS($E103+$F103*'25SolarCoords'!L$7)</f>
        <v>3.2838142707917299</v>
      </c>
      <c r="Q103" s="23">
        <f>$D103*COS($E103+$F103*'25SolarCoords'!M$7)</f>
        <v>3.6073605111674469</v>
      </c>
      <c r="R103" s="23">
        <f>$D103*COS($E103+$F103*'25SolarCoords'!N$7)</f>
        <v>-0.57181998292453673</v>
      </c>
      <c r="S103" s="23">
        <f>$D103*COS($E103+$F103*'25SolarCoords'!O$7)</f>
        <v>9.6131383249635398</v>
      </c>
      <c r="T103" s="23">
        <f>$D103*COS($E103+$F103*'25SolarCoords'!P$7)</f>
        <v>7.4536597795248172</v>
      </c>
      <c r="U103" s="23">
        <f>$D103*COS($E103+$F103*'25SolarCoords'!Q$7)</f>
        <v>2.7666317715742932</v>
      </c>
      <c r="V103" s="23">
        <f>$D103*COS($E103+$F103*'25SolarCoords'!R$7)</f>
        <v>2.8021276621981377</v>
      </c>
      <c r="W103" s="23">
        <f>$D103*COS($E103+$F103*'25SolarCoords'!S$7)</f>
        <v>-1.9068949400449284</v>
      </c>
      <c r="X103" s="23">
        <f>$D103*COS($E103+$F103*'25SolarCoords'!T$7)</f>
        <v>3.0049624645879658</v>
      </c>
      <c r="Y103" s="23">
        <f>$D103*COS($E103+$F103*'25SolarCoords'!U$7)</f>
        <v>8.5536358336958056</v>
      </c>
      <c r="Z103" s="23">
        <f>$D103*COS($E103+$F103*'25SolarCoords'!V$7)</f>
        <v>-3.8810209282348955</v>
      </c>
      <c r="AA103" s="23">
        <f>$D103*COS($E103+$F103*'25SolarCoords'!W$7)</f>
        <v>9.2977881193462757</v>
      </c>
      <c r="AB103" s="23">
        <f>$D103*COS($E103+$F103*'25SolarCoords'!X$7)</f>
        <v>9.9506952269927833</v>
      </c>
      <c r="AC103" s="23">
        <f>$D103*COS($E103+$F103*'25SolarCoords'!Y$7)</f>
        <v>0.63716718040586651</v>
      </c>
      <c r="AD103" s="23">
        <f>$D103*COS($E103+$F103*'25SolarCoords'!Z$7)</f>
        <v>6.9629120258302439</v>
      </c>
      <c r="AE103" s="23">
        <f>$D103*COS($E103+$F103*'25SolarCoords'!AA$7)</f>
        <v>-4.5665965184531396</v>
      </c>
      <c r="AF103" s="23">
        <f>$D103*COS($E103+$F103*'25SolarCoords'!AB$7)</f>
        <v>8.0202494886370062</v>
      </c>
      <c r="AG103" s="23">
        <f>$D103*COS($E103+$F103*'25SolarCoords'!AC$7)</f>
        <v>6.6212037809863835</v>
      </c>
      <c r="AH103" s="23">
        <f>$D103*COS($E103+$F103*'25SolarCoords'!AD$7)</f>
        <v>5.2336090766190235</v>
      </c>
      <c r="AI103" s="23">
        <f>$D103*COS($E103+$F103*'25SolarCoords'!AE$7)</f>
        <v>0.75334337248047045</v>
      </c>
      <c r="AJ103" s="23">
        <f>$D103*COS($E103+$F103*'25SolarCoords'!AF$7)</f>
        <v>5.14244055142533</v>
      </c>
      <c r="AK103" s="23">
        <f>$D103*COS($E103+$F103*'25SolarCoords'!AG$7)</f>
        <v>7.1136360965608691</v>
      </c>
      <c r="AL103" s="23">
        <f>$D103*COS($E103+$F103*'25SolarCoords'!AH$7)</f>
        <v>1.6156522876137422</v>
      </c>
      <c r="AM103" s="23">
        <f>$D103*COS($E103+$F103*'25SolarCoords'!AI$7)</f>
        <v>9.9827823530027651</v>
      </c>
      <c r="AN103" s="23">
        <f>$D103*COS($E103+$F103*'25SolarCoords'!AJ$7)</f>
        <v>0.52264144010584312</v>
      </c>
      <c r="AO103" s="23">
        <f>$D103*COS($E103+$F103*'25SolarCoords'!AK$7)</f>
        <v>-8.915727857396373</v>
      </c>
      <c r="AP103" s="23">
        <f>$D103*COS($E103+$F103*'25SolarCoords'!AL$7)</f>
        <v>-4.2271023241828871</v>
      </c>
      <c r="AQ103" s="23">
        <f>$D103*COS($E103+$F103*'25SolarCoords'!AM$7)</f>
        <v>2.0121555986866105E-2</v>
      </c>
      <c r="AR103" s="23">
        <f>$D103*COS($E103+$F103*'25SolarCoords'!AN$7)</f>
        <v>-1.1916173418201941</v>
      </c>
      <c r="AS103" s="23">
        <f>$D103*COS($E103+$F103*'25SolarCoords'!AO$7)</f>
        <v>1.7712990266268456</v>
      </c>
      <c r="AT103" s="23">
        <f>$D103*COS($E103+$F103*'25SolarCoords'!AP$7)</f>
        <v>-9.3285987720946899</v>
      </c>
      <c r="AU103" s="23">
        <f>$D103*COS($E103+$F103*'25SolarCoords'!AQ$7)</f>
        <v>-9.2315038903329523</v>
      </c>
      <c r="AV103" s="23">
        <f>$D103*COS($E103+$F103*'25SolarCoords'!AR$7)</f>
        <v>-9.1304369179720926</v>
      </c>
      <c r="AW103" s="23">
        <f>$D103*COS($E103+$F103*'25SolarCoords'!AS$7)</f>
        <v>-9.0089861245366638</v>
      </c>
      <c r="AX103" s="23">
        <f>$D103*COS($E103+$F103*'25SolarCoords'!AT$7)</f>
        <v>-8.7607931567365078</v>
      </c>
      <c r="AY103" s="23">
        <f>$D103*COS($E103+$F103*'25SolarCoords'!AU$7)</f>
        <v>9.7330442690854113</v>
      </c>
      <c r="AZ103" s="23">
        <f>$D103*COS($E103+$F103*'25SolarCoords'!AV$7)</f>
        <v>4.6303552050394075</v>
      </c>
      <c r="BA103" s="23">
        <f>$D103*COS($E103+$F103*'25SolarCoords'!AW$7)</f>
        <v>-2.3331525472691683</v>
      </c>
      <c r="BB103" s="23">
        <f>$D103*COS($E103+$F103*'25SolarCoords'!AX$7)</f>
        <v>-9.9992735481422237</v>
      </c>
      <c r="BC103" s="23">
        <f>$D103*COS($E103+$F103*'25SolarCoords'!AY$7)</f>
        <v>-8.1735065780338161</v>
      </c>
      <c r="BD103" s="23">
        <f>$D103*COS($E103+$F103*'25SolarCoords'!AZ$7)</f>
        <v>-8.152158136607925</v>
      </c>
      <c r="BE103" s="23">
        <f>$D103*COS($E103+$F103*'25SolarCoords'!BA$7)</f>
        <v>-8.1306983489453284</v>
      </c>
      <c r="BF103" s="23">
        <f>$D103*COS($E103+$F103*'25SolarCoords'!BB$7)</f>
        <v>-8.1091275081545824</v>
      </c>
      <c r="BG103" s="23">
        <f>$D103*COS($E103+$F103*'25SolarCoords'!BC$7)</f>
        <v>-8.0874459088609303</v>
      </c>
      <c r="BH103" s="23">
        <f>$D103*COS($E103+$F103*'25SolarCoords'!BD$7)</f>
        <v>-8.0656538472024142</v>
      </c>
      <c r="BI103" s="23">
        <f>$D103*COS($E103+$F103*'25SolarCoords'!BE$7)</f>
        <v>-8.0437516208259527</v>
      </c>
      <c r="BJ103" s="23">
        <f>$D103*COS($E103+$F103*'25SolarCoords'!BF$7)</f>
        <v>-8.0217395288830211</v>
      </c>
      <c r="BK103" s="23">
        <f>$D103*COS($E103+$F103*'25SolarCoords'!BG$7)</f>
        <v>0.74777274111812841</v>
      </c>
    </row>
    <row r="104" spans="2:63" x14ac:dyDescent="0.25">
      <c r="C104">
        <f t="shared" si="2"/>
        <v>30</v>
      </c>
      <c r="D104">
        <v>9</v>
      </c>
      <c r="E104">
        <v>2.7</v>
      </c>
      <c r="F104">
        <v>242.73</v>
      </c>
      <c r="H104" s="7"/>
      <c r="I104" s="23">
        <f>$D104*COS($E104+$F104*'25SolarCoords'!E$7)</f>
        <v>2.665822047357441</v>
      </c>
      <c r="J104" s="23">
        <f>$D104*COS($E104+$F104*'25SolarCoords'!F$7)</f>
        <v>8.7843207696847454</v>
      </c>
      <c r="K104" s="23">
        <f>$D104*COS($E104+$F104*'25SolarCoords'!G$7)</f>
        <v>-8.1366492781535502</v>
      </c>
      <c r="L104" s="23">
        <f>$D104*COS($E104+$F104*'25SolarCoords'!H$7)</f>
        <v>-6.9726813535832877</v>
      </c>
      <c r="M104" s="23">
        <f>$D104*COS($E104+$F104*'25SolarCoords'!I$7)</f>
        <v>8.1489735782969657</v>
      </c>
      <c r="N104" s="23">
        <f>$D104*COS($E104+$F104*'25SolarCoords'!J$7)</f>
        <v>8.4757088974574124</v>
      </c>
      <c r="O104" s="23">
        <f>$D104*COS($E104+$F104*'25SolarCoords'!K$7)</f>
        <v>8.8280069915831803</v>
      </c>
      <c r="P104" s="23">
        <f>$D104*COS($E104+$F104*'25SolarCoords'!L$7)</f>
        <v>8.9552304121632105</v>
      </c>
      <c r="Q104" s="23">
        <f>$D104*COS($E104+$F104*'25SolarCoords'!M$7)</f>
        <v>-8.223365977525658</v>
      </c>
      <c r="R104" s="23">
        <f>$D104*COS($E104+$F104*'25SolarCoords'!N$7)</f>
        <v>8.9087009772278449</v>
      </c>
      <c r="S104" s="23">
        <f>$D104*COS($E104+$F104*'25SolarCoords'!O$7)</f>
        <v>8.955033116758603</v>
      </c>
      <c r="T104" s="23">
        <f>$D104*COS($E104+$F104*'25SolarCoords'!P$7)</f>
        <v>-8.9700881347999921</v>
      </c>
      <c r="U104" s="23">
        <f>$D104*COS($E104+$F104*'25SolarCoords'!Q$7)</f>
        <v>-8.6357322767687368</v>
      </c>
      <c r="V104" s="23">
        <f>$D104*COS($E104+$F104*'25SolarCoords'!R$7)</f>
        <v>-8.6374147506786336</v>
      </c>
      <c r="W104" s="23">
        <f>$D104*COS($E104+$F104*'25SolarCoords'!S$7)</f>
        <v>-8.4394375315391965</v>
      </c>
      <c r="X104" s="23">
        <f>$D104*COS($E104+$F104*'25SolarCoords'!T$7)</f>
        <v>-8.6848442897949685</v>
      </c>
      <c r="Y104" s="23">
        <f>$D104*COS($E104+$F104*'25SolarCoords'!U$7)</f>
        <v>-8.9171844882753728</v>
      </c>
      <c r="Z104" s="23">
        <f>$D104*COS($E104+$F104*'25SolarCoords'!V$7)</f>
        <v>5.9407014327480221</v>
      </c>
      <c r="AA104" s="23">
        <f>$D104*COS($E104+$F104*'25SolarCoords'!W$7)</f>
        <v>8.3246439185667143</v>
      </c>
      <c r="AB104" s="23">
        <f>$D104*COS($E104+$F104*'25SolarCoords'!X$7)</f>
        <v>6.1029610942963375</v>
      </c>
      <c r="AC104" s="23">
        <f>$D104*COS($E104+$F104*'25SolarCoords'!Y$7)</f>
        <v>-8.6270874396021835</v>
      </c>
      <c r="AD104" s="23">
        <f>$D104*COS($E104+$F104*'25SolarCoords'!Z$7)</f>
        <v>6.183175013491069</v>
      </c>
      <c r="AE104" s="23">
        <f>$D104*COS($E104+$F104*'25SolarCoords'!AA$7)</f>
        <v>-8.1353707437592657</v>
      </c>
      <c r="AF104" s="23">
        <f>$D104*COS($E104+$F104*'25SolarCoords'!AB$7)</f>
        <v>-4.2513306553964512</v>
      </c>
      <c r="AG104" s="23">
        <f>$D104*COS($E104+$F104*'25SolarCoords'!AC$7)</f>
        <v>-6.8123475670252276</v>
      </c>
      <c r="AH104" s="23">
        <f>$D104*COS($E104+$F104*'25SolarCoords'!AD$7)</f>
        <v>8.9136167086039713</v>
      </c>
      <c r="AI104" s="23">
        <f>$D104*COS($E104+$F104*'25SolarCoords'!AE$7)</f>
        <v>-8.6216994811620928</v>
      </c>
      <c r="AJ104" s="23">
        <f>$D104*COS($E104+$F104*'25SolarCoords'!AF$7)</f>
        <v>4.9149998819187362</v>
      </c>
      <c r="AK104" s="23">
        <f>$D104*COS($E104+$F104*'25SolarCoords'!AG$7)</f>
        <v>5.2505722436283602</v>
      </c>
      <c r="AL104" s="23">
        <f>$D104*COS($E104+$F104*'25SolarCoords'!AH$7)</f>
        <v>7.6516030776168309</v>
      </c>
      <c r="AM104" s="23">
        <f>$D104*COS($E104+$F104*'25SolarCoords'!AI$7)</f>
        <v>6.1511517908922544</v>
      </c>
      <c r="AN104" s="23">
        <f>$D104*COS($E104+$F104*'25SolarCoords'!AJ$7)</f>
        <v>4.2355787133785183</v>
      </c>
      <c r="AO104" s="23">
        <f>$D104*COS($E104+$F104*'25SolarCoords'!AK$7)</f>
        <v>-7.2430234383643857</v>
      </c>
      <c r="AP104" s="23">
        <f>$D104*COS($E104+$F104*'25SolarCoords'!AL$7)</f>
        <v>8.1164536778753558</v>
      </c>
      <c r="AQ104" s="23">
        <f>$D104*COS($E104+$F104*'25SolarCoords'!AM$7)</f>
        <v>1.8323010707843919</v>
      </c>
      <c r="AR104" s="23">
        <f>$D104*COS($E104+$F104*'25SolarCoords'!AN$7)</f>
        <v>-8.3642186165524439</v>
      </c>
      <c r="AS104" s="23">
        <f>$D104*COS($E104+$F104*'25SolarCoords'!AO$7)</f>
        <v>2.4236744446049019</v>
      </c>
      <c r="AT104" s="23">
        <f>$D104*COS($E104+$F104*'25SolarCoords'!AP$7)</f>
        <v>-3.2032970913695054</v>
      </c>
      <c r="AU104" s="23">
        <f>$D104*COS($E104+$F104*'25SolarCoords'!AQ$7)</f>
        <v>-3.2426977982988023</v>
      </c>
      <c r="AV104" s="23">
        <f>$D104*COS($E104+$F104*'25SolarCoords'!AR$7)</f>
        <v>-3.2811763542199626</v>
      </c>
      <c r="AW104" s="23">
        <f>$D104*COS($E104+$F104*'25SolarCoords'!AS$7)</f>
        <v>-3.3246079514843925</v>
      </c>
      <c r="AX104" s="23">
        <f>$D104*COS($E104+$F104*'25SolarCoords'!AT$7)</f>
        <v>-3.4059082515987562</v>
      </c>
      <c r="AY104" s="23">
        <f>$D104*COS($E104+$F104*'25SolarCoords'!AU$7)</f>
        <v>-7.3685585991832161</v>
      </c>
      <c r="AZ104" s="23">
        <f>$D104*COS($E104+$F104*'25SolarCoords'!AV$7)</f>
        <v>-4.8009994812577368</v>
      </c>
      <c r="BA104" s="23">
        <f>$D104*COS($E104+$F104*'25SolarCoords'!AW$7)</f>
        <v>7.8608995994538224</v>
      </c>
      <c r="BB104" s="23">
        <f>$D104*COS($E104+$F104*'25SolarCoords'!AX$7)</f>
        <v>1.6632310154058745</v>
      </c>
      <c r="BC104" s="23">
        <f>$D104*COS($E104+$F104*'25SolarCoords'!AY$7)</f>
        <v>-3.5713065960642498</v>
      </c>
      <c r="BD104" s="23">
        <f>$D104*COS($E104+$F104*'25SolarCoords'!AZ$7)</f>
        <v>-3.5767957912888386</v>
      </c>
      <c r="BE104" s="23">
        <f>$D104*COS($E104+$F104*'25SolarCoords'!BA$7)</f>
        <v>-3.5822834068644291</v>
      </c>
      <c r="BF104" s="23">
        <f>$D104*COS($E104+$F104*'25SolarCoords'!BB$7)</f>
        <v>-3.5877694403674956</v>
      </c>
      <c r="BG104" s="23">
        <f>$D104*COS($E104+$F104*'25SolarCoords'!BC$7)</f>
        <v>-3.5932538893751982</v>
      </c>
      <c r="BH104" s="23">
        <f>$D104*COS($E104+$F104*'25SolarCoords'!BD$7)</f>
        <v>-3.5987367514653954</v>
      </c>
      <c r="BI104" s="23">
        <f>$D104*COS($E104+$F104*'25SolarCoords'!BE$7)</f>
        <v>-3.6042180242166468</v>
      </c>
      <c r="BJ104" s="23">
        <f>$D104*COS($E104+$F104*'25SolarCoords'!BF$7)</f>
        <v>-3.6096977052082289</v>
      </c>
      <c r="BK104" s="23">
        <f>$D104*COS($E104+$F104*'25SolarCoords'!BG$7)</f>
        <v>-8.6219587988755109</v>
      </c>
    </row>
    <row r="105" spans="2:63" x14ac:dyDescent="0.25">
      <c r="C105">
        <f t="shared" si="2"/>
        <v>31</v>
      </c>
      <c r="D105">
        <v>9</v>
      </c>
      <c r="E105">
        <v>5.64</v>
      </c>
      <c r="F105">
        <v>951.72</v>
      </c>
      <c r="H105" s="7"/>
      <c r="I105" s="23">
        <f>$D105*COS($E105+$F105*'25SolarCoords'!E$7)</f>
        <v>-8.9999082823192591</v>
      </c>
      <c r="J105" s="23">
        <f>$D105*COS($E105+$F105*'25SolarCoords'!F$7)</f>
        <v>-7.6606530112653868</v>
      </c>
      <c r="K105" s="23">
        <f>$D105*COS($E105+$F105*'25SolarCoords'!G$7)</f>
        <v>7.2017049696552506</v>
      </c>
      <c r="L105" s="23">
        <f>$D105*COS($E105+$F105*'25SolarCoords'!H$7)</f>
        <v>-0.22282080564511014</v>
      </c>
      <c r="M105" s="23">
        <f>$D105*COS($E105+$F105*'25SolarCoords'!I$7)</f>
        <v>8.3510241799791398</v>
      </c>
      <c r="N105" s="23">
        <f>$D105*COS($E105+$F105*'25SolarCoords'!J$7)</f>
        <v>8.9996999628782319</v>
      </c>
      <c r="O105" s="23">
        <f>$D105*COS($E105+$F105*'25SolarCoords'!K$7)</f>
        <v>7.5820110166038335</v>
      </c>
      <c r="P105" s="23">
        <f>$D105*COS($E105+$F105*'25SolarCoords'!L$7)</f>
        <v>5.2679741161194116</v>
      </c>
      <c r="Q105" s="23">
        <f>$D105*COS($E105+$F105*'25SolarCoords'!M$7)</f>
        <v>4.2241265196066746E-2</v>
      </c>
      <c r="R105" s="23">
        <f>$D105*COS($E105+$F105*'25SolarCoords'!N$7)</f>
        <v>-3.3285555520983574</v>
      </c>
      <c r="S105" s="23">
        <f>$D105*COS($E105+$F105*'25SolarCoords'!O$7)</f>
        <v>-8.7401311546087079</v>
      </c>
      <c r="T105" s="23">
        <f>$D105*COS($E105+$F105*'25SolarCoords'!P$7)</f>
        <v>1.8861103771324257</v>
      </c>
      <c r="U105" s="23">
        <f>$D105*COS($E105+$F105*'25SolarCoords'!Q$7)</f>
        <v>-8.9377521650027223</v>
      </c>
      <c r="V105" s="23">
        <f>$D105*COS($E105+$F105*'25SolarCoords'!R$7)</f>
        <v>-8.9404751938220546</v>
      </c>
      <c r="W105" s="23">
        <f>$D105*COS($E105+$F105*'25SolarCoords'!S$7)</f>
        <v>-8.1377581443945282</v>
      </c>
      <c r="X105" s="23">
        <f>$D105*COS($E105+$F105*'25SolarCoords'!T$7)</f>
        <v>-8.9628903025240483</v>
      </c>
      <c r="Y105" s="23">
        <f>$D105*COS($E105+$F105*'25SolarCoords'!U$7)</f>
        <v>-8.2268629702841203</v>
      </c>
      <c r="Z105" s="23">
        <f>$D105*COS($E105+$F105*'25SolarCoords'!V$7)</f>
        <v>1.1246671608153436</v>
      </c>
      <c r="AA105" s="23">
        <f>$D105*COS($E105+$F105*'25SolarCoords'!W$7)</f>
        <v>8.834852679099793</v>
      </c>
      <c r="AB105" s="23">
        <f>$D105*COS($E105+$F105*'25SolarCoords'!X$7)</f>
        <v>-1.2424156380141207</v>
      </c>
      <c r="AC105" s="23">
        <f>$D105*COS($E105+$F105*'25SolarCoords'!Y$7)</f>
        <v>-8.2042017693956897</v>
      </c>
      <c r="AD105" s="23">
        <f>$D105*COS($E105+$F105*'25SolarCoords'!Z$7)</f>
        <v>-8.3225129440816303</v>
      </c>
      <c r="AE105" s="23">
        <f>$D105*COS($E105+$F105*'25SolarCoords'!AA$7)</f>
        <v>7.1946665204953906</v>
      </c>
      <c r="AF105" s="23">
        <f>$D105*COS($E105+$F105*'25SolarCoords'!AB$7)</f>
        <v>8.9962126418173067</v>
      </c>
      <c r="AG105" s="23">
        <f>$D105*COS($E105+$F105*'25SolarCoords'!AC$7)</f>
        <v>-2.9561727960455286</v>
      </c>
      <c r="AH105" s="23">
        <f>$D105*COS($E105+$F105*'25SolarCoords'!AD$7)</f>
        <v>6.314904680497655</v>
      </c>
      <c r="AI105" s="23">
        <f>$D105*COS($E105+$F105*'25SolarCoords'!AE$7)</f>
        <v>-8.2343062751115284</v>
      </c>
      <c r="AJ105" s="23">
        <f>$D105*COS($E105+$F105*'25SolarCoords'!AF$7)</f>
        <v>4.4573841517026151</v>
      </c>
      <c r="AK105" s="23">
        <f>$D105*COS($E105+$F105*'25SolarCoords'!AG$7)</f>
        <v>3.0094799694772338</v>
      </c>
      <c r="AL105" s="23">
        <f>$D105*COS($E105+$F105*'25SolarCoords'!AH$7)</f>
        <v>-8.3935613125333344</v>
      </c>
      <c r="AM105" s="23">
        <f>$D105*COS($E105+$F105*'25SolarCoords'!AI$7)</f>
        <v>-1.4973616465050259</v>
      </c>
      <c r="AN105" s="23">
        <f>$D105*COS($E105+$F105*'25SolarCoords'!AJ$7)</f>
        <v>6.8328277734629843</v>
      </c>
      <c r="AO105" s="23">
        <f>$D105*COS($E105+$F105*'25SolarCoords'!AK$7)</f>
        <v>-4.3524759892983536</v>
      </c>
      <c r="AP105" s="23">
        <f>$D105*COS($E105+$F105*'25SolarCoords'!AL$7)</f>
        <v>-8.9873993816613567</v>
      </c>
      <c r="AQ105" s="23">
        <f>$D105*COS($E105+$F105*'25SolarCoords'!AM$7)</f>
        <v>-0.41540075391628112</v>
      </c>
      <c r="AR105" s="23">
        <f>$D105*COS($E105+$F105*'25SolarCoords'!AN$7)</f>
        <v>8.3092389394138042</v>
      </c>
      <c r="AS105" s="23">
        <f>$D105*COS($E105+$F105*'25SolarCoords'!AO$7)</f>
        <v>6.8051583034197698</v>
      </c>
      <c r="AT105" s="23">
        <f>$D105*COS($E105+$F105*'25SolarCoords'!AP$7)</f>
        <v>-4.8682359315191031</v>
      </c>
      <c r="AU105" s="23">
        <f>$D105*COS($E105+$F105*'25SolarCoords'!AQ$7)</f>
        <v>-5.0065699439120195</v>
      </c>
      <c r="AV105" s="23">
        <f>$D105*COS($E105+$F105*'25SolarCoords'!AR$7)</f>
        <v>-5.1402713125863038</v>
      </c>
      <c r="AW105" s="23">
        <f>$D105*COS($E105+$F105*'25SolarCoords'!AS$7)</f>
        <v>-5.2894663856455022</v>
      </c>
      <c r="AX105" s="23">
        <f>$D105*COS($E105+$F105*'25SolarCoords'!AT$7)</f>
        <v>-5.5636210186754704</v>
      </c>
      <c r="AY105" s="23">
        <f>$D105*COS($E105+$F105*'25SolarCoords'!AU$7)</f>
        <v>6.1873605914464358</v>
      </c>
      <c r="AZ105" s="23">
        <f>$D105*COS($E105+$F105*'25SolarCoords'!AV$7)</f>
        <v>-8.6567347074540724</v>
      </c>
      <c r="BA105" s="23">
        <f>$D105*COS($E105+$F105*'25SolarCoords'!AW$7)</f>
        <v>8.4948316473086827</v>
      </c>
      <c r="BB105" s="23">
        <f>$D105*COS($E105+$F105*'25SolarCoords'!AX$7)</f>
        <v>-8.0851401669477578</v>
      </c>
      <c r="BC105" s="23">
        <f>$D105*COS($E105+$F105*'25SolarCoords'!AY$7)</f>
        <v>-6.0990686469975586</v>
      </c>
      <c r="BD105" s="23">
        <f>$D105*COS($E105+$F105*'25SolarCoords'!AZ$7)</f>
        <v>-6.1162929059322249</v>
      </c>
      <c r="BE105" s="23">
        <f>$D105*COS($E105+$F105*'25SolarCoords'!BA$7)</f>
        <v>-6.1334756383053612</v>
      </c>
      <c r="BF105" s="23">
        <f>$D105*COS($E105+$F105*'25SolarCoords'!BB$7)</f>
        <v>-6.1506167274548318</v>
      </c>
      <c r="BG105" s="23">
        <f>$D105*COS($E105+$F105*'25SolarCoords'!BC$7)</f>
        <v>-6.1677160570012131</v>
      </c>
      <c r="BH105" s="23">
        <f>$D105*COS($E105+$F105*'25SolarCoords'!BD$7)</f>
        <v>-6.1847735108487027</v>
      </c>
      <c r="BI105" s="23">
        <f>$D105*COS($E105+$F105*'25SolarCoords'!BE$7)</f>
        <v>-6.2017889731856508</v>
      </c>
      <c r="BJ105" s="23">
        <f>$D105*COS($E105+$F105*'25SolarCoords'!BF$7)</f>
        <v>-6.2187623284856715</v>
      </c>
      <c r="BK105" s="23">
        <f>$D105*COS($E105+$F105*'25SolarCoords'!BG$7)</f>
        <v>-8.2328748564771175</v>
      </c>
    </row>
    <row r="106" spans="2:63" x14ac:dyDescent="0.25">
      <c r="C106">
        <f t="shared" si="2"/>
        <v>32</v>
      </c>
      <c r="D106">
        <v>8</v>
      </c>
      <c r="E106">
        <v>5.3</v>
      </c>
      <c r="F106">
        <v>2352.87</v>
      </c>
      <c r="H106" s="7"/>
      <c r="I106" s="23">
        <f>$D106*COS($E106+$F106*'25SolarCoords'!E$7)</f>
        <v>7.8989157024544854</v>
      </c>
      <c r="J106" s="23">
        <f>$D106*COS($E106+$F106*'25SolarCoords'!F$7)</f>
        <v>-5.0488931243842661</v>
      </c>
      <c r="K106" s="23">
        <f>$D106*COS($E106+$F106*'25SolarCoords'!G$7)</f>
        <v>4.4349946894332861</v>
      </c>
      <c r="L106" s="23">
        <f>$D106*COS($E106+$F106*'25SolarCoords'!H$7)</f>
        <v>-7.8467133825751096</v>
      </c>
      <c r="M106" s="23">
        <f>$D106*COS($E106+$F106*'25SolarCoords'!I$7)</f>
        <v>7.9994885438413341</v>
      </c>
      <c r="N106" s="23">
        <f>$D106*COS($E106+$F106*'25SolarCoords'!J$7)</f>
        <v>4.7459950231056593</v>
      </c>
      <c r="O106" s="23">
        <f>$D106*COS($E106+$F106*'25SolarCoords'!K$7)</f>
        <v>-5.6927892299555758</v>
      </c>
      <c r="P106" s="23">
        <f>$D106*COS($E106+$F106*'25SolarCoords'!L$7)</f>
        <v>-7.9079848321623434</v>
      </c>
      <c r="Q106" s="23">
        <f>$D106*COS($E106+$F106*'25SolarCoords'!M$7)</f>
        <v>-6.3806803223261328</v>
      </c>
      <c r="R106" s="23">
        <f>$D106*COS($E106+$F106*'25SolarCoords'!N$7)</f>
        <v>7.4794947924141724</v>
      </c>
      <c r="S106" s="23">
        <f>$D106*COS($E106+$F106*'25SolarCoords'!O$7)</f>
        <v>-7.2796498536988246</v>
      </c>
      <c r="T106" s="23">
        <f>$D106*COS($E106+$F106*'25SolarCoords'!P$7)</f>
        <v>-7.596976307360487</v>
      </c>
      <c r="U106" s="23">
        <f>$D106*COS($E106+$F106*'25SolarCoords'!Q$7)</f>
        <v>1.0727646340646961</v>
      </c>
      <c r="V106" s="23">
        <f>$D106*COS($E106+$F106*'25SolarCoords'!R$7)</f>
        <v>1.0216737117389485</v>
      </c>
      <c r="W106" s="23">
        <f>$D106*COS($E106+$F106*'25SolarCoords'!S$7)</f>
        <v>-5.0196172947784321</v>
      </c>
      <c r="X106" s="23">
        <f>$D106*COS($E106+$F106*'25SolarCoords'!T$7)</f>
        <v>-7.9972760436215822</v>
      </c>
      <c r="Y106" s="23">
        <f>$D106*COS($E106+$F106*'25SolarCoords'!U$7)</f>
        <v>-2.668622969885972</v>
      </c>
      <c r="Z106" s="23">
        <f>$D106*COS($E106+$F106*'25SolarCoords'!V$7)</f>
        <v>-6.7065154443973327</v>
      </c>
      <c r="AA106" s="23">
        <f>$D106*COS($E106+$F106*'25SolarCoords'!W$7)</f>
        <v>7.0901889757267762</v>
      </c>
      <c r="AB106" s="23">
        <f>$D106*COS($E106+$F106*'25SolarCoords'!X$7)</f>
        <v>7.6361711731801378</v>
      </c>
      <c r="AC106" s="23">
        <f>$D106*COS($E106+$F106*'25SolarCoords'!Y$7)</f>
        <v>-1.3547825837537932</v>
      </c>
      <c r="AD106" s="23">
        <f>$D106*COS($E106+$F106*'25SolarCoords'!Z$7)</f>
        <v>-3.3938482539031876</v>
      </c>
      <c r="AE106" s="23">
        <f>$D106*COS($E106+$F106*'25SolarCoords'!AA$7)</f>
        <v>4.4135264968497543</v>
      </c>
      <c r="AF106" s="23">
        <f>$D106*COS($E106+$F106*'25SolarCoords'!AB$7)</f>
        <v>2.5867921412624666</v>
      </c>
      <c r="AG106" s="23">
        <f>$D106*COS($E106+$F106*'25SolarCoords'!AC$7)</f>
        <v>7.2421309757898893</v>
      </c>
      <c r="AH106" s="23">
        <f>$D106*COS($E106+$F106*'25SolarCoords'!AD$7)</f>
        <v>-7.7982994031387571</v>
      </c>
      <c r="AI106" s="23">
        <f>$D106*COS($E106+$F106*'25SolarCoords'!AE$7)</f>
        <v>-1.5145401110808729</v>
      </c>
      <c r="AJ106" s="23">
        <f>$D106*COS($E106+$F106*'25SolarCoords'!AF$7)</f>
        <v>1.9808357201731093</v>
      </c>
      <c r="AK106" s="23">
        <f>$D106*COS($E106+$F106*'25SolarCoords'!AG$7)</f>
        <v>5.0814911044322155</v>
      </c>
      <c r="AL106" s="23">
        <f>$D106*COS($E106+$F106*'25SolarCoords'!AH$7)</f>
        <v>-7.8232629816750059</v>
      </c>
      <c r="AM106" s="23">
        <f>$D106*COS($E106+$F106*'25SolarCoords'!AI$7)</f>
        <v>7.4481388392733683</v>
      </c>
      <c r="AN106" s="23">
        <f>$D106*COS($E106+$F106*'25SolarCoords'!AJ$7)</f>
        <v>-4.5178764674234664</v>
      </c>
      <c r="AO106" s="23">
        <f>$D106*COS($E106+$F106*'25SolarCoords'!AK$7)</f>
        <v>-2.9054966950328893</v>
      </c>
      <c r="AP106" s="23">
        <f>$D106*COS($E106+$F106*'25SolarCoords'!AL$7)</f>
        <v>-5.3813702985220644</v>
      </c>
      <c r="AQ106" s="23">
        <f>$D106*COS($E106+$F106*'25SolarCoords'!AM$7)</f>
        <v>7.7858318824020802</v>
      </c>
      <c r="AR106" s="23">
        <f>$D106*COS($E106+$F106*'25SolarCoords'!AN$7)</f>
        <v>7.4644105834772532</v>
      </c>
      <c r="AS106" s="23">
        <f>$D106*COS($E106+$F106*'25SolarCoords'!AO$7)</f>
        <v>-2.0792182101843588</v>
      </c>
      <c r="AT106" s="23">
        <f>$D106*COS($E106+$F106*'25SolarCoords'!AP$7)</f>
        <v>-4.9513744294612456</v>
      </c>
      <c r="AU106" s="23">
        <f>$D106*COS($E106+$F106*'25SolarCoords'!AQ$7)</f>
        <v>-5.2317567207631113</v>
      </c>
      <c r="AV106" s="23">
        <f>$D106*COS($E106+$F106*'25SolarCoords'!AR$7)</f>
        <v>-5.4956144664262236</v>
      </c>
      <c r="AW106" s="23">
        <f>$D106*COS($E106+$F106*'25SolarCoords'!AS$7)</f>
        <v>-5.780890261971277</v>
      </c>
      <c r="AX106" s="23">
        <f>$D106*COS($E106+$F106*'25SolarCoords'!AT$7)</f>
        <v>-6.2764752366147425</v>
      </c>
      <c r="AY106" s="23">
        <f>$D106*COS($E106+$F106*'25SolarCoords'!AU$7)</f>
        <v>6.0954893345598311</v>
      </c>
      <c r="AZ106" s="23">
        <f>$D106*COS($E106+$F106*'25SolarCoords'!AV$7)</f>
        <v>7.8535448002056167</v>
      </c>
      <c r="BA106" s="23">
        <f>$D106*COS($E106+$F106*'25SolarCoords'!AW$7)</f>
        <v>-7.992789169315186</v>
      </c>
      <c r="BB106" s="23">
        <f>$D106*COS($E106+$F106*'25SolarCoords'!AX$7)</f>
        <v>4.6269282910126188</v>
      </c>
      <c r="BC106" s="23">
        <f>$D106*COS($E106+$F106*'25SolarCoords'!AY$7)</f>
        <v>-7.1123031855191652</v>
      </c>
      <c r="BD106" s="23">
        <f>$D106*COS($E106+$F106*'25SolarCoords'!AZ$7)</f>
        <v>-7.1357496596890684</v>
      </c>
      <c r="BE106" s="23">
        <f>$D106*COS($E106+$F106*'25SolarCoords'!BA$7)</f>
        <v>-7.1589000235556783</v>
      </c>
      <c r="BF106" s="23">
        <f>$D106*COS($E106+$F106*'25SolarCoords'!BB$7)</f>
        <v>-7.1817533164545111</v>
      </c>
      <c r="BG106" s="23">
        <f>$D106*COS($E106+$F106*'25SolarCoords'!BC$7)</f>
        <v>-7.204308590048532</v>
      </c>
      <c r="BH106" s="23">
        <f>$D106*COS($E106+$F106*'25SolarCoords'!BD$7)</f>
        <v>-7.2265649083676342</v>
      </c>
      <c r="BI106" s="23">
        <f>$D106*COS($E106+$F106*'25SolarCoords'!BE$7)</f>
        <v>-7.2485213478472055</v>
      </c>
      <c r="BJ106" s="23">
        <f>$D106*COS($E106+$F106*'25SolarCoords'!BF$7)</f>
        <v>-7.2701769973667965</v>
      </c>
      <c r="BK106" s="23">
        <f>$D106*COS($E106+$F106*'25SolarCoords'!BG$7)</f>
        <v>-1.5068904511555019</v>
      </c>
    </row>
    <row r="107" spans="2:63" x14ac:dyDescent="0.25">
      <c r="C107">
        <f t="shared" si="2"/>
        <v>33</v>
      </c>
      <c r="D107">
        <v>6</v>
      </c>
      <c r="E107">
        <v>2.65</v>
      </c>
      <c r="F107">
        <v>9437.76</v>
      </c>
      <c r="H107" s="7"/>
      <c r="I107" s="23">
        <f>$D107*COS($E107+$F107*'25SolarCoords'!E$7)</f>
        <v>5.9093980065610072</v>
      </c>
      <c r="J107" s="23">
        <f>$D107*COS($E107+$F107*'25SolarCoords'!F$7)</f>
        <v>-3.7969322277699034</v>
      </c>
      <c r="K107" s="23">
        <f>$D107*COS($E107+$F107*'25SolarCoords'!G$7)</f>
        <v>-5.2894931752697154</v>
      </c>
      <c r="L107" s="23">
        <f>$D107*COS($E107+$F107*'25SolarCoords'!H$7)</f>
        <v>5.2334341649708049</v>
      </c>
      <c r="M107" s="23">
        <f>$D107*COS($E107+$F107*'25SolarCoords'!I$7)</f>
        <v>5.9999250095604717</v>
      </c>
      <c r="N107" s="23">
        <f>$D107*COS($E107+$F107*'25SolarCoords'!J$7)</f>
        <v>-5.0470978187521425</v>
      </c>
      <c r="O107" s="23">
        <f>$D107*COS($E107+$F107*'25SolarCoords'!K$7)</f>
        <v>-5.9996017397182149</v>
      </c>
      <c r="P107" s="23">
        <f>$D107*COS($E107+$F107*'25SolarCoords'!L$7)</f>
        <v>4.9394768046816893</v>
      </c>
      <c r="Q107" s="23">
        <f>$D107*COS($E107+$F107*'25SolarCoords'!M$7)</f>
        <v>1.227748683991623</v>
      </c>
      <c r="R107" s="23">
        <f>$D107*COS($E107+$F107*'25SolarCoords'!N$7)</f>
        <v>-4.7275111408934176</v>
      </c>
      <c r="S107" s="23">
        <f>$D107*COS($E107+$F107*'25SolarCoords'!O$7)</f>
        <v>4.703313171464079</v>
      </c>
      <c r="T107" s="23">
        <f>$D107*COS($E107+$F107*'25SolarCoords'!P$7)</f>
        <v>5.960276321611012</v>
      </c>
      <c r="U107" s="23">
        <f>$D107*COS($E107+$F107*'25SolarCoords'!Q$7)</f>
        <v>5.1309997395003961</v>
      </c>
      <c r="V107" s="23">
        <f>$D107*COS($E107+$F107*'25SolarCoords'!R$7)</f>
        <v>5.0489329607398261</v>
      </c>
      <c r="W107" s="23">
        <f>$D107*COS($E107+$F107*'25SolarCoords'!S$7)</f>
        <v>5.4216422988372424</v>
      </c>
      <c r="X107" s="23">
        <f>$D107*COS($E107+$F107*'25SolarCoords'!T$7)</f>
        <v>-5.9644557094782078</v>
      </c>
      <c r="Y107" s="23">
        <f>$D107*COS($E107+$F107*'25SolarCoords'!U$7)</f>
        <v>-1.3089795838579712</v>
      </c>
      <c r="Z107" s="23">
        <f>$D107*COS($E107+$F107*'25SolarCoords'!V$7)</f>
        <v>-4.6899965295613155</v>
      </c>
      <c r="AA107" s="23">
        <f>$D107*COS($E107+$F107*'25SolarCoords'!W$7)</f>
        <v>-1.8900384195945055</v>
      </c>
      <c r="AB107" s="23">
        <f>$D107*COS($E107+$F107*'25SolarCoords'!X$7)</f>
        <v>2.6444854711979109</v>
      </c>
      <c r="AC107" s="23">
        <f>$D107*COS($E107+$F107*'25SolarCoords'!Y$7)</f>
        <v>5.5741144701920344</v>
      </c>
      <c r="AD107" s="23">
        <f>$D107*COS($E107+$F107*'25SolarCoords'!Z$7)</f>
        <v>-5.9866592838655013</v>
      </c>
      <c r="AE107" s="23">
        <f>$D107*COS($E107+$F107*'25SolarCoords'!AA$7)</f>
        <v>-5.2524621049197009</v>
      </c>
      <c r="AF107" s="23">
        <f>$D107*COS($E107+$F107*'25SolarCoords'!AB$7)</f>
        <v>5.4768367500398911</v>
      </c>
      <c r="AG107" s="23">
        <f>$D107*COS($E107+$F107*'25SolarCoords'!AC$7)</f>
        <v>-2.5565027151331243</v>
      </c>
      <c r="AH107" s="23">
        <f>$D107*COS($E107+$F107*'25SolarCoords'!AD$7)</f>
        <v>3.6924076895306142</v>
      </c>
      <c r="AI107" s="23">
        <f>$D107*COS($E107+$F107*'25SolarCoords'!AE$7)</f>
        <v>5.3750715308945978</v>
      </c>
      <c r="AJ107" s="23">
        <f>$D107*COS($E107+$F107*'25SolarCoords'!AF$7)</f>
        <v>3.7947324788565759</v>
      </c>
      <c r="AK107" s="23">
        <f>$D107*COS($E107+$F107*'25SolarCoords'!AG$7)</f>
        <v>-5.2699441781702046</v>
      </c>
      <c r="AL107" s="23">
        <f>$D107*COS($E107+$F107*'25SolarCoords'!AH$7)</f>
        <v>3.6842708012671617</v>
      </c>
      <c r="AM107" s="23">
        <f>$D107*COS($E107+$F107*'25SolarCoords'!AI$7)</f>
        <v>1.0281035519224038</v>
      </c>
      <c r="AN107" s="23">
        <f>$D107*COS($E107+$F107*'25SolarCoords'!AJ$7)</f>
        <v>-4.8940602406196705</v>
      </c>
      <c r="AO107" s="23">
        <f>$D107*COS($E107+$F107*'25SolarCoords'!AK$7)</f>
        <v>5.7082850259059752</v>
      </c>
      <c r="AP107" s="23">
        <f>$D107*COS($E107+$F107*'25SolarCoords'!AL$7)</f>
        <v>-5.9456229471991202</v>
      </c>
      <c r="AQ107" s="23">
        <f>$D107*COS($E107+$F107*'25SolarCoords'!AM$7)</f>
        <v>-5.4929121249216193</v>
      </c>
      <c r="AR107" s="23">
        <f>$D107*COS($E107+$F107*'25SolarCoords'!AN$7)</f>
        <v>2.3655053691485834</v>
      </c>
      <c r="AS107" s="23">
        <f>$D107*COS($E107+$F107*'25SolarCoords'!AO$7)</f>
        <v>3.6544603605828718</v>
      </c>
      <c r="AT107" s="23">
        <f>$D107*COS($E107+$F107*'25SolarCoords'!AP$7)</f>
        <v>-5.4665965214366272</v>
      </c>
      <c r="AU107" s="23">
        <f>$D107*COS($E107+$F107*'25SolarCoords'!AQ$7)</f>
        <v>-4.927621187032333</v>
      </c>
      <c r="AV107" s="23">
        <f>$D107*COS($E107+$F107*'25SolarCoords'!AR$7)</f>
        <v>-4.2421039735147392</v>
      </c>
      <c r="AW107" s="23">
        <f>$D107*COS($E107+$F107*'25SolarCoords'!AS$7)</f>
        <v>-3.3060125135914373</v>
      </c>
      <c r="AX107" s="23">
        <f>$D107*COS($E107+$F107*'25SolarCoords'!AT$7)</f>
        <v>-1.2205753459774749</v>
      </c>
      <c r="AY107" s="23">
        <f>$D107*COS($E107+$F107*'25SolarCoords'!AU$7)</f>
        <v>-5.9828962382791655</v>
      </c>
      <c r="AZ107" s="23">
        <f>$D107*COS($E107+$F107*'25SolarCoords'!AV$7)</f>
        <v>5.1818586855087148</v>
      </c>
      <c r="BA107" s="23">
        <f>$D107*COS($E107+$F107*'25SolarCoords'!AW$7)</f>
        <v>1.9571271477255971</v>
      </c>
      <c r="BB107" s="23">
        <f>$D107*COS($E107+$F107*'25SolarCoords'!AX$7)</f>
        <v>-0.43831544116154875</v>
      </c>
      <c r="BC107" s="23">
        <f>$D107*COS($E107+$F107*'25SolarCoords'!AY$7)</f>
        <v>3.2393896015079968</v>
      </c>
      <c r="BD107" s="23">
        <f>$D107*COS($E107+$F107*'25SolarCoords'!AZ$7)</f>
        <v>3.3687914443903324</v>
      </c>
      <c r="BE107" s="23">
        <f>$D107*COS($E107+$F107*'25SolarCoords'!BA$7)</f>
        <v>3.4959441944956677</v>
      </c>
      <c r="BF107" s="23">
        <f>$D107*COS($E107+$F107*'25SolarCoords'!BB$7)</f>
        <v>3.6207629613410144</v>
      </c>
      <c r="BG107" s="23">
        <f>$D107*COS($E107+$F107*'25SolarCoords'!BC$7)</f>
        <v>3.7431644126717289</v>
      </c>
      <c r="BH107" s="23">
        <f>$D107*COS($E107+$F107*'25SolarCoords'!BD$7)</f>
        <v>3.8630668300958582</v>
      </c>
      <c r="BI107" s="23">
        <f>$D107*COS($E107+$F107*'25SolarCoords'!BE$7)</f>
        <v>3.9803901636409531</v>
      </c>
      <c r="BJ107" s="23">
        <f>$D107*COS($E107+$F107*'25SolarCoords'!BF$7)</f>
        <v>4.0950560851988183</v>
      </c>
      <c r="BK107" s="23">
        <f>$D107*COS($E107+$F107*'25SolarCoords'!BG$7)</f>
        <v>5.3854440930344918</v>
      </c>
    </row>
    <row r="108" spans="2:63" x14ac:dyDescent="0.25">
      <c r="C108">
        <f t="shared" si="2"/>
        <v>34</v>
      </c>
      <c r="D108">
        <v>6</v>
      </c>
      <c r="E108">
        <v>4.67</v>
      </c>
      <c r="F108">
        <v>4690.4799999999996</v>
      </c>
      <c r="H108" s="7"/>
      <c r="I108" s="23">
        <f>$D108*COS($E108+$F108*'25SolarCoords'!E$7)</f>
        <v>1.5119232257435657</v>
      </c>
      <c r="J108" s="23">
        <f>$D108*COS($E108+$F108*'25SolarCoords'!F$7)</f>
        <v>-4.5549876940518246</v>
      </c>
      <c r="K108" s="23">
        <f>$D108*COS($E108+$F108*'25SolarCoords'!G$7)</f>
        <v>-0.25425772354308879</v>
      </c>
      <c r="L108" s="23">
        <f>$D108*COS($E108+$F108*'25SolarCoords'!H$7)</f>
        <v>5.9983163652608873</v>
      </c>
      <c r="M108" s="23">
        <f>$D108*COS($E108+$F108*'25SolarCoords'!I$7)</f>
        <v>5.0413281737087132</v>
      </c>
      <c r="N108" s="23">
        <f>$D108*COS($E108+$F108*'25SolarCoords'!J$7)</f>
        <v>-4.4882722870998322</v>
      </c>
      <c r="O108" s="23">
        <f>$D108*COS($E108+$F108*'25SolarCoords'!K$7)</f>
        <v>3.1258128625323804</v>
      </c>
      <c r="P108" s="23">
        <f>$D108*COS($E108+$F108*'25SolarCoords'!L$7)</f>
        <v>4.0366892056102266</v>
      </c>
      <c r="Q108" s="23">
        <f>$D108*COS($E108+$F108*'25SolarCoords'!M$7)</f>
        <v>5.005140538577038</v>
      </c>
      <c r="R108" s="23">
        <f>$D108*COS($E108+$F108*'25SolarCoords'!N$7)</f>
        <v>3.7328261471191855</v>
      </c>
      <c r="S108" s="23">
        <f>$D108*COS($E108+$F108*'25SolarCoords'!O$7)</f>
        <v>4.6022084955959821</v>
      </c>
      <c r="T108" s="23">
        <f>$D108*COS($E108+$F108*'25SolarCoords'!P$7)</f>
        <v>1.0716160523162281</v>
      </c>
      <c r="U108" s="23">
        <f>$D108*COS($E108+$F108*'25SolarCoords'!Q$7)</f>
        <v>-2.9881534139649615</v>
      </c>
      <c r="V108" s="23">
        <f>$D108*COS($E108+$F108*'25SolarCoords'!R$7)</f>
        <v>-2.92109313037375</v>
      </c>
      <c r="W108" s="23">
        <f>$D108*COS($E108+$F108*'25SolarCoords'!S$7)</f>
        <v>-4.2412410795648885</v>
      </c>
      <c r="X108" s="23">
        <f>$D108*COS($E108+$F108*'25SolarCoords'!T$7)</f>
        <v>-3.5314623492757349</v>
      </c>
      <c r="Y108" s="23">
        <f>$D108*COS($E108+$F108*'25SolarCoords'!U$7)</f>
        <v>5.7224544436552733</v>
      </c>
      <c r="Z108" s="23">
        <f>$D108*COS($E108+$F108*'25SolarCoords'!V$7)</f>
        <v>2.7558879996754295</v>
      </c>
      <c r="AA108" s="23">
        <f>$D108*COS($E108+$F108*'25SolarCoords'!W$7)</f>
        <v>0.36120598012121624</v>
      </c>
      <c r="AB108" s="23">
        <f>$D108*COS($E108+$F108*'25SolarCoords'!X$7)</f>
        <v>5.9458373400520186</v>
      </c>
      <c r="AC108" s="23">
        <f>$D108*COS($E108+$F108*'25SolarCoords'!Y$7)</f>
        <v>-3.0238029924710181</v>
      </c>
      <c r="AD108" s="23">
        <f>$D108*COS($E108+$F108*'25SolarCoords'!Z$7)</f>
        <v>-5.0899223928162005</v>
      </c>
      <c r="AE108" s="23">
        <f>$D108*COS($E108+$F108*'25SolarCoords'!AA$7)</f>
        <v>-0.29274311424163041</v>
      </c>
      <c r="AF108" s="23">
        <f>$D108*COS($E108+$F108*'25SolarCoords'!AB$7)</f>
        <v>0.80969196122434794</v>
      </c>
      <c r="AG108" s="23">
        <f>$D108*COS($E108+$F108*'25SolarCoords'!AC$7)</f>
        <v>5.8781012824312775</v>
      </c>
      <c r="AH108" s="23">
        <f>$D108*COS($E108+$F108*'25SolarCoords'!AD$7)</f>
        <v>5.9800417644633708</v>
      </c>
      <c r="AI108" s="23">
        <f>$D108*COS($E108+$F108*'25SolarCoords'!AE$7)</f>
        <v>-2.8116729800742304</v>
      </c>
      <c r="AJ108" s="23">
        <f>$D108*COS($E108+$F108*'25SolarCoords'!AF$7)</f>
        <v>-5.9952203732381966</v>
      </c>
      <c r="AK108" s="23">
        <f>$D108*COS($E108+$F108*'25SolarCoords'!AG$7)</f>
        <v>-3.667475710828386</v>
      </c>
      <c r="AL108" s="23">
        <f>$D108*COS($E108+$F108*'25SolarCoords'!AH$7)</f>
        <v>3.6860280659071694</v>
      </c>
      <c r="AM108" s="23">
        <f>$D108*COS($E108+$F108*'25SolarCoords'!AI$7)</f>
        <v>5.7733644296770184</v>
      </c>
      <c r="AN108" s="23">
        <f>$D108*COS($E108+$F108*'25SolarCoords'!AJ$7)</f>
        <v>0.50584765254280839</v>
      </c>
      <c r="AO108" s="23">
        <f>$D108*COS($E108+$F108*'25SolarCoords'!AK$7)</f>
        <v>4.371677607389139</v>
      </c>
      <c r="AP108" s="23">
        <f>$D108*COS($E108+$F108*'25SolarCoords'!AL$7)</f>
        <v>2.3346794396714232</v>
      </c>
      <c r="AQ108" s="23">
        <f>$D108*COS($E108+$F108*'25SolarCoords'!AM$7)</f>
        <v>-5.9284452355550572</v>
      </c>
      <c r="AR108" s="23">
        <f>$D108*COS($E108+$F108*'25SolarCoords'!AN$7)</f>
        <v>5.5567478996852415</v>
      </c>
      <c r="AS108" s="23">
        <f>$D108*COS($E108+$F108*'25SolarCoords'!AO$7)</f>
        <v>-5.9967734840253559</v>
      </c>
      <c r="AT108" s="23">
        <f>$D108*COS($E108+$F108*'25SolarCoords'!AP$7)</f>
        <v>-1.3665323466510777</v>
      </c>
      <c r="AU108" s="23">
        <f>$D108*COS($E108+$F108*'25SolarCoords'!AQ$7)</f>
        <v>-0.83230092108443798</v>
      </c>
      <c r="AV108" s="23">
        <f>$D108*COS($E108+$F108*'25SolarCoords'!AR$7)</f>
        <v>-0.30299863389889048</v>
      </c>
      <c r="AW108" s="23">
        <f>$D108*COS($E108+$F108*'25SolarCoords'!AS$7)</f>
        <v>0.29822891311971383</v>
      </c>
      <c r="AX108" s="23">
        <f>$D108*COS($E108+$F108*'25SolarCoords'!AT$7)</f>
        <v>1.4141979248071708</v>
      </c>
      <c r="AY108" s="23">
        <f>$D108*COS($E108+$F108*'25SolarCoords'!AU$7)</f>
        <v>4.7760971051603285</v>
      </c>
      <c r="AZ108" s="23">
        <f>$D108*COS($E108+$F108*'25SolarCoords'!AV$7)</f>
        <v>5.9999085388401907</v>
      </c>
      <c r="BA108" s="23">
        <f>$D108*COS($E108+$F108*'25SolarCoords'!AW$7)</f>
        <v>0.84287107548080575</v>
      </c>
      <c r="BB108" s="23">
        <f>$D108*COS($E108+$F108*'25SolarCoords'!AX$7)</f>
        <v>3.7149106820322486</v>
      </c>
      <c r="BC108" s="23">
        <f>$D108*COS($E108+$F108*'25SolarCoords'!AY$7)</f>
        <v>3.5017877572860883</v>
      </c>
      <c r="BD108" s="23">
        <f>$D108*COS($E108+$F108*'25SolarCoords'!AZ$7)</f>
        <v>3.5640641616625661</v>
      </c>
      <c r="BE108" s="23">
        <f>$D108*COS($E108+$F108*'25SolarCoords'!BA$7)</f>
        <v>3.6257528146379325</v>
      </c>
      <c r="BF108" s="23">
        <f>$D108*COS($E108+$F108*'25SolarCoords'!BB$7)</f>
        <v>3.6868435431090054</v>
      </c>
      <c r="BG108" s="23">
        <f>$D108*COS($E108+$F108*'25SolarCoords'!BC$7)</f>
        <v>3.747326272576597</v>
      </c>
      <c r="BH108" s="23">
        <f>$D108*COS($E108+$F108*'25SolarCoords'!BD$7)</f>
        <v>3.8071910288071078</v>
      </c>
      <c r="BI108" s="23">
        <f>$D108*COS($E108+$F108*'25SolarCoords'!BE$7)</f>
        <v>3.8664279394769769</v>
      </c>
      <c r="BJ108" s="23">
        <f>$D108*COS($E108+$F108*'25SolarCoords'!BF$7)</f>
        <v>3.9250272358009366</v>
      </c>
      <c r="BK108" s="23">
        <f>$D108*COS($E108+$F108*'25SolarCoords'!BG$7)</f>
        <v>-2.8219565329939149</v>
      </c>
    </row>
    <row r="109" spans="2:63" x14ac:dyDescent="0.25">
      <c r="C109" s="342" t="s">
        <v>802</v>
      </c>
      <c r="D109" s="342"/>
      <c r="E109" s="342"/>
      <c r="F109" s="342"/>
      <c r="H109" s="7"/>
    </row>
    <row r="110" spans="2:63" x14ac:dyDescent="0.25">
      <c r="B110">
        <v>420</v>
      </c>
      <c r="C110" s="19"/>
      <c r="D110" s="19" t="s">
        <v>783</v>
      </c>
      <c r="E110" s="19" t="s">
        <v>781</v>
      </c>
      <c r="F110" s="19" t="s">
        <v>782</v>
      </c>
      <c r="H110" s="7"/>
    </row>
    <row r="111" spans="2:63" x14ac:dyDescent="0.25">
      <c r="C111">
        <f t="shared" ref="C111:C130" si="3">C110+1</f>
        <v>1</v>
      </c>
      <c r="D111">
        <v>52919</v>
      </c>
      <c r="E111">
        <v>0</v>
      </c>
      <c r="F111">
        <v>0</v>
      </c>
      <c r="H111" s="7"/>
      <c r="I111" s="23">
        <f>$D111*COS($E111+$F111*'25SolarCoords'!E$7)</f>
        <v>52919</v>
      </c>
      <c r="J111" s="23">
        <f>$D111*COS($E111+$F111*'25SolarCoords'!F$7)</f>
        <v>52919</v>
      </c>
      <c r="K111" s="23">
        <f>$D111*COS($E111+$F111*'25SolarCoords'!G$7)</f>
        <v>52919</v>
      </c>
      <c r="L111" s="23">
        <f>$D111*COS($E111+$F111*'25SolarCoords'!H$7)</f>
        <v>52919</v>
      </c>
      <c r="M111" s="23">
        <f>$D111*COS($E111+$F111*'25SolarCoords'!I$7)</f>
        <v>52919</v>
      </c>
      <c r="N111" s="23">
        <f>$D111*COS($E111+$F111*'25SolarCoords'!J$7)</f>
        <v>52919</v>
      </c>
      <c r="O111" s="23">
        <f>$D111*COS($E111+$F111*'25SolarCoords'!K$7)</f>
        <v>52919</v>
      </c>
      <c r="P111" s="23">
        <f>$D111*COS($E111+$F111*'25SolarCoords'!L$7)</f>
        <v>52919</v>
      </c>
      <c r="Q111" s="23">
        <f>$D111*COS($E111+$F111*'25SolarCoords'!M$7)</f>
        <v>52919</v>
      </c>
      <c r="R111" s="23">
        <f>$D111*COS($E111+$F111*'25SolarCoords'!N$7)</f>
        <v>52919</v>
      </c>
      <c r="S111" s="23">
        <f>$D111*COS($E111+$F111*'25SolarCoords'!O$7)</f>
        <v>52919</v>
      </c>
      <c r="T111" s="23">
        <f>$D111*COS($E111+$F111*'25SolarCoords'!P$7)</f>
        <v>52919</v>
      </c>
      <c r="U111" s="23">
        <f>$D111*COS($E111+$F111*'25SolarCoords'!Q$7)</f>
        <v>52919</v>
      </c>
      <c r="V111" s="23">
        <f>$D111*COS($E111+$F111*'25SolarCoords'!R$7)</f>
        <v>52919</v>
      </c>
      <c r="W111" s="23">
        <f>$D111*COS($E111+$F111*'25SolarCoords'!S$7)</f>
        <v>52919</v>
      </c>
      <c r="X111" s="23">
        <f>$D111*COS($E111+$F111*'25SolarCoords'!T$7)</f>
        <v>52919</v>
      </c>
      <c r="Y111" s="23">
        <f>$D111*COS($E111+$F111*'25SolarCoords'!U$7)</f>
        <v>52919</v>
      </c>
      <c r="Z111" s="23">
        <f>$D111*COS($E111+$F111*'25SolarCoords'!V$7)</f>
        <v>52919</v>
      </c>
      <c r="AA111" s="23">
        <f>$D111*COS($E111+$F111*'25SolarCoords'!W$7)</f>
        <v>52919</v>
      </c>
      <c r="AB111" s="23">
        <f>$D111*COS($E111+$F111*'25SolarCoords'!X$7)</f>
        <v>52919</v>
      </c>
      <c r="AC111" s="23">
        <f>$D111*COS($E111+$F111*'25SolarCoords'!Y$7)</f>
        <v>52919</v>
      </c>
      <c r="AD111" s="23">
        <f>$D111*COS($E111+$F111*'25SolarCoords'!Z$7)</f>
        <v>52919</v>
      </c>
      <c r="AE111" s="23">
        <f>$D111*COS($E111+$F111*'25SolarCoords'!AA$7)</f>
        <v>52919</v>
      </c>
      <c r="AF111" s="23">
        <f>$D111*COS($E111+$F111*'25SolarCoords'!AB$7)</f>
        <v>52919</v>
      </c>
      <c r="AG111" s="23">
        <f>$D111*COS($E111+$F111*'25SolarCoords'!AC$7)</f>
        <v>52919</v>
      </c>
      <c r="AH111" s="23">
        <f>$D111*COS($E111+$F111*'25SolarCoords'!AD$7)</f>
        <v>52919</v>
      </c>
      <c r="AI111" s="23">
        <f>$D111*COS($E111+$F111*'25SolarCoords'!AE$7)</f>
        <v>52919</v>
      </c>
      <c r="AJ111" s="23">
        <f>$D111*COS($E111+$F111*'25SolarCoords'!AF$7)</f>
        <v>52919</v>
      </c>
      <c r="AK111" s="23">
        <f>$D111*COS($E111+$F111*'25SolarCoords'!AG$7)</f>
        <v>52919</v>
      </c>
      <c r="AL111" s="23">
        <f>$D111*COS($E111+$F111*'25SolarCoords'!AH$7)</f>
        <v>52919</v>
      </c>
      <c r="AM111" s="23">
        <f>$D111*COS($E111+$F111*'25SolarCoords'!AI$7)</f>
        <v>52919</v>
      </c>
      <c r="AN111" s="23">
        <f>$D111*COS($E111+$F111*'25SolarCoords'!AJ$7)</f>
        <v>52919</v>
      </c>
      <c r="AO111" s="23">
        <f>$D111*COS($E111+$F111*'25SolarCoords'!AK$7)</f>
        <v>52919</v>
      </c>
      <c r="AP111" s="23">
        <f>$D111*COS($E111+$F111*'25SolarCoords'!AL$7)</f>
        <v>52919</v>
      </c>
      <c r="AQ111" s="23">
        <f>$D111*COS($E111+$F111*'25SolarCoords'!AM$7)</f>
        <v>52919</v>
      </c>
      <c r="AR111" s="23">
        <f>$D111*COS($E111+$F111*'25SolarCoords'!AN$7)</f>
        <v>52919</v>
      </c>
      <c r="AS111" s="23">
        <f>$D111*COS($E111+$F111*'25SolarCoords'!AO$7)</f>
        <v>52919</v>
      </c>
      <c r="AT111" s="23">
        <f>$D111*COS($E111+$F111*'25SolarCoords'!AP$7)</f>
        <v>52919</v>
      </c>
      <c r="AU111" s="23">
        <f>$D111*COS($E111+$F111*'25SolarCoords'!AQ$7)</f>
        <v>52919</v>
      </c>
      <c r="AV111" s="23">
        <f>$D111*COS($E111+$F111*'25SolarCoords'!AR$7)</f>
        <v>52919</v>
      </c>
      <c r="AW111" s="23">
        <f>$D111*COS($E111+$F111*'25SolarCoords'!AS$7)</f>
        <v>52919</v>
      </c>
      <c r="AX111" s="23">
        <f>$D111*COS($E111+$F111*'25SolarCoords'!AT$7)</f>
        <v>52919</v>
      </c>
      <c r="AY111" s="23">
        <f>$D111*COS($E111+$F111*'25SolarCoords'!AU$7)</f>
        <v>52919</v>
      </c>
      <c r="AZ111" s="23">
        <f>$D111*COS($E111+$F111*'25SolarCoords'!AV$7)</f>
        <v>52919</v>
      </c>
      <c r="BA111" s="23">
        <f>$D111*COS($E111+$F111*'25SolarCoords'!AW$7)</f>
        <v>52919</v>
      </c>
      <c r="BB111" s="23">
        <f>$D111*COS($E111+$F111*'25SolarCoords'!AX$7)</f>
        <v>52919</v>
      </c>
      <c r="BC111" s="23">
        <f>$D111*COS($E111+$F111*'25SolarCoords'!AY$7)</f>
        <v>52919</v>
      </c>
      <c r="BD111" s="23">
        <f>$D111*COS($E111+$F111*'25SolarCoords'!AZ$7)</f>
        <v>52919</v>
      </c>
      <c r="BE111" s="23">
        <f>$D111*COS($E111+$F111*'25SolarCoords'!BA$7)</f>
        <v>52919</v>
      </c>
      <c r="BF111" s="23">
        <f>$D111*COS($E111+$F111*'25SolarCoords'!BB$7)</f>
        <v>52919</v>
      </c>
      <c r="BG111" s="23">
        <f>$D111*COS($E111+$F111*'25SolarCoords'!BC$7)</f>
        <v>52919</v>
      </c>
      <c r="BH111" s="23">
        <f>$D111*COS($E111+$F111*'25SolarCoords'!BD$7)</f>
        <v>52919</v>
      </c>
      <c r="BI111" s="23">
        <f>$D111*COS($E111+$F111*'25SolarCoords'!BE$7)</f>
        <v>52919</v>
      </c>
      <c r="BJ111" s="23">
        <f>$D111*COS($E111+$F111*'25SolarCoords'!BF$7)</f>
        <v>52919</v>
      </c>
      <c r="BK111" s="23">
        <f>$D111*COS($E111+$F111*'25SolarCoords'!BG$7)</f>
        <v>52919</v>
      </c>
    </row>
    <row r="112" spans="2:63" x14ac:dyDescent="0.25">
      <c r="C112">
        <f t="shared" si="3"/>
        <v>2</v>
      </c>
      <c r="D112">
        <v>8720</v>
      </c>
      <c r="E112">
        <v>1.0721000000000001</v>
      </c>
      <c r="F112">
        <v>6283.0757999999996</v>
      </c>
      <c r="H112" s="7"/>
      <c r="I112" s="23">
        <f>$D112*COS($E112+$F112*'25SolarCoords'!E$7)</f>
        <v>7888.1116907918567</v>
      </c>
      <c r="J112" s="23">
        <f>$D112*COS($E112+$F112*'25SolarCoords'!F$7)</f>
        <v>-3134.0633540154158</v>
      </c>
      <c r="K112" s="23">
        <f>$D112*COS($E112+$F112*'25SolarCoords'!G$7)</f>
        <v>4170.6107616678255</v>
      </c>
      <c r="L112" s="23">
        <f>$D112*COS($E112+$F112*'25SolarCoords'!H$7)</f>
        <v>4202.6687477825717</v>
      </c>
      <c r="M112" s="23">
        <f>$D112*COS($E112+$F112*'25SolarCoords'!I$7)</f>
        <v>473.42042661511942</v>
      </c>
      <c r="N112" s="23">
        <f>$D112*COS($E112+$F112*'25SolarCoords'!J$7)</f>
        <v>-5798.2273870488107</v>
      </c>
      <c r="O112" s="23">
        <f>$D112*COS($E112+$F112*'25SolarCoords'!K$7)</f>
        <v>511.81451488656728</v>
      </c>
      <c r="P112" s="23">
        <f>$D112*COS($E112+$F112*'25SolarCoords'!L$7)</f>
        <v>-5714.4406131263586</v>
      </c>
      <c r="Q112" s="23">
        <f>$D112*COS($E112+$F112*'25SolarCoords'!M$7)</f>
        <v>4020.0948130495253</v>
      </c>
      <c r="R112" s="23">
        <f>$D112*COS($E112+$F112*'25SolarCoords'!N$7)</f>
        <v>3490.9671842154512</v>
      </c>
      <c r="S112" s="23">
        <f>$D112*COS($E112+$F112*'25SolarCoords'!O$7)</f>
        <v>3526.1724874456968</v>
      </c>
      <c r="T112" s="23">
        <f>$D112*COS($E112+$F112*'25SolarCoords'!P$7)</f>
        <v>-8719.8411121101071</v>
      </c>
      <c r="U112" s="23">
        <f>$D112*COS($E112+$F112*'25SolarCoords'!Q$7)</f>
        <v>521.98613791947344</v>
      </c>
      <c r="V112" s="23">
        <f>$D112*COS($E112+$F112*'25SolarCoords'!R$7)</f>
        <v>372.1827659768789</v>
      </c>
      <c r="W112" s="23">
        <f>$D112*COS($E112+$F112*'25SolarCoords'!S$7)</f>
        <v>2003.8384257557902</v>
      </c>
      <c r="X112" s="23">
        <f>$D112*COS($E112+$F112*'25SolarCoords'!T$7)</f>
        <v>-7605.989315841899</v>
      </c>
      <c r="Y112" s="23">
        <f>$D112*COS($E112+$F112*'25SolarCoords'!U$7)</f>
        <v>6523.6699810000882</v>
      </c>
      <c r="Z112" s="23">
        <f>$D112*COS($E112+$F112*'25SolarCoords'!V$7)</f>
        <v>-3870.7858233897036</v>
      </c>
      <c r="AA112" s="23">
        <f>$D112*COS($E112+$F112*'25SolarCoords'!W$7)</f>
        <v>-8131.9130552389088</v>
      </c>
      <c r="AB112" s="23">
        <f>$D112*COS($E112+$F112*'25SolarCoords'!X$7)</f>
        <v>-8270.1702375917866</v>
      </c>
      <c r="AC112" s="23">
        <f>$D112*COS($E112+$F112*'25SolarCoords'!Y$7)</f>
        <v>-2428.4068199849471</v>
      </c>
      <c r="AD112" s="23">
        <f>$D112*COS($E112+$F112*'25SolarCoords'!Z$7)</f>
        <v>4272.9972688918915</v>
      </c>
      <c r="AE112" s="23">
        <f>$D112*COS($E112+$F112*'25SolarCoords'!AA$7)</f>
        <v>4236.3223026867972</v>
      </c>
      <c r="AF112" s="23">
        <f>$D112*COS($E112+$F112*'25SolarCoords'!AB$7)</f>
        <v>-4474.8064216715738</v>
      </c>
      <c r="AG112" s="23">
        <f>$D112*COS($E112+$F112*'25SolarCoords'!AC$7)</f>
        <v>8460.8709841687123</v>
      </c>
      <c r="AH112" s="23">
        <f>$D112*COS($E112+$F112*'25SolarCoords'!AD$7)</f>
        <v>-8621.8990132382351</v>
      </c>
      <c r="AI112" s="23">
        <f>$D112*COS($E112+$F112*'25SolarCoords'!AE$7)</f>
        <v>-2878.5999088315393</v>
      </c>
      <c r="AJ112" s="23">
        <f>$D112*COS($E112+$F112*'25SolarCoords'!AF$7)</f>
        <v>5617.943267392523</v>
      </c>
      <c r="AK112" s="23">
        <f>$D112*COS($E112+$F112*'25SolarCoords'!AG$7)</f>
        <v>8333.0996589925435</v>
      </c>
      <c r="AL112" s="23">
        <f>$D112*COS($E112+$F112*'25SolarCoords'!AH$7)</f>
        <v>-4279.0641800635804</v>
      </c>
      <c r="AM112" s="23">
        <f>$D112*COS($E112+$F112*'25SolarCoords'!AI$7)</f>
        <v>-7602.5532670802031</v>
      </c>
      <c r="AN112" s="23">
        <f>$D112*COS($E112+$F112*'25SolarCoords'!AJ$7)</f>
        <v>-8719.9998729720064</v>
      </c>
      <c r="AO112" s="23">
        <f>$D112*COS($E112+$F112*'25SolarCoords'!AK$7)</f>
        <v>3883.4423773902899</v>
      </c>
      <c r="AP112" s="23">
        <f>$D112*COS($E112+$F112*'25SolarCoords'!AL$7)</f>
        <v>6652.3509309843666</v>
      </c>
      <c r="AQ112" s="23">
        <f>$D112*COS($E112+$F112*'25SolarCoords'!AM$7)</f>
        <v>921.33994980809825</v>
      </c>
      <c r="AR112" s="23">
        <f>$D112*COS($E112+$F112*'25SolarCoords'!AN$7)</f>
        <v>-7938.1708089984259</v>
      </c>
      <c r="AS112" s="23">
        <f>$D112*COS($E112+$F112*'25SolarCoords'!AO$7)</f>
        <v>152.23547313635967</v>
      </c>
      <c r="AT112" s="23">
        <f>$D112*COS($E112+$F112*'25SolarCoords'!AP$7)</f>
        <v>7144.5099026432254</v>
      </c>
      <c r="AU112" s="23">
        <f>$D112*COS($E112+$F112*'25SolarCoords'!AQ$7)</f>
        <v>7697.2480975557264</v>
      </c>
      <c r="AV112" s="23">
        <f>$D112*COS($E112+$F112*'25SolarCoords'!AR$7)</f>
        <v>8128.4700028843727</v>
      </c>
      <c r="AW112" s="23">
        <f>$D112*COS($E112+$F112*'25SolarCoords'!AS$7)</f>
        <v>8477.9490166860433</v>
      </c>
      <c r="AX112" s="23">
        <f>$D112*COS($E112+$F112*'25SolarCoords'!AT$7)</f>
        <v>8718.8906563794844</v>
      </c>
      <c r="AY112" s="23">
        <f>$D112*COS($E112+$F112*'25SolarCoords'!AU$7)</f>
        <v>-7500.2737558099716</v>
      </c>
      <c r="AZ112" s="23">
        <f>$D112*COS($E112+$F112*'25SolarCoords'!AV$7)</f>
        <v>4516.5501977962585</v>
      </c>
      <c r="BA112" s="23">
        <f>$D112*COS($E112+$F112*'25SolarCoords'!AW$7)</f>
        <v>3611.8772508302354</v>
      </c>
      <c r="BB112" s="23">
        <f>$D112*COS($E112+$F112*'25SolarCoords'!AX$7)</f>
        <v>-8400.6718017879102</v>
      </c>
      <c r="BC112" s="23">
        <f>$D112*COS($E112+$F112*'25SolarCoords'!AY$7)</f>
        <v>7514.7799426804431</v>
      </c>
      <c r="BD112" s="23">
        <f>$D112*COS($E112+$F112*'25SolarCoords'!AZ$7)</f>
        <v>7437.5799577105381</v>
      </c>
      <c r="BE112" s="23">
        <f>$D112*COS($E112+$F112*'25SolarCoords'!BA$7)</f>
        <v>7358.1791498866687</v>
      </c>
      <c r="BF112" s="23">
        <f>$D112*COS($E112+$F112*'25SolarCoords'!BB$7)</f>
        <v>7276.6010143663289</v>
      </c>
      <c r="BG112" s="23">
        <f>$D112*COS($E112+$F112*'25SolarCoords'!BC$7)</f>
        <v>7192.8696905908491</v>
      </c>
      <c r="BH112" s="23">
        <f>$D112*COS($E112+$F112*'25SolarCoords'!BD$7)</f>
        <v>7107.0099551422554</v>
      </c>
      <c r="BI112" s="23">
        <f>$D112*COS($E112+$F112*'25SolarCoords'!BE$7)</f>
        <v>7019.0472144123032</v>
      </c>
      <c r="BJ112" s="23">
        <f>$D112*COS($E112+$F112*'25SolarCoords'!BF$7)</f>
        <v>6929.0074970837304</v>
      </c>
      <c r="BK112" s="23">
        <f>$D112*COS($E112+$F112*'25SolarCoords'!BG$7)</f>
        <v>-2857.1872943073495</v>
      </c>
    </row>
    <row r="113" spans="3:63" x14ac:dyDescent="0.25">
      <c r="C113">
        <f t="shared" si="3"/>
        <v>3</v>
      </c>
      <c r="D113">
        <v>309</v>
      </c>
      <c r="E113">
        <v>0.86699999999999999</v>
      </c>
      <c r="F113">
        <v>12566.152</v>
      </c>
      <c r="H113" s="7"/>
      <c r="I113" s="23">
        <f>$D113*COS($E113+$F113*'25SolarCoords'!E$7)</f>
        <v>-171.17861535818494</v>
      </c>
      <c r="J113" s="23">
        <f>$D113*COS($E113+$F113*'25SolarCoords'!F$7)</f>
        <v>-264.61904936834998</v>
      </c>
      <c r="K113" s="23">
        <f>$D113*COS($E113+$F113*'25SolarCoords'!G$7)</f>
        <v>199.95903832834264</v>
      </c>
      <c r="L113" s="23">
        <f>$D113*COS($E113+$F113*'25SolarCoords'!H$7)</f>
        <v>201.92671737633663</v>
      </c>
      <c r="M113" s="23">
        <f>$D113*COS($E113+$F113*'25SolarCoords'!I$7)</f>
        <v>-56.825833958028774</v>
      </c>
      <c r="N113" s="23">
        <f>$D113*COS($E113+$F113*'25SolarCoords'!J$7)</f>
        <v>283.44255177923492</v>
      </c>
      <c r="O113" s="23">
        <f>$D113*COS($E113+$F113*'25SolarCoords'!K$7)</f>
        <v>-54.144859449071845</v>
      </c>
      <c r="P113" s="23">
        <f>$D113*COS($E113+$F113*'25SolarCoords'!L$7)</f>
        <v>280.20195028539302</v>
      </c>
      <c r="Q113" s="23">
        <f>$D113*COS($E113+$F113*'25SolarCoords'!M$7)</f>
        <v>190.60618854105275</v>
      </c>
      <c r="R113" s="23">
        <f>$D113*COS($E113+$F113*'25SolarCoords'!N$7)</f>
        <v>156.30042932073124</v>
      </c>
      <c r="S113" s="23">
        <f>$D113*COS($E113+$F113*'25SolarCoords'!O$7)</f>
        <v>158.64524225397815</v>
      </c>
      <c r="T113" s="23">
        <f>$D113*COS($E113+$F113*'25SolarCoords'!P$7)</f>
        <v>85.70796662983858</v>
      </c>
      <c r="U113" s="23">
        <f>$D113*COS($E113+$F113*'25SolarCoords'!Q$7)</f>
        <v>-53.176845834037778</v>
      </c>
      <c r="V113" s="23">
        <f>$D113*COS($E113+$F113*'25SolarCoords'!R$7)</f>
        <v>-63.615618307706463</v>
      </c>
      <c r="W113" s="23">
        <f>$D113*COS($E113+$F113*'25SolarCoords'!S$7)</f>
        <v>-212.00987520022369</v>
      </c>
      <c r="X113" s="23">
        <f>$D113*COS($E113+$F113*'25SolarCoords'!T$7)</f>
        <v>-205.98029183906647</v>
      </c>
      <c r="Y113" s="23">
        <f>$D113*COS($E113+$F113*'25SolarCoords'!U$7)</f>
        <v>-283.13469836005015</v>
      </c>
      <c r="Z113" s="23">
        <f>$D113*COS($E113+$F113*'25SolarCoords'!V$7)</f>
        <v>-289.19235407835737</v>
      </c>
      <c r="AA113" s="23">
        <f>$D113*COS($E113+$F113*'25SolarCoords'!W$7)</f>
        <v>-133.04701405385501</v>
      </c>
      <c r="AB113" s="23">
        <f>$D113*COS($E113+$F113*'25SolarCoords'!X$7)</f>
        <v>-106.42225882500652</v>
      </c>
      <c r="AC113" s="23">
        <f>$D113*COS($E113+$F113*'25SolarCoords'!Y$7)</f>
        <v>-233.77454275094689</v>
      </c>
      <c r="AD113" s="23">
        <f>$D113*COS($E113+$F113*'25SolarCoords'!Z$7)</f>
        <v>206.20485891243564</v>
      </c>
      <c r="AE113" s="23">
        <f>$D113*COS($E113+$F113*'25SolarCoords'!AA$7)</f>
        <v>203.98171025155338</v>
      </c>
      <c r="AF113" s="23">
        <f>$D113*COS($E113+$F113*'25SolarCoords'!AB$7)</f>
        <v>218.22540961906105</v>
      </c>
      <c r="AG113" s="23">
        <f>$D113*COS($E113+$F113*'25SolarCoords'!AC$7)</f>
        <v>217.83602829840211</v>
      </c>
      <c r="AH113" s="23">
        <f>$D113*COS($E113+$F113*'25SolarCoords'!AD$7)</f>
        <v>-2.0677595650773606</v>
      </c>
      <c r="AI113" s="23">
        <f>$D113*COS($E113+$F113*'25SolarCoords'!AE$7)</f>
        <v>-254.26574218155977</v>
      </c>
      <c r="AJ113" s="23">
        <f>$D113*COS($E113+$F113*'25SolarCoords'!AF$7)</f>
        <v>276.29050566104894</v>
      </c>
      <c r="AK113" s="23">
        <f>$D113*COS($E113+$F113*'25SolarCoords'!AG$7)</f>
        <v>-92.617340075972322</v>
      </c>
      <c r="AL113" s="23">
        <f>$D113*COS($E113+$F113*'25SolarCoords'!AH$7)</f>
        <v>-299.28850212375113</v>
      </c>
      <c r="AM113" s="23">
        <f>$D113*COS($E113+$F113*'25SolarCoords'!AI$7)</f>
        <v>-206.07550039809109</v>
      </c>
      <c r="AN113" s="23">
        <f>$D113*COS($E113+$F113*'25SolarCoords'!AJ$7)</f>
        <v>89.32175999685731</v>
      </c>
      <c r="AO113" s="23">
        <f>$D113*COS($E113+$F113*'25SolarCoords'!AK$7)</f>
        <v>181.94690845970149</v>
      </c>
      <c r="AP113" s="23">
        <f>$D113*COS($E113+$F113*'25SolarCoords'!AL$7)</f>
        <v>-277.11009381444455</v>
      </c>
      <c r="AQ113" s="23">
        <f>$D113*COS($E113+$F113*'25SolarCoords'!AM$7)</f>
        <v>-149.4307869523513</v>
      </c>
      <c r="AR113" s="23">
        <f>$D113*COS($E113+$F113*'25SolarCoords'!AN$7)</f>
        <v>-164.07976928432598</v>
      </c>
      <c r="AS113" s="23">
        <f>$D113*COS($E113+$F113*'25SolarCoords'!AO$7)</f>
        <v>-78.804224475414912</v>
      </c>
      <c r="AT113" s="23">
        <f>$D113*COS($E113+$F113*'25SolarCoords'!AP$7)</f>
        <v>-247.24231474487092</v>
      </c>
      <c r="AU113" s="23">
        <f>$D113*COS($E113+$F113*'25SolarCoords'!AQ$7)</f>
        <v>-195.44388437796354</v>
      </c>
      <c r="AV113" s="23">
        <f>$D113*COS($E113+$F113*'25SolarCoords'!AR$7)</f>
        <v>-133.65192430791456</v>
      </c>
      <c r="AW113" s="23">
        <f>$D113*COS($E113+$F113*'25SolarCoords'!AS$7)</f>
        <v>-54.933803233585103</v>
      </c>
      <c r="AX113" s="23">
        <f>$D113*COS($E113+$F113*'25SolarCoords'!AT$7)</f>
        <v>98.815138112845247</v>
      </c>
      <c r="AY113" s="23">
        <f>$D113*COS($E113+$F113*'25SolarCoords'!AU$7)</f>
        <v>302.42627541982699</v>
      </c>
      <c r="AZ113" s="23">
        <f>$D113*COS($E113+$F113*'25SolarCoords'!AV$7)</f>
        <v>-303.53874209819514</v>
      </c>
      <c r="BA113" s="23">
        <f>$D113*COS($E113+$F113*'25SolarCoords'!AW$7)</f>
        <v>164.28585569334575</v>
      </c>
      <c r="BB113" s="23">
        <f>$D113*COS($E113+$F113*'25SolarCoords'!AX$7)</f>
        <v>-76.251880557498296</v>
      </c>
      <c r="BC113" s="23">
        <f>$D113*COS($E113+$F113*'25SolarCoords'!AY$7)</f>
        <v>302.00643564382983</v>
      </c>
      <c r="BD113" s="23">
        <f>$D113*COS($E113+$F113*'25SolarCoords'!AZ$7)</f>
        <v>304.07624743457359</v>
      </c>
      <c r="BE113" s="23">
        <f>$D113*COS($E113+$F113*'25SolarCoords'!BA$7)</f>
        <v>305.7861741580025</v>
      </c>
      <c r="BF113" s="23">
        <f>$D113*COS($E113+$F113*'25SolarCoords'!BB$7)</f>
        <v>307.13419205494711</v>
      </c>
      <c r="BG113" s="23">
        <f>$D113*COS($E113+$F113*'25SolarCoords'!BC$7)</f>
        <v>308.11870569822202</v>
      </c>
      <c r="BH113" s="23">
        <f>$D113*COS($E113+$F113*'25SolarCoords'!BD$7)</f>
        <v>308.73854988087157</v>
      </c>
      <c r="BI113" s="23">
        <f>$D113*COS($E113+$F113*'25SolarCoords'!BE$7)</f>
        <v>308.99299099523017</v>
      </c>
      <c r="BJ113" s="23">
        <f>$D113*COS($E113+$F113*'25SolarCoords'!BF$7)</f>
        <v>308.88172790118023</v>
      </c>
      <c r="BK113" s="23">
        <f>$D113*COS($E113+$F113*'25SolarCoords'!BG$7)</f>
        <v>-253.34918813387335</v>
      </c>
    </row>
    <row r="114" spans="3:63" x14ac:dyDescent="0.25">
      <c r="C114">
        <f t="shared" si="3"/>
        <v>4</v>
      </c>
      <c r="D114">
        <v>27</v>
      </c>
      <c r="E114">
        <v>0.05</v>
      </c>
      <c r="F114">
        <v>3.52</v>
      </c>
      <c r="H114" s="7"/>
      <c r="I114" s="23">
        <f>$D114*COS($E114+$F114*'25SolarCoords'!E$7)</f>
        <v>26.868620763291688</v>
      </c>
      <c r="J114" s="23">
        <f>$D114*COS($E114+$F114*'25SolarCoords'!F$7)</f>
        <v>24.124356982931872</v>
      </c>
      <c r="K114" s="23">
        <f>$D114*COS($E114+$F114*'25SolarCoords'!G$7)</f>
        <v>26.966257030664089</v>
      </c>
      <c r="L114" s="23">
        <f>$D114*COS($E114+$F114*'25SolarCoords'!H$7)</f>
        <v>26.970843002338597</v>
      </c>
      <c r="M114" s="23">
        <f>$D114*COS($E114+$F114*'25SolarCoords'!I$7)</f>
        <v>26.999728062269959</v>
      </c>
      <c r="N114" s="23">
        <f>$D114*COS($E114+$F114*'25SolarCoords'!J$7)</f>
        <v>26.999534658516701</v>
      </c>
      <c r="O114" s="23">
        <f>$D114*COS($E114+$F114*'25SolarCoords'!K$7)</f>
        <v>26.99913476228587</v>
      </c>
      <c r="P114" s="23">
        <f>$D114*COS($E114+$F114*'25SolarCoords'!L$7)</f>
        <v>26.99880757260809</v>
      </c>
      <c r="Q114" s="23">
        <f>$D114*COS($E114+$F114*'25SolarCoords'!M$7)</f>
        <v>25.778114234787964</v>
      </c>
      <c r="R114" s="23">
        <f>$D114*COS($E114+$F114*'25SolarCoords'!N$7)</f>
        <v>5.7028731723357788</v>
      </c>
      <c r="S114" s="23">
        <f>$D114*COS($E114+$F114*'25SolarCoords'!O$7)</f>
        <v>5.795669925384888</v>
      </c>
      <c r="T114" s="23">
        <f>$D114*COS($E114+$F114*'25SolarCoords'!P$7)</f>
        <v>-16.760560909165939</v>
      </c>
      <c r="U114" s="23">
        <f>$D114*COS($E114+$F114*'25SolarCoords'!Q$7)</f>
        <v>11.369688520710966</v>
      </c>
      <c r="V114" s="23">
        <f>$D114*COS($E114+$F114*'25SolarCoords'!R$7)</f>
        <v>11.369924530175988</v>
      </c>
      <c r="W114" s="23">
        <f>$D114*COS($E114+$F114*'25SolarCoords'!S$7)</f>
        <v>-12.648722578521797</v>
      </c>
      <c r="X114" s="23">
        <f>$D114*COS($E114+$F114*'25SolarCoords'!T$7)</f>
        <v>-12.617792308874371</v>
      </c>
      <c r="Y114" s="23">
        <f>$D114*COS($E114+$F114*'25SolarCoords'!U$7)</f>
        <v>-12.572888505116961</v>
      </c>
      <c r="Z114" s="23">
        <f>$D114*COS($E114+$F114*'25SolarCoords'!V$7)</f>
        <v>0.38257217599077026</v>
      </c>
      <c r="AA114" s="23">
        <f>$D114*COS($E114+$F114*'25SolarCoords'!W$7)</f>
        <v>26.999636128440635</v>
      </c>
      <c r="AB114" s="23">
        <f>$D114*COS($E114+$F114*'25SolarCoords'!X$7)</f>
        <v>26.992971269321643</v>
      </c>
      <c r="AC114" s="23">
        <f>$D114*COS($E114+$F114*'25SolarCoords'!Y$7)</f>
        <v>26.987422899734494</v>
      </c>
      <c r="AD114" s="23">
        <f>$D114*COS($E114+$F114*'25SolarCoords'!Z$7)</f>
        <v>26.435332418332091</v>
      </c>
      <c r="AE114" s="23">
        <f>$D114*COS($E114+$F114*'25SolarCoords'!AA$7)</f>
        <v>26.966263532774359</v>
      </c>
      <c r="AF114" s="23">
        <f>$D114*COS($E114+$F114*'25SolarCoords'!AB$7)</f>
        <v>26.836264958987531</v>
      </c>
      <c r="AG114" s="23">
        <f>$D114*COS($E114+$F114*'25SolarCoords'!AC$7)</f>
        <v>26.991972918988193</v>
      </c>
      <c r="AH114" s="23">
        <f>$D114*COS($E114+$F114*'25SolarCoords'!AD$7)</f>
        <v>26.998946341258151</v>
      </c>
      <c r="AI114" s="23">
        <f>$D114*COS($E114+$F114*'25SolarCoords'!AE$7)</f>
        <v>26.987447911426298</v>
      </c>
      <c r="AJ114" s="23">
        <f>$D114*COS($E114+$F114*'25SolarCoords'!AF$7)</f>
        <v>26.991395570332443</v>
      </c>
      <c r="AK114" s="23">
        <f>$D114*COS($E114+$F114*'25SolarCoords'!AG$7)</f>
        <v>26.99183644226644</v>
      </c>
      <c r="AL114" s="23">
        <f>$D114*COS($E114+$F114*'25SolarCoords'!AH$7)</f>
        <v>26.995184854049317</v>
      </c>
      <c r="AM114" s="23">
        <f>$D114*COS($E114+$F114*'25SolarCoords'!AI$7)</f>
        <v>26.993036423513033</v>
      </c>
      <c r="AN114" s="23">
        <f>$D114*COS($E114+$F114*'25SolarCoords'!AJ$7)</f>
        <v>26.990506669720322</v>
      </c>
      <c r="AO114" s="23">
        <f>$D114*COS($E114+$F114*'25SolarCoords'!AK$7)</f>
        <v>22.425924728530493</v>
      </c>
      <c r="AP114" s="23">
        <f>$D114*COS($E114+$F114*'25SolarCoords'!AL$7)</f>
        <v>26.995948021226837</v>
      </c>
      <c r="AQ114" s="23">
        <f>$D114*COS($E114+$F114*'25SolarCoords'!AM$7)</f>
        <v>2.3233577415836248</v>
      </c>
      <c r="AR114" s="23">
        <f>$D114*COS($E114+$F114*'25SolarCoords'!AN$7)</f>
        <v>26.96500364703121</v>
      </c>
      <c r="AS114" s="23">
        <f>$D114*COS($E114+$F114*'25SolarCoords'!AO$7)</f>
        <v>20.595885698579011</v>
      </c>
      <c r="AT114" s="23">
        <f>$D114*COS($E114+$F114*'25SolarCoords'!AP$7)</f>
        <v>26.772105591954009</v>
      </c>
      <c r="AU114" s="23">
        <f>$D114*COS($E114+$F114*'25SolarCoords'!AQ$7)</f>
        <v>26.77186750153648</v>
      </c>
      <c r="AV114" s="23">
        <f>$D114*COS($E114+$F114*'25SolarCoords'!AR$7)</f>
        <v>26.771634446832739</v>
      </c>
      <c r="AW114" s="23">
        <f>$D114*COS($E114+$F114*'25SolarCoords'!AS$7)</f>
        <v>26.771370745941454</v>
      </c>
      <c r="AX114" s="23">
        <f>$D114*COS($E114+$F114*'25SolarCoords'!AT$7)</f>
        <v>26.770875237705837</v>
      </c>
      <c r="AY114" s="23">
        <f>$D114*COS($E114+$F114*'25SolarCoords'!AU$7)</f>
        <v>26.97436185043588</v>
      </c>
      <c r="AZ114" s="23">
        <f>$D114*COS($E114+$F114*'25SolarCoords'!AV$7)</f>
        <v>26.976433452883086</v>
      </c>
      <c r="BA114" s="23">
        <f>$D114*COS($E114+$F114*'25SolarCoords'!AW$7)</f>
        <v>26.569734658354939</v>
      </c>
      <c r="BB114" s="23">
        <f>$D114*COS($E114+$F114*'25SolarCoords'!AX$7)</f>
        <v>26.864153005442226</v>
      </c>
      <c r="BC114" s="23">
        <f>$D114*COS($E114+$F114*'25SolarCoords'!AY$7)</f>
        <v>26.769859312302813</v>
      </c>
      <c r="BD114" s="23">
        <f>$D114*COS($E114+$F114*'25SolarCoords'!AZ$7)</f>
        <v>26.769825409584818</v>
      </c>
      <c r="BE114" s="23">
        <f>$D114*COS($E114+$F114*'25SolarCoords'!BA$7)</f>
        <v>26.769791504380542</v>
      </c>
      <c r="BF114" s="23">
        <f>$D114*COS($E114+$F114*'25SolarCoords'!BB$7)</f>
        <v>26.769757596689985</v>
      </c>
      <c r="BG114" s="23">
        <f>$D114*COS($E114+$F114*'25SolarCoords'!BC$7)</f>
        <v>26.769723686513153</v>
      </c>
      <c r="BH114" s="23">
        <f>$D114*COS($E114+$F114*'25SolarCoords'!BD$7)</f>
        <v>26.769689773850047</v>
      </c>
      <c r="BI114" s="23">
        <f>$D114*COS($E114+$F114*'25SolarCoords'!BE$7)</f>
        <v>26.769655858700673</v>
      </c>
      <c r="BJ114" s="23">
        <f>$D114*COS($E114+$F114*'25SolarCoords'!BF$7)</f>
        <v>26.769621941065033</v>
      </c>
      <c r="BK114" s="23">
        <f>$D114*COS($E114+$F114*'25SolarCoords'!BG$7)</f>
        <v>26.987446712212435</v>
      </c>
    </row>
    <row r="115" spans="3:63" x14ac:dyDescent="0.25">
      <c r="C115">
        <f t="shared" si="3"/>
        <v>5</v>
      </c>
      <c r="D115">
        <v>16</v>
      </c>
      <c r="E115">
        <v>5.19</v>
      </c>
      <c r="F115">
        <v>26.3</v>
      </c>
      <c r="H115" s="7"/>
      <c r="I115" s="23">
        <f>$D115*COS($E115+$F115*'25SolarCoords'!E$7)</f>
        <v>-9.4694334098440738</v>
      </c>
      <c r="J115" s="23">
        <f>$D115*COS($E115+$F115*'25SolarCoords'!F$7)</f>
        <v>9.3052903024277409</v>
      </c>
      <c r="K115" s="23">
        <f>$D115*COS($E115+$F115*'25SolarCoords'!G$7)</f>
        <v>7.354541541544509</v>
      </c>
      <c r="L115" s="23">
        <f>$D115*COS($E115+$F115*'25SolarCoords'!H$7)</f>
        <v>6.9780714353838249</v>
      </c>
      <c r="M115" s="23">
        <f>$D115*COS($E115+$F115*'25SolarCoords'!I$7)</f>
        <v>2.1941069837185245</v>
      </c>
      <c r="N115" s="23">
        <f>$D115*COS($E115+$F115*'25SolarCoords'!J$7)</f>
        <v>2.3577496643616849</v>
      </c>
      <c r="O115" s="23">
        <f>$D115*COS($E115+$F115*'25SolarCoords'!K$7)</f>
        <v>2.6098406209991603</v>
      </c>
      <c r="P115" s="23">
        <f>$D115*COS($E115+$F115*'25SolarCoords'!L$7)</f>
        <v>2.7739434358159749</v>
      </c>
      <c r="Q115" s="23">
        <f>$D115*COS($E115+$F115*'25SolarCoords'!M$7)</f>
        <v>-13.36973688555884</v>
      </c>
      <c r="R115" s="23">
        <f>$D115*COS($E115+$F115*'25SolarCoords'!N$7)</f>
        <v>9.2630783450939305</v>
      </c>
      <c r="S115" s="23">
        <f>$D115*COS($E115+$F115*'25SolarCoords'!O$7)</f>
        <v>8.9170465975339646</v>
      </c>
      <c r="T115" s="23">
        <f>$D115*COS($E115+$F115*'25SolarCoords'!P$7)</f>
        <v>15.478348016330768</v>
      </c>
      <c r="U115" s="23">
        <f>$D115*COS($E115+$F115*'25SolarCoords'!Q$7)</f>
        <v>15.017561857410993</v>
      </c>
      <c r="V115" s="23">
        <f>$D115*COS($E115+$F115*'25SolarCoords'!R$7)</f>
        <v>15.017959304592004</v>
      </c>
      <c r="W115" s="23">
        <f>$D115*COS($E115+$F115*'25SolarCoords'!S$7)</f>
        <v>-2.1100035620898532</v>
      </c>
      <c r="X115" s="23">
        <f>$D115*COS($E115+$F115*'25SolarCoords'!T$7)</f>
        <v>-1.9563045609109417</v>
      </c>
      <c r="Y115" s="23">
        <f>$D115*COS($E115+$F115*'25SolarCoords'!U$7)</f>
        <v>-1.7330330346259468</v>
      </c>
      <c r="Z115" s="23">
        <f>$D115*COS($E115+$F115*'25SolarCoords'!V$7)</f>
        <v>-1.8814656415401771</v>
      </c>
      <c r="AA115" s="23">
        <f>$D115*COS($E115+$F115*'25SolarCoords'!W$7)</f>
        <v>2.277384154490651</v>
      </c>
      <c r="AB115" s="23">
        <f>$D115*COS($E115+$F115*'25SolarCoords'!X$7)</f>
        <v>4.3373525263165051</v>
      </c>
      <c r="AC115" s="23">
        <f>$D115*COS($E115+$F115*'25SolarCoords'!Y$7)</f>
        <v>-1.9794075220331524</v>
      </c>
      <c r="AD115" s="23">
        <f>$D115*COS($E115+$F115*'25SolarCoords'!Z$7)</f>
        <v>15.967264986120009</v>
      </c>
      <c r="AE115" s="23">
        <f>$D115*COS($E115+$F115*'25SolarCoords'!AA$7)</f>
        <v>7.3540299548251227</v>
      </c>
      <c r="AF115" s="23">
        <f>$D115*COS($E115+$F115*'25SolarCoords'!AB$7)</f>
        <v>-10.540865241144841</v>
      </c>
      <c r="AG115" s="23">
        <f>$D115*COS($E115+$F115*'25SolarCoords'!AC$7)</f>
        <v>-1.2493388682608775</v>
      </c>
      <c r="AH115" s="23">
        <f>$D115*COS($E115+$F115*'25SolarCoords'!AD$7)</f>
        <v>2.707542524995683</v>
      </c>
      <c r="AI115" s="23">
        <f>$D115*COS($E115+$F115*'25SolarCoords'!AE$7)</f>
        <v>-1.9758049503443158</v>
      </c>
      <c r="AJ115" s="23">
        <f>$D115*COS($E115+$F115*'25SolarCoords'!AF$7)</f>
        <v>4.6160781398379012</v>
      </c>
      <c r="AK115" s="23">
        <f>$D115*COS($E115+$F115*'25SolarCoords'!AG$7)</f>
        <v>4.5410123716306297</v>
      </c>
      <c r="AL115" s="23">
        <f>$D115*COS($E115+$F115*'25SolarCoords'!AH$7)</f>
        <v>3.883095085574142</v>
      </c>
      <c r="AM115" s="23">
        <f>$D115*COS($E115+$F115*'25SolarCoords'!AI$7)</f>
        <v>4.325152735556764</v>
      </c>
      <c r="AN115" s="23">
        <f>$D115*COS($E115+$F115*'25SolarCoords'!AJ$7)</f>
        <v>4.7614765133224388</v>
      </c>
      <c r="AO115" s="23">
        <f>$D115*COS($E115+$F115*'25SolarCoords'!AK$7)</f>
        <v>14.715254119918836</v>
      </c>
      <c r="AP115" s="23">
        <f>$D115*COS($E115+$F115*'25SolarCoords'!AL$7)</f>
        <v>3.7017767321067838</v>
      </c>
      <c r="AQ115" s="23">
        <f>$D115*COS($E115+$F115*'25SolarCoords'!AM$7)</f>
        <v>14.861151053201748</v>
      </c>
      <c r="AR115" s="23">
        <f>$D115*COS($E115+$F115*'25SolarCoords'!AN$7)</f>
        <v>7.4520790396691643</v>
      </c>
      <c r="AS115" s="23">
        <f>$D115*COS($E115+$F115*'25SolarCoords'!AO$7)</f>
        <v>-15.467524278094981</v>
      </c>
      <c r="AT115" s="23">
        <f>$D115*COS($E115+$F115*'25SolarCoords'!AP$7)</f>
        <v>14.077080604613903</v>
      </c>
      <c r="AU115" s="23">
        <f>$D115*COS($E115+$F115*'25SolarCoords'!AQ$7)</f>
        <v>14.080942414129794</v>
      </c>
      <c r="AV115" s="23">
        <f>$D115*COS($E115+$F115*'25SolarCoords'!AR$7)</f>
        <v>14.084717084648599</v>
      </c>
      <c r="AW115" s="23">
        <f>$D115*COS($E115+$F115*'25SolarCoords'!AS$7)</f>
        <v>14.088981611521941</v>
      </c>
      <c r="AX115" s="23">
        <f>$D115*COS($E115+$F115*'25SolarCoords'!AT$7)</f>
        <v>14.096976243849435</v>
      </c>
      <c r="AY115" s="23">
        <f>$D115*COS($E115+$F115*'25SolarCoords'!AU$7)</f>
        <v>-3.5166236218998739</v>
      </c>
      <c r="AZ115" s="23">
        <f>$D115*COS($E115+$F115*'25SolarCoords'!AV$7)</f>
        <v>6.4689901002121646</v>
      </c>
      <c r="BA115" s="23">
        <f>$D115*COS($E115+$F115*'25SolarCoords'!AW$7)</f>
        <v>-15.088458944163898</v>
      </c>
      <c r="BB115" s="23">
        <f>$D115*COS($E115+$F115*'25SolarCoords'!AX$7)</f>
        <v>-9.6291756434774012</v>
      </c>
      <c r="BC115" s="23">
        <f>$D115*COS($E115+$F115*'25SolarCoords'!AY$7)</f>
        <v>14.113291554801989</v>
      </c>
      <c r="BD115" s="23">
        <f>$D115*COS($E115+$F115*'25SolarCoords'!AZ$7)</f>
        <v>14.113834264718767</v>
      </c>
      <c r="BE115" s="23">
        <f>$D115*COS($E115+$F115*'25SolarCoords'!BA$7)</f>
        <v>14.114376901458304</v>
      </c>
      <c r="BF115" s="23">
        <f>$D115*COS($E115+$F115*'25SolarCoords'!BB$7)</f>
        <v>14.114919465017776</v>
      </c>
      <c r="BG115" s="23">
        <f>$D115*COS($E115+$F115*'25SolarCoords'!BC$7)</f>
        <v>14.115461955394382</v>
      </c>
      <c r="BH115" s="23">
        <f>$D115*COS($E115+$F115*'25SolarCoords'!BD$7)</f>
        <v>14.116004372585303</v>
      </c>
      <c r="BI115" s="23">
        <f>$D115*COS($E115+$F115*'25SolarCoords'!BE$7)</f>
        <v>14.11654671658772</v>
      </c>
      <c r="BJ115" s="23">
        <f>$D115*COS($E115+$F115*'25SolarCoords'!BF$7)</f>
        <v>14.117088987398834</v>
      </c>
      <c r="BK115" s="23">
        <f>$D115*COS($E115+$F115*'25SolarCoords'!BG$7)</f>
        <v>-1.9759777639015161</v>
      </c>
    </row>
    <row r="116" spans="3:63" x14ac:dyDescent="0.25">
      <c r="C116">
        <f t="shared" si="3"/>
        <v>6</v>
      </c>
      <c r="D116">
        <v>16</v>
      </c>
      <c r="E116">
        <v>3.68</v>
      </c>
      <c r="F116">
        <v>155.41999999999999</v>
      </c>
      <c r="H116" s="7"/>
      <c r="I116" s="23">
        <f>$D116*COS($E116+$F116*'25SolarCoords'!E$7)</f>
        <v>-15.476840422034245</v>
      </c>
      <c r="J116" s="23">
        <f>$D116*COS($E116+$F116*'25SolarCoords'!F$7)</f>
        <v>-9.703038898821351</v>
      </c>
      <c r="K116" s="23">
        <f>$D116*COS($E116+$F116*'25SolarCoords'!G$7)</f>
        <v>-13.736422939873627</v>
      </c>
      <c r="L116" s="23">
        <f>$D116*COS($E116+$F116*'25SolarCoords'!H$7)</f>
        <v>-14.841474774388949</v>
      </c>
      <c r="M116" s="23">
        <f>$D116*COS($E116+$F116*'25SolarCoords'!I$7)</f>
        <v>-1.592570196791903</v>
      </c>
      <c r="N116" s="23">
        <f>$D116*COS($E116+$F116*'25SolarCoords'!J$7)</f>
        <v>-2.5611329425668479</v>
      </c>
      <c r="O116" s="23">
        <f>$D116*COS($E116+$F116*'25SolarCoords'!K$7)</f>
        <v>-4.0361487259720183</v>
      </c>
      <c r="P116" s="23">
        <f>$D116*COS($E116+$F116*'25SolarCoords'!L$7)</f>
        <v>-4.97990024022012</v>
      </c>
      <c r="Q116" s="23">
        <f>$D116*COS($E116+$F116*'25SolarCoords'!M$7)</f>
        <v>12.190103536335661</v>
      </c>
      <c r="R116" s="23">
        <f>$D116*COS($E116+$F116*'25SolarCoords'!N$7)</f>
        <v>-5.7481194291195346</v>
      </c>
      <c r="S116" s="23">
        <f>$D116*COS($E116+$F116*'25SolarCoords'!O$7)</f>
        <v>-3.3691278122725143</v>
      </c>
      <c r="T116" s="23">
        <f>$D116*COS($E116+$F116*'25SolarCoords'!P$7)</f>
        <v>7.3091163150190264</v>
      </c>
      <c r="U116" s="23">
        <f>$D116*COS($E116+$F116*'25SolarCoords'!Q$7)</f>
        <v>13.118929668100471</v>
      </c>
      <c r="V116" s="23">
        <f>$D116*COS($E116+$F116*'25SolarCoords'!R$7)</f>
        <v>13.115031023698343</v>
      </c>
      <c r="W116" s="23">
        <f>$D116*COS($E116+$F116*'25SolarCoords'!S$7)</f>
        <v>-12.459016994745264</v>
      </c>
      <c r="X116" s="23">
        <f>$D116*COS($E116+$F116*'25SolarCoords'!T$7)</f>
        <v>-11.864403870790486</v>
      </c>
      <c r="Y116" s="23">
        <f>$D116*COS($E116+$F116*'25SolarCoords'!U$7)</f>
        <v>-10.933380651730756</v>
      </c>
      <c r="Z116" s="23">
        <f>$D116*COS($E116+$F116*'25SolarCoords'!V$7)</f>
        <v>-14.895961136350584</v>
      </c>
      <c r="AA116" s="23">
        <f>$D116*COS($E116+$F116*'25SolarCoords'!W$7)</f>
        <v>-2.0862578693805238</v>
      </c>
      <c r="AB116" s="23">
        <f>$D116*COS($E116+$F116*'25SolarCoords'!X$7)</f>
        <v>-12.622564204198063</v>
      </c>
      <c r="AC116" s="23">
        <f>$D116*COS($E116+$F116*'25SolarCoords'!Y$7)</f>
        <v>15.875969994071596</v>
      </c>
      <c r="AD116" s="23">
        <f>$D116*COS($E116+$F116*'25SolarCoords'!Z$7)</f>
        <v>-7.3502218791576599</v>
      </c>
      <c r="AE116" s="23">
        <f>$D116*COS($E116+$F116*'25SolarCoords'!AA$7)</f>
        <v>-13.738168164475747</v>
      </c>
      <c r="AF116" s="23">
        <f>$D116*COS($E116+$F116*'25SolarCoords'!AB$7)</f>
        <v>-15.498098579204084</v>
      </c>
      <c r="AG116" s="23">
        <f>$D116*COS($E116+$F116*'25SolarCoords'!AC$7)</f>
        <v>14.763947207102499</v>
      </c>
      <c r="AH116" s="23">
        <f>$D116*COS($E116+$F116*'25SolarCoords'!AD$7)</f>
        <v>-4.5998955266061383</v>
      </c>
      <c r="AI116" s="23">
        <f>$D116*COS($E116+$F116*'25SolarCoords'!AE$7)</f>
        <v>15.873289589572748</v>
      </c>
      <c r="AJ116" s="23">
        <f>$D116*COS($E116+$F116*'25SolarCoords'!AF$7)</f>
        <v>-13.602347299365915</v>
      </c>
      <c r="AK116" s="23">
        <f>$D116*COS($E116+$F116*'25SolarCoords'!AG$7)</f>
        <v>-13.352916611573674</v>
      </c>
      <c r="AL116" s="23">
        <f>$D116*COS($E116+$F116*'25SolarCoords'!AH$7)</f>
        <v>-10.734411670832914</v>
      </c>
      <c r="AM116" s="23">
        <f>$D116*COS($E116+$F116*'25SolarCoords'!AI$7)</f>
        <v>-12.57640497967162</v>
      </c>
      <c r="AN116" s="23">
        <f>$D116*COS($E116+$F116*'25SolarCoords'!AJ$7)</f>
        <v>-14.053849632459864</v>
      </c>
      <c r="AO116" s="23">
        <f>$D116*COS($E116+$F116*'25SolarCoords'!AK$7)</f>
        <v>13.831314955401629</v>
      </c>
      <c r="AP116" s="23">
        <f>$D116*COS($E116+$F116*'25SolarCoords'!AL$7)</f>
        <v>-9.8916835171655642</v>
      </c>
      <c r="AQ116" s="23">
        <f>$D116*COS($E116+$F116*'25SolarCoords'!AM$7)</f>
        <v>-15.939651793977548</v>
      </c>
      <c r="AR116" s="23">
        <f>$D116*COS($E116+$F116*'25SolarCoords'!AN$7)</f>
        <v>-13.391777123146055</v>
      </c>
      <c r="AS116" s="23">
        <f>$D116*COS($E116+$F116*'25SolarCoords'!AO$7)</f>
        <v>10.219194723698156</v>
      </c>
      <c r="AT116" s="23">
        <f>$D116*COS($E116+$F116*'25SolarCoords'!AP$7)</f>
        <v>9.5664452307322652</v>
      </c>
      <c r="AU116" s="23">
        <f>$D116*COS($E116+$F116*'25SolarCoords'!AQ$7)</f>
        <v>9.5278979334423859</v>
      </c>
      <c r="AV116" s="23">
        <f>$D116*COS($E116+$F116*'25SolarCoords'!AR$7)</f>
        <v>9.4901022084665989</v>
      </c>
      <c r="AW116" s="23">
        <f>$D116*COS($E116+$F116*'25SolarCoords'!AS$7)</f>
        <v>9.4472609446678746</v>
      </c>
      <c r="AX116" s="23">
        <f>$D116*COS($E116+$F116*'25SolarCoords'!AT$7)</f>
        <v>9.3665451882628084</v>
      </c>
      <c r="AY116" s="23">
        <f>$D116*COS($E116+$F116*'25SolarCoords'!AU$7)</f>
        <v>14.393341584251173</v>
      </c>
      <c r="AZ116" s="23">
        <f>$D116*COS($E116+$F116*'25SolarCoords'!AV$7)</f>
        <v>-15.753798545238741</v>
      </c>
      <c r="BA116" s="23">
        <f>$D116*COS($E116+$F116*'25SolarCoords'!AW$7)</f>
        <v>15.848946465302804</v>
      </c>
      <c r="BB116" s="23">
        <f>$D116*COS($E116+$F116*'25SolarCoords'!AX$7)</f>
        <v>-15.733146951015788</v>
      </c>
      <c r="BC116" s="23">
        <f>$D116*COS($E116+$F116*'25SolarCoords'!AY$7)</f>
        <v>9.2001948499726431</v>
      </c>
      <c r="BD116" s="23">
        <f>$D116*COS($E116+$F116*'25SolarCoords'!AZ$7)</f>
        <v>9.1946238675739487</v>
      </c>
      <c r="BE116" s="23">
        <f>$D116*COS($E116+$F116*'25SolarCoords'!BA$7)</f>
        <v>9.1890512203551129</v>
      </c>
      <c r="BF116" s="23">
        <f>$D116*COS($E116+$F116*'25SolarCoords'!BB$7)</f>
        <v>9.1834769093251563</v>
      </c>
      <c r="BG116" s="23">
        <f>$D116*COS($E116+$F116*'25SolarCoords'!BC$7)</f>
        <v>9.177900935493378</v>
      </c>
      <c r="BH116" s="23">
        <f>$D116*COS($E116+$F116*'25SolarCoords'!BD$7)</f>
        <v>9.172323299869376</v>
      </c>
      <c r="BI116" s="23">
        <f>$D116*COS($E116+$F116*'25SolarCoords'!BE$7)</f>
        <v>9.1667440034630729</v>
      </c>
      <c r="BJ116" s="23">
        <f>$D116*COS($E116+$F116*'25SolarCoords'!BF$7)</f>
        <v>9.1611630472847079</v>
      </c>
      <c r="BK116" s="23">
        <f>$D116*COS($E116+$F116*'25SolarCoords'!BG$7)</f>
        <v>15.873418817201498</v>
      </c>
    </row>
    <row r="117" spans="3:63" x14ac:dyDescent="0.25">
      <c r="C117">
        <f t="shared" si="3"/>
        <v>7</v>
      </c>
      <c r="D117">
        <v>10</v>
      </c>
      <c r="E117">
        <v>0.76</v>
      </c>
      <c r="F117">
        <v>188849.23</v>
      </c>
      <c r="H117" s="7"/>
      <c r="I117" s="23">
        <f>$D117*COS($E117+$F117*'25SolarCoords'!E$7)</f>
        <v>-9.9999845212887379</v>
      </c>
      <c r="J117" s="23">
        <f>$D117*COS($E117+$F117*'25SolarCoords'!F$7)</f>
        <v>-9.3180107311741018</v>
      </c>
      <c r="K117" s="23">
        <f>$D117*COS($E117+$F117*'25SolarCoords'!G$7)</f>
        <v>7.2483601074090522</v>
      </c>
      <c r="L117" s="23">
        <f>$D117*COS($E117+$F117*'25SolarCoords'!H$7)</f>
        <v>9.6186131781825317</v>
      </c>
      <c r="M117" s="23">
        <f>$D117*COS($E117+$F117*'25SolarCoords'!I$7)</f>
        <v>-9.9868403718777117</v>
      </c>
      <c r="N117" s="23">
        <f>$D117*COS($E117+$F117*'25SolarCoords'!J$7)</f>
        <v>-4.0709007294513189</v>
      </c>
      <c r="O117" s="23">
        <f>$D117*COS($E117+$F117*'25SolarCoords'!K$7)</f>
        <v>-9.6222985486206642</v>
      </c>
      <c r="P117" s="23">
        <f>$D117*COS($E117+$F117*'25SolarCoords'!L$7)</f>
        <v>-9.1708938903862638</v>
      </c>
      <c r="Q117" s="23">
        <f>$D117*COS($E117+$F117*'25SolarCoords'!M$7)</f>
        <v>-9.7824568651086565</v>
      </c>
      <c r="R117" s="23">
        <f>$D117*COS($E117+$F117*'25SolarCoords'!N$7)</f>
        <v>3.7570906214387945</v>
      </c>
      <c r="S117" s="23">
        <f>$D117*COS($E117+$F117*'25SolarCoords'!O$7)</f>
        <v>5.7251684725278533</v>
      </c>
      <c r="T117" s="23">
        <f>$D117*COS($E117+$F117*'25SolarCoords'!P$7)</f>
        <v>8.7382645560217025</v>
      </c>
      <c r="U117" s="23">
        <f>$D117*COS($E117+$F117*'25SolarCoords'!Q$7)</f>
        <v>-5.1263440172560237</v>
      </c>
      <c r="V117" s="23">
        <f>$D117*COS($E117+$F117*'25SolarCoords'!R$7)</f>
        <v>-0.21207614476987949</v>
      </c>
      <c r="W117" s="23">
        <f>$D117*COS($E117+$F117*'25SolarCoords'!S$7)</f>
        <v>2.6531902766352737</v>
      </c>
      <c r="X117" s="23">
        <f>$D117*COS($E117+$F117*'25SolarCoords'!T$7)</f>
        <v>6.4077910881318179</v>
      </c>
      <c r="Y117" s="23">
        <f>$D117*COS($E117+$F117*'25SolarCoords'!U$7)</f>
        <v>8.6202400851989562</v>
      </c>
      <c r="Z117" s="23">
        <f>$D117*COS($E117+$F117*'25SolarCoords'!V$7)</f>
        <v>-7.4014860921074801</v>
      </c>
      <c r="AA117" s="23">
        <f>$D117*COS($E117+$F117*'25SolarCoords'!W$7)</f>
        <v>-9.9537730497283441</v>
      </c>
      <c r="AB117" s="23">
        <f>$D117*COS($E117+$F117*'25SolarCoords'!X$7)</f>
        <v>9.8953275198763375</v>
      </c>
      <c r="AC117" s="23">
        <f>$D117*COS($E117+$F117*'25SolarCoords'!Y$7)</f>
        <v>-9.5119385473815257</v>
      </c>
      <c r="AD117" s="23">
        <f>$D117*COS($E117+$F117*'25SolarCoords'!Z$7)</f>
        <v>-9.3763580049540511</v>
      </c>
      <c r="AE117" s="23">
        <f>$D117*COS($E117+$F117*'25SolarCoords'!AA$7)</f>
        <v>8.7687229471168688</v>
      </c>
      <c r="AF117" s="23">
        <f>$D117*COS($E117+$F117*'25SolarCoords'!AB$7)</f>
        <v>-5.5595066629942682</v>
      </c>
      <c r="AG117" s="23">
        <f>$D117*COS($E117+$F117*'25SolarCoords'!AC$7)</f>
        <v>9.8038539798423052</v>
      </c>
      <c r="AH117" s="23">
        <f>$D117*COS($E117+$F117*'25SolarCoords'!AD$7)</f>
        <v>-7.2556006333352032</v>
      </c>
      <c r="AI117" s="23">
        <f>$D117*COS($E117+$F117*'25SolarCoords'!AE$7)</f>
        <v>3.6366177763163736</v>
      </c>
      <c r="AJ117" s="23">
        <f>$D117*COS($E117+$F117*'25SolarCoords'!AF$7)</f>
        <v>0.63012464956739833</v>
      </c>
      <c r="AK117" s="23">
        <f>$D117*COS($E117+$F117*'25SolarCoords'!AG$7)</f>
        <v>5.126045548894508</v>
      </c>
      <c r="AL117" s="23">
        <f>$D117*COS($E117+$F117*'25SolarCoords'!AH$7)</f>
        <v>-9.4885364634274065</v>
      </c>
      <c r="AM117" s="23">
        <f>$D117*COS($E117+$F117*'25SolarCoords'!AI$7)</f>
        <v>7.3809876956726361</v>
      </c>
      <c r="AN117" s="23">
        <f>$D117*COS($E117+$F117*'25SolarCoords'!AJ$7)</f>
        <v>-7.1914455038717033</v>
      </c>
      <c r="AO117" s="23">
        <f>$D117*COS($E117+$F117*'25SolarCoords'!AK$7)</f>
        <v>9.6659822576533969</v>
      </c>
      <c r="AP117" s="23">
        <f>$D117*COS($E117+$F117*'25SolarCoords'!AL$7)</f>
        <v>7.3769526552310181</v>
      </c>
      <c r="AQ117" s="23">
        <f>$D117*COS($E117+$F117*'25SolarCoords'!AM$7)</f>
        <v>0.25142629916905046</v>
      </c>
      <c r="AR117" s="23">
        <f>$D117*COS($E117+$F117*'25SolarCoords'!AN$7)</f>
        <v>9.9181078793155155</v>
      </c>
      <c r="AS117" s="23">
        <f>$D117*COS($E117+$F117*'25SolarCoords'!AO$7)</f>
        <v>6.1417680995015491</v>
      </c>
      <c r="AT117" s="23">
        <f>$D117*COS($E117+$F117*'25SolarCoords'!AP$7)</f>
        <v>-7.2159419500279967</v>
      </c>
      <c r="AU117" s="23">
        <f>$D117*COS($E117+$F117*'25SolarCoords'!AQ$7)</f>
        <v>9.6683197166619941</v>
      </c>
      <c r="AV117" s="23">
        <f>$D117*COS($E117+$F117*'25SolarCoords'!AR$7)</f>
        <v>-9.8572797436235113</v>
      </c>
      <c r="AW117" s="23">
        <f>$D117*COS($E117+$F117*'25SolarCoords'!AS$7)</f>
        <v>4.8563212114956258</v>
      </c>
      <c r="AX117" s="23">
        <f>$D117*COS($E117+$F117*'25SolarCoords'!AT$7)</f>
        <v>-7.0866969093177641</v>
      </c>
      <c r="AY117" s="23">
        <f>$D117*COS($E117+$F117*'25SolarCoords'!AU$7)</f>
        <v>9.5583641903029495</v>
      </c>
      <c r="AZ117" s="23">
        <f>$D117*COS($E117+$F117*'25SolarCoords'!AV$7)</f>
        <v>9.811459601214306</v>
      </c>
      <c r="BA117" s="23">
        <f>$D117*COS($E117+$F117*'25SolarCoords'!AW$7)</f>
        <v>1.302836346990951</v>
      </c>
      <c r="BB117" s="23">
        <f>$D117*COS($E117+$F117*'25SolarCoords'!AX$7)</f>
        <v>-1.8274101837965404</v>
      </c>
      <c r="BC117" s="23">
        <f>$D117*COS($E117+$F117*'25SolarCoords'!AY$7)</f>
        <v>5.5709039393947366</v>
      </c>
      <c r="BD117" s="23">
        <f>$D117*COS($E117+$F117*'25SolarCoords'!AZ$7)</f>
        <v>8.9477142266548135</v>
      </c>
      <c r="BE117" s="23">
        <f>$D117*COS($E117+$F117*'25SolarCoords'!BA$7)</f>
        <v>9.9853350413738173</v>
      </c>
      <c r="BF117" s="23">
        <f>$D117*COS($E117+$F117*'25SolarCoords'!BB$7)</f>
        <v>8.4125025026596099</v>
      </c>
      <c r="BG117" s="23">
        <f>$D117*COS($E117+$F117*'25SolarCoords'!BC$7)</f>
        <v>4.6404002070582111</v>
      </c>
      <c r="BH117" s="23">
        <f>$D117*COS($E117+$F117*'25SolarCoords'!BD$7)</f>
        <v>-0.3448359725458886</v>
      </c>
      <c r="BI117" s="23">
        <f>$D117*COS($E117+$F117*'25SolarCoords'!BE$7)</f>
        <v>-5.2399221254169177</v>
      </c>
      <c r="BJ117" s="23">
        <f>$D117*COS($E117+$F117*'25SolarCoords'!BF$7)</f>
        <v>-8.765142146868957</v>
      </c>
      <c r="BK117" s="23">
        <f>$D117*COS($E117+$F117*'25SolarCoords'!BG$7)</f>
        <v>2.8982236981116802</v>
      </c>
    </row>
    <row r="118" spans="3:63" x14ac:dyDescent="0.25">
      <c r="C118">
        <f t="shared" si="3"/>
        <v>8</v>
      </c>
      <c r="D118">
        <v>9</v>
      </c>
      <c r="E118">
        <v>2.06</v>
      </c>
      <c r="F118">
        <v>77713.77</v>
      </c>
      <c r="H118" s="7"/>
      <c r="I118" s="23">
        <f>$D118*COS($E118+$F118*'25SolarCoords'!E$7)</f>
        <v>5.8741067714521442</v>
      </c>
      <c r="J118" s="23">
        <f>$D118*COS($E118+$F118*'25SolarCoords'!F$7)</f>
        <v>-4.5003826690471938</v>
      </c>
      <c r="K118" s="23">
        <f>$D118*COS($E118+$F118*'25SolarCoords'!G$7)</f>
        <v>-4.2293080235484197</v>
      </c>
      <c r="L118" s="23">
        <f>$D118*COS($E118+$F118*'25SolarCoords'!H$7)</f>
        <v>8.5744588175661125</v>
      </c>
      <c r="M118" s="23">
        <f>$D118*COS($E118+$F118*'25SolarCoords'!I$7)</f>
        <v>-7.5666039951489967</v>
      </c>
      <c r="N118" s="23">
        <f>$D118*COS($E118+$F118*'25SolarCoords'!J$7)</f>
        <v>-1.0328975616290093</v>
      </c>
      <c r="O118" s="23">
        <f>$D118*COS($E118+$F118*'25SolarCoords'!K$7)</f>
        <v>1.0720350524507869</v>
      </c>
      <c r="P118" s="23">
        <f>$D118*COS($E118+$F118*'25SolarCoords'!L$7)</f>
        <v>-4.7153053382629544</v>
      </c>
      <c r="Q118" s="23">
        <f>$D118*COS($E118+$F118*'25SolarCoords'!M$7)</f>
        <v>-8.9878436950027378</v>
      </c>
      <c r="R118" s="23">
        <f>$D118*COS($E118+$F118*'25SolarCoords'!N$7)</f>
        <v>8.9999879501258739</v>
      </c>
      <c r="S118" s="23">
        <f>$D118*COS($E118+$F118*'25SolarCoords'!O$7)</f>
        <v>-5.7509769601038263</v>
      </c>
      <c r="T118" s="23">
        <f>$D118*COS($E118+$F118*'25SolarCoords'!P$7)</f>
        <v>-8.7443518354785272</v>
      </c>
      <c r="U118" s="23">
        <f>$D118*COS($E118+$F118*'25SolarCoords'!Q$7)</f>
        <v>-2.1177441347530581</v>
      </c>
      <c r="V118" s="23">
        <f>$D118*COS($E118+$F118*'25SolarCoords'!R$7)</f>
        <v>-0.22284928209255309</v>
      </c>
      <c r="W118" s="23">
        <f>$D118*COS($E118+$F118*'25SolarCoords'!S$7)</f>
        <v>-2.1421595625696828</v>
      </c>
      <c r="X118" s="23">
        <f>$D118*COS($E118+$F118*'25SolarCoords'!T$7)</f>
        <v>4.9576439514214359</v>
      </c>
      <c r="Y118" s="23">
        <f>$D118*COS($E118+$F118*'25SolarCoords'!U$7)</f>
        <v>-8.5517288046741839</v>
      </c>
      <c r="Z118" s="23">
        <f>$D118*COS($E118+$F118*'25SolarCoords'!V$7)</f>
        <v>3.2914024347109079</v>
      </c>
      <c r="AA118" s="23">
        <f>$D118*COS($E118+$F118*'25SolarCoords'!W$7)</f>
        <v>6.5974131702394025</v>
      </c>
      <c r="AB118" s="23">
        <f>$D118*COS($E118+$F118*'25SolarCoords'!X$7)</f>
        <v>3.6637964677968289</v>
      </c>
      <c r="AC118" s="23">
        <f>$D118*COS($E118+$F118*'25SolarCoords'!Y$7)</f>
        <v>-6.7121078961932525</v>
      </c>
      <c r="AD118" s="23">
        <f>$D118*COS($E118+$F118*'25SolarCoords'!Z$7)</f>
        <v>-8.877623409547887</v>
      </c>
      <c r="AE118" s="23">
        <f>$D118*COS($E118+$F118*'25SolarCoords'!AA$7)</f>
        <v>-3.3618347514341664</v>
      </c>
      <c r="AF118" s="23">
        <f>$D118*COS($E118+$F118*'25SolarCoords'!AB$7)</f>
        <v>-8.8491990357088781</v>
      </c>
      <c r="AG118" s="23">
        <f>$D118*COS($E118+$F118*'25SolarCoords'!AC$7)</f>
        <v>8.63974594248781</v>
      </c>
      <c r="AH118" s="23">
        <f>$D118*COS($E118+$F118*'25SolarCoords'!AD$7)</f>
        <v>-3.7685889529703887</v>
      </c>
      <c r="AI118" s="23">
        <f>$D118*COS($E118+$F118*'25SolarCoords'!AE$7)</f>
        <v>-8.9845468184928414</v>
      </c>
      <c r="AJ118" s="23">
        <f>$D118*COS($E118+$F118*'25SolarCoords'!AF$7)</f>
        <v>-5.3015981015032141</v>
      </c>
      <c r="AK118" s="23">
        <f>$D118*COS($E118+$F118*'25SolarCoords'!AG$7)</f>
        <v>8.6012191109426563</v>
      </c>
      <c r="AL118" s="23">
        <f>$D118*COS($E118+$F118*'25SolarCoords'!AH$7)</f>
        <v>8.9999470585715127</v>
      </c>
      <c r="AM118" s="23">
        <f>$D118*COS($E118+$F118*'25SolarCoords'!AI$7)</f>
        <v>-8.4531340182860681</v>
      </c>
      <c r="AN118" s="23">
        <f>$D118*COS($E118+$F118*'25SolarCoords'!AJ$7)</f>
        <v>3.8419090200085999</v>
      </c>
      <c r="AO118" s="23">
        <f>$D118*COS($E118+$F118*'25SolarCoords'!AK$7)</f>
        <v>-2.1913777837136301</v>
      </c>
      <c r="AP118" s="23">
        <f>$D118*COS($E118+$F118*'25SolarCoords'!AL$7)</f>
        <v>-8.961591843781088</v>
      </c>
      <c r="AQ118" s="23">
        <f>$D118*COS($E118+$F118*'25SolarCoords'!AM$7)</f>
        <v>-8.1424375797959385</v>
      </c>
      <c r="AR118" s="23">
        <f>$D118*COS($E118+$F118*'25SolarCoords'!AN$7)</f>
        <v>-8.3301128628984564</v>
      </c>
      <c r="AS118" s="23">
        <f>$D118*COS($E118+$F118*'25SolarCoords'!AO$7)</f>
        <v>5.2202944011901655</v>
      </c>
      <c r="AT118" s="23">
        <f>$D118*COS($E118+$F118*'25SolarCoords'!AP$7)</f>
        <v>-8.9979678866694286</v>
      </c>
      <c r="AU118" s="23">
        <f>$D118*COS($E118+$F118*'25SolarCoords'!AQ$7)</f>
        <v>-0.81648739503379619</v>
      </c>
      <c r="AV118" s="23">
        <f>$D118*COS($E118+$F118*'25SolarCoords'!AR$7)</f>
        <v>8.8329907160354733</v>
      </c>
      <c r="AW118" s="23">
        <f>$D118*COS($E118+$F118*'25SolarCoords'!AS$7)</f>
        <v>0.92372858595053708</v>
      </c>
      <c r="AX118" s="23">
        <f>$D118*COS($E118+$F118*'25SolarCoords'!AT$7)</f>
        <v>-1.1311702996605992</v>
      </c>
      <c r="AY118" s="23">
        <f>$D118*COS($E118+$F118*'25SolarCoords'!AU$7)</f>
        <v>-8.9999225080593526</v>
      </c>
      <c r="AZ118" s="23">
        <f>$D118*COS($E118+$F118*'25SolarCoords'!AV$7)</f>
        <v>-8.7100109463616917</v>
      </c>
      <c r="BA118" s="23">
        <f>$D118*COS($E118+$F118*'25SolarCoords'!AW$7)</f>
        <v>-8.9999776827767342</v>
      </c>
      <c r="BB118" s="23">
        <f>$D118*COS($E118+$F118*'25SolarCoords'!AX$7)</f>
        <v>8.9774080608521167</v>
      </c>
      <c r="BC118" s="23">
        <f>$D118*COS($E118+$F118*'25SolarCoords'!AY$7)</f>
        <v>-0.23526007472104021</v>
      </c>
      <c r="BD118" s="23">
        <f>$D118*COS($E118+$F118*'25SolarCoords'!AZ$7)</f>
        <v>1.6698984218559376</v>
      </c>
      <c r="BE118" s="23">
        <f>$D118*COS($E118+$F118*'25SolarCoords'!BA$7)</f>
        <v>3.4997445081256338</v>
      </c>
      <c r="BF118" s="23">
        <f>$D118*COS($E118+$F118*'25SolarCoords'!BB$7)</f>
        <v>5.1717521349197</v>
      </c>
      <c r="BG118" s="23">
        <f>$D118*COS($E118+$F118*'25SolarCoords'!BC$7)</f>
        <v>6.6105137668005396</v>
      </c>
      <c r="BH118" s="23">
        <f>$D118*COS($E118+$F118*'25SolarCoords'!BD$7)</f>
        <v>7.7511412615054489</v>
      </c>
      <c r="BI118" s="23">
        <f>$D118*COS($E118+$F118*'25SolarCoords'!BE$7)</f>
        <v>8.5421923248360034</v>
      </c>
      <c r="BJ118" s="23">
        <f>$D118*COS($E118+$F118*'25SolarCoords'!BF$7)</f>
        <v>8.947990557872485</v>
      </c>
      <c r="BK118" s="23">
        <f>$D118*COS($E118+$F118*'25SolarCoords'!BG$7)</f>
        <v>-8.9629485597533041</v>
      </c>
    </row>
    <row r="119" spans="3:63" x14ac:dyDescent="0.25">
      <c r="C119">
        <f t="shared" si="3"/>
        <v>9</v>
      </c>
      <c r="D119">
        <v>7</v>
      </c>
      <c r="E119">
        <v>0.83</v>
      </c>
      <c r="F119">
        <v>775.52</v>
      </c>
      <c r="H119" s="7"/>
      <c r="I119" s="23">
        <f>$D119*COS($E119+$F119*'25SolarCoords'!E$7)</f>
        <v>6.0983702485965017</v>
      </c>
      <c r="J119" s="23">
        <f>$D119*COS($E119+$F119*'25SolarCoords'!F$7)</f>
        <v>-5.4303989369456476</v>
      </c>
      <c r="K119" s="23">
        <f>$D119*COS($E119+$F119*'25SolarCoords'!G$7)</f>
        <v>4.7241303204988698</v>
      </c>
      <c r="L119" s="23">
        <f>$D119*COS($E119+$F119*'25SolarCoords'!H$7)</f>
        <v>6.989815669344055</v>
      </c>
      <c r="M119" s="23">
        <f>$D119*COS($E119+$F119*'25SolarCoords'!I$7)</f>
        <v>-6.8193300421296668</v>
      </c>
      <c r="N119" s="23">
        <f>$D119*COS($E119+$F119*'25SolarCoords'!J$7)</f>
        <v>-6.0312123977045307</v>
      </c>
      <c r="O119" s="23">
        <f>$D119*COS($E119+$F119*'25SolarCoords'!K$7)</f>
        <v>-3.7663104405169054</v>
      </c>
      <c r="P119" s="23">
        <f>$D119*COS($E119+$F119*'25SolarCoords'!L$7)</f>
        <v>-1.8083869116120956</v>
      </c>
      <c r="Q119" s="23">
        <f>$D119*COS($E119+$F119*'25SolarCoords'!M$7)</f>
        <v>1.7188136564073178</v>
      </c>
      <c r="R119" s="23">
        <f>$D119*COS($E119+$F119*'25SolarCoords'!N$7)</f>
        <v>0.51881549021133799</v>
      </c>
      <c r="S119" s="23">
        <f>$D119*COS($E119+$F119*'25SolarCoords'!O$7)</f>
        <v>5.2551436750642342</v>
      </c>
      <c r="T119" s="23">
        <f>$D119*COS($E119+$F119*'25SolarCoords'!P$7)</f>
        <v>-4.9945546413443589</v>
      </c>
      <c r="U119" s="23">
        <f>$D119*COS($E119+$F119*'25SolarCoords'!Q$7)</f>
        <v>1.2132886347102887</v>
      </c>
      <c r="V119" s="23">
        <f>$D119*COS($E119+$F119*'25SolarCoords'!R$7)</f>
        <v>1.1986480629004554</v>
      </c>
      <c r="W119" s="23">
        <f>$D119*COS($E119+$F119*'25SolarCoords'!S$7)</f>
        <v>6.095338230012799</v>
      </c>
      <c r="X119" s="23">
        <f>$D119*COS($E119+$F119*'25SolarCoords'!T$7)</f>
        <v>4.878837746202465</v>
      </c>
      <c r="Y119" s="23">
        <f>$D119*COS($E119+$F119*'25SolarCoords'!U$7)</f>
        <v>2.4457647239358105</v>
      </c>
      <c r="Z119" s="23">
        <f>$D119*COS($E119+$F119*'25SolarCoords'!V$7)</f>
        <v>-2.6250661859316367</v>
      </c>
      <c r="AA119" s="23">
        <f>$D119*COS($E119+$F119*'25SolarCoords'!W$7)</f>
        <v>-6.493645309233286</v>
      </c>
      <c r="AB119" s="23">
        <f>$D119*COS($E119+$F119*'25SolarCoords'!X$7)</f>
        <v>3.0211658672784765</v>
      </c>
      <c r="AC119" s="23">
        <f>$D119*COS($E119+$F119*'25SolarCoords'!Y$7)</f>
        <v>-2.5174471512525218</v>
      </c>
      <c r="AD119" s="23">
        <f>$D119*COS($E119+$F119*'25SolarCoords'!Z$7)</f>
        <v>-6.4628621286520094</v>
      </c>
      <c r="AE119" s="23">
        <f>$D119*COS($E119+$F119*'25SolarCoords'!AA$7)</f>
        <v>4.7296115228035474</v>
      </c>
      <c r="AF119" s="23">
        <f>$D119*COS($E119+$F119*'25SolarCoords'!AB$7)</f>
        <v>-6.9679124355978939</v>
      </c>
      <c r="AG119" s="23">
        <f>$D119*COS($E119+$F119*'25SolarCoords'!AC$7)</f>
        <v>-6.9218195214201215</v>
      </c>
      <c r="AH119" s="23">
        <f>$D119*COS($E119+$F119*'25SolarCoords'!AD$7)</f>
        <v>-2.6322553284195922</v>
      </c>
      <c r="AI119" s="23">
        <f>$D119*COS($E119+$F119*'25SolarCoords'!AE$7)</f>
        <v>-2.56109192518019</v>
      </c>
      <c r="AJ119" s="23">
        <f>$D119*COS($E119+$F119*'25SolarCoords'!AF$7)</f>
        <v>-0.62078825988892561</v>
      </c>
      <c r="AK119" s="23">
        <f>$D119*COS($E119+$F119*'25SolarCoords'!AG$7)</f>
        <v>0.38886565136136969</v>
      </c>
      <c r="AL119" s="23">
        <f>$D119*COS($E119+$F119*'25SolarCoords'!AH$7)</f>
        <v>6.7678745923537038</v>
      </c>
      <c r="AM119" s="23">
        <f>$D119*COS($E119+$F119*'25SolarCoords'!AI$7)</f>
        <v>3.1678082694616081</v>
      </c>
      <c r="AN119" s="23">
        <f>$D119*COS($E119+$F119*'25SolarCoords'!AJ$7)</f>
        <v>-2.5252424406331118</v>
      </c>
      <c r="AO119" s="23">
        <f>$D119*COS($E119+$F119*'25SolarCoords'!AK$7)</f>
        <v>-3.4272775572639098</v>
      </c>
      <c r="AP119" s="23">
        <f>$D119*COS($E119+$F119*'25SolarCoords'!AL$7)</f>
        <v>6.9742973787111167</v>
      </c>
      <c r="AQ119" s="23">
        <f>$D119*COS($E119+$F119*'25SolarCoords'!AM$7)</f>
        <v>5.1280056493070276</v>
      </c>
      <c r="AR119" s="23">
        <f>$D119*COS($E119+$F119*'25SolarCoords'!AN$7)</f>
        <v>3.5870882121668108</v>
      </c>
      <c r="AS119" s="23">
        <f>$D119*COS($E119+$F119*'25SolarCoords'!AO$7)</f>
        <v>-5.7894873302355006</v>
      </c>
      <c r="AT119" s="23">
        <f>$D119*COS($E119+$F119*'25SolarCoords'!AP$7)</f>
        <v>6.4744264799948557</v>
      </c>
      <c r="AU119" s="23">
        <f>$D119*COS($E119+$F119*'25SolarCoords'!AQ$7)</f>
        <v>6.5135647913025849</v>
      </c>
      <c r="AV119" s="23">
        <f>$D119*COS($E119+$F119*'25SolarCoords'!AR$7)</f>
        <v>6.5504410466368945</v>
      </c>
      <c r="AW119" s="23">
        <f>$D119*COS($E119+$F119*'25SolarCoords'!AS$7)</f>
        <v>6.5904480871669824</v>
      </c>
      <c r="AX119" s="23">
        <f>$D119*COS($E119+$F119*'25SolarCoords'!AT$7)</f>
        <v>6.6606624900032152</v>
      </c>
      <c r="AY119" s="23">
        <f>$D119*COS($E119+$F119*'25SolarCoords'!AU$7)</f>
        <v>4.1378869704856731</v>
      </c>
      <c r="AZ119" s="23">
        <f>$D119*COS($E119+$F119*'25SolarCoords'!AV$7)</f>
        <v>3.8987073802620698</v>
      </c>
      <c r="BA119" s="23">
        <f>$D119*COS($E119+$F119*'25SolarCoords'!AW$7)</f>
        <v>5.3779683873762023</v>
      </c>
      <c r="BB119" s="23">
        <f>$D119*COS($E119+$F119*'25SolarCoords'!AX$7)</f>
        <v>4.4596058072012346</v>
      </c>
      <c r="BC119" s="23">
        <f>$D119*COS($E119+$F119*'25SolarCoords'!AY$7)</f>
        <v>6.7842055377610828</v>
      </c>
      <c r="BD119" s="23">
        <f>$D119*COS($E119+$F119*'25SolarCoords'!AZ$7)</f>
        <v>6.7878522043363736</v>
      </c>
      <c r="BE119" s="23">
        <f>$D119*COS($E119+$F119*'25SolarCoords'!BA$7)</f>
        <v>6.7914682697600934</v>
      </c>
      <c r="BF119" s="23">
        <f>$D119*COS($E119+$F119*'25SolarCoords'!BB$7)</f>
        <v>6.7950537177302071</v>
      </c>
      <c r="BG119" s="23">
        <f>$D119*COS($E119+$F119*'25SolarCoords'!BC$7)</f>
        <v>6.798608532082719</v>
      </c>
      <c r="BH119" s="23">
        <f>$D119*COS($E119+$F119*'25SolarCoords'!BD$7)</f>
        <v>6.8021326967917428</v>
      </c>
      <c r="BI119" s="23">
        <f>$D119*COS($E119+$F119*'25SolarCoords'!BE$7)</f>
        <v>6.8056261959695501</v>
      </c>
      <c r="BJ119" s="23">
        <f>$D119*COS($E119+$F119*'25SolarCoords'!BF$7)</f>
        <v>6.8090890138666618</v>
      </c>
      <c r="BK119" s="23">
        <f>$D119*COS($E119+$F119*'25SolarCoords'!BG$7)</f>
        <v>-2.5590009377363332</v>
      </c>
    </row>
    <row r="120" spans="3:63" x14ac:dyDescent="0.25">
      <c r="C120">
        <f t="shared" si="3"/>
        <v>10</v>
      </c>
      <c r="D120">
        <v>5</v>
      </c>
      <c r="E120">
        <v>4.66</v>
      </c>
      <c r="F120">
        <v>1577.34</v>
      </c>
      <c r="H120" s="7"/>
      <c r="I120" s="23">
        <f>$D120*COS($E120+$F120*'25SolarCoords'!E$7)</f>
        <v>3.2518585419037604</v>
      </c>
      <c r="J120" s="23">
        <f>$D120*COS($E120+$F120*'25SolarCoords'!F$7)</f>
        <v>-1.0253895393389849</v>
      </c>
      <c r="K120" s="23">
        <f>$D120*COS($E120+$F120*'25SolarCoords'!G$7)</f>
        <v>-0.26182509580612967</v>
      </c>
      <c r="L120" s="23">
        <f>$D120*COS($E120+$F120*'25SolarCoords'!H$7)</f>
        <v>-4.9909990163161968</v>
      </c>
      <c r="M120" s="23">
        <f>$D120*COS($E120+$F120*'25SolarCoords'!I$7)</f>
        <v>-4.99827681243569</v>
      </c>
      <c r="N120" s="23">
        <f>$D120*COS($E120+$F120*'25SolarCoords'!J$7)</f>
        <v>-4.1450729552036343</v>
      </c>
      <c r="O120" s="23">
        <f>$D120*COS($E120+$F120*'25SolarCoords'!K$7)</f>
        <v>-0.10394630631543249</v>
      </c>
      <c r="P120" s="23">
        <f>$D120*COS($E120+$F120*'25SolarCoords'!L$7)</f>
        <v>2.8365498715771462</v>
      </c>
      <c r="Q120" s="23">
        <f>$D120*COS($E120+$F120*'25SolarCoords'!M$7)</f>
        <v>-3.2386341997361248</v>
      </c>
      <c r="R120" s="23">
        <f>$D120*COS($E120+$F120*'25SolarCoords'!N$7)</f>
        <v>-2.3201120405344913</v>
      </c>
      <c r="S120" s="23">
        <f>$D120*COS($E120+$F120*'25SolarCoords'!O$7)</f>
        <v>-4.416374061403002</v>
      </c>
      <c r="T120" s="23">
        <f>$D120*COS($E120+$F120*'25SolarCoords'!P$7)</f>
        <v>3.1336524921935505</v>
      </c>
      <c r="U120" s="23">
        <f>$D120*COS($E120+$F120*'25SolarCoords'!Q$7)</f>
        <v>4.8434149507708799</v>
      </c>
      <c r="V120" s="23">
        <f>$D120*COS($E120+$F120*'25SolarCoords'!R$7)</f>
        <v>4.8380083427566714</v>
      </c>
      <c r="W120" s="23">
        <f>$D120*COS($E120+$F120*'25SolarCoords'!S$7)</f>
        <v>0.2786693644482604</v>
      </c>
      <c r="X120" s="23">
        <f>$D120*COS($E120+$F120*'25SolarCoords'!T$7)</f>
        <v>-2.506404147261343</v>
      </c>
      <c r="Y120" s="23">
        <f>$D120*COS($E120+$F120*'25SolarCoords'!U$7)</f>
        <v>-4.8971549373875414</v>
      </c>
      <c r="Z120" s="23">
        <f>$D120*COS($E120+$F120*'25SolarCoords'!V$7)</f>
        <v>0.32434408437173523</v>
      </c>
      <c r="AA120" s="23">
        <f>$D120*COS($E120+$F120*'25SolarCoords'!W$7)</f>
        <v>-4.7926506300599199</v>
      </c>
      <c r="AB120" s="23">
        <f>$D120*COS($E120+$F120*'25SolarCoords'!X$7)</f>
        <v>1.6371935532887529</v>
      </c>
      <c r="AC120" s="23">
        <f>$D120*COS($E120+$F120*'25SolarCoords'!Y$7)</f>
        <v>4.9998601110575933</v>
      </c>
      <c r="AD120" s="23">
        <f>$D120*COS($E120+$F120*'25SolarCoords'!Z$7)</f>
        <v>1.1563038337838931</v>
      </c>
      <c r="AE120" s="23">
        <f>$D120*COS($E120+$F120*'25SolarCoords'!AA$7)</f>
        <v>-0.27260596855430919</v>
      </c>
      <c r="AF120" s="23">
        <f>$D120*COS($E120+$F120*'25SolarCoords'!AB$7)</f>
        <v>-2.0567557116438842</v>
      </c>
      <c r="AG120" s="23">
        <f>$D120*COS($E120+$F120*'25SolarCoords'!AC$7)</f>
        <v>-4.6088511618600974</v>
      </c>
      <c r="AH120" s="23">
        <f>$D120*COS($E120+$F120*'25SolarCoords'!AD$7)</f>
        <v>1.7173166851499744</v>
      </c>
      <c r="AI120" s="23">
        <f>$D120*COS($E120+$F120*'25SolarCoords'!AE$7)</f>
        <v>4.9999061200164636</v>
      </c>
      <c r="AJ120" s="23">
        <f>$D120*COS($E120+$F120*'25SolarCoords'!AF$7)</f>
        <v>4.94464662172535</v>
      </c>
      <c r="AK120" s="23">
        <f>$D120*COS($E120+$F120*'25SolarCoords'!AG$7)</f>
        <v>4.5182126988680364</v>
      </c>
      <c r="AL120" s="23">
        <f>$D120*COS($E120+$F120*'25SolarCoords'!AH$7)</f>
        <v>-4.9493691336167256</v>
      </c>
      <c r="AM120" s="23">
        <f>$D120*COS($E120+$F120*'25SolarCoords'!AI$7)</f>
        <v>1.4110061923134898</v>
      </c>
      <c r="AN120" s="23">
        <f>$D120*COS($E120+$F120*'25SolarCoords'!AJ$7)</f>
        <v>4.563183877860423</v>
      </c>
      <c r="AO120" s="23">
        <f>$D120*COS($E120+$F120*'25SolarCoords'!AK$7)</f>
        <v>4.7273245671979351</v>
      </c>
      <c r="AP120" s="23">
        <f>$D120*COS($E120+$F120*'25SolarCoords'!AL$7)</f>
        <v>-4.24377647763826</v>
      </c>
      <c r="AQ120" s="23">
        <f>$D120*COS($E120+$F120*'25SolarCoords'!AM$7)</f>
        <v>4.7570428102093381</v>
      </c>
      <c r="AR120" s="23">
        <f>$D120*COS($E120+$F120*'25SolarCoords'!AN$7)</f>
        <v>1.7615107482868064</v>
      </c>
      <c r="AS120" s="23">
        <f>$D120*COS($E120+$F120*'25SolarCoords'!AO$7)</f>
        <v>4.3856007822071117</v>
      </c>
      <c r="AT120" s="23">
        <f>$D120*COS($E120+$F120*'25SolarCoords'!AP$7)</f>
        <v>-4.7403599689740785</v>
      </c>
      <c r="AU120" s="23">
        <f>$D120*COS($E120+$F120*'25SolarCoords'!AQ$7)</f>
        <v>-4.7866072956510735</v>
      </c>
      <c r="AV120" s="23">
        <f>$D120*COS($E120+$F120*'25SolarCoords'!AR$7)</f>
        <v>-4.8275532507260568</v>
      </c>
      <c r="AW120" s="23">
        <f>$D120*COS($E120+$F120*'25SolarCoords'!AS$7)</f>
        <v>-4.8686882096033548</v>
      </c>
      <c r="AX120" s="23">
        <f>$D120*COS($E120+$F120*'25SolarCoords'!AT$7)</f>
        <v>-4.9309421940698996</v>
      </c>
      <c r="AY120" s="23">
        <f>$D120*COS($E120+$F120*'25SolarCoords'!AU$7)</f>
        <v>4.5570303315988951</v>
      </c>
      <c r="AZ120" s="23">
        <f>$D120*COS($E120+$F120*'25SolarCoords'!AV$7)</f>
        <v>2.7915027252570273</v>
      </c>
      <c r="BA120" s="23">
        <f>$D120*COS($E120+$F120*'25SolarCoords'!AW$7)</f>
        <v>-4.4768537323863589</v>
      </c>
      <c r="BB120" s="23">
        <f>$D120*COS($E120+$F120*'25SolarCoords'!AX$7)</f>
        <v>4.9661432090724045</v>
      </c>
      <c r="BC120" s="23">
        <f>$D120*COS($E120+$F120*'25SolarCoords'!AY$7)</f>
        <v>-4.9966077336253418</v>
      </c>
      <c r="BD120" s="23">
        <f>$D120*COS($E120+$F120*'25SolarCoords'!AZ$7)</f>
        <v>-4.9973563937558279</v>
      </c>
      <c r="BE120" s="23">
        <f>$D120*COS($E120+$F120*'25SolarCoords'!BA$7)</f>
        <v>-4.998011855191085</v>
      </c>
      <c r="BF120" s="23">
        <f>$D120*COS($E120+$F120*'25SolarCoords'!BB$7)</f>
        <v>-4.9985741057070223</v>
      </c>
      <c r="BG120" s="23">
        <f>$D120*COS($E120+$F120*'25SolarCoords'!BC$7)</f>
        <v>-4.9990431348178905</v>
      </c>
      <c r="BH120" s="23">
        <f>$D120*COS($E120+$F120*'25SolarCoords'!BD$7)</f>
        <v>-4.9994189337764858</v>
      </c>
      <c r="BI120" s="23">
        <f>$D120*COS($E120+$F120*'25SolarCoords'!BE$7)</f>
        <v>-4.9997014955743069</v>
      </c>
      <c r="BJ120" s="23">
        <f>$D120*COS($E120+$F120*'25SolarCoords'!BF$7)</f>
        <v>-4.9998908149416907</v>
      </c>
      <c r="BK120" s="23">
        <f>$D120*COS($E120+$F120*'25SolarCoords'!BG$7)</f>
        <v>4.9999250556168899</v>
      </c>
    </row>
    <row r="121" spans="3:63" x14ac:dyDescent="0.25">
      <c r="C121">
        <f t="shared" si="3"/>
        <v>11</v>
      </c>
      <c r="D121">
        <v>4</v>
      </c>
      <c r="E121">
        <v>1.03</v>
      </c>
      <c r="F121">
        <v>7.11</v>
      </c>
      <c r="H121" s="7"/>
      <c r="I121" s="23">
        <f>$D121*COS($E121+$F121*'25SolarCoords'!E$7)</f>
        <v>2.981595625875777</v>
      </c>
      <c r="J121" s="23">
        <f>$D121*COS($E121+$F121*'25SolarCoords'!F$7)</f>
        <v>-0.69240688449808097</v>
      </c>
      <c r="K121" s="23">
        <f>$D121*COS($E121+$F121*'25SolarCoords'!G$7)</f>
        <v>2.0592753798798213</v>
      </c>
      <c r="L121" s="23">
        <f>$D121*COS($E121+$F121*'25SolarCoords'!H$7)</f>
        <v>2.0836213241665948</v>
      </c>
      <c r="M121" s="23">
        <f>$D121*COS($E121+$F121*'25SolarCoords'!I$7)</f>
        <v>2.3653780106148332</v>
      </c>
      <c r="N121" s="23">
        <f>$D121*COS($E121+$F121*'25SolarCoords'!J$7)</f>
        <v>2.3563582283510409</v>
      </c>
      <c r="O121" s="23">
        <f>$D121*COS($E121+$F121*'25SolarCoords'!K$7)</f>
        <v>2.3423996382600807</v>
      </c>
      <c r="P121" s="23">
        <f>$D121*COS($E121+$F121*'25SolarCoords'!L$7)</f>
        <v>2.3332699824188912</v>
      </c>
      <c r="Q121" s="23">
        <f>$D121*COS($E121+$F121*'25SolarCoords'!M$7)</f>
        <v>3.7981858296110027</v>
      </c>
      <c r="R121" s="23">
        <f>$D121*COS($E121+$F121*'25SolarCoords'!N$7)</f>
        <v>-0.96306406912179965</v>
      </c>
      <c r="S121" s="23">
        <f>$D121*COS($E121+$F121*'25SolarCoords'!O$7)</f>
        <v>-0.93545549979030196</v>
      </c>
      <c r="T121" s="23">
        <f>$D121*COS($E121+$F121*'25SolarCoords'!P$7)</f>
        <v>2.3151548869970466</v>
      </c>
      <c r="U121" s="23">
        <f>$D121*COS($E121+$F121*'25SolarCoords'!Q$7)</f>
        <v>0.3195811631735162</v>
      </c>
      <c r="V121" s="23">
        <f>$D121*COS($E121+$F121*'25SolarCoords'!R$7)</f>
        <v>0.31965877867698828</v>
      </c>
      <c r="W121" s="23">
        <f>$D121*COS($E121+$F121*'25SolarCoords'!S$7)</f>
        <v>0.49616781093400736</v>
      </c>
      <c r="X121" s="23">
        <f>$D121*COS($E121+$F121*'25SolarCoords'!T$7)</f>
        <v>0.48577423162133543</v>
      </c>
      <c r="Y121" s="23">
        <f>$D121*COS($E121+$F121*'25SolarCoords'!U$7)</f>
        <v>0.47069184652232376</v>
      </c>
      <c r="Z121" s="23">
        <f>$D121*COS($E121+$F121*'25SolarCoords'!V$7)</f>
        <v>-3.6328173656004661</v>
      </c>
      <c r="AA121" s="23">
        <f>$D121*COS($E121+$F121*'25SolarCoords'!W$7)</f>
        <v>2.3607918519652134</v>
      </c>
      <c r="AB121" s="23">
        <f>$D121*COS($E121+$F121*'25SolarCoords'!X$7)</f>
        <v>2.2443549918203112</v>
      </c>
      <c r="AC121" s="23">
        <f>$D121*COS($E121+$F121*'25SolarCoords'!Y$7)</f>
        <v>2.5873964414680457</v>
      </c>
      <c r="AD121" s="23">
        <f>$D121*COS($E121+$F121*'25SolarCoords'!Z$7)</f>
        <v>0.90398669668031484</v>
      </c>
      <c r="AE121" s="23">
        <f>$D121*COS($E121+$F121*'25SolarCoords'!AA$7)</f>
        <v>2.0593087563507306</v>
      </c>
      <c r="AF121" s="23">
        <f>$D121*COS($E121+$F121*'25SolarCoords'!AB$7)</f>
        <v>3.0427002447438367</v>
      </c>
      <c r="AG121" s="23">
        <f>$D121*COS($E121+$F121*'25SolarCoords'!AC$7)</f>
        <v>2.5493728942181826</v>
      </c>
      <c r="AH121" s="23">
        <f>$D121*COS($E121+$F121*'25SolarCoords'!AD$7)</f>
        <v>2.3369682996068772</v>
      </c>
      <c r="AI121" s="23">
        <f>$D121*COS($E121+$F121*'25SolarCoords'!AE$7)</f>
        <v>2.5872093181887488</v>
      </c>
      <c r="AJ121" s="23">
        <f>$D121*COS($E121+$F121*'25SolarCoords'!AF$7)</f>
        <v>2.2280859578362078</v>
      </c>
      <c r="AK121" s="23">
        <f>$D121*COS($E121+$F121*'25SolarCoords'!AG$7)</f>
        <v>2.2324813128296674</v>
      </c>
      <c r="AL121" s="23">
        <f>$D121*COS($E121+$F121*'25SolarCoords'!AH$7)</f>
        <v>2.2705806570361005</v>
      </c>
      <c r="AM121" s="23">
        <f>$D121*COS($E121+$F121*'25SolarCoords'!AI$7)</f>
        <v>2.2450639207257992</v>
      </c>
      <c r="AN121" s="23">
        <f>$D121*COS($E121+$F121*'25SolarCoords'!AJ$7)</f>
        <v>2.2195426604443598</v>
      </c>
      <c r="AO121" s="23">
        <f>$D121*COS($E121+$F121*'25SolarCoords'!AK$7)</f>
        <v>3.8614151529857521</v>
      </c>
      <c r="AP121" s="23">
        <f>$D121*COS($E121+$F121*'25SolarCoords'!AL$7)</f>
        <v>2.2809541566983644</v>
      </c>
      <c r="AQ121" s="23">
        <f>$D121*COS($E121+$F121*'25SolarCoords'!AM$7)</f>
        <v>-3.1568606381277604</v>
      </c>
      <c r="AR121" s="23">
        <f>$D121*COS($E121+$F121*'25SolarCoords'!AN$7)</f>
        <v>2.0528969006184794</v>
      </c>
      <c r="AS121" s="23">
        <f>$D121*COS($E121+$F121*'25SolarCoords'!AO$7)</f>
        <v>3.2642699566165811</v>
      </c>
      <c r="AT121" s="23">
        <f>$D121*COS($E121+$F121*'25SolarCoords'!AP$7)</f>
        <v>1.4805892780210894</v>
      </c>
      <c r="AU121" s="23">
        <f>$D121*COS($E121+$F121*'25SolarCoords'!AQ$7)</f>
        <v>1.4800789074916947</v>
      </c>
      <c r="AV121" s="23">
        <f>$D121*COS($E121+$F121*'25SolarCoords'!AR$7)</f>
        <v>1.4795795612734619</v>
      </c>
      <c r="AW121" s="23">
        <f>$D121*COS($E121+$F121*'25SolarCoords'!AS$7)</f>
        <v>1.479014825782258</v>
      </c>
      <c r="AX121" s="23">
        <f>$D121*COS($E121+$F121*'25SolarCoords'!AT$7)</f>
        <v>1.47795444152407</v>
      </c>
      <c r="AY121" s="23">
        <f>$D121*COS($E121+$F121*'25SolarCoords'!AU$7)</f>
        <v>2.666948160993369</v>
      </c>
      <c r="AZ121" s="23">
        <f>$D121*COS($E121+$F121*'25SolarCoords'!AV$7)</f>
        <v>2.1158962721883201</v>
      </c>
      <c r="BA121" s="23">
        <f>$D121*COS($E121+$F121*'25SolarCoords'!AW$7)</f>
        <v>3.3720799011050158</v>
      </c>
      <c r="BB121" s="23">
        <f>$D121*COS($E121+$F121*'25SolarCoords'!AX$7)</f>
        <v>2.9905486001050332</v>
      </c>
      <c r="BC121" s="23">
        <f>$D121*COS($E121+$F121*'25SolarCoords'!AY$7)</f>
        <v>1.4757835571222846</v>
      </c>
      <c r="BD121" s="23">
        <f>$D121*COS($E121+$F121*'25SolarCoords'!AZ$7)</f>
        <v>1.4757111856368987</v>
      </c>
      <c r="BE121" s="23">
        <f>$D121*COS($E121+$F121*'25SolarCoords'!BA$7)</f>
        <v>1.4756388135923213</v>
      </c>
      <c r="BF121" s="23">
        <f>$D121*COS($E121+$F121*'25SolarCoords'!BB$7)</f>
        <v>1.4755664409885809</v>
      </c>
      <c r="BG121" s="23">
        <f>$D121*COS($E121+$F121*'25SolarCoords'!BC$7)</f>
        <v>1.4754940678257047</v>
      </c>
      <c r="BH121" s="23">
        <f>$D121*COS($E121+$F121*'25SolarCoords'!BD$7)</f>
        <v>1.4754216941037188</v>
      </c>
      <c r="BI121" s="23">
        <f>$D121*COS($E121+$F121*'25SolarCoords'!BE$7)</f>
        <v>1.4753493198226526</v>
      </c>
      <c r="BJ121" s="23">
        <f>$D121*COS($E121+$F121*'25SolarCoords'!BF$7)</f>
        <v>1.4752769449825318</v>
      </c>
      <c r="BK121" s="23">
        <f>$D121*COS($E121+$F121*'25SolarCoords'!BG$7)</f>
        <v>2.587218294500182</v>
      </c>
    </row>
    <row r="122" spans="3:63" x14ac:dyDescent="0.25">
      <c r="C122">
        <f t="shared" si="3"/>
        <v>12</v>
      </c>
      <c r="D122">
        <v>4</v>
      </c>
      <c r="E122">
        <v>3.44</v>
      </c>
      <c r="F122">
        <v>5573.14</v>
      </c>
      <c r="H122" s="7"/>
      <c r="I122" s="23">
        <f>$D122*COS($E122+$F122*'25SolarCoords'!E$7)</f>
        <v>3.5096860852641742</v>
      </c>
      <c r="J122" s="23">
        <f>$D122*COS($E122+$F122*'25SolarCoords'!F$7)</f>
        <v>3.9423211773065416</v>
      </c>
      <c r="K122" s="23">
        <f>$D122*COS($E122+$F122*'25SolarCoords'!G$7)</f>
        <v>-3.8232237544706655</v>
      </c>
      <c r="L122" s="23">
        <f>$D122*COS($E122+$F122*'25SolarCoords'!H$7)</f>
        <v>-2.1455749056466367</v>
      </c>
      <c r="M122" s="23">
        <f>$D122*COS($E122+$F122*'25SolarCoords'!I$7)</f>
        <v>3.5158332433557327</v>
      </c>
      <c r="N122" s="23">
        <f>$D122*COS($E122+$F122*'25SolarCoords'!J$7)</f>
        <v>-3.5932449783193419</v>
      </c>
      <c r="O122" s="23">
        <f>$D122*COS($E122+$F122*'25SolarCoords'!K$7)</f>
        <v>3.9064172823544991</v>
      </c>
      <c r="P122" s="23">
        <f>$D122*COS($E122+$F122*'25SolarCoords'!L$7)</f>
        <v>-1.6212078682954978</v>
      </c>
      <c r="Q122" s="23">
        <f>$D122*COS($E122+$F122*'25SolarCoords'!M$7)</f>
        <v>2.3395220823494927</v>
      </c>
      <c r="R122" s="23">
        <f>$D122*COS($E122+$F122*'25SolarCoords'!N$7)</f>
        <v>0.16212011265966597</v>
      </c>
      <c r="S122" s="23">
        <f>$D122*COS($E122+$F122*'25SolarCoords'!O$7)</f>
        <v>-2.494335579109507</v>
      </c>
      <c r="T122" s="23">
        <f>$D122*COS($E122+$F122*'25SolarCoords'!P$7)</f>
        <v>4.4914288452581649E-2</v>
      </c>
      <c r="U122" s="23">
        <f>$D122*COS($E122+$F122*'25SolarCoords'!Q$7)</f>
        <v>-2.8804734568355954</v>
      </c>
      <c r="V122" s="23">
        <f>$D122*COS($E122+$F122*'25SolarCoords'!R$7)</f>
        <v>-2.9224848152204395</v>
      </c>
      <c r="W122" s="23">
        <f>$D122*COS($E122+$F122*'25SolarCoords'!S$7)</f>
        <v>3.6255345528472378</v>
      </c>
      <c r="X122" s="23">
        <f>$D122*COS($E122+$F122*'25SolarCoords'!T$7)</f>
        <v>-0.18117453733264954</v>
      </c>
      <c r="Y122" s="23">
        <f>$D122*COS($E122+$F122*'25SolarCoords'!U$7)</f>
        <v>-0.47632563714353815</v>
      </c>
      <c r="Z122" s="23">
        <f>$D122*COS($E122+$F122*'25SolarCoords'!V$7)</f>
        <v>3.461670263280658</v>
      </c>
      <c r="AA122" s="23">
        <f>$D122*COS($E122+$F122*'25SolarCoords'!W$7)</f>
        <v>-0.16072309515039673</v>
      </c>
      <c r="AB122" s="23">
        <f>$D122*COS($E122+$F122*'25SolarCoords'!X$7)</f>
        <v>-1.2828499647696525</v>
      </c>
      <c r="AC122" s="23">
        <f>$D122*COS($E122+$F122*'25SolarCoords'!Y$7)</f>
        <v>-0.16448793139305401</v>
      </c>
      <c r="AD122" s="23">
        <f>$D122*COS($E122+$F122*'25SolarCoords'!Z$7)</f>
        <v>-3.5758042146304496</v>
      </c>
      <c r="AE122" s="23">
        <f>$D122*COS($E122+$F122*'25SolarCoords'!AA$7)</f>
        <v>-3.8320843056516218</v>
      </c>
      <c r="AF122" s="23">
        <f>$D122*COS($E122+$F122*'25SolarCoords'!AB$7)</f>
        <v>1.6358155329992412</v>
      </c>
      <c r="AG122" s="23">
        <f>$D122*COS($E122+$F122*'25SolarCoords'!AC$7)</f>
        <v>1.3187509999665283</v>
      </c>
      <c r="AH122" s="23">
        <f>$D122*COS($E122+$F122*'25SolarCoords'!AD$7)</f>
        <v>1.8304521041253921</v>
      </c>
      <c r="AI122" s="23">
        <f>$D122*COS($E122+$F122*'25SolarCoords'!AE$7)</f>
        <v>-0.35638792077125642</v>
      </c>
      <c r="AJ122" s="23">
        <f>$D122*COS($E122+$F122*'25SolarCoords'!AF$7)</f>
        <v>-1.4727135276061174</v>
      </c>
      <c r="AK122" s="23">
        <f>$D122*COS($E122+$F122*'25SolarCoords'!AG$7)</f>
        <v>2.4541226931501368</v>
      </c>
      <c r="AL122" s="23">
        <f>$D122*COS($E122+$F122*'25SolarCoords'!AH$7)</f>
        <v>-1.062044399533834</v>
      </c>
      <c r="AM122" s="23">
        <f>$D122*COS($E122+$F122*'25SolarCoords'!AI$7)</f>
        <v>-1.897747795719698</v>
      </c>
      <c r="AN122" s="23">
        <f>$D122*COS($E122+$F122*'25SolarCoords'!AJ$7)</f>
        <v>-2.7278175132161784</v>
      </c>
      <c r="AO122" s="23">
        <f>$D122*COS($E122+$F122*'25SolarCoords'!AK$7)</f>
        <v>2.9629928450375931</v>
      </c>
      <c r="AP122" s="23">
        <f>$D122*COS($E122+$F122*'25SolarCoords'!AL$7)</f>
        <v>-1.5613335349334427</v>
      </c>
      <c r="AQ122" s="23">
        <f>$D122*COS($E122+$F122*'25SolarCoords'!AM$7)</f>
        <v>0.72456734913154397</v>
      </c>
      <c r="AR122" s="23">
        <f>$D122*COS($E122+$F122*'25SolarCoords'!AN$7)</f>
        <v>0.73496311484906451</v>
      </c>
      <c r="AS122" s="23">
        <f>$D122*COS($E122+$F122*'25SolarCoords'!AO$7)</f>
        <v>-3.9844473639057076</v>
      </c>
      <c r="AT122" s="23">
        <f>$D122*COS($E122+$F122*'25SolarCoords'!AP$7)</f>
        <v>-0.96703625066027854</v>
      </c>
      <c r="AU122" s="23">
        <f>$D122*COS($E122+$F122*'25SolarCoords'!AQ$7)</f>
        <v>-0.54439168186572995</v>
      </c>
      <c r="AV122" s="23">
        <f>$D122*COS($E122+$F122*'25SolarCoords'!AR$7)</f>
        <v>-0.12476411457913579</v>
      </c>
      <c r="AW122" s="23">
        <f>$D122*COS($E122+$F122*'25SolarCoords'!AS$7)</f>
        <v>0.35120716567394611</v>
      </c>
      <c r="AX122" s="23">
        <f>$D122*COS($E122+$F122*'25SolarCoords'!AT$7)</f>
        <v>1.2261234570866766</v>
      </c>
      <c r="AY122" s="23">
        <f>$D122*COS($E122+$F122*'25SolarCoords'!AU$7)</f>
        <v>3.9090277622165179</v>
      </c>
      <c r="AZ122" s="23">
        <f>$D122*COS($E122+$F122*'25SolarCoords'!AV$7)</f>
        <v>-3.9591545547295679</v>
      </c>
      <c r="BA122" s="23">
        <f>$D122*COS($E122+$F122*'25SolarCoords'!AW$7)</f>
        <v>3.2663588209011376</v>
      </c>
      <c r="BB122" s="23">
        <f>$D122*COS($E122+$F122*'25SolarCoords'!AX$7)</f>
        <v>-2.1439479759480586</v>
      </c>
      <c r="BC122" s="23">
        <f>$D122*COS($E122+$F122*'25SolarCoords'!AY$7)</f>
        <v>2.7825274552600026</v>
      </c>
      <c r="BD122" s="23">
        <f>$D122*COS($E122+$F122*'25SolarCoords'!AZ$7)</f>
        <v>2.8260483633918398</v>
      </c>
      <c r="BE122" s="23">
        <f>$D122*COS($E122+$F122*'25SolarCoords'!BA$7)</f>
        <v>2.8689113249640461</v>
      </c>
      <c r="BF122" s="23">
        <f>$D122*COS($E122+$F122*'25SolarCoords'!BB$7)</f>
        <v>2.9111063608345562</v>
      </c>
      <c r="BG122" s="23">
        <f>$D122*COS($E122+$F122*'25SolarCoords'!BC$7)</f>
        <v>2.9526236473644527</v>
      </c>
      <c r="BH122" s="23">
        <f>$D122*COS($E122+$F122*'25SolarCoords'!BD$7)</f>
        <v>2.9934535187051328</v>
      </c>
      <c r="BI122" s="23">
        <f>$D122*COS($E122+$F122*'25SolarCoords'!BE$7)</f>
        <v>3.0335864690482861</v>
      </c>
      <c r="BJ122" s="23">
        <f>$D122*COS($E122+$F122*'25SolarCoords'!BF$7)</f>
        <v>3.0730131548397446</v>
      </c>
      <c r="BK122" s="23">
        <f>$D122*COS($E122+$F122*'25SolarCoords'!BG$7)</f>
        <v>-0.34719797569278088</v>
      </c>
    </row>
    <row r="123" spans="3:63" x14ac:dyDescent="0.25">
      <c r="C123">
        <f t="shared" si="3"/>
        <v>13</v>
      </c>
      <c r="D123">
        <v>3</v>
      </c>
      <c r="E123">
        <v>5.14</v>
      </c>
      <c r="F123">
        <v>796.3</v>
      </c>
      <c r="H123" s="7"/>
      <c r="I123" s="23">
        <f>$D123*COS($E123+$F123*'25SolarCoords'!E$7)</f>
        <v>-2.9260242350901553</v>
      </c>
      <c r="J123" s="23">
        <f>$D123*COS($E123+$F123*'25SolarCoords'!F$7)</f>
        <v>-2.7572266315889107</v>
      </c>
      <c r="K123" s="23">
        <f>$D123*COS($E123+$F123*'25SolarCoords'!G$7)</f>
        <v>1.2440943406823455</v>
      </c>
      <c r="L123" s="23">
        <f>$D123*COS($E123+$F123*'25SolarCoords'!H$7)</f>
        <v>-1.0827035400391223</v>
      </c>
      <c r="M123" s="23">
        <f>$D123*COS($E123+$F123*'25SolarCoords'!I$7)</f>
        <v>1.2869639662162411</v>
      </c>
      <c r="N123" s="23">
        <f>$D123*COS($E123+$F123*'25SolarCoords'!J$7)</f>
        <v>0.39045079908724917</v>
      </c>
      <c r="O123" s="23">
        <f>$D123*COS($E123+$F123*'25SolarCoords'!K$7)</f>
        <v>-1.0354055645229603</v>
      </c>
      <c r="P123" s="23">
        <f>$D123*COS($E123+$F123*'25SolarCoords'!L$7)</f>
        <v>-1.8568722152030084</v>
      </c>
      <c r="Q123" s="23">
        <f>$D123*COS($E123+$F123*'25SolarCoords'!M$7)</f>
        <v>1.8428621187793739</v>
      </c>
      <c r="R123" s="23">
        <f>$D123*COS($E123+$F123*'25SolarCoords'!N$7)</f>
        <v>2.1227674978116511</v>
      </c>
      <c r="S123" s="23">
        <f>$D123*COS($E123+$F123*'25SolarCoords'!O$7)</f>
        <v>-2.9022660253637405E-2</v>
      </c>
      <c r="T123" s="23">
        <f>$D123*COS($E123+$F123*'25SolarCoords'!P$7)</f>
        <v>-2.924464926223945</v>
      </c>
      <c r="U123" s="23">
        <f>$D123*COS($E123+$F123*'25SolarCoords'!Q$7)</f>
        <v>2.316073925746883</v>
      </c>
      <c r="V123" s="23">
        <f>$D123*COS($E123+$F123*'25SolarCoords'!R$7)</f>
        <v>2.3202254809657421</v>
      </c>
      <c r="W123" s="23">
        <f>$D123*COS($E123+$F123*'25SolarCoords'!S$7)</f>
        <v>-1.2036953654455027</v>
      </c>
      <c r="X123" s="23">
        <f>$D123*COS($E123+$F123*'25SolarCoords'!T$7)</f>
        <v>-1.9465941940641858</v>
      </c>
      <c r="Y123" s="23">
        <f>$D123*COS($E123+$F123*'25SolarCoords'!U$7)</f>
        <v>-2.7150754752339945</v>
      </c>
      <c r="Z123" s="23">
        <f>$D123*COS($E123+$F123*'25SolarCoords'!V$7)</f>
        <v>1.3333045104190511</v>
      </c>
      <c r="AA123" s="23">
        <f>$D123*COS($E123+$F123*'25SolarCoords'!W$7)</f>
        <v>0.84122979988002355</v>
      </c>
      <c r="AB123" s="23">
        <f>$D123*COS($E123+$F123*'25SolarCoords'!X$7)</f>
        <v>1.5978305987585886</v>
      </c>
      <c r="AC123" s="23">
        <f>$D123*COS($E123+$F123*'25SolarCoords'!Y$7)</f>
        <v>2.6184128032782503</v>
      </c>
      <c r="AD123" s="23">
        <f>$D123*COS($E123+$F123*'25SolarCoords'!Z$7)</f>
        <v>-2.3615006805717735</v>
      </c>
      <c r="AE123" s="23">
        <f>$D123*COS($E123+$F123*'25SolarCoords'!AA$7)</f>
        <v>1.241117830483536</v>
      </c>
      <c r="AF123" s="23">
        <f>$D123*COS($E123+$F123*'25SolarCoords'!AB$7)</f>
        <v>2.8490682040206883</v>
      </c>
      <c r="AG123" s="23">
        <f>$D123*COS($E123+$F123*'25SolarCoords'!AC$7)</f>
        <v>1.9140457302446627</v>
      </c>
      <c r="AH123" s="23">
        <f>$D123*COS($E123+$F123*'25SolarCoords'!AD$7)</f>
        <v>-1.5420883042649161</v>
      </c>
      <c r="AI123" s="23">
        <f>$D123*COS($E123+$F123*'25SolarCoords'!AE$7)</f>
        <v>2.6284100613552179</v>
      </c>
      <c r="AJ123" s="23">
        <f>$D123*COS($E123+$F123*'25SolarCoords'!AF$7)</f>
        <v>2.6885346039013185</v>
      </c>
      <c r="AK123" s="23">
        <f>$D123*COS($E123+$F123*'25SolarCoords'!AG$7)</f>
        <v>2.462432873005616</v>
      </c>
      <c r="AL123" s="23">
        <f>$D123*COS($E123+$F123*'25SolarCoords'!AH$7)</f>
        <v>-0.96593917047503774</v>
      </c>
      <c r="AM123" s="23">
        <f>$D123*COS($E123+$F123*'25SolarCoords'!AI$7)</f>
        <v>1.5364855932340888</v>
      </c>
      <c r="AN123" s="23">
        <f>$D123*COS($E123+$F123*'25SolarCoords'!AJ$7)</f>
        <v>2.955765691046186</v>
      </c>
      <c r="AO123" s="23">
        <f>$D123*COS($E123+$F123*'25SolarCoords'!AK$7)</f>
        <v>4.9357478993847223E-2</v>
      </c>
      <c r="AP123" s="23">
        <f>$D123*COS($E123+$F123*'25SolarCoords'!AL$7)</f>
        <v>-1.8887206845287716</v>
      </c>
      <c r="AQ123" s="23">
        <f>$D123*COS($E123+$F123*'25SolarCoords'!AM$7)</f>
        <v>6.9042117606196891E-3</v>
      </c>
      <c r="AR123" s="23">
        <f>$D123*COS($E123+$F123*'25SolarCoords'!AN$7)</f>
        <v>1.7815013180740777</v>
      </c>
      <c r="AS123" s="23">
        <f>$D123*COS($E123+$F123*'25SolarCoords'!AO$7)</f>
        <v>-2.9761561342173759</v>
      </c>
      <c r="AT123" s="23">
        <f>$D123*COS($E123+$F123*'25SolarCoords'!AP$7)</f>
        <v>-0.94364849713614851</v>
      </c>
      <c r="AU123" s="23">
        <f>$D123*COS($E123+$F123*'25SolarCoords'!AQ$7)</f>
        <v>-0.89973441508664265</v>
      </c>
      <c r="AV123" s="23">
        <f>$D123*COS($E123+$F123*'25SolarCoords'!AR$7)</f>
        <v>-0.85656513717405247</v>
      </c>
      <c r="AW123" s="23">
        <f>$D123*COS($E123+$F123*'25SolarCoords'!AS$7)</f>
        <v>-0.80751241676853835</v>
      </c>
      <c r="AX123" s="23">
        <f>$D123*COS($E123+$F123*'25SolarCoords'!AT$7)</f>
        <v>-0.71479533808784745</v>
      </c>
      <c r="AY123" s="23">
        <f>$D123*COS($E123+$F123*'25SolarCoords'!AU$7)</f>
        <v>-2.8454436727635928</v>
      </c>
      <c r="AZ123" s="23">
        <f>$D123*COS($E123+$F123*'25SolarCoords'!AV$7)</f>
        <v>-2.9707195410956615</v>
      </c>
      <c r="BA123" s="23">
        <f>$D123*COS($E123+$F123*'25SolarCoords'!AW$7)</f>
        <v>-2.6144678479774237</v>
      </c>
      <c r="BB123" s="23">
        <f>$D123*COS($E123+$F123*'25SolarCoords'!AX$7)</f>
        <v>-2.4772166599055425</v>
      </c>
      <c r="BC123" s="23">
        <f>$D123*COS($E123+$F123*'25SolarCoords'!AY$7)</f>
        <v>-0.52284022704200561</v>
      </c>
      <c r="BD123" s="23">
        <f>$D123*COS($E123+$F123*'25SolarCoords'!AZ$7)</f>
        <v>-0.51639863212158332</v>
      </c>
      <c r="BE123" s="23">
        <f>$D123*COS($E123+$F123*'25SolarCoords'!BA$7)</f>
        <v>-0.50995458273020655</v>
      </c>
      <c r="BF123" s="23">
        <f>$D123*COS($E123+$F123*'25SolarCoords'!BB$7)</f>
        <v>-0.50350810949682612</v>
      </c>
      <c r="BG123" s="23">
        <f>$D123*COS($E123+$F123*'25SolarCoords'!BC$7)</f>
        <v>-0.49705924306188154</v>
      </c>
      <c r="BH123" s="23">
        <f>$D123*COS($E123+$F123*'25SolarCoords'!BD$7)</f>
        <v>-0.49060801407715604</v>
      </c>
      <c r="BI123" s="23">
        <f>$D123*COS($E123+$F123*'25SolarCoords'!BE$7)</f>
        <v>-0.48415445320572548</v>
      </c>
      <c r="BJ123" s="23">
        <f>$D123*COS($E123+$F123*'25SolarCoords'!BF$7)</f>
        <v>-0.47769859112171731</v>
      </c>
      <c r="BK123" s="23">
        <f>$D123*COS($E123+$F123*'25SolarCoords'!BG$7)</f>
        <v>2.6279333332067853</v>
      </c>
    </row>
    <row r="124" spans="3:63" x14ac:dyDescent="0.25">
      <c r="C124">
        <f t="shared" si="3"/>
        <v>14</v>
      </c>
      <c r="D124">
        <v>3</v>
      </c>
      <c r="E124">
        <v>6.05</v>
      </c>
      <c r="F124">
        <v>5507.55</v>
      </c>
      <c r="H124" s="7"/>
      <c r="I124" s="23">
        <f>$D124*COS($E124+$F124*'25SolarCoords'!E$7)</f>
        <v>2.7605676963310968</v>
      </c>
      <c r="J124" s="23">
        <f>$D124*COS($E124+$F124*'25SolarCoords'!F$7)</f>
        <v>1.6562957489377843</v>
      </c>
      <c r="K124" s="23">
        <f>$D124*COS($E124+$F124*'25SolarCoords'!G$7)</f>
        <v>2.9188058348906925</v>
      </c>
      <c r="L124" s="23">
        <f>$D124*COS($E124+$F124*'25SolarCoords'!H$7)</f>
        <v>2.5751593378940774</v>
      </c>
      <c r="M124" s="23">
        <f>$D124*COS($E124+$F124*'25SolarCoords'!I$7)</f>
        <v>-2.0607116850135805</v>
      </c>
      <c r="N124" s="23">
        <f>$D124*COS($E124+$F124*'25SolarCoords'!J$7)</f>
        <v>2.9596475653428902</v>
      </c>
      <c r="O124" s="23">
        <f>$D124*COS($E124+$F124*'25SolarCoords'!K$7)</f>
        <v>-2.9982486747384733</v>
      </c>
      <c r="P124" s="23">
        <f>$D124*COS($E124+$F124*'25SolarCoords'!L$7)</f>
        <v>1.7970406337706581</v>
      </c>
      <c r="Q124" s="23">
        <f>$D124*COS($E124+$F124*'25SolarCoords'!M$7)</f>
        <v>-1.0816710159352774</v>
      </c>
      <c r="R124" s="23">
        <f>$D124*COS($E124+$F124*'25SolarCoords'!N$7)</f>
        <v>-1.7229233105662294</v>
      </c>
      <c r="S124" s="23">
        <f>$D124*COS($E124+$F124*'25SolarCoords'!O$7)</f>
        <v>0.50058754313708953</v>
      </c>
      <c r="T124" s="23">
        <f>$D124*COS($E124+$F124*'25SolarCoords'!P$7)</f>
        <v>0.943453678282834</v>
      </c>
      <c r="U124" s="23">
        <f>$D124*COS($E124+$F124*'25SolarCoords'!Q$7)</f>
        <v>2.8194861120584434</v>
      </c>
      <c r="V124" s="23">
        <f>$D124*COS($E124+$F124*'25SolarCoords'!R$7)</f>
        <v>2.8346198844097952</v>
      </c>
      <c r="W124" s="23">
        <f>$D124*COS($E124+$F124*'25SolarCoords'!S$7)</f>
        <v>0.85218234659274916</v>
      </c>
      <c r="X124" s="23">
        <f>$D124*COS($E124+$F124*'25SolarCoords'!T$7)</f>
        <v>-2.9571178076728062</v>
      </c>
      <c r="Y124" s="23">
        <f>$D124*COS($E124+$F124*'25SolarCoords'!U$7)</f>
        <v>2.9986114307992784</v>
      </c>
      <c r="Z124" s="23">
        <f>$D124*COS($E124+$F124*'25SolarCoords'!V$7)</f>
        <v>-2.7537551248704082</v>
      </c>
      <c r="AA124" s="23">
        <f>$D124*COS($E124+$F124*'25SolarCoords'!W$7)</f>
        <v>1.0104553081915291</v>
      </c>
      <c r="AB124" s="23">
        <f>$D124*COS($E124+$F124*'25SolarCoords'!X$7)</f>
        <v>1.0331481381461229</v>
      </c>
      <c r="AC124" s="23">
        <f>$D124*COS($E124+$F124*'25SolarCoords'!Y$7)</f>
        <v>2.5404718078293591</v>
      </c>
      <c r="AD124" s="23">
        <f>$D124*COS($E124+$F124*'25SolarCoords'!Z$7)</f>
        <v>-2.946667421948006</v>
      </c>
      <c r="AE124" s="23">
        <f>$D124*COS($E124+$F124*'25SolarCoords'!AA$7)</f>
        <v>2.9134963470634405</v>
      </c>
      <c r="AF124" s="23">
        <f>$D124*COS($E124+$F124*'25SolarCoords'!AB$7)</f>
        <v>2.6866641432599763</v>
      </c>
      <c r="AG124" s="23">
        <f>$D124*COS($E124+$F124*'25SolarCoords'!AC$7)</f>
        <v>-2.7855913035045443</v>
      </c>
      <c r="AH124" s="23">
        <f>$D124*COS($E124+$F124*'25SolarCoords'!AD$7)</f>
        <v>-0.71265364036863343</v>
      </c>
      <c r="AI124" s="23">
        <f>$D124*COS($E124+$F124*'25SolarCoords'!AE$7)</f>
        <v>2.613393146950977</v>
      </c>
      <c r="AJ124" s="23">
        <f>$D124*COS($E124+$F124*'25SolarCoords'!AF$7)</f>
        <v>0.90573247054852168</v>
      </c>
      <c r="AK124" s="23">
        <f>$D124*COS($E124+$F124*'25SolarCoords'!AG$7)</f>
        <v>-1.9751422498329902</v>
      </c>
      <c r="AL124" s="23">
        <f>$D124*COS($E124+$F124*'25SolarCoords'!AH$7)</f>
        <v>0.65634798390017746</v>
      </c>
      <c r="AM124" s="23">
        <f>$D124*COS($E124+$F124*'25SolarCoords'!AI$7)</f>
        <v>1.4839929755480459</v>
      </c>
      <c r="AN124" s="23">
        <f>$D124*COS($E124+$F124*'25SolarCoords'!AJ$7)</f>
        <v>2.2428936828015904</v>
      </c>
      <c r="AO124" s="23">
        <f>$D124*COS($E124+$F124*'25SolarCoords'!AK$7)</f>
        <v>-2.734166676389862</v>
      </c>
      <c r="AP124" s="23">
        <f>$D124*COS($E124+$F124*'25SolarCoords'!AL$7)</f>
        <v>1.3806845543710196</v>
      </c>
      <c r="AQ124" s="23">
        <f>$D124*COS($E124+$F124*'25SolarCoords'!AM$7)</f>
        <v>-2.6872875137214423</v>
      </c>
      <c r="AR124" s="23">
        <f>$D124*COS($E124+$F124*'25SolarCoords'!AN$7)</f>
        <v>1.0679088665561249</v>
      </c>
      <c r="AS124" s="23">
        <f>$D124*COS($E124+$F124*'25SolarCoords'!AO$7)</f>
        <v>0.34653965842073475</v>
      </c>
      <c r="AT124" s="23">
        <f>$D124*COS($E124+$F124*'25SolarCoords'!AP$7)</f>
        <v>2.3022285913726308</v>
      </c>
      <c r="AU124" s="23">
        <f>$D124*COS($E124+$F124*'25SolarCoords'!AQ$7)</f>
        <v>2.4934633795889449</v>
      </c>
      <c r="AV124" s="23">
        <f>$D124*COS($E124+$F124*'25SolarCoords'!AR$7)</f>
        <v>2.6532836373351634</v>
      </c>
      <c r="AW124" s="23">
        <f>$D124*COS($E124+$F124*'25SolarCoords'!AS$7)</f>
        <v>2.7993399045183942</v>
      </c>
      <c r="AX124" s="23">
        <f>$D124*COS($E124+$F124*'25SolarCoords'!AT$7)</f>
        <v>2.9677234254636122</v>
      </c>
      <c r="AY124" s="23">
        <f>$D124*COS($E124+$F124*'25SolarCoords'!AU$7)</f>
        <v>-1.6247030872896238</v>
      </c>
      <c r="AZ124" s="23">
        <f>$D124*COS($E124+$F124*'25SolarCoords'!AV$7)</f>
        <v>2.6011672285215481</v>
      </c>
      <c r="BA124" s="23">
        <f>$D124*COS($E124+$F124*'25SolarCoords'!AW$7)</f>
        <v>2.9989994961955642</v>
      </c>
      <c r="BB124" s="23">
        <f>$D124*COS($E124+$F124*'25SolarCoords'!AX$7)</f>
        <v>-2.9732728186696384</v>
      </c>
      <c r="BC124" s="23">
        <f>$D124*COS($E124+$F124*'25SolarCoords'!AY$7)</f>
        <v>2.8610499195024803</v>
      </c>
      <c r="BD124" s="23">
        <f>$D124*COS($E124+$F124*'25SolarCoords'!AZ$7)</f>
        <v>2.8471174613130481</v>
      </c>
      <c r="BE124" s="23">
        <f>$D124*COS($E124+$F124*'25SolarCoords'!BA$7)</f>
        <v>2.8325376613939142</v>
      </c>
      <c r="BF124" s="23">
        <f>$D124*COS($E124+$F124*'25SolarCoords'!BB$7)</f>
        <v>2.8173138347165425</v>
      </c>
      <c r="BG124" s="23">
        <f>$D124*COS($E124+$F124*'25SolarCoords'!BC$7)</f>
        <v>2.8014494426829257</v>
      </c>
      <c r="BH124" s="23">
        <f>$D124*COS($E124+$F124*'25SolarCoords'!BD$7)</f>
        <v>2.7849480923388246</v>
      </c>
      <c r="BI124" s="23">
        <f>$D124*COS($E124+$F124*'25SolarCoords'!BE$7)</f>
        <v>2.767813535553628</v>
      </c>
      <c r="BJ124" s="23">
        <f>$D124*COS($E124+$F124*'25SolarCoords'!BF$7)</f>
        <v>2.7500496681671764</v>
      </c>
      <c r="BK124" s="23">
        <f>$D124*COS($E124+$F124*'25SolarCoords'!BG$7)</f>
        <v>2.6100286361205387</v>
      </c>
    </row>
    <row r="125" spans="3:63" x14ac:dyDescent="0.25">
      <c r="C125">
        <f t="shared" si="3"/>
        <v>15</v>
      </c>
      <c r="D125">
        <v>3</v>
      </c>
      <c r="E125">
        <v>1.19</v>
      </c>
      <c r="F125">
        <v>242.73</v>
      </c>
      <c r="H125" s="7"/>
      <c r="I125" s="23">
        <f>$D125*COS($E125+$F125*'25SolarCoords'!E$7)</f>
        <v>-2.8060908904399615</v>
      </c>
      <c r="J125" s="23">
        <f>$D125*COS($E125+$F125*'25SolarCoords'!F$7)</f>
        <v>0.82953454838174689</v>
      </c>
      <c r="K125" s="23">
        <f>$D125*COS($E125+$F125*'25SolarCoords'!G$7)</f>
        <v>1.1149796167815991</v>
      </c>
      <c r="L125" s="23">
        <f>$D125*COS($E125+$F125*'25SolarCoords'!H$7)</f>
        <v>1.7521092347460927</v>
      </c>
      <c r="M125" s="23">
        <f>$D125*COS($E125+$F125*'25SolarCoords'!I$7)</f>
        <v>-1.1060196521288865</v>
      </c>
      <c r="N125" s="23">
        <f>$D125*COS($E125+$F125*'25SolarCoords'!J$7)</f>
        <v>-0.83545729597897878</v>
      </c>
      <c r="O125" s="23">
        <f>$D125*COS($E125+$F125*'25SolarCoords'!K$7)</f>
        <v>-0.40382274988252548</v>
      </c>
      <c r="P125" s="23">
        <f>$D125*COS($E125+$F125*'25SolarCoords'!L$7)</f>
        <v>-0.11693654208920606</v>
      </c>
      <c r="Q125" s="23">
        <f>$D125*COS($E125+$F125*'25SolarCoords'!M$7)</f>
        <v>-1.3834137755112739</v>
      </c>
      <c r="R125" s="23">
        <f>$D125*COS($E125+$F125*'25SolarCoords'!N$7)</f>
        <v>-0.24501480175607049</v>
      </c>
      <c r="S125" s="23">
        <f>$D125*COS($E125+$F125*'25SolarCoords'!O$7)</f>
        <v>0.48032733951120749</v>
      </c>
      <c r="T125" s="23">
        <f>$D125*COS($E125+$F125*'25SolarCoords'!P$7)</f>
        <v>-0.42560492176430842</v>
      </c>
      <c r="U125" s="23">
        <f>$D125*COS($E125+$F125*'25SolarCoords'!Q$7)</f>
        <v>0.66840207193185686</v>
      </c>
      <c r="V125" s="23">
        <f>$D125*COS($E125+$F125*'25SolarCoords'!R$7)</f>
        <v>0.66645836190894847</v>
      </c>
      <c r="W125" s="23">
        <f>$D125*COS($E125+$F125*'25SolarCoords'!S$7)</f>
        <v>-1.2112122855881411</v>
      </c>
      <c r="X125" s="23">
        <f>$D125*COS($E125+$F125*'25SolarCoords'!T$7)</f>
        <v>-0.96138051952475911</v>
      </c>
      <c r="Y125" s="23">
        <f>$D125*COS($E125+$F125*'25SolarCoords'!U$7)</f>
        <v>-0.58588982445946125</v>
      </c>
      <c r="Z125" s="23">
        <f>$D125*COS($E125+$F125*'25SolarCoords'!V$7)</f>
        <v>2.3697445869124802</v>
      </c>
      <c r="AA125" s="23">
        <f>$D125*COS($E125+$F125*'25SolarCoords'!W$7)</f>
        <v>-0.96948500299576068</v>
      </c>
      <c r="AB125" s="23">
        <f>$D125*COS($E125+$F125*'25SolarCoords'!X$7)</f>
        <v>2.3244196023058885</v>
      </c>
      <c r="AC125" s="23">
        <f>$D125*COS($E125+$F125*'25SolarCoords'!Y$7)</f>
        <v>-1.0277641018226737</v>
      </c>
      <c r="AD125" s="23">
        <f>$D125*COS($E125+$F125*'25SolarCoords'!Z$7)</f>
        <v>2.3011172339690886</v>
      </c>
      <c r="AE125" s="23">
        <f>$D125*COS($E125+$F125*'25SolarCoords'!AA$7)</f>
        <v>1.1159049884749019</v>
      </c>
      <c r="AF125" s="23">
        <f>$D125*COS($E125+$F125*'25SolarCoords'!AB$7)</f>
        <v>-2.7254177408062468</v>
      </c>
      <c r="AG125" s="23">
        <f>$D125*COS($E125+$F125*'25SolarCoords'!AC$7)</f>
        <v>-2.0948446877341742</v>
      </c>
      <c r="AH125" s="23">
        <f>$D125*COS($E125+$F125*'25SolarCoords'!AD$7)</f>
        <v>-0.23336021596052192</v>
      </c>
      <c r="AI125" s="23">
        <f>$D125*COS($E125+$F125*'25SolarCoords'!AE$7)</f>
        <v>-1.0336640555016887</v>
      </c>
      <c r="AJ125" s="23">
        <f>$D125*COS($E125+$F125*'25SolarCoords'!AF$7)</f>
        <v>2.6080384866033146</v>
      </c>
      <c r="AK125" s="23">
        <f>$D125*COS($E125+$F125*'25SolarCoords'!AG$7)</f>
        <v>2.5383995998767146</v>
      </c>
      <c r="AL125" s="23">
        <f>$D125*COS($E125+$F125*'25SolarCoords'!AH$7)</f>
        <v>1.7315349832202112</v>
      </c>
      <c r="AM125" s="23">
        <f>$D125*COS($E125+$F125*'25SolarCoords'!AI$7)</f>
        <v>2.3104932358308368</v>
      </c>
      <c r="AN125" s="23">
        <f>$D125*COS($E125+$F125*'25SolarCoords'!AJ$7)</f>
        <v>2.7279008140319947</v>
      </c>
      <c r="AO125" s="23">
        <f>$D125*COS($E125+$F125*'25SolarCoords'!AK$7)</f>
        <v>1.6307354733570947</v>
      </c>
      <c r="AP125" s="23">
        <f>$D125*COS($E125+$F125*'25SolarCoords'!AL$7)</f>
        <v>1.4582717145930655</v>
      </c>
      <c r="AQ125" s="23">
        <f>$D125*COS($E125+$F125*'25SolarCoords'!AM$7)</f>
        <v>2.9688523447906849</v>
      </c>
      <c r="AR125" s="23">
        <f>$D125*COS($E125+$F125*'25SolarCoords'!AN$7)</f>
        <v>0.93609576738756339</v>
      </c>
      <c r="AS125" s="23">
        <f>$D125*COS($E125+$F125*'25SolarCoords'!AO$7)</f>
        <v>2.9329201547092651</v>
      </c>
      <c r="AT125" s="23">
        <f>$D125*COS($E125+$F125*'25SolarCoords'!AP$7)</f>
        <v>2.7334912336627797</v>
      </c>
      <c r="AU125" s="23">
        <f>$D125*COS($E125+$F125*'25SolarCoords'!AQ$7)</f>
        <v>2.7276651882516743</v>
      </c>
      <c r="AV125" s="23">
        <f>$D125*COS($E125+$F125*'25SolarCoords'!AR$7)</f>
        <v>2.7219072622403178</v>
      </c>
      <c r="AW125" s="23">
        <f>$D125*COS($E125+$F125*'25SolarCoords'!AS$7)</f>
        <v>2.715326700983967</v>
      </c>
      <c r="AX125" s="23">
        <f>$D125*COS($E125+$F125*'25SolarCoords'!AT$7)</f>
        <v>2.7027744294020337</v>
      </c>
      <c r="AY125" s="23">
        <f>$D125*COS($E125+$F125*'25SolarCoords'!AU$7)</f>
        <v>1.5701239701900707</v>
      </c>
      <c r="AZ125" s="23">
        <f>$D125*COS($E125+$F125*'25SolarCoords'!AV$7)</f>
        <v>2.4355828603066825</v>
      </c>
      <c r="BA125" s="23">
        <f>$D125*COS($E125+$F125*'25SolarCoords'!AW$7)</f>
        <v>-1.2989260642042</v>
      </c>
      <c r="BB125" s="23">
        <f>$D125*COS($E125+$F125*'25SolarCoords'!AX$7)</f>
        <v>-2.9091940382038302</v>
      </c>
      <c r="BC125" s="23">
        <f>$D125*COS($E125+$F125*'25SolarCoords'!AY$7)</f>
        <v>2.6762828516130206</v>
      </c>
      <c r="BD125" s="23">
        <f>$D125*COS($E125+$F125*'25SolarCoords'!AZ$7)</f>
        <v>2.6753814197995851</v>
      </c>
      <c r="BE125" s="23">
        <f>$D125*COS($E125+$F125*'25SolarCoords'!BA$7)</f>
        <v>2.6744788064360145</v>
      </c>
      <c r="BF125" s="23">
        <f>$D125*COS($E125+$F125*'25SolarCoords'!BB$7)</f>
        <v>2.6735750119209429</v>
      </c>
      <c r="BG125" s="23">
        <f>$D125*COS($E125+$F125*'25SolarCoords'!BC$7)</f>
        <v>2.6726700366535163</v>
      </c>
      <c r="BH125" s="23">
        <f>$D125*COS($E125+$F125*'25SolarCoords'!BD$7)</f>
        <v>2.6717638810334079</v>
      </c>
      <c r="BI125" s="23">
        <f>$D125*COS($E125+$F125*'25SolarCoords'!BE$7)</f>
        <v>2.6708565454608095</v>
      </c>
      <c r="BJ125" s="23">
        <f>$D125*COS($E125+$F125*'25SolarCoords'!BF$7)</f>
        <v>2.6699480303364327</v>
      </c>
      <c r="BK125" s="23">
        <f>$D125*COS($E125+$F125*'25SolarCoords'!BG$7)</f>
        <v>-1.0333811447888186</v>
      </c>
    </row>
    <row r="126" spans="3:63" x14ac:dyDescent="0.25">
      <c r="C126">
        <f t="shared" si="3"/>
        <v>16</v>
      </c>
      <c r="D126">
        <v>3</v>
      </c>
      <c r="E126">
        <v>6.12</v>
      </c>
      <c r="F126">
        <v>529.69000000000005</v>
      </c>
      <c r="H126" s="7"/>
      <c r="I126" s="23">
        <f>$D126*COS($E126+$F126*'25SolarCoords'!E$7)</f>
        <v>-2.562405185528942</v>
      </c>
      <c r="J126" s="23">
        <f>$D126*COS($E126+$F126*'25SolarCoords'!F$7)</f>
        <v>-2.8558694702191953</v>
      </c>
      <c r="K126" s="23">
        <f>$D126*COS($E126+$F126*'25SolarCoords'!G$7)</f>
        <v>2.9601443955506763</v>
      </c>
      <c r="L126" s="23">
        <f>$D126*COS($E126+$F126*'25SolarCoords'!H$7)</f>
        <v>2.3075428722197948</v>
      </c>
      <c r="M126" s="23">
        <f>$D126*COS($E126+$F126*'25SolarCoords'!I$7)</f>
        <v>2.2382678626099608</v>
      </c>
      <c r="N126" s="23">
        <f>$D126*COS($E126+$F126*'25SolarCoords'!J$7)</f>
        <v>2.6026796848450675</v>
      </c>
      <c r="O126" s="23">
        <f>$D126*COS($E126+$F126*'25SolarCoords'!K$7)</f>
        <v>2.9406164626570201</v>
      </c>
      <c r="P126" s="23">
        <f>$D126*COS($E126+$F126*'25SolarCoords'!L$7)</f>
        <v>2.9998422208888327</v>
      </c>
      <c r="Q126" s="23">
        <f>$D126*COS($E126+$F126*'25SolarCoords'!M$7)</f>
        <v>-2.8867741026219482</v>
      </c>
      <c r="R126" s="23">
        <f>$D126*COS($E126+$F126*'25SolarCoords'!N$7)</f>
        <v>-6.5827738203907096E-2</v>
      </c>
      <c r="S126" s="23">
        <f>$D126*COS($E126+$F126*'25SolarCoords'!O$7)</f>
        <v>-1.571313107994452</v>
      </c>
      <c r="T126" s="23">
        <f>$D126*COS($E126+$F126*'25SolarCoords'!P$7)</f>
        <v>2.8854157820195336</v>
      </c>
      <c r="U126" s="23">
        <f>$D126*COS($E126+$F126*'25SolarCoords'!Q$7)</f>
        <v>2.5697153387726921</v>
      </c>
      <c r="V126" s="23">
        <f>$D126*COS($E126+$F126*'25SolarCoords'!R$7)</f>
        <v>2.5674675875439377</v>
      </c>
      <c r="W126" s="23">
        <f>$D126*COS($E126+$F126*'25SolarCoords'!S$7)</f>
        <v>2.2722651562893428</v>
      </c>
      <c r="X126" s="23">
        <f>$D126*COS($E126+$F126*'25SolarCoords'!T$7)</f>
        <v>2.60882535902123</v>
      </c>
      <c r="Y126" s="23">
        <f>$D126*COS($E126+$F126*'25SolarCoords'!U$7)</f>
        <v>2.9186214174725915</v>
      </c>
      <c r="Z126" s="23">
        <f>$D126*COS($E126+$F126*'25SolarCoords'!V$7)</f>
        <v>1.9589685705601112</v>
      </c>
      <c r="AA126" s="23">
        <f>$D126*COS($E126+$F126*'25SolarCoords'!W$7)</f>
        <v>2.4368123984695691</v>
      </c>
      <c r="AB126" s="23">
        <f>$D126*COS($E126+$F126*'25SolarCoords'!X$7)</f>
        <v>-1.328833314153826</v>
      </c>
      <c r="AC126" s="23">
        <f>$D126*COS($E126+$F126*'25SolarCoords'!Y$7)</f>
        <v>2.8781930150189314</v>
      </c>
      <c r="AD126" s="23">
        <f>$D126*COS($E126+$F126*'25SolarCoords'!Z$7)</f>
        <v>-1.2218987371063401</v>
      </c>
      <c r="AE126" s="23">
        <f>$D126*COS($E126+$F126*'25SolarCoords'!AA$7)</f>
        <v>2.959790210800314</v>
      </c>
      <c r="AF126" s="23">
        <f>$D126*COS($E126+$F126*'25SolarCoords'!AB$7)</f>
        <v>1.9462534245100274</v>
      </c>
      <c r="AG126" s="23">
        <f>$D126*COS($E126+$F126*'25SolarCoords'!AC$7)</f>
        <v>1.0598368686172193</v>
      </c>
      <c r="AH126" s="23">
        <f>$D126*COS($E126+$F126*'25SolarCoords'!AD$7)</f>
        <v>2.9916603020266379</v>
      </c>
      <c r="AI126" s="23">
        <f>$D126*COS($E126+$F126*'25SolarCoords'!AE$7)</f>
        <v>2.874296104327756</v>
      </c>
      <c r="AJ126" s="23">
        <f>$D126*COS($E126+$F126*'25SolarCoords'!AF$7)</f>
        <v>-2.2022864495200603</v>
      </c>
      <c r="AK126" s="23">
        <f>$D126*COS($E126+$F126*'25SolarCoords'!AG$7)</f>
        <v>-1.9910208914349994</v>
      </c>
      <c r="AL126" s="23">
        <f>$D126*COS($E126+$F126*'25SolarCoords'!AH$7)</f>
        <v>0.39724892740676082</v>
      </c>
      <c r="AM126" s="23">
        <f>$D126*COS($E126+$F126*'25SolarCoords'!AI$7)</f>
        <v>-1.2857599083419475</v>
      </c>
      <c r="AN126" s="23">
        <f>$D126*COS($E126+$F126*'25SolarCoords'!AJ$7)</f>
        <v>-2.549646561653415</v>
      </c>
      <c r="AO126" s="23">
        <f>$D126*COS($E126+$F126*'25SolarCoords'!AK$7)</f>
        <v>-2.0377476610115486</v>
      </c>
      <c r="AP126" s="23">
        <f>$D126*COS($E126+$F126*'25SolarCoords'!AL$7)</f>
        <v>1.0785244082288994</v>
      </c>
      <c r="AQ126" s="23">
        <f>$D126*COS($E126+$F126*'25SolarCoords'!AM$7)</f>
        <v>1.8092981644439483</v>
      </c>
      <c r="AR126" s="23">
        <f>$D126*COS($E126+$F126*'25SolarCoords'!AN$7)</f>
        <v>2.9990856490663038</v>
      </c>
      <c r="AS126" s="23">
        <f>$D126*COS($E126+$F126*'25SolarCoords'!AO$7)</f>
        <v>-2.8875562185801318</v>
      </c>
      <c r="AT126" s="23">
        <f>$D126*COS($E126+$F126*'25SolarCoords'!AP$7)</f>
        <v>2.3169250995015096</v>
      </c>
      <c r="AU126" s="23">
        <f>$D126*COS($E126+$F126*'25SolarCoords'!AQ$7)</f>
        <v>2.3363031424244527</v>
      </c>
      <c r="AV126" s="23">
        <f>$D126*COS($E126+$F126*'25SolarCoords'!AR$7)</f>
        <v>2.3550248864437919</v>
      </c>
      <c r="AW126" s="23">
        <f>$D126*COS($E126+$F126*'25SolarCoords'!AS$7)</f>
        <v>2.3759125853163243</v>
      </c>
      <c r="AX126" s="23">
        <f>$D126*COS($E126+$F126*'25SolarCoords'!AT$7)</f>
        <v>2.4143046890402409</v>
      </c>
      <c r="AY126" s="23">
        <f>$D126*COS($E126+$F126*'25SolarCoords'!AU$7)</f>
        <v>-0.32427650648520334</v>
      </c>
      <c r="AZ126" s="23">
        <f>$D126*COS($E126+$F126*'25SolarCoords'!AV$7)</f>
        <v>0.51140557214351423</v>
      </c>
      <c r="BA126" s="23">
        <f>$D126*COS($E126+$F126*'25SolarCoords'!AW$7)</f>
        <v>-2.998643089236853</v>
      </c>
      <c r="BB126" s="23">
        <f>$D126*COS($E126+$F126*'25SolarCoords'!AX$7)</f>
        <v>-2.0954462902963371</v>
      </c>
      <c r="BC126" s="23">
        <f>$D126*COS($E126+$F126*'25SolarCoords'!AY$7)</f>
        <v>2.4894704298821195</v>
      </c>
      <c r="BD126" s="23">
        <f>$D126*COS($E126+$F126*'25SolarCoords'!AZ$7)</f>
        <v>2.4918955794472351</v>
      </c>
      <c r="BE126" s="23">
        <f>$D126*COS($E126+$F126*'25SolarCoords'!BA$7)</f>
        <v>2.4943154882693639</v>
      </c>
      <c r="BF126" s="23">
        <f>$D126*COS($E126+$F126*'25SolarCoords'!BB$7)</f>
        <v>2.4967301512591478</v>
      </c>
      <c r="BG126" s="23">
        <f>$D126*COS($E126+$F126*'25SolarCoords'!BC$7)</f>
        <v>2.4991395633382787</v>
      </c>
      <c r="BH126" s="23">
        <f>$D126*COS($E126+$F126*'25SolarCoords'!BD$7)</f>
        <v>2.5015437194394861</v>
      </c>
      <c r="BI126" s="23">
        <f>$D126*COS($E126+$F126*'25SolarCoords'!BE$7)</f>
        <v>2.5039426145065526</v>
      </c>
      <c r="BJ126" s="23">
        <f>$D126*COS($E126+$F126*'25SolarCoords'!BF$7)</f>
        <v>2.5063362434943266</v>
      </c>
      <c r="BK126" s="23">
        <f>$D126*COS($E126+$F126*'25SolarCoords'!BG$7)</f>
        <v>2.8744844059312591</v>
      </c>
    </row>
    <row r="127" spans="3:63" x14ac:dyDescent="0.25">
      <c r="C127">
        <f t="shared" si="3"/>
        <v>17</v>
      </c>
      <c r="D127">
        <v>3</v>
      </c>
      <c r="E127">
        <v>0.31</v>
      </c>
      <c r="F127">
        <v>398.15</v>
      </c>
      <c r="H127" s="7"/>
      <c r="I127" s="23">
        <f>$D127*COS($E127+$F127*'25SolarCoords'!E$7)</f>
        <v>-2.0891074089933563</v>
      </c>
      <c r="J127" s="23">
        <f>$D127*COS($E127+$F127*'25SolarCoords'!F$7)</f>
        <v>-2.651686005212381</v>
      </c>
      <c r="K127" s="23">
        <f>$D127*COS($E127+$F127*'25SolarCoords'!G$7)</f>
        <v>2.8570007096571404</v>
      </c>
      <c r="L127" s="23">
        <f>$D127*COS($E127+$F127*'25SolarCoords'!H$7)</f>
        <v>2.988279826455964</v>
      </c>
      <c r="M127" s="23">
        <f>$D127*COS($E127+$F127*'25SolarCoords'!I$7)</f>
        <v>0.37548739109640955</v>
      </c>
      <c r="N127" s="23">
        <f>$D127*COS($E127+$F127*'25SolarCoords'!J$7)</f>
        <v>-9.2787869930965494E-2</v>
      </c>
      <c r="O127" s="23">
        <f>$D127*COS($E127+$F127*'25SolarCoords'!K$7)</f>
        <v>-0.80709040978124957</v>
      </c>
      <c r="P127" s="23">
        <f>$D127*COS($E127+$F127*'25SolarCoords'!L$7)</f>
        <v>-1.2503445649636513</v>
      </c>
      <c r="Q127" s="23">
        <f>$D127*COS($E127+$F127*'25SolarCoords'!M$7)</f>
        <v>-0.69720659559914488</v>
      </c>
      <c r="R127" s="23">
        <f>$D127*COS($E127+$F127*'25SolarCoords'!N$7)</f>
        <v>-0.87751627347393146</v>
      </c>
      <c r="S127" s="23">
        <f>$D127*COS($E127+$F127*'25SolarCoords'!O$7)</f>
        <v>0.30257965483053639</v>
      </c>
      <c r="T127" s="23">
        <f>$D127*COS($E127+$F127*'25SolarCoords'!P$7)</f>
        <v>-2.0865837272907801</v>
      </c>
      <c r="U127" s="23">
        <f>$D127*COS($E127+$F127*'25SolarCoords'!Q$7)</f>
        <v>-2.5774274492837117</v>
      </c>
      <c r="V127" s="23">
        <f>$D127*COS($E127+$F127*'25SolarCoords'!R$7)</f>
        <v>-2.5757524245060095</v>
      </c>
      <c r="W127" s="23">
        <f>$D127*COS($E127+$F127*'25SolarCoords'!S$7)</f>
        <v>2.9817904462250913</v>
      </c>
      <c r="X127" s="23">
        <f>$D127*COS($E127+$F127*'25SolarCoords'!T$7)</f>
        <v>2.9015840035063851</v>
      </c>
      <c r="Y127" s="23">
        <f>$D127*COS($E127+$F127*'25SolarCoords'!U$7)</f>
        <v>2.6753500047328105</v>
      </c>
      <c r="Z127" s="23">
        <f>$D127*COS($E127+$F127*'25SolarCoords'!V$7)</f>
        <v>-0.40102738107762104</v>
      </c>
      <c r="AA127" s="23">
        <f>$D127*COS($E127+$F127*'25SolarCoords'!W$7)</f>
        <v>0.13769985688158892</v>
      </c>
      <c r="AB127" s="23">
        <f>$D127*COS($E127+$F127*'25SolarCoords'!X$7)</f>
        <v>-2.7892806668234771</v>
      </c>
      <c r="AC127" s="23">
        <f>$D127*COS($E127+$F127*'25SolarCoords'!Y$7)</f>
        <v>-2.4299830121126686</v>
      </c>
      <c r="AD127" s="23">
        <f>$D127*COS($E127+$F127*'25SolarCoords'!Z$7)</f>
        <v>1.5662591484916946</v>
      </c>
      <c r="AE127" s="23">
        <f>$D127*COS($E127+$F127*'25SolarCoords'!AA$7)</f>
        <v>2.8574990905963102</v>
      </c>
      <c r="AF127" s="23">
        <f>$D127*COS($E127+$F127*'25SolarCoords'!AB$7)</f>
        <v>1.5164106840386098</v>
      </c>
      <c r="AG127" s="23">
        <f>$D127*COS($E127+$F127*'25SolarCoords'!AC$7)</f>
        <v>-0.74152731710682218</v>
      </c>
      <c r="AH127" s="23">
        <f>$D127*COS($E127+$F127*'25SolarCoords'!AD$7)</f>
        <v>-1.0740205322704681</v>
      </c>
      <c r="AI127" s="23">
        <f>$D127*COS($E127+$F127*'25SolarCoords'!AE$7)</f>
        <v>-2.4239254496490177</v>
      </c>
      <c r="AJ127" s="23">
        <f>$D127*COS($E127+$F127*'25SolarCoords'!AF$7)</f>
        <v>-2.3850991377420621</v>
      </c>
      <c r="AK127" s="23">
        <f>$D127*COS($E127+$F127*'25SolarCoords'!AG$7)</f>
        <v>-2.5133115044633016</v>
      </c>
      <c r="AL127" s="23">
        <f>$D127*COS($E127+$F127*'25SolarCoords'!AH$7)</f>
        <v>-2.993124560028015</v>
      </c>
      <c r="AM127" s="23">
        <f>$D127*COS($E127+$F127*'25SolarCoords'!AI$7)</f>
        <v>-2.8023236628851582</v>
      </c>
      <c r="AN127" s="23">
        <f>$D127*COS($E127+$F127*'25SolarCoords'!AJ$7)</f>
        <v>-2.0995170922637008</v>
      </c>
      <c r="AO127" s="23">
        <f>$D127*COS($E127+$F127*'25SolarCoords'!AK$7)</f>
        <v>-2.9836592044695789</v>
      </c>
      <c r="AP127" s="23">
        <f>$D127*COS($E127+$F127*'25SolarCoords'!AL$7)</f>
        <v>-2.9109151005691491</v>
      </c>
      <c r="AQ127" s="23">
        <f>$D127*COS($E127+$F127*'25SolarCoords'!AM$7)</f>
        <v>0.28470227495613964</v>
      </c>
      <c r="AR127" s="23">
        <f>$D127*COS($E127+$F127*'25SolarCoords'!AN$7)</f>
        <v>2.7464338183916959</v>
      </c>
      <c r="AS127" s="23">
        <f>$D127*COS($E127+$F127*'25SolarCoords'!AO$7)</f>
        <v>-2.1903882596494459</v>
      </c>
      <c r="AT127" s="23">
        <f>$D127*COS($E127+$F127*'25SolarCoords'!AP$7)</f>
        <v>-2.993897075840569</v>
      </c>
      <c r="AU127" s="23">
        <f>$D127*COS($E127+$F127*'25SolarCoords'!AQ$7)</f>
        <v>-2.9952795085343418</v>
      </c>
      <c r="AV127" s="23">
        <f>$D127*COS($E127+$F127*'25SolarCoords'!AR$7)</f>
        <v>-2.9964605421061465</v>
      </c>
      <c r="AW127" s="23">
        <f>$D127*COS($E127+$F127*'25SolarCoords'!AS$7)</f>
        <v>-2.9975917360123665</v>
      </c>
      <c r="AX127" s="23">
        <f>$D127*COS($E127+$F127*'25SolarCoords'!AT$7)</f>
        <v>-2.9991291833658664</v>
      </c>
      <c r="AY127" s="23">
        <f>$D127*COS($E127+$F127*'25SolarCoords'!AU$7)</f>
        <v>-1.9790519105220667</v>
      </c>
      <c r="AZ127" s="23">
        <f>$D127*COS($E127+$F127*'25SolarCoords'!AV$7)</f>
        <v>2.4428737777261333</v>
      </c>
      <c r="BA127" s="23">
        <f>$D127*COS($E127+$F127*'25SolarCoords'!AW$7)</f>
        <v>2.7232325960325667</v>
      </c>
      <c r="BB127" s="23">
        <f>$D127*COS($E127+$F127*'25SolarCoords'!AX$7)</f>
        <v>-1.648961847188509</v>
      </c>
      <c r="BC127" s="23">
        <f>$D127*COS($E127+$F127*'25SolarCoords'!AY$7)</f>
        <v>-2.9998888751997161</v>
      </c>
      <c r="BD127" s="23">
        <f>$D127*COS($E127+$F127*'25SolarCoords'!AZ$7)</f>
        <v>-2.9998589457791986</v>
      </c>
      <c r="BE127" s="23">
        <f>$D127*COS($E127+$F127*'25SolarCoords'!BA$7)</f>
        <v>-2.9998254517342247</v>
      </c>
      <c r="BF127" s="23">
        <f>$D127*COS($E127+$F127*'25SolarCoords'!BB$7)</f>
        <v>-2.9997883931045939</v>
      </c>
      <c r="BG127" s="23">
        <f>$D127*COS($E127+$F127*'25SolarCoords'!BC$7)</f>
        <v>-2.9997477699343413</v>
      </c>
      <c r="BH127" s="23">
        <f>$D127*COS($E127+$F127*'25SolarCoords'!BD$7)</f>
        <v>-2.9997035822717382</v>
      </c>
      <c r="BI127" s="23">
        <f>$D127*COS($E127+$F127*'25SolarCoords'!BE$7)</f>
        <v>-2.9996558301692913</v>
      </c>
      <c r="BJ127" s="23">
        <f>$D127*COS($E127+$F127*'25SolarCoords'!BF$7)</f>
        <v>-2.9996045136837424</v>
      </c>
      <c r="BK127" s="23">
        <f>$D127*COS($E127+$F127*'25SolarCoords'!BG$7)</f>
        <v>-2.4242166776050453</v>
      </c>
    </row>
    <row r="128" spans="3:63" x14ac:dyDescent="0.25">
      <c r="C128">
        <f t="shared" si="3"/>
        <v>18</v>
      </c>
      <c r="D128">
        <v>3</v>
      </c>
      <c r="E128">
        <v>2.2799999999999998</v>
      </c>
      <c r="F128">
        <v>553.57000000000005</v>
      </c>
      <c r="H128" s="7"/>
      <c r="I128" s="23">
        <f>$D128*COS($E128+$F128*'25SolarCoords'!E$7)</f>
        <v>-1.8939453477810781</v>
      </c>
      <c r="J128" s="23">
        <f>$D128*COS($E128+$F128*'25SolarCoords'!F$7)</f>
        <v>-2.9990091432749519</v>
      </c>
      <c r="K128" s="23">
        <f>$D128*COS($E128+$F128*'25SolarCoords'!G$7)</f>
        <v>-1.9536889815826366</v>
      </c>
      <c r="L128" s="23">
        <f>$D128*COS($E128+$F128*'25SolarCoords'!H$7)</f>
        <v>-0.46389544531050919</v>
      </c>
      <c r="M128" s="23">
        <f>$D128*COS($E128+$F128*'25SolarCoords'!I$7)</f>
        <v>0.49274078827364964</v>
      </c>
      <c r="N128" s="23">
        <f>$D128*COS($E128+$F128*'25SolarCoords'!J$7)</f>
        <v>-0.1574064973372224</v>
      </c>
      <c r="O128" s="23">
        <f>$D128*COS($E128+$F128*'25SolarCoords'!K$7)</f>
        <v>-1.1355593890745843</v>
      </c>
      <c r="P128" s="23">
        <f>$D128*COS($E128+$F128*'25SolarCoords'!L$7)</f>
        <v>-1.7117096989827427</v>
      </c>
      <c r="Q128" s="23">
        <f>$D128*COS($E128+$F128*'25SolarCoords'!M$7)</f>
        <v>-2.8373163359569777</v>
      </c>
      <c r="R128" s="23">
        <f>$D128*COS($E128+$F128*'25SolarCoords'!N$7)</f>
        <v>2.1594154702593826</v>
      </c>
      <c r="S128" s="23">
        <f>$D128*COS($E128+$F128*'25SolarCoords'!O$7)</f>
        <v>0.743172494617378</v>
      </c>
      <c r="T128" s="23">
        <f>$D128*COS($E128+$F128*'25SolarCoords'!P$7)</f>
        <v>2.6795398661384215</v>
      </c>
      <c r="U128" s="23">
        <f>$D128*COS($E128+$F128*'25SolarCoords'!Q$7)</f>
        <v>-2.5365038025683138</v>
      </c>
      <c r="V128" s="23">
        <f>$D128*COS($E128+$F128*'25SolarCoords'!R$7)</f>
        <v>-2.5389287460392729</v>
      </c>
      <c r="W128" s="23">
        <f>$D128*COS($E128+$F128*'25SolarCoords'!S$7)</f>
        <v>2.4006623255873376</v>
      </c>
      <c r="X128" s="23">
        <f>$D128*COS($E128+$F128*'25SolarCoords'!T$7)</f>
        <v>2.7151667522824887</v>
      </c>
      <c r="Y128" s="23">
        <f>$D128*COS($E128+$F128*'25SolarCoords'!U$7)</f>
        <v>2.9691242880817836</v>
      </c>
      <c r="Z128" s="23">
        <f>$D128*COS($E128+$F128*'25SolarCoords'!V$7)</f>
        <v>2.9848986987298094</v>
      </c>
      <c r="AA128" s="23">
        <f>$D128*COS($E128+$F128*'25SolarCoords'!W$7)</f>
        <v>0.16298862208602513</v>
      </c>
      <c r="AB128" s="23">
        <f>$D128*COS($E128+$F128*'25SolarCoords'!X$7)</f>
        <v>-1.2340401540647312</v>
      </c>
      <c r="AC128" s="23">
        <f>$D128*COS($E128+$F128*'25SolarCoords'!Y$7)</f>
        <v>-1.7236269021467807</v>
      </c>
      <c r="AD128" s="23">
        <f>$D128*COS($E128+$F128*'25SolarCoords'!Z$7)</f>
        <v>0.20149425269002502</v>
      </c>
      <c r="AE128" s="23">
        <f>$D128*COS($E128+$F128*'25SolarCoords'!AA$7)</f>
        <v>-1.9519631904261496</v>
      </c>
      <c r="AF128" s="23">
        <f>$D128*COS($E128+$F128*'25SolarCoords'!AB$7)</f>
        <v>-1.8168282513075085</v>
      </c>
      <c r="AG128" s="23">
        <f>$D128*COS($E128+$F128*'25SolarCoords'!AC$7)</f>
        <v>-2.9999330537453512</v>
      </c>
      <c r="AH128" s="23">
        <f>$D128*COS($E128+$F128*'25SolarCoords'!AD$7)</f>
        <v>-1.4868312513019921</v>
      </c>
      <c r="AI128" s="23">
        <f>$D128*COS($E128+$F128*'25SolarCoords'!AE$7)</f>
        <v>-1.7353339874833007</v>
      </c>
      <c r="AJ128" s="23">
        <f>$D128*COS($E128+$F128*'25SolarCoords'!AF$7)</f>
        <v>-0.12596859403191824</v>
      </c>
      <c r="AK128" s="23">
        <f>$D128*COS($E128+$F128*'25SolarCoords'!AG$7)</f>
        <v>-0.43366175201123935</v>
      </c>
      <c r="AL128" s="23">
        <f>$D128*COS($E128+$F128*'25SolarCoords'!AH$7)</f>
        <v>-2.5906876211586214</v>
      </c>
      <c r="AM128" s="23">
        <f>$D128*COS($E128+$F128*'25SolarCoords'!AI$7)</f>
        <v>-1.279453750775482</v>
      </c>
      <c r="AN128" s="23">
        <f>$D128*COS($E128+$F128*'25SolarCoords'!AJ$7)</f>
        <v>0.47219701676589587</v>
      </c>
      <c r="AO128" s="23">
        <f>$D128*COS($E128+$F128*'25SolarCoords'!AK$7)</f>
        <v>-1.4170212349973568</v>
      </c>
      <c r="AP128" s="23">
        <f>$D128*COS($E128+$F128*'25SolarCoords'!AL$7)</f>
        <v>-2.8806847624053979</v>
      </c>
      <c r="AQ128" s="23">
        <f>$D128*COS($E128+$F128*'25SolarCoords'!AM$7)</f>
        <v>2.9972628021980134</v>
      </c>
      <c r="AR128" s="23">
        <f>$D128*COS($E128+$F128*'25SolarCoords'!AN$7)</f>
        <v>-2.261630053498922</v>
      </c>
      <c r="AS128" s="23">
        <f>$D128*COS($E128+$F128*'25SolarCoords'!AO$7)</f>
        <v>4.049722277210329E-2</v>
      </c>
      <c r="AT128" s="23">
        <f>$D128*COS($E128+$F128*'25SolarCoords'!AP$7)</f>
        <v>-1.9937003842184389</v>
      </c>
      <c r="AU128" s="23">
        <f>$D128*COS($E128+$F128*'25SolarCoords'!AQ$7)</f>
        <v>-2.0175570668621177</v>
      </c>
      <c r="AV128" s="23">
        <f>$D128*COS($E128+$F128*'25SolarCoords'!AR$7)</f>
        <v>-2.0406739252365305</v>
      </c>
      <c r="AW128" s="23">
        <f>$D128*COS($E128+$F128*'25SolarCoords'!AS$7)</f>
        <v>-2.0665471982793964</v>
      </c>
      <c r="AX128" s="23">
        <f>$D128*COS($E128+$F128*'25SolarCoords'!AT$7)</f>
        <v>-2.1143401213027695</v>
      </c>
      <c r="AY128" s="23">
        <f>$D128*COS($E128+$F128*'25SolarCoords'!AU$7)</f>
        <v>2.9749904729964096</v>
      </c>
      <c r="AZ128" s="23">
        <f>$D128*COS($E128+$F128*'25SolarCoords'!AV$7)</f>
        <v>1.6511882209317013</v>
      </c>
      <c r="BA128" s="23">
        <f>$D128*COS($E128+$F128*'25SolarCoords'!AW$7)</f>
        <v>-1.9546905010315694</v>
      </c>
      <c r="BB128" s="23">
        <f>$D128*COS($E128+$F128*'25SolarCoords'!AX$7)</f>
        <v>-2.4317671471316396</v>
      </c>
      <c r="BC128" s="23">
        <f>$D128*COS($E128+$F128*'25SolarCoords'!AY$7)</f>
        <v>-2.2088896757836878</v>
      </c>
      <c r="BD128" s="23">
        <f>$D128*COS($E128+$F128*'25SolarCoords'!AZ$7)</f>
        <v>-2.2119637546166406</v>
      </c>
      <c r="BE128" s="23">
        <f>$D128*COS($E128+$F128*'25SolarCoords'!BA$7)</f>
        <v>-2.2150327525271534</v>
      </c>
      <c r="BF128" s="23">
        <f>$D128*COS($E128+$F128*'25SolarCoords'!BB$7)</f>
        <v>-2.2180966624656655</v>
      </c>
      <c r="BG128" s="23">
        <f>$D128*COS($E128+$F128*'25SolarCoords'!BC$7)</f>
        <v>-2.221155477394325</v>
      </c>
      <c r="BH128" s="23">
        <f>$D128*COS($E128+$F128*'25SolarCoords'!BD$7)</f>
        <v>-2.2242091902869845</v>
      </c>
      <c r="BI128" s="23">
        <f>$D128*COS($E128+$F128*'25SolarCoords'!BE$7)</f>
        <v>-2.2272577941291924</v>
      </c>
      <c r="BJ128" s="23">
        <f>$D128*COS($E128+$F128*'25SolarCoords'!BF$7)</f>
        <v>-2.2303012819182566</v>
      </c>
      <c r="BK128" s="23">
        <f>$D128*COS($E128+$F128*'25SolarCoords'!BG$7)</f>
        <v>-1.7347733136873806</v>
      </c>
    </row>
    <row r="129" spans="2:63" x14ac:dyDescent="0.25">
      <c r="C129">
        <f t="shared" si="3"/>
        <v>19</v>
      </c>
      <c r="D129">
        <v>2</v>
      </c>
      <c r="E129">
        <v>4.38</v>
      </c>
      <c r="F129">
        <v>5223.6899999999996</v>
      </c>
      <c r="H129" s="7"/>
      <c r="I129" s="23">
        <f>$D129*COS($E129+$F129*'25SolarCoords'!E$7)</f>
        <v>-1.7612206704239888</v>
      </c>
      <c r="J129" s="23">
        <f>$D129*COS($E129+$F129*'25SolarCoords'!F$7)</f>
        <v>1.4888973138628443</v>
      </c>
      <c r="K129" s="23">
        <f>$D129*COS($E129+$F129*'25SolarCoords'!G$7)</f>
        <v>-0.65260435630736702</v>
      </c>
      <c r="L129" s="23">
        <f>$D129*COS($E129+$F129*'25SolarCoords'!H$7)</f>
        <v>1.3240702226705041</v>
      </c>
      <c r="M129" s="23">
        <f>$D129*COS($E129+$F129*'25SolarCoords'!I$7)</f>
        <v>1.893474618279094</v>
      </c>
      <c r="N129" s="23">
        <f>$D129*COS($E129+$F129*'25SolarCoords'!J$7)</f>
        <v>-0.30608581301217741</v>
      </c>
      <c r="O129" s="23">
        <f>$D129*COS($E129+$F129*'25SolarCoords'!K$7)</f>
        <v>0.35781717321195494</v>
      </c>
      <c r="P129" s="23">
        <f>$D129*COS($E129+$F129*'25SolarCoords'!L$7)</f>
        <v>1.5605711774383424</v>
      </c>
      <c r="Q129" s="23">
        <f>$D129*COS($E129+$F129*'25SolarCoords'!M$7)</f>
        <v>-1.8566319755270531</v>
      </c>
      <c r="R129" s="23">
        <f>$D129*COS($E129+$F129*'25SolarCoords'!N$7)</f>
        <v>1.1514983509567089</v>
      </c>
      <c r="S129" s="23">
        <f>$D129*COS($E129+$F129*'25SolarCoords'!O$7)</f>
        <v>1.9888179517659166</v>
      </c>
      <c r="T129" s="23">
        <f>$D129*COS($E129+$F129*'25SolarCoords'!P$7)</f>
        <v>1.8458459098992661</v>
      </c>
      <c r="U129" s="23">
        <f>$D129*COS($E129+$F129*'25SolarCoords'!Q$7)</f>
        <v>-1.9228115907540499</v>
      </c>
      <c r="V129" s="23">
        <f>$D129*COS($E129+$F129*'25SolarCoords'!R$7)</f>
        <v>-1.9147454499940606</v>
      </c>
      <c r="W129" s="23">
        <f>$D129*COS($E129+$F129*'25SolarCoords'!S$7)</f>
        <v>1.9440381590227902</v>
      </c>
      <c r="X129" s="23">
        <f>$D129*COS($E129+$F129*'25SolarCoords'!T$7)</f>
        <v>-0.23080954332914433</v>
      </c>
      <c r="Y129" s="23">
        <f>$D129*COS($E129+$F129*'25SolarCoords'!U$7)</f>
        <v>-0.46699227182763792</v>
      </c>
      <c r="Z129" s="23">
        <f>$D129*COS($E129+$F129*'25SolarCoords'!V$7)</f>
        <v>-1.963605733627718</v>
      </c>
      <c r="AA129" s="23">
        <f>$D129*COS($E129+$F129*'25SolarCoords'!W$7)</f>
        <v>1.5086455995039987</v>
      </c>
      <c r="AB129" s="23">
        <f>$D129*COS($E129+$F129*'25SolarCoords'!X$7)</f>
        <v>-0.33918550274372222</v>
      </c>
      <c r="AC129" s="23">
        <f>$D129*COS($E129+$F129*'25SolarCoords'!Y$7)</f>
        <v>-0.86918714009992781</v>
      </c>
      <c r="AD129" s="23">
        <f>$D129*COS($E129+$F129*'25SolarCoords'!Z$7)</f>
        <v>-0.33157491544114071</v>
      </c>
      <c r="AE129" s="23">
        <f>$D129*COS($E129+$F129*'25SolarCoords'!AA$7)</f>
        <v>-0.66610644429516475</v>
      </c>
      <c r="AF129" s="23">
        <f>$D129*COS($E129+$F129*'25SolarCoords'!AB$7)</f>
        <v>1.3085382314684086</v>
      </c>
      <c r="AG129" s="23">
        <f>$D129*COS($E129+$F129*'25SolarCoords'!AC$7)</f>
        <v>1.383908292319274</v>
      </c>
      <c r="AH129" s="23">
        <f>$D129*COS($E129+$F129*'25SolarCoords'!AD$7)</f>
        <v>1.9741431199830495</v>
      </c>
      <c r="AI129" s="23">
        <f>$D129*COS($E129+$F129*'25SolarCoords'!AE$7)</f>
        <v>-0.78715526861750917</v>
      </c>
      <c r="AJ129" s="23">
        <f>$D129*COS($E129+$F129*'25SolarCoords'!AF$7)</f>
        <v>1.1828873820103429</v>
      </c>
      <c r="AK129" s="23">
        <f>$D129*COS($E129+$F129*'25SolarCoords'!AG$7)</f>
        <v>-0.66634517638186552</v>
      </c>
      <c r="AL129" s="23">
        <f>$D129*COS($E129+$F129*'25SolarCoords'!AH$7)</f>
        <v>-1.159651406822404</v>
      </c>
      <c r="AM129" s="23">
        <f>$D129*COS($E129+$F129*'25SolarCoords'!AI$7)</f>
        <v>-2.6195047429005476E-2</v>
      </c>
      <c r="AN129" s="23">
        <f>$D129*COS($E129+$F129*'25SolarCoords'!AJ$7)</f>
        <v>1.163571133757709</v>
      </c>
      <c r="AO129" s="23">
        <f>$D129*COS($E129+$F129*'25SolarCoords'!AK$7)</f>
        <v>-1.5324000985073662</v>
      </c>
      <c r="AP129" s="23">
        <f>$D129*COS($E129+$F129*'25SolarCoords'!AL$7)</f>
        <v>1.98375006556552</v>
      </c>
      <c r="AQ129" s="23">
        <f>$D129*COS($E129+$F129*'25SolarCoords'!AM$7)</f>
        <v>-1.9474166633951082</v>
      </c>
      <c r="AR129" s="23">
        <f>$D129*COS($E129+$F129*'25SolarCoords'!AN$7)</f>
        <v>1.7181111688116508</v>
      </c>
      <c r="AS129" s="23">
        <f>$D129*COS($E129+$F129*'25SolarCoords'!AO$7)</f>
        <v>0.74811859795131053</v>
      </c>
      <c r="AT129" s="23">
        <f>$D129*COS($E129+$F129*'25SolarCoords'!AP$7)</f>
        <v>-1.6439807400491275</v>
      </c>
      <c r="AU129" s="23">
        <f>$D129*COS($E129+$F129*'25SolarCoords'!AQ$7)</f>
        <v>-1.520880621603681</v>
      </c>
      <c r="AV129" s="23">
        <f>$D129*COS($E129+$F129*'25SolarCoords'!AR$7)</f>
        <v>-1.3854628008782059</v>
      </c>
      <c r="AW129" s="23">
        <f>$D129*COS($E129+$F129*'25SolarCoords'!AS$7)</f>
        <v>-1.2161396311170833</v>
      </c>
      <c r="AX129" s="23">
        <f>$D129*COS($E129+$F129*'25SolarCoords'!AT$7)</f>
        <v>-0.85914252490958742</v>
      </c>
      <c r="AY129" s="23">
        <f>$D129*COS($E129+$F129*'25SolarCoords'!AU$7)</f>
        <v>-1.6596706985052969</v>
      </c>
      <c r="AZ129" s="23">
        <f>$D129*COS($E129+$F129*'25SolarCoords'!AV$7)</f>
        <v>8.3568089924428893E-2</v>
      </c>
      <c r="BA129" s="23">
        <f>$D129*COS($E129+$F129*'25SolarCoords'!AW$7)</f>
        <v>-1.0051956264774065</v>
      </c>
      <c r="BB129" s="23">
        <f>$D129*COS($E129+$F129*'25SolarCoords'!AX$7)</f>
        <v>0.79176752665469685</v>
      </c>
      <c r="BC129" s="23">
        <f>$D129*COS($E129+$F129*'25SolarCoords'!AY$7)</f>
        <v>-2.9933752057101984E-2</v>
      </c>
      <c r="BD129" s="23">
        <f>$D129*COS($E129+$F129*'25SolarCoords'!AZ$7)</f>
        <v>-1.3315020785075718E-3</v>
      </c>
      <c r="BE129" s="23">
        <f>$D129*COS($E129+$F129*'25SolarCoords'!BA$7)</f>
        <v>2.7271020238456949E-2</v>
      </c>
      <c r="BF129" s="23">
        <f>$D129*COS($E129+$F129*'25SolarCoords'!BB$7)</f>
        <v>5.5867964686197251E-2</v>
      </c>
      <c r="BG129" s="23">
        <f>$D129*COS($E129+$F129*'25SolarCoords'!BC$7)</f>
        <v>8.445348219807193E-2</v>
      </c>
      <c r="BH129" s="23">
        <f>$D129*COS($E129+$F129*'25SolarCoords'!BD$7)</f>
        <v>0.1130217260446725</v>
      </c>
      <c r="BI129" s="23">
        <f>$D129*COS($E129+$F129*'25SolarCoords'!BE$7)</f>
        <v>0.14156685302948366</v>
      </c>
      <c r="BJ129" s="23">
        <f>$D129*COS($E129+$F129*'25SolarCoords'!BF$7)</f>
        <v>0.17008302468436015</v>
      </c>
      <c r="BK129" s="23">
        <f>$D129*COS($E129+$F129*'25SolarCoords'!BG$7)</f>
        <v>-0.79112808440503335</v>
      </c>
    </row>
    <row r="130" spans="2:63" x14ac:dyDescent="0.25">
      <c r="C130">
        <f t="shared" si="3"/>
        <v>20</v>
      </c>
      <c r="D130">
        <v>2</v>
      </c>
      <c r="E130">
        <v>3.75</v>
      </c>
      <c r="F130">
        <v>0.98</v>
      </c>
      <c r="H130" s="7"/>
      <c r="I130" s="23">
        <f>$D130*COS($E130+$F130*'25SolarCoords'!E$7)</f>
        <v>-1.6870206403572412</v>
      </c>
      <c r="J130" s="23">
        <f>$D130*COS($E130+$F130*'25SolarCoords'!F$7)</f>
        <v>-1.0379481850122745</v>
      </c>
      <c r="K130" s="23">
        <f>$D130*COS($E130+$F130*'25SolarCoords'!G$7)</f>
        <v>-1.6411187146791215</v>
      </c>
      <c r="L130" s="23">
        <f>$D130*COS($E130+$F130*'25SolarCoords'!H$7)</f>
        <v>-1.6422389523161636</v>
      </c>
      <c r="M130" s="23">
        <f>$D130*COS($E130+$F130*'25SolarCoords'!I$7)</f>
        <v>-1.6554709908832146</v>
      </c>
      <c r="N130" s="23">
        <f>$D130*COS($E130+$F130*'25SolarCoords'!J$7)</f>
        <v>-1.6550387800727238</v>
      </c>
      <c r="O130" s="23">
        <f>$D130*COS($E130+$F130*'25SolarCoords'!K$7)</f>
        <v>-1.6543711577338756</v>
      </c>
      <c r="P130" s="23">
        <f>$D130*COS($E130+$F130*'25SolarCoords'!L$7)</f>
        <v>-1.6539353058613913</v>
      </c>
      <c r="Q130" s="23">
        <f>$D130*COS($E130+$F130*'25SolarCoords'!M$7)</f>
        <v>-1.7450898451779251</v>
      </c>
      <c r="R130" s="23">
        <f>$D130*COS($E130+$F130*'25SolarCoords'!N$7)</f>
        <v>-1.953347465472363</v>
      </c>
      <c r="S130" s="23">
        <f>$D130*COS($E130+$F130*'25SolarCoords'!O$7)</f>
        <v>-1.9529259486188191</v>
      </c>
      <c r="T130" s="23">
        <f>$D130*COS($E130+$F130*'25SolarCoords'!P$7)</f>
        <v>-1.7245711471696616</v>
      </c>
      <c r="U130" s="23">
        <f>$D130*COS($E130+$F130*'25SolarCoords'!Q$7)</f>
        <v>-0.19902180207368395</v>
      </c>
      <c r="V130" s="23">
        <f>$D130*COS($E130+$F130*'25SolarCoords'!R$7)</f>
        <v>-0.19902714162528767</v>
      </c>
      <c r="W130" s="23">
        <f>$D130*COS($E130+$F130*'25SolarCoords'!S$7)</f>
        <v>1.3781960031775791</v>
      </c>
      <c r="X130" s="23">
        <f>$D130*COS($E130+$F130*'25SolarCoords'!T$7)</f>
        <v>1.3787189442814609</v>
      </c>
      <c r="Y130" s="23">
        <f>$D130*COS($E130+$F130*'25SolarCoords'!U$7)</f>
        <v>1.3794771813409628</v>
      </c>
      <c r="Z130" s="23">
        <f>$D130*COS($E130+$F130*'25SolarCoords'!V$7)</f>
        <v>-1.9022932516594888</v>
      </c>
      <c r="AA130" s="23">
        <f>$D130*COS($E130+$F130*'25SolarCoords'!W$7)</f>
        <v>-1.6552511512386929</v>
      </c>
      <c r="AB130" s="23">
        <f>$D130*COS($E130+$F130*'25SolarCoords'!X$7)</f>
        <v>-1.6497224095495737</v>
      </c>
      <c r="AC130" s="23">
        <f>$D130*COS($E130+$F130*'25SolarCoords'!Y$7)</f>
        <v>-1.6663313755320079</v>
      </c>
      <c r="AD130" s="23">
        <f>$D130*COS($E130+$F130*'25SolarCoords'!Z$7)</f>
        <v>-1.5903187091855435</v>
      </c>
      <c r="AE130" s="23">
        <f>$D130*COS($E130+$F130*'25SolarCoords'!AA$7)</f>
        <v>-1.6411202482302587</v>
      </c>
      <c r="AF130" s="23">
        <f>$D130*COS($E130+$F130*'25SolarCoords'!AB$7)</f>
        <v>-1.6904499700045674</v>
      </c>
      <c r="AG130" s="23">
        <f>$D130*COS($E130+$F130*'25SolarCoords'!AC$7)</f>
        <v>-1.664438563919717</v>
      </c>
      <c r="AH130" s="23">
        <f>$D130*COS($E130+$F130*'25SolarCoords'!AD$7)</f>
        <v>-1.6541117879584573</v>
      </c>
      <c r="AI130" s="23">
        <f>$D130*COS($E130+$F130*'25SolarCoords'!AE$7)</f>
        <v>-1.6663220240109109</v>
      </c>
      <c r="AJ130" s="23">
        <f>$D130*COS($E130+$F130*'25SolarCoords'!AF$7)</f>
        <v>-1.6489575413190012</v>
      </c>
      <c r="AK130" s="23">
        <f>$D130*COS($E130+$F130*'25SolarCoords'!AG$7)</f>
        <v>-1.6491640086121122</v>
      </c>
      <c r="AL130" s="23">
        <f>$D130*COS($E130+$F130*'25SolarCoords'!AH$7)</f>
        <v>-1.6509591684541369</v>
      </c>
      <c r="AM130" s="23">
        <f>$D130*COS($E130+$F130*'25SolarCoords'!AI$7)</f>
        <v>-1.6497557794782911</v>
      </c>
      <c r="AN130" s="23">
        <f>$D130*COS($E130+$F130*'25SolarCoords'!AJ$7)</f>
        <v>-1.648556595178837</v>
      </c>
      <c r="AO130" s="23">
        <f>$D130*COS($E130+$F130*'25SolarCoords'!AK$7)</f>
        <v>-1.8178897853957536</v>
      </c>
      <c r="AP130" s="23">
        <f>$D130*COS($E130+$F130*'25SolarCoords'!AL$7)</f>
        <v>-1.6514496858307353</v>
      </c>
      <c r="AQ130" s="23">
        <f>$D130*COS($E130+$F130*'25SolarCoords'!AM$7)</f>
        <v>-1.4749505671086003</v>
      </c>
      <c r="AR130" s="23">
        <f>$D130*COS($E130+$F130*'25SolarCoords'!AN$7)</f>
        <v>-1.6408257522578542</v>
      </c>
      <c r="AS130" s="23">
        <f>$D130*COS($E130+$F130*'25SolarCoords'!AO$7)</f>
        <v>-0.4368975895183278</v>
      </c>
      <c r="AT130" s="23">
        <f>$D130*COS($E130+$F130*'25SolarCoords'!AP$7)</f>
        <v>-1.6152471714365462</v>
      </c>
      <c r="AU130" s="23">
        <f>$D130*COS($E130+$F130*'25SolarCoords'!AQ$7)</f>
        <v>-1.6152248443217718</v>
      </c>
      <c r="AV130" s="23">
        <f>$D130*COS($E130+$F130*'25SolarCoords'!AR$7)</f>
        <v>-1.6152030001079574</v>
      </c>
      <c r="AW130" s="23">
        <f>$D130*COS($E130+$F130*'25SolarCoords'!AS$7)</f>
        <v>-1.6151782961398387</v>
      </c>
      <c r="AX130" s="23">
        <f>$D130*COS($E130+$F130*'25SolarCoords'!AT$7)</f>
        <v>-1.6151319124762518</v>
      </c>
      <c r="AY130" s="23">
        <f>$D130*COS($E130+$F130*'25SolarCoords'!AU$7)</f>
        <v>-1.6703414896247712</v>
      </c>
      <c r="AZ130" s="23">
        <f>$D130*COS($E130+$F130*'25SolarCoords'!AV$7)</f>
        <v>-1.6437291265135507</v>
      </c>
      <c r="BA130" s="23">
        <f>$D130*COS($E130+$F130*'25SolarCoords'!AW$7)</f>
        <v>-1.7105475148659868</v>
      </c>
      <c r="BB130" s="23">
        <f>$D130*COS($E130+$F130*'25SolarCoords'!AX$7)</f>
        <v>-1.6875185404317523</v>
      </c>
      <c r="BC130" s="23">
        <f>$D130*COS($E130+$F130*'25SolarCoords'!AY$7)</f>
        <v>-1.6150369615811375</v>
      </c>
      <c r="BD130" s="23">
        <f>$D130*COS($E130+$F130*'25SolarCoords'!AZ$7)</f>
        <v>-1.6150337963710844</v>
      </c>
      <c r="BE130" s="23">
        <f>$D130*COS($E130+$F130*'25SolarCoords'!BA$7)</f>
        <v>-1.615030631149404</v>
      </c>
      <c r="BF130" s="23">
        <f>$D130*COS($E130+$F130*'25SolarCoords'!BB$7)</f>
        <v>-1.6150274659160977</v>
      </c>
      <c r="BG130" s="23">
        <f>$D130*COS($E130+$F130*'25SolarCoords'!BC$7)</f>
        <v>-1.6150243006711642</v>
      </c>
      <c r="BH130" s="23">
        <f>$D130*COS($E130+$F130*'25SolarCoords'!BD$7)</f>
        <v>-1.6150211354146047</v>
      </c>
      <c r="BI130" s="23">
        <f>$D130*COS($E130+$F130*'25SolarCoords'!BE$7)</f>
        <v>-1.615017970146418</v>
      </c>
      <c r="BJ130" s="23">
        <f>$D130*COS($E130+$F130*'25SolarCoords'!BF$7)</f>
        <v>-1.6150148048666051</v>
      </c>
      <c r="BK130" s="23">
        <f>$D130*COS($E130+$F130*'25SolarCoords'!BG$7)</f>
        <v>-1.6663224725953747</v>
      </c>
    </row>
    <row r="131" spans="2:63" x14ac:dyDescent="0.25">
      <c r="C131" s="342" t="s">
        <v>803</v>
      </c>
      <c r="D131" s="342"/>
      <c r="E131" s="342"/>
      <c r="F131" s="342"/>
      <c r="H131" s="7"/>
    </row>
    <row r="132" spans="2:63" x14ac:dyDescent="0.25">
      <c r="B132">
        <v>420</v>
      </c>
      <c r="C132" s="19"/>
      <c r="D132" s="19" t="s">
        <v>783</v>
      </c>
      <c r="E132" s="19" t="s">
        <v>781</v>
      </c>
      <c r="F132" s="19" t="s">
        <v>782</v>
      </c>
      <c r="H132" s="7"/>
    </row>
    <row r="133" spans="2:63" x14ac:dyDescent="0.25">
      <c r="C133">
        <f t="shared" ref="C133:C139" si="4">C132+1</f>
        <v>1</v>
      </c>
      <c r="D133">
        <v>289</v>
      </c>
      <c r="E133">
        <v>5.8440000000000003</v>
      </c>
      <c r="F133">
        <v>6283.076</v>
      </c>
      <c r="H133" s="7"/>
      <c r="I133" s="23">
        <f>$D133*COS($E133+$F133*'25SolarCoords'!E$7)</f>
        <v>-107.42502760796017</v>
      </c>
      <c r="J133" s="23">
        <f>$D133*COS($E133+$F133*'25SolarCoords'!F$7)</f>
        <v>263.07357775586922</v>
      </c>
      <c r="K133" s="23">
        <f>$D133*COS($E133+$F133*'25SolarCoords'!G$7)</f>
        <v>261.5734297255708</v>
      </c>
      <c r="L133" s="23">
        <f>$D133*COS($E133+$F133*'25SolarCoords'!H$7)</f>
        <v>261.05610175441183</v>
      </c>
      <c r="M133" s="23">
        <f>$D133*COS($E133+$F133*'25SolarCoords'!I$7)</f>
        <v>288.99610715146838</v>
      </c>
      <c r="N133" s="23">
        <f>$D133*COS($E133+$F133*'25SolarCoords'!J$7)</f>
        <v>-226.90130637963361</v>
      </c>
      <c r="O133" s="23">
        <f>$D133*COS($E133+$F133*'25SolarCoords'!K$7)</f>
        <v>288.99991196092401</v>
      </c>
      <c r="P133" s="23">
        <f>$D133*COS($E133+$F133*'25SolarCoords'!L$7)</f>
        <v>-229.1723478822625</v>
      </c>
      <c r="Q133" s="23">
        <f>$D133*COS($E133+$F133*'25SolarCoords'!M$7)</f>
        <v>263.92354070078699</v>
      </c>
      <c r="R133" s="23">
        <f>$D133*COS($E133+$F133*'25SolarCoords'!N$7)</f>
        <v>271.23439998323289</v>
      </c>
      <c r="S133" s="23">
        <f>$D133*COS($E133+$F133*'25SolarCoords'!O$7)</f>
        <v>270.79182001446964</v>
      </c>
      <c r="T133" s="23">
        <f>$D133*COS($E133+$F133*'25SolarCoords'!P$7)</f>
        <v>-15.379593396939759</v>
      </c>
      <c r="U133" s="23">
        <f>$D133*COS($E133+$F133*'25SolarCoords'!Q$7)</f>
        <v>288.9999051988849</v>
      </c>
      <c r="V133" s="23">
        <f>$D133*COS($E133+$F133*'25SolarCoords'!R$7)</f>
        <v>288.96117335897418</v>
      </c>
      <c r="W133" s="23">
        <f>$D133*COS($E133+$F133*'25SolarCoords'!S$7)</f>
        <v>-276.86783370546726</v>
      </c>
      <c r="X133" s="23">
        <f>$D133*COS($E133+$F133*'25SolarCoords'!T$7)</f>
        <v>126.25337178785939</v>
      </c>
      <c r="Y133" s="23">
        <f>$D133*COS($E133+$F133*'25SolarCoords'!U$7)</f>
        <v>-178.70509650733754</v>
      </c>
      <c r="Z133" s="23">
        <f>$D133*COS($E133+$F133*'25SolarCoords'!V$7)</f>
        <v>251.07039492909863</v>
      </c>
      <c r="AA133" s="23">
        <f>$D133*COS($E133+$F133*'25SolarCoords'!W$7)</f>
        <v>88.120892241462514</v>
      </c>
      <c r="AB133" s="23">
        <f>$D133*COS($E133+$F133*'25SolarCoords'!X$7)</f>
        <v>75.159346985315224</v>
      </c>
      <c r="AC133" s="23">
        <f>$D133*COS($E133+$F133*'25SolarCoords'!Y$7)</f>
        <v>272.28945158820471</v>
      </c>
      <c r="AD133" s="23">
        <f>$D133*COS($E133+$F133*'25SolarCoords'!Z$7)</f>
        <v>259.90202028161508</v>
      </c>
      <c r="AE133" s="23">
        <f>$D133*COS($E133+$F133*'25SolarCoords'!AA$7)</f>
        <v>260.50683928395915</v>
      </c>
      <c r="AF133" s="23">
        <f>$D133*COS($E133+$F133*'25SolarCoords'!AB$7)</f>
        <v>-256.42590350013427</v>
      </c>
      <c r="AG133" s="23">
        <f>$D133*COS($E133+$F133*'25SolarCoords'!AC$7)</f>
        <v>86.482539181584755</v>
      </c>
      <c r="AH133" s="23">
        <f>$D133*COS($E133+$F133*'25SolarCoords'!AD$7)</f>
        <v>26.157108805618225</v>
      </c>
      <c r="AI133" s="23">
        <f>$D133*COS($E133+$F133*'25SolarCoords'!AE$7)</f>
        <v>266.64229999952749</v>
      </c>
      <c r="AJ133" s="23">
        <f>$D133*COS($E133+$F133*'25SolarCoords'!AF$7)</f>
        <v>231.71155750172201</v>
      </c>
      <c r="AK133" s="23">
        <f>$D133*COS($E133+$F133*'25SolarCoords'!AG$7)</f>
        <v>-68.553801192470786</v>
      </c>
      <c r="AL133" s="23">
        <f>$D133*COS($E133+$F133*'25SolarCoords'!AH$7)</f>
        <v>242.93074902843784</v>
      </c>
      <c r="AM133" s="23">
        <f>$D133*COS($E133+$F133*'25SolarCoords'!AI$7)</f>
        <v>126.30710732831271</v>
      </c>
      <c r="AN133" s="23">
        <f>$D133*COS($E133+$F133*'25SolarCoords'!AJ$7)</f>
        <v>-17.138907721949568</v>
      </c>
      <c r="AO133" s="23">
        <f>$D133*COS($E133+$F133*'25SolarCoords'!AK$7)</f>
        <v>265.9509153920651</v>
      </c>
      <c r="AP133" s="23">
        <f>$D133*COS($E133+$F133*'25SolarCoords'!AL$7)</f>
        <v>-173.40542599796788</v>
      </c>
      <c r="AQ133" s="23">
        <f>$D133*COS($E133+$F133*'25SolarCoords'!AM$7)</f>
        <v>-285.07056635070751</v>
      </c>
      <c r="AR133" s="23">
        <f>$D133*COS($E133+$F133*'25SolarCoords'!AN$7)</f>
        <v>103.74627657654052</v>
      </c>
      <c r="AS133" s="23">
        <f>$D133*COS($E133+$F133*'25SolarCoords'!AO$7)</f>
        <v>288.74934302648609</v>
      </c>
      <c r="AT133" s="23">
        <f>$D133*COS($E133+$F133*'25SolarCoords'!AP$7)</f>
        <v>-151.31495051055401</v>
      </c>
      <c r="AU133" s="23">
        <f>$D133*COS($E133+$F133*'25SolarCoords'!AQ$7)</f>
        <v>-120.39115897562021</v>
      </c>
      <c r="AV133" s="23">
        <f>$D133*COS($E133+$F133*'25SolarCoords'!AR$7)</f>
        <v>-88.41948946133455</v>
      </c>
      <c r="AW133" s="23">
        <f>$D133*COS($E133+$F133*'25SolarCoords'!AS$7)</f>
        <v>-50.787265944866931</v>
      </c>
      <c r="AX133" s="23">
        <f>$D133*COS($E133+$F133*'25SolarCoords'!AT$7)</f>
        <v>21.789216036739141</v>
      </c>
      <c r="AY133" s="23">
        <f>$D133*COS($E133+$F133*'25SolarCoords'!AU$7)</f>
        <v>-161.93700585534302</v>
      </c>
      <c r="AZ133" s="23">
        <f>$D133*COS($E133+$F133*'25SolarCoords'!AV$7)</f>
        <v>-237.87281478896554</v>
      </c>
      <c r="BA133" s="23">
        <f>$D133*COS($E133+$F133*'25SolarCoords'!AW$7)</f>
        <v>269.69551230565395</v>
      </c>
      <c r="BB133" s="23">
        <f>$D133*COS($E133+$F133*'25SolarCoords'!AX$7)</f>
        <v>60.798773466088797</v>
      </c>
      <c r="BC133" s="23">
        <f>$D133*COS($E133+$F133*'25SolarCoords'!AY$7)</f>
        <v>161.15569904995604</v>
      </c>
      <c r="BD133" s="23">
        <f>$D133*COS($E133+$F133*'25SolarCoords'!AZ$7)</f>
        <v>165.25836398342196</v>
      </c>
      <c r="BE133" s="23">
        <f>$D133*COS($E133+$F133*'25SolarCoords'!BA$7)</f>
        <v>169.3121280096727</v>
      </c>
      <c r="BF133" s="23">
        <f>$D133*COS($E133+$F133*'25SolarCoords'!BB$7)</f>
        <v>173.31579159645008</v>
      </c>
      <c r="BG133" s="23">
        <f>$D133*COS($E133+$F133*'25SolarCoords'!BC$7)</f>
        <v>177.26817003650635</v>
      </c>
      <c r="BH133" s="23">
        <f>$D133*COS($E133+$F133*'25SolarCoords'!BD$7)</f>
        <v>181.16809379817201</v>
      </c>
      <c r="BI133" s="23">
        <f>$D133*COS($E133+$F133*'25SolarCoords'!BE$7)</f>
        <v>185.01440887139523</v>
      </c>
      <c r="BJ133" s="23">
        <f>$D133*COS($E133+$F133*'25SolarCoords'!BF$7)</f>
        <v>188.80597710928402</v>
      </c>
      <c r="BK133" s="23">
        <f>$D133*COS($E133+$F133*'25SolarCoords'!BG$7)</f>
        <v>266.93121451596323</v>
      </c>
    </row>
    <row r="134" spans="2:63" x14ac:dyDescent="0.25">
      <c r="C134">
        <f t="shared" si="4"/>
        <v>2</v>
      </c>
      <c r="D134">
        <v>35</v>
      </c>
      <c r="E134">
        <v>0</v>
      </c>
      <c r="F134">
        <v>0</v>
      </c>
      <c r="H134" s="7"/>
      <c r="I134" s="23">
        <f>$D134*COS($E134+$F134*'25SolarCoords'!E$7)</f>
        <v>35</v>
      </c>
      <c r="J134" s="23">
        <f>$D134*COS($E134+$F134*'25SolarCoords'!F$7)</f>
        <v>35</v>
      </c>
      <c r="K134" s="23">
        <f>$D134*COS($E134+$F134*'25SolarCoords'!G$7)</f>
        <v>35</v>
      </c>
      <c r="L134" s="23">
        <f>$D134*COS($E134+$F134*'25SolarCoords'!H$7)</f>
        <v>35</v>
      </c>
      <c r="M134" s="23">
        <f>$D134*COS($E134+$F134*'25SolarCoords'!I$7)</f>
        <v>35</v>
      </c>
      <c r="N134" s="23">
        <f>$D134*COS($E134+$F134*'25SolarCoords'!J$7)</f>
        <v>35</v>
      </c>
      <c r="O134" s="23">
        <f>$D134*COS($E134+$F134*'25SolarCoords'!K$7)</f>
        <v>35</v>
      </c>
      <c r="P134" s="23">
        <f>$D134*COS($E134+$F134*'25SolarCoords'!L$7)</f>
        <v>35</v>
      </c>
      <c r="Q134" s="23">
        <f>$D134*COS($E134+$F134*'25SolarCoords'!M$7)</f>
        <v>35</v>
      </c>
      <c r="R134" s="23">
        <f>$D134*COS($E134+$F134*'25SolarCoords'!N$7)</f>
        <v>35</v>
      </c>
      <c r="S134" s="23">
        <f>$D134*COS($E134+$F134*'25SolarCoords'!O$7)</f>
        <v>35</v>
      </c>
      <c r="T134" s="23">
        <f>$D134*COS($E134+$F134*'25SolarCoords'!P$7)</f>
        <v>35</v>
      </c>
      <c r="U134" s="23">
        <f>$D134*COS($E134+$F134*'25SolarCoords'!Q$7)</f>
        <v>35</v>
      </c>
      <c r="V134" s="23">
        <f>$D134*COS($E134+$F134*'25SolarCoords'!R$7)</f>
        <v>35</v>
      </c>
      <c r="W134" s="23">
        <f>$D134*COS($E134+$F134*'25SolarCoords'!S$7)</f>
        <v>35</v>
      </c>
      <c r="X134" s="23">
        <f>$D134*COS($E134+$F134*'25SolarCoords'!T$7)</f>
        <v>35</v>
      </c>
      <c r="Y134" s="23">
        <f>$D134*COS($E134+$F134*'25SolarCoords'!U$7)</f>
        <v>35</v>
      </c>
      <c r="Z134" s="23">
        <f>$D134*COS($E134+$F134*'25SolarCoords'!V$7)</f>
        <v>35</v>
      </c>
      <c r="AA134" s="23">
        <f>$D134*COS($E134+$F134*'25SolarCoords'!W$7)</f>
        <v>35</v>
      </c>
      <c r="AB134" s="23">
        <f>$D134*COS($E134+$F134*'25SolarCoords'!X$7)</f>
        <v>35</v>
      </c>
      <c r="AC134" s="23">
        <f>$D134*COS($E134+$F134*'25SolarCoords'!Y$7)</f>
        <v>35</v>
      </c>
      <c r="AD134" s="23">
        <f>$D134*COS($E134+$F134*'25SolarCoords'!Z$7)</f>
        <v>35</v>
      </c>
      <c r="AE134" s="23">
        <f>$D134*COS($E134+$F134*'25SolarCoords'!AA$7)</f>
        <v>35</v>
      </c>
      <c r="AF134" s="23">
        <f>$D134*COS($E134+$F134*'25SolarCoords'!AB$7)</f>
        <v>35</v>
      </c>
      <c r="AG134" s="23">
        <f>$D134*COS($E134+$F134*'25SolarCoords'!AC$7)</f>
        <v>35</v>
      </c>
      <c r="AH134" s="23">
        <f>$D134*COS($E134+$F134*'25SolarCoords'!AD$7)</f>
        <v>35</v>
      </c>
      <c r="AI134" s="23">
        <f>$D134*COS($E134+$F134*'25SolarCoords'!AE$7)</f>
        <v>35</v>
      </c>
      <c r="AJ134" s="23">
        <f>$D134*COS($E134+$F134*'25SolarCoords'!AF$7)</f>
        <v>35</v>
      </c>
      <c r="AK134" s="23">
        <f>$D134*COS($E134+$F134*'25SolarCoords'!AG$7)</f>
        <v>35</v>
      </c>
      <c r="AL134" s="23">
        <f>$D134*COS($E134+$F134*'25SolarCoords'!AH$7)</f>
        <v>35</v>
      </c>
      <c r="AM134" s="23">
        <f>$D134*COS($E134+$F134*'25SolarCoords'!AI$7)</f>
        <v>35</v>
      </c>
      <c r="AN134" s="23">
        <f>$D134*COS($E134+$F134*'25SolarCoords'!AJ$7)</f>
        <v>35</v>
      </c>
      <c r="AO134" s="23">
        <f>$D134*COS($E134+$F134*'25SolarCoords'!AK$7)</f>
        <v>35</v>
      </c>
      <c r="AP134" s="23">
        <f>$D134*COS($E134+$F134*'25SolarCoords'!AL$7)</f>
        <v>35</v>
      </c>
      <c r="AQ134" s="23">
        <f>$D134*COS($E134+$F134*'25SolarCoords'!AM$7)</f>
        <v>35</v>
      </c>
      <c r="AR134" s="23">
        <f>$D134*COS($E134+$F134*'25SolarCoords'!AN$7)</f>
        <v>35</v>
      </c>
      <c r="AS134" s="23">
        <f>$D134*COS($E134+$F134*'25SolarCoords'!AO$7)</f>
        <v>35</v>
      </c>
      <c r="AT134" s="23">
        <f>$D134*COS($E134+$F134*'25SolarCoords'!AP$7)</f>
        <v>35</v>
      </c>
      <c r="AU134" s="23">
        <f>$D134*COS($E134+$F134*'25SolarCoords'!AQ$7)</f>
        <v>35</v>
      </c>
      <c r="AV134" s="23">
        <f>$D134*COS($E134+$F134*'25SolarCoords'!AR$7)</f>
        <v>35</v>
      </c>
      <c r="AW134" s="23">
        <f>$D134*COS($E134+$F134*'25SolarCoords'!AS$7)</f>
        <v>35</v>
      </c>
      <c r="AX134" s="23">
        <f>$D134*COS($E134+$F134*'25SolarCoords'!AT$7)</f>
        <v>35</v>
      </c>
      <c r="AY134" s="23">
        <f>$D134*COS($E134+$F134*'25SolarCoords'!AU$7)</f>
        <v>35</v>
      </c>
      <c r="AZ134" s="23">
        <f>$D134*COS($E134+$F134*'25SolarCoords'!AV$7)</f>
        <v>35</v>
      </c>
      <c r="BA134" s="23">
        <f>$D134*COS($E134+$F134*'25SolarCoords'!AW$7)</f>
        <v>35</v>
      </c>
      <c r="BB134" s="23">
        <f>$D134*COS($E134+$F134*'25SolarCoords'!AX$7)</f>
        <v>35</v>
      </c>
      <c r="BC134" s="23">
        <f>$D134*COS($E134+$F134*'25SolarCoords'!AY$7)</f>
        <v>35</v>
      </c>
      <c r="BD134" s="23">
        <f>$D134*COS($E134+$F134*'25SolarCoords'!AZ$7)</f>
        <v>35</v>
      </c>
      <c r="BE134" s="23">
        <f>$D134*COS($E134+$F134*'25SolarCoords'!BA$7)</f>
        <v>35</v>
      </c>
      <c r="BF134" s="23">
        <f>$D134*COS($E134+$F134*'25SolarCoords'!BB$7)</f>
        <v>35</v>
      </c>
      <c r="BG134" s="23">
        <f>$D134*COS($E134+$F134*'25SolarCoords'!BC$7)</f>
        <v>35</v>
      </c>
      <c r="BH134" s="23">
        <f>$D134*COS($E134+$F134*'25SolarCoords'!BD$7)</f>
        <v>35</v>
      </c>
      <c r="BI134" s="23">
        <f>$D134*COS($E134+$F134*'25SolarCoords'!BE$7)</f>
        <v>35</v>
      </c>
      <c r="BJ134" s="23">
        <f>$D134*COS($E134+$F134*'25SolarCoords'!BF$7)</f>
        <v>35</v>
      </c>
      <c r="BK134" s="23">
        <f>$D134*COS($E134+$F134*'25SolarCoords'!BG$7)</f>
        <v>35</v>
      </c>
    </row>
    <row r="135" spans="2:63" x14ac:dyDescent="0.25">
      <c r="C135">
        <f t="shared" si="4"/>
        <v>3</v>
      </c>
      <c r="D135">
        <v>17</v>
      </c>
      <c r="E135">
        <v>5.49</v>
      </c>
      <c r="F135">
        <v>12566.15</v>
      </c>
      <c r="H135" s="7"/>
      <c r="I135" s="23">
        <f>$D135*COS($E135+$F135*'25SolarCoords'!E$7)</f>
        <v>-13.25673779432886</v>
      </c>
      <c r="J135" s="23">
        <f>$D135*COS($E135+$F135*'25SolarCoords'!F$7)</f>
        <v>9.9968911894908903</v>
      </c>
      <c r="K135" s="23">
        <f>$D135*COS($E135+$F135*'25SolarCoords'!G$7)</f>
        <v>11.926843942336962</v>
      </c>
      <c r="L135" s="23">
        <f>$D135*COS($E135+$F135*'25SolarCoords'!H$7)</f>
        <v>11.824905097735812</v>
      </c>
      <c r="M135" s="23">
        <f>$D135*COS($E135+$F135*'25SolarCoords'!I$7)</f>
        <v>16.92238764354359</v>
      </c>
      <c r="N135" s="23">
        <f>$D135*COS($E135+$F135*'25SolarCoords'!J$7)</f>
        <v>5.3510514871496815</v>
      </c>
      <c r="O135" s="23">
        <f>$D135*COS($E135+$F135*'25SolarCoords'!K$7)</f>
        <v>16.936042952528602</v>
      </c>
      <c r="P135" s="23">
        <f>$D135*COS($E135+$F135*'25SolarCoords'!L$7)</f>
        <v>5.7620524676949749</v>
      </c>
      <c r="Q135" s="23">
        <f>$D135*COS($E135+$F135*'25SolarCoords'!M$7)</f>
        <v>12.393175187570229</v>
      </c>
      <c r="R135" s="23">
        <f>$D135*COS($E135+$F135*'25SolarCoords'!N$7)</f>
        <v>13.84650518356773</v>
      </c>
      <c r="S135" s="23">
        <f>$D135*COS($E135+$F135*'25SolarCoords'!O$7)</f>
        <v>13.758961352458382</v>
      </c>
      <c r="T135" s="23">
        <f>$D135*COS($E135+$F135*'25SolarCoords'!P$7)</f>
        <v>-16.681115200767746</v>
      </c>
      <c r="U135" s="23">
        <f>$D135*COS($E135+$F135*'25SolarCoords'!Q$7)</f>
        <v>16.934503098029275</v>
      </c>
      <c r="V135" s="23">
        <f>$D135*COS($E135+$F135*'25SolarCoords'!R$7)</f>
        <v>16.87320069216927</v>
      </c>
      <c r="W135" s="23">
        <f>$D135*COS($E135+$F135*'25SolarCoords'!S$7)</f>
        <v>13.295922269896522</v>
      </c>
      <c r="X135" s="23">
        <f>$D135*COS($E135+$F135*'25SolarCoords'!T$7)</f>
        <v>-11.684093537971423</v>
      </c>
      <c r="Y135" s="23">
        <f>$D135*COS($E135+$F135*'25SolarCoords'!U$7)</f>
        <v>-5.4875334326695082</v>
      </c>
      <c r="Z135" s="23">
        <f>$D135*COS($E135+$F135*'25SolarCoords'!V$7)</f>
        <v>7.1788181349471847</v>
      </c>
      <c r="AA135" s="23">
        <f>$D135*COS($E135+$F135*'25SolarCoords'!W$7)</f>
        <v>-14.628977221198459</v>
      </c>
      <c r="AB135" s="23">
        <f>$D135*COS($E135+$F135*'25SolarCoords'!X$7)</f>
        <v>-15.373657951495364</v>
      </c>
      <c r="AC135" s="23">
        <f>$D135*COS($E135+$F135*'25SolarCoords'!Y$7)</f>
        <v>12.220081986348399</v>
      </c>
      <c r="AD135" s="23">
        <f>$D135*COS($E135+$F135*'25SolarCoords'!Z$7)</f>
        <v>11.596586373390371</v>
      </c>
      <c r="AE135" s="23">
        <f>$D135*COS($E135+$F135*'25SolarCoords'!AA$7)</f>
        <v>11.716702112876945</v>
      </c>
      <c r="AF135" s="23">
        <f>$D135*COS($E135+$F135*'25SolarCoords'!AB$7)</f>
        <v>10.917047580403734</v>
      </c>
      <c r="AG135" s="23">
        <f>$D135*COS($E135+$F135*'25SolarCoords'!AC$7)</f>
        <v>-13.078274452466964</v>
      </c>
      <c r="AH135" s="23">
        <f>$D135*COS($E135+$F135*'25SolarCoords'!AD$7)</f>
        <v>-16.921630551087937</v>
      </c>
      <c r="AI135" s="23">
        <f>$D135*COS($E135+$F135*'25SolarCoords'!AE$7)</f>
        <v>10.86959922898771</v>
      </c>
      <c r="AJ135" s="23">
        <f>$D135*COS($E135+$F135*'25SolarCoords'!AF$7)</f>
        <v>6.2251374262902326</v>
      </c>
      <c r="AK135" s="23">
        <f>$D135*COS($E135+$F135*'25SolarCoords'!AG$7)</f>
        <v>-15.698866576408832</v>
      </c>
      <c r="AL135" s="23">
        <f>$D135*COS($E135+$F135*'25SolarCoords'!AH$7)</f>
        <v>5.6812476475352689</v>
      </c>
      <c r="AM135" s="23">
        <f>$D135*COS($E135+$F135*'25SolarCoords'!AI$7)</f>
        <v>-11.604855941467374</v>
      </c>
      <c r="AN135" s="23">
        <f>$D135*COS($E135+$F135*'25SolarCoords'!AJ$7)</f>
        <v>-16.647913777500502</v>
      </c>
      <c r="AO135" s="23">
        <f>$D135*COS($E135+$F135*'25SolarCoords'!AK$7)</f>
        <v>12.796050857983939</v>
      </c>
      <c r="AP135" s="23">
        <f>$D135*COS($E135+$F135*'25SolarCoords'!AL$7)</f>
        <v>-6.1308334625555521</v>
      </c>
      <c r="AQ135" s="23">
        <f>$D135*COS($E135+$F135*'25SolarCoords'!AM$7)</f>
        <v>15.535496556851069</v>
      </c>
      <c r="AR135" s="23">
        <f>$D135*COS($E135+$F135*'25SolarCoords'!AN$7)</f>
        <v>-13.541931443774132</v>
      </c>
      <c r="AS135" s="23">
        <f>$D135*COS($E135+$F135*'25SolarCoords'!AO$7)</f>
        <v>16.747734872144655</v>
      </c>
      <c r="AT135" s="23">
        <f>$D135*COS($E135+$F135*'25SolarCoords'!AP$7)</f>
        <v>-8.9412468173346262</v>
      </c>
      <c r="AU135" s="23">
        <f>$D135*COS($E135+$F135*'25SolarCoords'!AQ$7)</f>
        <v>-12.15446919443661</v>
      </c>
      <c r="AV135" s="23">
        <f>$D135*COS($E135+$F135*'25SolarCoords'!AR$7)</f>
        <v>-14.609532732191392</v>
      </c>
      <c r="AW135" s="23">
        <f>$D135*COS($E135+$F135*'25SolarCoords'!AS$7)</f>
        <v>-16.392403269275668</v>
      </c>
      <c r="AX135" s="23">
        <f>$D135*COS($E135+$F135*'25SolarCoords'!AT$7)</f>
        <v>-16.528485838471923</v>
      </c>
      <c r="AY135" s="23">
        <f>$D135*COS($E135+$F135*'25SolarCoords'!AU$7)</f>
        <v>-4.9584478357673394</v>
      </c>
      <c r="AZ135" s="23">
        <f>$D135*COS($E135+$F135*'25SolarCoords'!AV$7)</f>
        <v>4.6600120977810819</v>
      </c>
      <c r="BA135" s="23">
        <f>$D135*COS($E135+$F135*'25SolarCoords'!AW$7)</f>
        <v>13.535178922070042</v>
      </c>
      <c r="BB135" s="23">
        <f>$D135*COS($E135+$F135*'25SolarCoords'!AX$7)</f>
        <v>-16.0344730880777</v>
      </c>
      <c r="BC135" s="23">
        <f>$D135*COS($E135+$F135*'25SolarCoords'!AY$7)</f>
        <v>-5.0659829896128565</v>
      </c>
      <c r="BD135" s="23">
        <f>$D135*COS($E135+$F135*'25SolarCoords'!AZ$7)</f>
        <v>-4.504796068999136</v>
      </c>
      <c r="BE135" s="23">
        <f>$D135*COS($E135+$F135*'25SolarCoords'!BA$7)</f>
        <v>-3.9382775635141618</v>
      </c>
      <c r="BF135" s="23">
        <f>$D135*COS($E135+$F135*'25SolarCoords'!BB$7)</f>
        <v>-3.3670979677710391</v>
      </c>
      <c r="BG135" s="23">
        <f>$D135*COS($E135+$F135*'25SolarCoords'!BC$7)</f>
        <v>-2.7919332929455409</v>
      </c>
      <c r="BH135" s="23">
        <f>$D135*COS($E135+$F135*'25SolarCoords'!BD$7)</f>
        <v>-2.2134642666949205</v>
      </c>
      <c r="BI135" s="23">
        <f>$D135*COS($E135+$F135*'25SolarCoords'!BE$7)</f>
        <v>-1.6323755274946767</v>
      </c>
      <c r="BJ135" s="23">
        <f>$D135*COS($E135+$F135*'25SolarCoords'!BF$7)</f>
        <v>-1.0493548143429059</v>
      </c>
      <c r="BK135" s="23">
        <f>$D135*COS($E135+$F135*'25SolarCoords'!BG$7)</f>
        <v>10.937427257706121</v>
      </c>
    </row>
    <row r="136" spans="2:63" x14ac:dyDescent="0.25">
      <c r="C136">
        <f t="shared" si="4"/>
        <v>4</v>
      </c>
      <c r="D136">
        <v>3</v>
      </c>
      <c r="E136">
        <v>5.2</v>
      </c>
      <c r="F136">
        <v>155.41999999999999</v>
      </c>
      <c r="H136" s="7"/>
      <c r="I136" s="23">
        <f>$D136*COS($E136+$F136*'25SolarCoords'!E$7)</f>
        <v>0.61255179219674294</v>
      </c>
      <c r="J136" s="23">
        <f>$D136*COS($E136+$F136*'25SolarCoords'!F$7)</f>
        <v>-2.474686130091436</v>
      </c>
      <c r="K136" s="23">
        <f>$D136*COS($E136+$F136*'25SolarCoords'!G$7)</f>
        <v>1.4055500139011312</v>
      </c>
      <c r="L136" s="23">
        <f>$D136*COS($E136+$F136*'25SolarCoords'!H$7)</f>
        <v>0.97804344293047141</v>
      </c>
      <c r="M136" s="23">
        <f>$D136*COS($E136+$F136*'25SolarCoords'!I$7)</f>
        <v>-2.9964132539545836</v>
      </c>
      <c r="N136" s="23">
        <f>$D136*COS($E136+$F136*'25SolarCoords'!J$7)</f>
        <v>-2.9818794699042352</v>
      </c>
      <c r="O136" s="23">
        <f>$D136*COS($E136+$F136*'25SolarCoords'!K$7)</f>
        <v>-2.9376596093691787</v>
      </c>
      <c r="P136" s="23">
        <f>$D136*COS($E136+$F136*'25SolarCoords'!L$7)</f>
        <v>-2.8947226897291571</v>
      </c>
      <c r="Q136" s="23">
        <f>$D136*COS($E136+$F136*'25SolarCoords'!M$7)</f>
        <v>-1.8245906059876755</v>
      </c>
      <c r="R136" s="23">
        <f>$D136*COS($E136+$F136*'25SolarCoords'!N$7)</f>
        <v>2.7413808941612734</v>
      </c>
      <c r="S136" s="23">
        <f>$D136*COS($E136+$F136*'25SolarCoords'!O$7)</f>
        <v>2.8968783991211113</v>
      </c>
      <c r="T136" s="23">
        <f>$D136*COS($E136+$F136*'25SolarCoords'!P$7)</f>
        <v>2.7348199707428238</v>
      </c>
      <c r="U136" s="23">
        <f>$D136*COS($E136+$F136*'25SolarCoords'!Q$7)</f>
        <v>-1.5902678289516925</v>
      </c>
      <c r="V136" s="23">
        <f>$D136*COS($E136+$F136*'25SolarCoords'!R$7)</f>
        <v>-1.5913501253616622</v>
      </c>
      <c r="W136" s="23">
        <f>$D136*COS($E136+$F136*'25SolarCoords'!S$7)</f>
        <v>-1.9984166723744079</v>
      </c>
      <c r="X136" s="23">
        <f>$D136*COS($E136+$F136*'25SolarCoords'!T$7)</f>
        <v>-2.123130407318456</v>
      </c>
      <c r="Y136" s="23">
        <f>$D136*COS($E136+$F136*'25SolarCoords'!U$7)</f>
        <v>-2.2915742658920299</v>
      </c>
      <c r="Z136" s="23">
        <f>$D136*COS($E136+$F136*'25SolarCoords'!V$7)</f>
        <v>0.95185086129257579</v>
      </c>
      <c r="AA136" s="23">
        <f>$D136*COS($E136+$F136*'25SolarCoords'!W$7)</f>
        <v>-2.9904129983077152</v>
      </c>
      <c r="AB136" s="23">
        <f>$D136*COS($E136+$F136*'25SolarCoords'!X$7)</f>
        <v>-1.9613169122908025</v>
      </c>
      <c r="AC136" s="23">
        <f>$D136*COS($E136+$F136*'25SolarCoords'!Y$7)</f>
        <v>-0.22119401596362678</v>
      </c>
      <c r="AD136" s="23">
        <f>$D136*COS($E136+$F136*'25SolarCoords'!Z$7)</f>
        <v>2.591292979234793</v>
      </c>
      <c r="AE136" s="23">
        <f>$D136*COS($E136+$F136*'25SolarCoords'!AA$7)</f>
        <v>1.4049860949370445</v>
      </c>
      <c r="AF136" s="23">
        <f>$D136*COS($E136+$F136*'25SolarCoords'!AB$7)</f>
        <v>-0.89209223897072942</v>
      </c>
      <c r="AG136" s="23">
        <f>$D136*COS($E136+$F136*'25SolarCoords'!AC$7)</f>
        <v>-1.0141735640020986</v>
      </c>
      <c r="AH136" s="23">
        <f>$D136*COS($E136+$F136*'25SolarCoords'!AD$7)</f>
        <v>-2.9134335868050965</v>
      </c>
      <c r="AI136" s="23">
        <f>$D136*COS($E136+$F136*'25SolarCoords'!AE$7)</f>
        <v>-0.22520547789321349</v>
      </c>
      <c r="AJ136" s="23">
        <f>$D136*COS($E136+$F136*'25SolarCoords'!AF$7)</f>
        <v>-1.7070974585791965</v>
      </c>
      <c r="AK136" s="23">
        <f>$D136*COS($E136+$F136*'25SolarCoords'!AG$7)</f>
        <v>-1.7777543245672929</v>
      </c>
      <c r="AL136" s="23">
        <f>$D136*COS($E136+$F136*'25SolarCoords'!AH$7)</f>
        <v>-2.3239659716387919</v>
      </c>
      <c r="AM136" s="23">
        <f>$D136*COS($E136+$F136*'25SolarCoords'!AI$7)</f>
        <v>-1.9719208885796964</v>
      </c>
      <c r="AN136" s="23">
        <f>$D136*COS($E136+$F136*'25SolarCoords'!AJ$7)</f>
        <v>-1.5659142788952782</v>
      </c>
      <c r="AO136" s="23">
        <f>$D136*COS($E136+$F136*'25SolarCoords'!AK$7)</f>
        <v>-1.374496991031056</v>
      </c>
      <c r="AP136" s="23">
        <f>$D136*COS($E136+$F136*'25SolarCoords'!AL$7)</f>
        <v>-2.4491207061588143</v>
      </c>
      <c r="AQ136" s="23">
        <f>$D136*COS($E136+$F136*'25SolarCoords'!AM$7)</f>
        <v>0.10822991447452179</v>
      </c>
      <c r="AR136" s="23">
        <f>$D136*COS($E136+$F136*'25SolarCoords'!AN$7)</f>
        <v>1.5120624503441578</v>
      </c>
      <c r="AS136" s="23">
        <f>$D136*COS($E136+$F136*'25SolarCoords'!AO$7)</f>
        <v>-2.2081019775320225</v>
      </c>
      <c r="AT136" s="23">
        <f>$D136*COS($E136+$F136*'25SolarCoords'!AP$7)</f>
        <v>-2.3105294310484199</v>
      </c>
      <c r="AU136" s="23">
        <f>$D136*COS($E136+$F136*'25SolarCoords'!AQ$7)</f>
        <v>-2.3162638061956429</v>
      </c>
      <c r="AV136" s="23">
        <f>$D136*COS($E136+$F136*'25SolarCoords'!AR$7)</f>
        <v>-2.3218538076435058</v>
      </c>
      <c r="AW136" s="23">
        <f>$D136*COS($E136+$F136*'25SolarCoords'!AS$7)</f>
        <v>-2.3281513196986632</v>
      </c>
      <c r="AX136" s="23">
        <f>$D136*COS($E136+$F136*'25SolarCoords'!AT$7)</f>
        <v>-2.3399054667854045</v>
      </c>
      <c r="AY136" s="23">
        <f>$D136*COS($E136+$F136*'25SolarCoords'!AU$7)</f>
        <v>1.4455819786371804</v>
      </c>
      <c r="AZ136" s="23">
        <f>$D136*COS($E136+$F136*'25SolarCoords'!AV$7)</f>
        <v>0.37360144206177359</v>
      </c>
      <c r="BA136" s="23">
        <f>$D136*COS($E136+$F136*'25SolarCoords'!AW$7)</f>
        <v>0.56161282914778243</v>
      </c>
      <c r="BB136" s="23">
        <f>$D136*COS($E136+$F136*'25SolarCoords'!AX$7)</f>
        <v>0.39513784844901084</v>
      </c>
      <c r="BC136" s="23">
        <f>$D136*COS($E136+$F136*'25SolarCoords'!AY$7)</f>
        <v>-2.3636808402382554</v>
      </c>
      <c r="BD136" s="23">
        <f>$D136*COS($E136+$F136*'25SolarCoords'!AZ$7)</f>
        <v>-2.3644667404301214</v>
      </c>
      <c r="BE136" s="23">
        <f>$D136*COS($E136+$F136*'25SolarCoords'!BA$7)</f>
        <v>-2.3652522125009563</v>
      </c>
      <c r="BF136" s="23">
        <f>$D136*COS($E136+$F136*'25SolarCoords'!BB$7)</f>
        <v>-2.3660372563085383</v>
      </c>
      <c r="BG136" s="23">
        <f>$D136*COS($E136+$F136*'25SolarCoords'!BC$7)</f>
        <v>-2.3668218717107217</v>
      </c>
      <c r="BH136" s="23">
        <f>$D136*COS($E136+$F136*'25SolarCoords'!BD$7)</f>
        <v>-2.3676060585654461</v>
      </c>
      <c r="BI136" s="23">
        <f>$D136*COS($E136+$F136*'25SolarCoords'!BE$7)</f>
        <v>-2.36838981673072</v>
      </c>
      <c r="BJ136" s="23">
        <f>$D136*COS($E136+$F136*'25SolarCoords'!BF$7)</f>
        <v>-2.3691731460646297</v>
      </c>
      <c r="BK136" s="23">
        <f>$D136*COS($E136+$F136*'25SolarCoords'!BG$7)</f>
        <v>-0.22501306185223646</v>
      </c>
    </row>
    <row r="137" spans="2:63" x14ac:dyDescent="0.25">
      <c r="C137">
        <f t="shared" si="4"/>
        <v>5</v>
      </c>
      <c r="D137">
        <v>1</v>
      </c>
      <c r="E137">
        <v>4.72</v>
      </c>
      <c r="F137">
        <v>3.52</v>
      </c>
      <c r="H137" s="7"/>
      <c r="I137" s="23">
        <f>$D137*COS($E137+$F137*'25SolarCoords'!E$7)</f>
        <v>-0.14061136549659967</v>
      </c>
      <c r="J137" s="23">
        <f>$D137*COS($E137+$F137*'25SolarCoords'!F$7)</f>
        <v>0.41080734928254919</v>
      </c>
      <c r="K137" s="23">
        <f>$D137*COS($E137+$F137*'25SolarCoords'!G$7)</f>
        <v>7.6109461341479024E-3</v>
      </c>
      <c r="L137" s="23">
        <f>$D137*COS($E137+$F137*'25SolarCoords'!H$7)</f>
        <v>4.0885989152577998E-3</v>
      </c>
      <c r="M137" s="23">
        <f>$D137*COS($E137+$F137*'25SolarCoords'!I$7)</f>
        <v>-3.7891748327794704E-2</v>
      </c>
      <c r="N137" s="23">
        <f>$D137*COS($E137+$F137*'25SolarCoords'!J$7)</f>
        <v>-3.650976250500057E-2</v>
      </c>
      <c r="O137" s="23">
        <f>$D137*COS($E137+$F137*'25SolarCoords'!K$7)</f>
        <v>-3.4376456618252241E-2</v>
      </c>
      <c r="P137" s="23">
        <f>$D137*COS($E137+$F137*'25SolarCoords'!L$7)</f>
        <v>-3.2984666388703524E-2</v>
      </c>
      <c r="Q137" s="23">
        <f>$D137*COS($E137+$F137*'25SolarCoords'!M$7)</f>
        <v>-0.33761706280418552</v>
      </c>
      <c r="R137" s="23">
        <f>$D137*COS($E137+$F137*'25SolarCoords'!N$7)</f>
        <v>-0.9855116832358275</v>
      </c>
      <c r="S137" s="23">
        <f>$D137*COS($E137+$F137*'25SolarCoords'!O$7)</f>
        <v>-0.9849089774341393</v>
      </c>
      <c r="T137" s="23">
        <f>$D137*COS($E137+$F137*'25SolarCoords'!P$7)</f>
        <v>0.80960077094070215</v>
      </c>
      <c r="U137" s="23">
        <f>$D137*COS($E137+$F137*'25SolarCoords'!Q$7)</f>
        <v>-0.92404429964616219</v>
      </c>
      <c r="V137" s="23">
        <f>$D137*COS($E137+$F137*'25SolarCoords'!R$7)</f>
        <v>-0.92404061542903626</v>
      </c>
      <c r="W137" s="23">
        <f>$D137*COS($E137+$F137*'25SolarCoords'!S$7)</f>
        <v>0.90253722581768547</v>
      </c>
      <c r="X137" s="23">
        <f>$D137*COS($E137+$F137*'25SolarCoords'!T$7)</f>
        <v>0.9030946300039121</v>
      </c>
      <c r="Y137" s="23">
        <f>$D137*COS($E137+$F137*'25SolarCoords'!U$7)</f>
        <v>0.90390047982103516</v>
      </c>
      <c r="Z137" s="23">
        <f>$D137*COS($E137+$F137*'25SolarCoords'!V$7)</f>
        <v>0.99840097771467018</v>
      </c>
      <c r="AA137" s="23">
        <f>$D137*COS($E137+$F137*'25SolarCoords'!W$7)</f>
        <v>-3.7188726102163311E-2</v>
      </c>
      <c r="AB137" s="23">
        <f>$D137*COS($E137+$F137*'25SolarCoords'!X$7)</f>
        <v>-1.9569551756904592E-2</v>
      </c>
      <c r="AC137" s="23">
        <f>$D137*COS($E137+$F137*'25SolarCoords'!Y$7)</f>
        <v>-7.2848308328338149E-2</v>
      </c>
      <c r="AD137" s="23">
        <f>$D137*COS($E137+$F137*'25SolarCoords'!Z$7)</f>
        <v>0.16177215715455598</v>
      </c>
      <c r="AE137" s="23">
        <f>$D137*COS($E137+$F137*'25SolarCoords'!AA$7)</f>
        <v>7.6061276562392997E-3</v>
      </c>
      <c r="AF137" s="23">
        <f>$D137*COS($E137+$F137*'25SolarCoords'!AB$7)</f>
        <v>-0.15198300626369698</v>
      </c>
      <c r="AG137" s="23">
        <f>$D137*COS($E137+$F137*'25SolarCoords'!AC$7)</f>
        <v>-6.6724366456315951E-2</v>
      </c>
      <c r="AH137" s="23">
        <f>$D137*COS($E137+$F137*'25SolarCoords'!AD$7)</f>
        <v>-3.3548132575416896E-2</v>
      </c>
      <c r="AI137" s="23">
        <f>$D137*COS($E137+$F137*'25SolarCoords'!AE$7)</f>
        <v>-7.2818020538990863E-2</v>
      </c>
      <c r="AJ137" s="23">
        <f>$D137*COS($E137+$F137*'25SolarCoords'!AF$7)</f>
        <v>-1.7141378349362232E-2</v>
      </c>
      <c r="AK137" s="23">
        <f>$D137*COS($E137+$F137*'25SolarCoords'!AG$7)</f>
        <v>-1.7796610301965582E-2</v>
      </c>
      <c r="AL137" s="23">
        <f>$D137*COS($E137+$F137*'25SolarCoords'!AH$7)</f>
        <v>-2.350062915123929E-2</v>
      </c>
      <c r="AM137" s="23">
        <f>$D137*COS($E137+$F137*'25SolarCoords'!AI$7)</f>
        <v>-1.9675540928173495E-2</v>
      </c>
      <c r="AN137" s="23">
        <f>$D137*COS($E137+$F137*'25SolarCoords'!AJ$7)</f>
        <v>-1.5869436737443083E-2</v>
      </c>
      <c r="AO137" s="23">
        <f>$D137*COS($E137+$F137*'25SolarCoords'!AK$7)</f>
        <v>-0.59158178111019433</v>
      </c>
      <c r="AP137" s="23">
        <f>$D137*COS($E137+$F137*'25SolarCoords'!AL$7)</f>
        <v>-2.5061400731467891E-2</v>
      </c>
      <c r="AQ137" s="23">
        <f>$D137*COS($E137+$F137*'25SolarCoords'!AM$7)</f>
        <v>0.99174935689307164</v>
      </c>
      <c r="AR137" s="23">
        <f>$D137*COS($E137+$F137*'25SolarCoords'!AN$7)</f>
        <v>8.5312720444918038E-3</v>
      </c>
      <c r="AS137" s="23">
        <f>$D137*COS($E137+$F137*'25SolarCoords'!AO$7)</f>
        <v>-0.67836623841918053</v>
      </c>
      <c r="AT137" s="23">
        <f>$D137*COS($E137+$F137*'25SolarCoords'!AP$7)</f>
        <v>8.7517634862040741E-2</v>
      </c>
      <c r="AU137" s="23">
        <f>$D137*COS($E137+$F137*'25SolarCoords'!AQ$7)</f>
        <v>8.7585369802158253E-2</v>
      </c>
      <c r="AV137" s="23">
        <f>$D137*COS($E137+$F137*'25SolarCoords'!AR$7)</f>
        <v>8.7651637648932329E-2</v>
      </c>
      <c r="AW137" s="23">
        <f>$D137*COS($E137+$F137*'25SolarCoords'!AS$7)</f>
        <v>8.7726578516108586E-2</v>
      </c>
      <c r="AX137" s="23">
        <f>$D137*COS($E137+$F137*'25SolarCoords'!AT$7)</f>
        <v>8.7867278802720231E-2</v>
      </c>
      <c r="AY137" s="23">
        <f>$D137*COS($E137+$F137*'25SolarCoords'!AU$7)</f>
        <v>-8.5865484339881282E-2</v>
      </c>
      <c r="AZ137" s="23">
        <f>$D137*COS($E137+$F137*'25SolarCoords'!AV$7)</f>
        <v>-6.047229898592109E-4</v>
      </c>
      <c r="BA137" s="23">
        <f>$D137*COS($E137+$F137*'25SolarCoords'!AW$7)</f>
        <v>-0.21935453216513787</v>
      </c>
      <c r="BB137" s="23">
        <f>$D137*COS($E137+$F137*'25SolarCoords'!AX$7)</f>
        <v>-0.14226003420318251</v>
      </c>
      <c r="BC137" s="23">
        <f>$D137*COS($E137+$F137*'25SolarCoords'!AY$7)</f>
        <v>8.8155273919882204E-2</v>
      </c>
      <c r="BD137" s="23">
        <f>$D137*COS($E137+$F137*'25SolarCoords'!AZ$7)</f>
        <v>8.8164873630347237E-2</v>
      </c>
      <c r="BE137" s="23">
        <f>$D137*COS($E137+$F137*'25SolarCoords'!BA$7)</f>
        <v>8.8174473332624723E-2</v>
      </c>
      <c r="BF137" s="23">
        <f>$D137*COS($E137+$F137*'25SolarCoords'!BB$7)</f>
        <v>8.8184073026712884E-2</v>
      </c>
      <c r="BG137" s="23">
        <f>$D137*COS($E137+$F137*'25SolarCoords'!BC$7)</f>
        <v>8.8193672712609958E-2</v>
      </c>
      <c r="BH137" s="23">
        <f>$D137*COS($E137+$F137*'25SolarCoords'!BD$7)</f>
        <v>8.820327239031682E-2</v>
      </c>
      <c r="BI137" s="23">
        <f>$D137*COS($E137+$F137*'25SolarCoords'!BE$7)</f>
        <v>8.8212872059830791E-2</v>
      </c>
      <c r="BJ137" s="23">
        <f>$D137*COS($E137+$F137*'25SolarCoords'!BF$7)</f>
        <v>8.8222471721152773E-2</v>
      </c>
      <c r="BK137" s="23">
        <f>$D137*COS($E137+$F137*'25SolarCoords'!BG$7)</f>
        <v>-7.2819473411049301E-2</v>
      </c>
    </row>
    <row r="138" spans="2:63" x14ac:dyDescent="0.25">
      <c r="C138">
        <f t="shared" si="4"/>
        <v>6</v>
      </c>
      <c r="D138">
        <v>1</v>
      </c>
      <c r="E138">
        <v>5.3</v>
      </c>
      <c r="F138">
        <v>18849.23</v>
      </c>
      <c r="H138" s="7"/>
      <c r="I138" s="23">
        <f>$D138*COS($E138+$F138*'25SolarCoords'!E$7)</f>
        <v>0.72309616212845518</v>
      </c>
      <c r="J138" s="23">
        <f>$D138*COS($E138+$F138*'25SolarCoords'!F$7)</f>
        <v>-4.0671922391996185E-2</v>
      </c>
      <c r="K138" s="23">
        <f>$D138*COS($E138+$F138*'25SolarCoords'!G$7)</f>
        <v>0.55437433617916076</v>
      </c>
      <c r="L138" s="23">
        <f>$D138*COS($E138+$F138*'25SolarCoords'!H$7)</f>
        <v>0.54386445273377593</v>
      </c>
      <c r="M138" s="23">
        <f>$D138*COS($E138+$F138*'25SolarCoords'!I$7)</f>
        <v>0.93940153453743058</v>
      </c>
      <c r="N138" s="23">
        <f>$D138*COS($E138+$F138*'25SolarCoords'!J$7)</f>
        <v>9.8390837638107881E-2</v>
      </c>
      <c r="O138" s="23">
        <f>$D138*COS($E138+$F138*'25SolarCoords'!K$7)</f>
        <v>0.94385386308237729</v>
      </c>
      <c r="P138" s="23">
        <f>$D138*COS($E138+$F138*'25SolarCoords'!L$7)</f>
        <v>6.0135117126316681E-2</v>
      </c>
      <c r="Q138" s="23">
        <f>$D138*COS($E138+$F138*'25SolarCoords'!M$7)</f>
        <v>0.60200279538479495</v>
      </c>
      <c r="R138" s="23">
        <f>$D138*COS($E138+$F138*'25SolarCoords'!N$7)</f>
        <v>0.74929415288492773</v>
      </c>
      <c r="S138" s="23">
        <f>$D138*COS($E138+$F138*'25SolarCoords'!O$7)</f>
        <v>0.74046910332424398</v>
      </c>
      <c r="T138" s="23">
        <f>$D138*COS($E138+$F138*'25SolarCoords'!P$7)</f>
        <v>0.4721872672605727</v>
      </c>
      <c r="U138" s="23">
        <f>$D138*COS($E138+$F138*'25SolarCoords'!Q$7)</f>
        <v>0.94678618613723153</v>
      </c>
      <c r="V138" s="23">
        <f>$D138*COS($E138+$F138*'25SolarCoords'!R$7)</f>
        <v>0.92892289431083253</v>
      </c>
      <c r="W138" s="23">
        <f>$D138*COS($E138+$F138*'25SolarCoords'!S$7)</f>
        <v>-0.36169082327966007</v>
      </c>
      <c r="X138" s="23">
        <f>$D138*COS($E138+$F138*'25SolarCoords'!T$7)</f>
        <v>-0.85624364839671441</v>
      </c>
      <c r="Y138" s="23">
        <f>$D138*COS($E138+$F138*'25SolarCoords'!U$7)</f>
        <v>0.99492560499556337</v>
      </c>
      <c r="Z138" s="23">
        <f>$D138*COS($E138+$F138*'25SolarCoords'!V$7)</f>
        <v>-0.29980349137914131</v>
      </c>
      <c r="AA138" s="23">
        <f>$D138*COS($E138+$F138*'25SolarCoords'!W$7)</f>
        <v>-0.56068046923869197</v>
      </c>
      <c r="AB138" s="23">
        <f>$D138*COS($E138+$F138*'25SolarCoords'!X$7)</f>
        <v>-0.43938993700227424</v>
      </c>
      <c r="AC138" s="23">
        <f>$D138*COS($E138+$F138*'25SolarCoords'!Y$7)</f>
        <v>0.20972801527018259</v>
      </c>
      <c r="AD138" s="23">
        <f>$D138*COS($E138+$F138*'25SolarCoords'!Z$7)</f>
        <v>0.52052635087478138</v>
      </c>
      <c r="AE138" s="23">
        <f>$D138*COS($E138+$F138*'25SolarCoords'!AA$7)</f>
        <v>0.53271702228587592</v>
      </c>
      <c r="AF138" s="23">
        <f>$D138*COS($E138+$F138*'25SolarCoords'!AB$7)</f>
        <v>-0.45018606630502456</v>
      </c>
      <c r="AG138" s="23">
        <f>$D138*COS($E138+$F138*'25SolarCoords'!AC$7)</f>
        <v>-0.94772857849996639</v>
      </c>
      <c r="AH138" s="23">
        <f>$D138*COS($E138+$F138*'25SolarCoords'!AD$7)</f>
        <v>6.2407470034376536E-2</v>
      </c>
      <c r="AI138" s="23">
        <f>$D138*COS($E138+$F138*'25SolarCoords'!AE$7)</f>
        <v>4.8657735434546191E-2</v>
      </c>
      <c r="AJ138" s="23">
        <f>$D138*COS($E138+$F138*'25SolarCoords'!AF$7)</f>
        <v>-1.6481738827628978E-2</v>
      </c>
      <c r="AK138" s="23">
        <f>$D138*COS($E138+$F138*'25SolarCoords'!AG$7)</f>
        <v>0.37474676187755007</v>
      </c>
      <c r="AL138" s="23">
        <f>$D138*COS($E138+$F138*'25SolarCoords'!AH$7)</f>
        <v>-0.46251206355979008</v>
      </c>
      <c r="AM138" s="23">
        <f>$D138*COS($E138+$F138*'25SolarCoords'!AI$7)</f>
        <v>-0.85346047091236688</v>
      </c>
      <c r="AN138" s="23">
        <f>$D138*COS($E138+$F138*'25SolarCoords'!AJ$7)</f>
        <v>0.49024799230277016</v>
      </c>
      <c r="AO138" s="23">
        <f>$D138*COS($E138+$F138*'25SolarCoords'!AK$7)</f>
        <v>0.64309659353917414</v>
      </c>
      <c r="AP138" s="23">
        <f>$D138*COS($E138+$F138*'25SolarCoords'!AL$7)</f>
        <v>0.99967679300335854</v>
      </c>
      <c r="AQ138" s="23">
        <f>$D138*COS($E138+$F138*'25SolarCoords'!AM$7)</f>
        <v>-0.67716755952782415</v>
      </c>
      <c r="AR138" s="23">
        <f>$D138*COS($E138+$F138*'25SolarCoords'!AN$7)</f>
        <v>-0.69409722088196568</v>
      </c>
      <c r="AS138" s="23">
        <f>$D138*COS($E138+$F138*'25SolarCoords'!AO$7)</f>
        <v>0.89811633864073093</v>
      </c>
      <c r="AT138" s="23">
        <f>$D138*COS($E138+$F138*'25SolarCoords'!AP$7)</f>
        <v>0.96839928161752376</v>
      </c>
      <c r="AU138" s="23">
        <f>$D138*COS($E138+$F138*'25SolarCoords'!AQ$7)</f>
        <v>0.81609355898792313</v>
      </c>
      <c r="AV138" s="23">
        <f>$D138*COS($E138+$F138*'25SolarCoords'!AR$7)</f>
        <v>0.56331422450314106</v>
      </c>
      <c r="AW138" s="23">
        <f>$D138*COS($E138+$F138*'25SolarCoords'!AS$7)</f>
        <v>0.19429552961241839</v>
      </c>
      <c r="AX138" s="23">
        <f>$D138*COS($E138+$F138*'25SolarCoords'!AT$7)</f>
        <v>-0.53187801821732184</v>
      </c>
      <c r="AY138" s="23">
        <f>$D138*COS($E138+$F138*'25SolarCoords'!AU$7)</f>
        <v>0.85362334745549995</v>
      </c>
      <c r="AZ138" s="23">
        <f>$D138*COS($E138+$F138*'25SolarCoords'!AV$7)</f>
        <v>0.54422907414454569</v>
      </c>
      <c r="BA138" s="23">
        <f>$D138*COS($E138+$F138*'25SolarCoords'!AW$7)</f>
        <v>0.71897040837709769</v>
      </c>
      <c r="BB138" s="23">
        <f>$D138*COS($E138+$F138*'25SolarCoords'!AX$7)</f>
        <v>-0.2970432390803382</v>
      </c>
      <c r="BC138" s="23">
        <f>$D138*COS($E138+$F138*'25SolarCoords'!AY$7)</f>
        <v>-0.85862668687942512</v>
      </c>
      <c r="BD138" s="23">
        <f>$D138*COS($E138+$F138*'25SolarCoords'!AZ$7)</f>
        <v>-0.83104182267530879</v>
      </c>
      <c r="BE138" s="23">
        <f>$D138*COS($E138+$F138*'25SolarCoords'!BA$7)</f>
        <v>-0.80124420377280869</v>
      </c>
      <c r="BF138" s="23">
        <f>$D138*COS($E138+$F138*'25SolarCoords'!BB$7)</f>
        <v>-0.76931317012748646</v>
      </c>
      <c r="BG138" s="23">
        <f>$D138*COS($E138+$F138*'25SolarCoords'!BC$7)</f>
        <v>-0.73533374218331915</v>
      </c>
      <c r="BH138" s="23">
        <f>$D138*COS($E138+$F138*'25SolarCoords'!BD$7)</f>
        <v>-0.69939639449487578</v>
      </c>
      <c r="BI138" s="23">
        <f>$D138*COS($E138+$F138*'25SolarCoords'!BE$7)</f>
        <v>-0.66159681482764554</v>
      </c>
      <c r="BJ138" s="23">
        <f>$D138*COS($E138+$F138*'25SolarCoords'!BF$7)</f>
        <v>-0.62203564937678979</v>
      </c>
      <c r="BK138" s="23">
        <f>$D138*COS($E138+$F138*'25SolarCoords'!BG$7)</f>
        <v>5.6447622658034297E-2</v>
      </c>
    </row>
    <row r="139" spans="2:63" x14ac:dyDescent="0.25">
      <c r="C139">
        <f t="shared" si="4"/>
        <v>7</v>
      </c>
      <c r="D139">
        <v>1</v>
      </c>
      <c r="E139">
        <v>5.97</v>
      </c>
      <c r="F139">
        <v>242.73</v>
      </c>
      <c r="H139" s="7"/>
      <c r="I139" s="23">
        <f>$D139*COS($E139+$F139*'25SolarCoords'!E$7)</f>
        <v>-0.41607217379039857</v>
      </c>
      <c r="J139" s="23">
        <f>$D139*COS($E139+$F139*'25SolarCoords'!F$7)</f>
        <v>-0.94013394561830022</v>
      </c>
      <c r="K139" s="23">
        <f>$D139*COS($E139+$F139*'25SolarCoords'!G$7)</f>
        <v>0.95135703479334199</v>
      </c>
      <c r="L139" s="23">
        <f>$D139*COS($E139+$F139*'25SolarCoords'!H$7)</f>
        <v>0.84933008223907225</v>
      </c>
      <c r="M139" s="23">
        <f>$D139*COS($E139+$F139*'25SolarCoords'!I$7)</f>
        <v>-0.95234263835187172</v>
      </c>
      <c r="N139" s="23">
        <f>$D139*COS($E139+$F139*'25SolarCoords'!J$7)</f>
        <v>-0.97706035089238619</v>
      </c>
      <c r="O139" s="23">
        <f>$D139*COS($E139+$F139*'25SolarCoords'!K$7)</f>
        <v>-0.9977290479166343</v>
      </c>
      <c r="P139" s="23">
        <f>$D139*COS($E139+$F139*'25SolarCoords'!L$7)</f>
        <v>-0.99959041007601068</v>
      </c>
      <c r="Q139" s="23">
        <f>$D139*COS($E139+$F139*'25SolarCoords'!M$7)</f>
        <v>0.85414688551615092</v>
      </c>
      <c r="R139" s="23">
        <f>$D139*COS($E139+$F139*'25SolarCoords'!N$7)</f>
        <v>-0.99989986707805623</v>
      </c>
      <c r="S139" s="23">
        <f>$D139*COS($E139+$F139*'25SolarCoords'!O$7)</f>
        <v>-0.97402714776555699</v>
      </c>
      <c r="T139" s="23">
        <f>$D139*COS($E139+$F139*'25SolarCoords'!P$7)</f>
        <v>0.97803934039467566</v>
      </c>
      <c r="U139" s="23">
        <f>$D139*COS($E139+$F139*'25SolarCoords'!Q$7)</f>
        <v>0.98768900018989991</v>
      </c>
      <c r="V139" s="23">
        <f>$D139*COS($E139+$F139*'25SolarCoords'!R$7)</f>
        <v>0.98779273917094335</v>
      </c>
      <c r="W139" s="23">
        <f>$D139*COS($E139+$F139*'25SolarCoords'!S$7)</f>
        <v>0.88550833189159084</v>
      </c>
      <c r="X139" s="23">
        <f>$D139*COS($E139+$F139*'25SolarCoords'!T$7)</f>
        <v>0.9234475932541526</v>
      </c>
      <c r="Y139" s="23">
        <f>$D139*COS($E139+$F139*'25SolarCoords'!U$7)</f>
        <v>0.96530932011281756</v>
      </c>
      <c r="Z139" s="23">
        <f>$D139*COS($E139+$F139*'25SolarCoords'!V$7)</f>
        <v>-0.55844920976626178</v>
      </c>
      <c r="AA139" s="23">
        <f>$D139*COS($E139+$F139*'25SolarCoords'!W$7)</f>
        <v>-0.96601425701593346</v>
      </c>
      <c r="AB139" s="23">
        <f>$D139*COS($E139+$F139*'25SolarCoords'!X$7)</f>
        <v>-0.57840843818120735</v>
      </c>
      <c r="AC139" s="23">
        <f>$D139*COS($E139+$F139*'25SolarCoords'!Y$7)</f>
        <v>0.91419415372346735</v>
      </c>
      <c r="AD139" s="23">
        <f>$D139*COS($E139+$F139*'25SolarCoords'!Z$7)</f>
        <v>-0.58831369262670563</v>
      </c>
      <c r="AE139" s="23">
        <f>$D139*COS($E139+$F139*'25SolarCoords'!AA$7)</f>
        <v>0.9512546101727033</v>
      </c>
      <c r="AF139" s="23">
        <f>$D139*COS($E139+$F139*'25SolarCoords'!AB$7)</f>
        <v>0.35561358697444473</v>
      </c>
      <c r="AG139" s="23">
        <f>$D139*COS($E139+$F139*'25SolarCoords'!AC$7)</f>
        <v>0.66701215638041578</v>
      </c>
      <c r="AH139" s="23">
        <f>$D139*COS($E139+$F139*'25SolarCoords'!AD$7)</f>
        <v>-0.99994742432215455</v>
      </c>
      <c r="AI139" s="23">
        <f>$D139*COS($E139+$F139*'25SolarCoords'!AE$7)</f>
        <v>0.91334344871025075</v>
      </c>
      <c r="AJ139" s="23">
        <f>$D139*COS($E139+$F139*'25SolarCoords'!AF$7)</f>
        <v>-0.43434190899137542</v>
      </c>
      <c r="AK139" s="23">
        <f>$D139*COS($E139+$F139*'25SolarCoords'!AG$7)</f>
        <v>-0.47458942682494581</v>
      </c>
      <c r="AL139" s="23">
        <f>$D139*COS($E139+$F139*'25SolarCoords'!AH$7)</f>
        <v>-0.77575847191581382</v>
      </c>
      <c r="AM139" s="23">
        <f>$D139*COS($E139+$F139*'25SolarCoords'!AI$7)</f>
        <v>-0.58435616069725382</v>
      </c>
      <c r="AN139" s="23">
        <f>$D139*COS($E139+$F139*'25SolarCoords'!AJ$7)</f>
        <v>-0.35375795188555825</v>
      </c>
      <c r="AO139" s="23">
        <f>$D139*COS($E139+$F139*'25SolarCoords'!AK$7)</f>
        <v>0.87416451501378922</v>
      </c>
      <c r="AP139" s="23">
        <f>$D139*COS($E139+$F139*'25SolarCoords'!AL$7)</f>
        <v>-0.83907172501732097</v>
      </c>
      <c r="AQ139" s="23">
        <f>$D139*COS($E139+$F139*'25SolarCoords'!AM$7)</f>
        <v>-7.6540037748914672E-2</v>
      </c>
      <c r="AR139" s="23">
        <f>$D139*COS($E139+$F139*'25SolarCoords'!AN$7)</f>
        <v>0.96898166465363322</v>
      </c>
      <c r="AS139" s="23">
        <f>$D139*COS($E139+$F139*'25SolarCoords'!AO$7)</f>
        <v>-0.14375600946869987</v>
      </c>
      <c r="AT139" s="23">
        <f>$D139*COS($E139+$F139*'25SolarCoords'!AP$7)</f>
        <v>0.4726608172784672</v>
      </c>
      <c r="AU139" s="23">
        <f>$D139*COS($E139+$F139*'25SolarCoords'!AQ$7)</f>
        <v>0.47678761135224484</v>
      </c>
      <c r="AV139" s="23">
        <f>$D139*COS($E139+$F139*'25SolarCoords'!AR$7)</f>
        <v>0.48081490213779432</v>
      </c>
      <c r="AW139" s="23">
        <f>$D139*COS($E139+$F139*'25SolarCoords'!AS$7)</f>
        <v>0.48535711066725401</v>
      </c>
      <c r="AX139" s="23">
        <f>$D139*COS($E139+$F139*'25SolarCoords'!AT$7)</f>
        <v>0.49384973595464943</v>
      </c>
      <c r="AY139" s="23">
        <f>$D139*COS($E139+$F139*'25SolarCoords'!AU$7)</f>
        <v>0.88551477031742853</v>
      </c>
      <c r="AZ139" s="23">
        <f>$D139*COS($E139+$F139*'25SolarCoords'!AV$7)</f>
        <v>0.63736581125031877</v>
      </c>
      <c r="BA139" s="23">
        <f>$D139*COS($E139+$F139*'25SolarCoords'!AW$7)</f>
        <v>-0.92859787534140859</v>
      </c>
      <c r="BB139" s="23">
        <f>$D139*COS($E139+$F139*'25SolarCoords'!AX$7)</f>
        <v>-0.30913106272493623</v>
      </c>
      <c r="BC139" s="23">
        <f>$D139*COS($E139+$F139*'25SolarCoords'!AY$7)</f>
        <v>0.51108639578187565</v>
      </c>
      <c r="BD139" s="23">
        <f>$D139*COS($E139+$F139*'25SolarCoords'!AZ$7)</f>
        <v>0.51165749043343045</v>
      </c>
      <c r="BE139" s="23">
        <f>$D139*COS($E139+$F139*'25SolarCoords'!BA$7)</f>
        <v>0.51222835911758668</v>
      </c>
      <c r="BF139" s="23">
        <f>$D139*COS($E139+$F139*'25SolarCoords'!BB$7)</f>
        <v>0.51279900158222858</v>
      </c>
      <c r="BG139" s="23">
        <f>$D139*COS($E139+$F139*'25SolarCoords'!BC$7)</f>
        <v>0.51336941757533872</v>
      </c>
      <c r="BH139" s="23">
        <f>$D139*COS($E139+$F139*'25SolarCoords'!BD$7)</f>
        <v>0.51393960684499962</v>
      </c>
      <c r="BI139" s="23">
        <f>$D139*COS($E139+$F139*'25SolarCoords'!BE$7)</f>
        <v>0.51450956913939416</v>
      </c>
      <c r="BJ139" s="23">
        <f>$D139*COS($E139+$F139*'25SolarCoords'!BF$7)</f>
        <v>0.5150793042068067</v>
      </c>
      <c r="BK139" s="23">
        <f>$D139*COS($E139+$F139*'25SolarCoords'!BG$7)</f>
        <v>0.9133843475419734</v>
      </c>
    </row>
    <row r="140" spans="2:63" x14ac:dyDescent="0.25">
      <c r="C140" s="342" t="s">
        <v>804</v>
      </c>
      <c r="D140" s="342"/>
      <c r="E140" s="342"/>
      <c r="F140" s="342"/>
      <c r="H140" s="7"/>
    </row>
    <row r="141" spans="2:63" x14ac:dyDescent="0.25">
      <c r="B141">
        <v>420</v>
      </c>
      <c r="C141" s="19"/>
      <c r="D141" s="19" t="s">
        <v>783</v>
      </c>
      <c r="E141" s="19" t="s">
        <v>781</v>
      </c>
      <c r="F141" s="19" t="s">
        <v>782</v>
      </c>
      <c r="H141" s="7"/>
    </row>
    <row r="142" spans="2:63" x14ac:dyDescent="0.25">
      <c r="C142">
        <f>C141+1</f>
        <v>1</v>
      </c>
      <c r="D142">
        <v>114</v>
      </c>
      <c r="E142">
        <v>3.1419999999999999</v>
      </c>
      <c r="F142">
        <v>0</v>
      </c>
      <c r="H142" s="7"/>
      <c r="I142" s="23">
        <f>$D142*COS($E142+$F142*'25SolarCoords'!E$7)</f>
        <v>-113.99999054192756</v>
      </c>
      <c r="J142" s="23">
        <f>$D142*COS($E142+$F142*'25SolarCoords'!F$7)</f>
        <v>-113.99999054192756</v>
      </c>
      <c r="K142" s="23">
        <f>$D142*COS($E142+$F142*'25SolarCoords'!G$7)</f>
        <v>-113.99999054192756</v>
      </c>
      <c r="L142" s="23">
        <f>$D142*COS($E142+$F142*'25SolarCoords'!H$7)</f>
        <v>-113.99999054192756</v>
      </c>
      <c r="M142" s="23">
        <f>$D142*COS($E142+$F142*'25SolarCoords'!I$7)</f>
        <v>-113.99999054192756</v>
      </c>
      <c r="N142" s="23">
        <f>$D142*COS($E142+$F142*'25SolarCoords'!J$7)</f>
        <v>-113.99999054192756</v>
      </c>
      <c r="O142" s="23">
        <f>$D142*COS($E142+$F142*'25SolarCoords'!K$7)</f>
        <v>-113.99999054192756</v>
      </c>
      <c r="P142" s="23">
        <f>$D142*COS($E142+$F142*'25SolarCoords'!L$7)</f>
        <v>-113.99999054192756</v>
      </c>
      <c r="Q142" s="23">
        <f>$D142*COS($E142+$F142*'25SolarCoords'!M$7)</f>
        <v>-113.99999054192756</v>
      </c>
      <c r="R142" s="23">
        <f>$D142*COS($E142+$F142*'25SolarCoords'!N$7)</f>
        <v>-113.99999054192756</v>
      </c>
      <c r="S142" s="23">
        <f>$D142*COS($E142+$F142*'25SolarCoords'!O$7)</f>
        <v>-113.99999054192756</v>
      </c>
      <c r="T142" s="23">
        <f>$D142*COS($E142+$F142*'25SolarCoords'!P$7)</f>
        <v>-113.99999054192756</v>
      </c>
      <c r="U142" s="23">
        <f>$D142*COS($E142+$F142*'25SolarCoords'!Q$7)</f>
        <v>-113.99999054192756</v>
      </c>
      <c r="V142" s="23">
        <f>$D142*COS($E142+$F142*'25SolarCoords'!R$7)</f>
        <v>-113.99999054192756</v>
      </c>
      <c r="W142" s="23">
        <f>$D142*COS($E142+$F142*'25SolarCoords'!S$7)</f>
        <v>-113.99999054192756</v>
      </c>
      <c r="X142" s="23">
        <f>$D142*COS($E142+$F142*'25SolarCoords'!T$7)</f>
        <v>-113.99999054192756</v>
      </c>
      <c r="Y142" s="23">
        <f>$D142*COS($E142+$F142*'25SolarCoords'!U$7)</f>
        <v>-113.99999054192756</v>
      </c>
      <c r="Z142" s="23">
        <f>$D142*COS($E142+$F142*'25SolarCoords'!V$7)</f>
        <v>-113.99999054192756</v>
      </c>
      <c r="AA142" s="23">
        <f>$D142*COS($E142+$F142*'25SolarCoords'!W$7)</f>
        <v>-113.99999054192756</v>
      </c>
      <c r="AB142" s="23">
        <f>$D142*COS($E142+$F142*'25SolarCoords'!X$7)</f>
        <v>-113.99999054192756</v>
      </c>
      <c r="AC142" s="23">
        <f>$D142*COS($E142+$F142*'25SolarCoords'!Y$7)</f>
        <v>-113.99999054192756</v>
      </c>
      <c r="AD142" s="23">
        <f>$D142*COS($E142+$F142*'25SolarCoords'!Z$7)</f>
        <v>-113.99999054192756</v>
      </c>
      <c r="AE142" s="23">
        <f>$D142*COS($E142+$F142*'25SolarCoords'!AA$7)</f>
        <v>-113.99999054192756</v>
      </c>
      <c r="AF142" s="23">
        <f>$D142*COS($E142+$F142*'25SolarCoords'!AB$7)</f>
        <v>-113.99999054192756</v>
      </c>
      <c r="AG142" s="23">
        <f>$D142*COS($E142+$F142*'25SolarCoords'!AC$7)</f>
        <v>-113.99999054192756</v>
      </c>
      <c r="AH142" s="23">
        <f>$D142*COS($E142+$F142*'25SolarCoords'!AD$7)</f>
        <v>-113.99999054192756</v>
      </c>
      <c r="AI142" s="23">
        <f>$D142*COS($E142+$F142*'25SolarCoords'!AE$7)</f>
        <v>-113.99999054192756</v>
      </c>
      <c r="AJ142" s="23">
        <f>$D142*COS($E142+$F142*'25SolarCoords'!AF$7)</f>
        <v>-113.99999054192756</v>
      </c>
      <c r="AK142" s="23">
        <f>$D142*COS($E142+$F142*'25SolarCoords'!AG$7)</f>
        <v>-113.99999054192756</v>
      </c>
      <c r="AL142" s="23">
        <f>$D142*COS($E142+$F142*'25SolarCoords'!AH$7)</f>
        <v>-113.99999054192756</v>
      </c>
      <c r="AM142" s="23">
        <f>$D142*COS($E142+$F142*'25SolarCoords'!AI$7)</f>
        <v>-113.99999054192756</v>
      </c>
      <c r="AN142" s="23">
        <f>$D142*COS($E142+$F142*'25SolarCoords'!AJ$7)</f>
        <v>-113.99999054192756</v>
      </c>
      <c r="AO142" s="23">
        <f>$D142*COS($E142+$F142*'25SolarCoords'!AK$7)</f>
        <v>-113.99999054192756</v>
      </c>
      <c r="AP142" s="23">
        <f>$D142*COS($E142+$F142*'25SolarCoords'!AL$7)</f>
        <v>-113.99999054192756</v>
      </c>
      <c r="AQ142" s="23">
        <f>$D142*COS($E142+$F142*'25SolarCoords'!AM$7)</f>
        <v>-113.99999054192756</v>
      </c>
      <c r="AR142" s="23">
        <f>$D142*COS($E142+$F142*'25SolarCoords'!AN$7)</f>
        <v>-113.99999054192756</v>
      </c>
      <c r="AS142" s="23">
        <f>$D142*COS($E142+$F142*'25SolarCoords'!AO$7)</f>
        <v>-113.99999054192756</v>
      </c>
      <c r="AT142" s="23">
        <f>$D142*COS($E142+$F142*'25SolarCoords'!AP$7)</f>
        <v>-113.99999054192756</v>
      </c>
      <c r="AU142" s="23">
        <f>$D142*COS($E142+$F142*'25SolarCoords'!AQ$7)</f>
        <v>-113.99999054192756</v>
      </c>
      <c r="AV142" s="23">
        <f>$D142*COS($E142+$F142*'25SolarCoords'!AR$7)</f>
        <v>-113.99999054192756</v>
      </c>
      <c r="AW142" s="23">
        <f>$D142*COS($E142+$F142*'25SolarCoords'!AS$7)</f>
        <v>-113.99999054192756</v>
      </c>
      <c r="AX142" s="23">
        <f>$D142*COS($E142+$F142*'25SolarCoords'!AT$7)</f>
        <v>-113.99999054192756</v>
      </c>
      <c r="AY142" s="23">
        <f>$D142*COS($E142+$F142*'25SolarCoords'!AU$7)</f>
        <v>-113.99999054192756</v>
      </c>
      <c r="AZ142" s="23">
        <f>$D142*COS($E142+$F142*'25SolarCoords'!AV$7)</f>
        <v>-113.99999054192756</v>
      </c>
      <c r="BA142" s="23">
        <f>$D142*COS($E142+$F142*'25SolarCoords'!AW$7)</f>
        <v>-113.99999054192756</v>
      </c>
      <c r="BB142" s="23">
        <f>$D142*COS($E142+$F142*'25SolarCoords'!AX$7)</f>
        <v>-113.99999054192756</v>
      </c>
      <c r="BC142" s="23">
        <f>$D142*COS($E142+$F142*'25SolarCoords'!AY$7)</f>
        <v>-113.99999054192756</v>
      </c>
      <c r="BD142" s="23">
        <f>$D142*COS($E142+$F142*'25SolarCoords'!AZ$7)</f>
        <v>-113.99999054192756</v>
      </c>
      <c r="BE142" s="23">
        <f>$D142*COS($E142+$F142*'25SolarCoords'!BA$7)</f>
        <v>-113.99999054192756</v>
      </c>
      <c r="BF142" s="23">
        <f>$D142*COS($E142+$F142*'25SolarCoords'!BB$7)</f>
        <v>-113.99999054192756</v>
      </c>
      <c r="BG142" s="23">
        <f>$D142*COS($E142+$F142*'25SolarCoords'!BC$7)</f>
        <v>-113.99999054192756</v>
      </c>
      <c r="BH142" s="23">
        <f>$D142*COS($E142+$F142*'25SolarCoords'!BD$7)</f>
        <v>-113.99999054192756</v>
      </c>
      <c r="BI142" s="23">
        <f>$D142*COS($E142+$F142*'25SolarCoords'!BE$7)</f>
        <v>-113.99999054192756</v>
      </c>
      <c r="BJ142" s="23">
        <f>$D142*COS($E142+$F142*'25SolarCoords'!BF$7)</f>
        <v>-113.99999054192756</v>
      </c>
      <c r="BK142" s="23">
        <f>$D142*COS($E142+$F142*'25SolarCoords'!BG$7)</f>
        <v>-113.99999054192756</v>
      </c>
    </row>
    <row r="143" spans="2:63" x14ac:dyDescent="0.25">
      <c r="C143">
        <f>C142+1</f>
        <v>2</v>
      </c>
      <c r="D143">
        <v>8</v>
      </c>
      <c r="E143">
        <v>4.13</v>
      </c>
      <c r="F143">
        <v>6283.08</v>
      </c>
      <c r="H143" s="7"/>
      <c r="I143" s="23">
        <f>$D143*COS($E143+$F143*'25SolarCoords'!E$7)</f>
        <v>-6.9256926341601295</v>
      </c>
      <c r="J143" s="23">
        <f>$D143*COS($E143+$F143*'25SolarCoords'!F$7)</f>
        <v>2.1873311308748344</v>
      </c>
      <c r="K143" s="23">
        <f>$D143*COS($E143+$F143*'25SolarCoords'!G$7)</f>
        <v>-4.400165311251401</v>
      </c>
      <c r="L143" s="23">
        <f>$D143*COS($E143+$F143*'25SolarCoords'!H$7)</f>
        <v>-4.4281556915306464</v>
      </c>
      <c r="M143" s="23">
        <f>$D143*COS($E143+$F143*'25SolarCoords'!I$7)</f>
        <v>-1.1010142719157956</v>
      </c>
      <c r="N143" s="23">
        <f>$D143*COS($E143+$F143*'25SolarCoords'!J$7)</f>
        <v>5.8006435768531812</v>
      </c>
      <c r="O143" s="23">
        <f>$D143*COS($E143+$F143*'25SolarCoords'!K$7)</f>
        <v>-1.1359147990567637</v>
      </c>
      <c r="P143" s="23">
        <f>$D143*COS($E143+$F143*'25SolarCoords'!L$7)</f>
        <v>5.7296717971547899</v>
      </c>
      <c r="Q143" s="23">
        <f>$D143*COS($E143+$F143*'25SolarCoords'!M$7)</f>
        <v>-4.2715430541433692</v>
      </c>
      <c r="R143" s="23">
        <f>$D143*COS($E143+$F143*'25SolarCoords'!N$7)</f>
        <v>-3.8161587379727906</v>
      </c>
      <c r="S143" s="23">
        <f>$D143*COS($E143+$F143*'25SolarCoords'!O$7)</f>
        <v>-3.8470996854398636</v>
      </c>
      <c r="T143" s="23">
        <f>$D143*COS($E143+$F143*'25SolarCoords'!P$7)</f>
        <v>7.9642204470596205</v>
      </c>
      <c r="U143" s="23">
        <f>$D143*COS($E143+$F143*'25SolarCoords'!Q$7)</f>
        <v>-1.2152887359196922</v>
      </c>
      <c r="V143" s="23">
        <f>$D143*COS($E143+$F143*'25SolarCoords'!R$7)</f>
        <v>-1.0790957158138688</v>
      </c>
      <c r="W143" s="23">
        <f>$D143*COS($E143+$F143*'25SolarCoords'!S$7)</f>
        <v>-1.0813186831188033</v>
      </c>
      <c r="X143" s="23">
        <f>$D143*COS($E143+$F143*'25SolarCoords'!T$7)</f>
        <v>6.5694835878590192</v>
      </c>
      <c r="Y143" s="23">
        <f>$D143*COS($E143+$F143*'25SolarCoords'!U$7)</f>
        <v>-5.4469096861673307</v>
      </c>
      <c r="Z143" s="23">
        <f>$D143*COS($E143+$F143*'25SolarCoords'!V$7)</f>
        <v>2.7286025347995113</v>
      </c>
      <c r="AA143" s="23">
        <f>$D143*COS($E143+$F143*'25SolarCoords'!W$7)</f>
        <v>7.192736058408161</v>
      </c>
      <c r="AB143" s="23">
        <f>$D143*COS($E143+$F143*'25SolarCoords'!X$7)</f>
        <v>7.3486326658771128</v>
      </c>
      <c r="AC143" s="23">
        <f>$D143*COS($E143+$F143*'25SolarCoords'!Y$7)</f>
        <v>1.5770408383107204</v>
      </c>
      <c r="AD143" s="23">
        <f>$D143*COS($E143+$F143*'25SolarCoords'!Z$7)</f>
        <v>-4.4882003929913186</v>
      </c>
      <c r="AE143" s="23">
        <f>$D143*COS($E143+$F143*'25SolarCoords'!AA$7)</f>
        <v>-4.457467371090905</v>
      </c>
      <c r="AF143" s="23">
        <f>$D143*COS($E143+$F143*'25SolarCoords'!AB$7)</f>
        <v>4.6661892174274158</v>
      </c>
      <c r="AG143" s="23">
        <f>$D143*COS($E143+$F143*'25SolarCoords'!AC$7)</f>
        <v>-7.8970319578985171</v>
      </c>
      <c r="AH143" s="23">
        <f>$D143*COS($E143+$F143*'25SolarCoords'!AD$7)</f>
        <v>7.7821896157354917</v>
      </c>
      <c r="AI143" s="23">
        <f>$D143*COS($E143+$F143*'25SolarCoords'!AE$7)</f>
        <v>1.9996599410586555</v>
      </c>
      <c r="AJ143" s="23">
        <f>$D143*COS($E143+$F143*'25SolarCoords'!AF$7)</f>
        <v>-5.6476756959214454</v>
      </c>
      <c r="AK143" s="23">
        <f>$D143*COS($E143+$F143*'25SolarCoords'!AG$7)</f>
        <v>-7.421201020779387</v>
      </c>
      <c r="AL143" s="23">
        <f>$D143*COS($E143+$F143*'25SolarCoords'!AH$7)</f>
        <v>3.3290333726623036</v>
      </c>
      <c r="AM143" s="23">
        <f>$D143*COS($E143+$F143*'25SolarCoords'!AI$7)</f>
        <v>6.6227226133090138</v>
      </c>
      <c r="AN143" s="23">
        <f>$D143*COS($E143+$F143*'25SolarCoords'!AJ$7)</f>
        <v>7.9718654648806702</v>
      </c>
      <c r="AO143" s="23">
        <f>$D143*COS($E143+$F143*'25SolarCoords'!AK$7)</f>
        <v>-4.1543268181770507</v>
      </c>
      <c r="AP143" s="23">
        <f>$D143*COS($E143+$F143*'25SolarCoords'!AL$7)</f>
        <v>-5.6491148096082311</v>
      </c>
      <c r="AQ143" s="23">
        <f>$D143*COS($E143+$F143*'25SolarCoords'!AM$7)</f>
        <v>-0.13101801391760931</v>
      </c>
      <c r="AR143" s="23">
        <f>$D143*COS($E143+$F143*'25SolarCoords'!AN$7)</f>
        <v>6.9804661650230493</v>
      </c>
      <c r="AS143" s="23">
        <f>$D143*COS($E143+$F143*'25SolarCoords'!AO$7)</f>
        <v>-0.87462709571201536</v>
      </c>
      <c r="AT143" s="23">
        <f>$D143*COS($E143+$F143*'25SolarCoords'!AP$7)</f>
        <v>-6.1487224918325607</v>
      </c>
      <c r="AU143" s="23">
        <f>$D143*COS($E143+$F143*'25SolarCoords'!AQ$7)</f>
        <v>-6.7231326472109592</v>
      </c>
      <c r="AV143" s="23">
        <f>$D143*COS($E143+$F143*'25SolarCoords'!AR$7)</f>
        <v>-7.1894301985985569</v>
      </c>
      <c r="AW143" s="23">
        <f>$D143*COS($E143+$F143*'25SolarCoords'!AS$7)</f>
        <v>-7.5944762343796341</v>
      </c>
      <c r="AX143" s="23">
        <f>$D143*COS($E143+$F143*'25SolarCoords'!AT$7)</f>
        <v>-7.9817033133492723</v>
      </c>
      <c r="AY143" s="23">
        <f>$D143*COS($E143+$F143*'25SolarCoords'!AU$7)</f>
        <v>7.1984155027330106</v>
      </c>
      <c r="AZ143" s="23">
        <f>$D143*COS($E143+$F143*'25SolarCoords'!AV$7)</f>
        <v>-3.5569870692697054</v>
      </c>
      <c r="BA143" s="23">
        <f>$D143*COS($E143+$F143*'25SolarCoords'!AW$7)</f>
        <v>-3.912649222778533</v>
      </c>
      <c r="BB143" s="23">
        <f>$D143*COS($E143+$F143*'25SolarCoords'!AX$7)</f>
        <v>7.5002414222619906</v>
      </c>
      <c r="BC143" s="23">
        <f>$D143*COS($E143+$F143*'25SolarCoords'!AY$7)</f>
        <v>-7.2090708317601333</v>
      </c>
      <c r="BD143" s="23">
        <f>$D143*COS($E143+$F143*'25SolarCoords'!AZ$7)</f>
        <v>-7.1483445250536253</v>
      </c>
      <c r="BE143" s="23">
        <f>$D143*COS($E143+$F143*'25SolarCoords'!BA$7)</f>
        <v>-7.0855029790997683</v>
      </c>
      <c r="BF143" s="23">
        <f>$D143*COS($E143+$F143*'25SolarCoords'!BB$7)</f>
        <v>-7.0205647890999252</v>
      </c>
      <c r="BG143" s="23">
        <f>$D143*COS($E143+$F143*'25SolarCoords'!BC$7)</f>
        <v>-6.9535491706650552</v>
      </c>
      <c r="BH143" s="23">
        <f>$D143*COS($E143+$F143*'25SolarCoords'!BD$7)</f>
        <v>-6.8844759541299947</v>
      </c>
      <c r="BI143" s="23">
        <f>$D143*COS($E143+$F143*'25SolarCoords'!BE$7)</f>
        <v>-6.8133655786858993</v>
      </c>
      <c r="BJ143" s="23">
        <f>$D143*COS($E143+$F143*'25SolarCoords'!BF$7)</f>
        <v>-6.7402390863314698</v>
      </c>
      <c r="BK143" s="23">
        <f>$D143*COS($E143+$F143*'25SolarCoords'!BG$7)</f>
        <v>1.9795116788242861</v>
      </c>
    </row>
    <row r="144" spans="2:63" x14ac:dyDescent="0.25">
      <c r="C144">
        <f>C143+1</f>
        <v>3</v>
      </c>
      <c r="D144">
        <v>1</v>
      </c>
      <c r="E144">
        <v>3.84</v>
      </c>
      <c r="F144">
        <v>12566.15</v>
      </c>
      <c r="H144" s="7"/>
      <c r="I144" s="23">
        <f>$D144*COS($E144+$F144*'25SolarCoords'!E$7)</f>
        <v>0.68575518457310203</v>
      </c>
      <c r="J144" s="23">
        <f>$D144*COS($E144+$F144*'25SolarCoords'!F$7)</f>
        <v>0.75975994925869317</v>
      </c>
      <c r="K144" s="23">
        <f>$D144*COS($E144+$F144*'25SolarCoords'!G$7)</f>
        <v>-0.76586723243463739</v>
      </c>
      <c r="L144" s="23">
        <f>$D144*COS($E144+$F144*'25SolarCoords'!H$7)</f>
        <v>-0.77122889196194966</v>
      </c>
      <c r="M144" s="23">
        <f>$D144*COS($E144+$F144*'25SolarCoords'!I$7)</f>
        <v>1.6387547181486228E-2</v>
      </c>
      <c r="N144" s="23">
        <f>$D144*COS($E144+$F144*'25SolarCoords'!J$7)</f>
        <v>-0.97109781348680579</v>
      </c>
      <c r="O144" s="23">
        <f>$D144*COS($E144+$F144*'25SolarCoords'!K$7)</f>
        <v>7.5665332754947844E-3</v>
      </c>
      <c r="P144" s="23">
        <f>$D144*COS($E144+$F144*'25SolarCoords'!L$7)</f>
        <v>-0.96467462536113369</v>
      </c>
      <c r="Q144" s="23">
        <f>$D144*COS($E144+$F144*'25SolarCoords'!M$7)</f>
        <v>-0.74003676768615989</v>
      </c>
      <c r="R144" s="23">
        <f>$D144*COS($E144+$F144*'25SolarCoords'!N$7)</f>
        <v>-0.64278831961443061</v>
      </c>
      <c r="S144" s="23">
        <f>$D144*COS($E144+$F144*'25SolarCoords'!O$7)</f>
        <v>-0.64952101067368373</v>
      </c>
      <c r="T144" s="23">
        <f>$D144*COS($E144+$F144*'25SolarCoords'!P$7)</f>
        <v>-0.11453856039100056</v>
      </c>
      <c r="U144" s="23">
        <f>$D144*COS($E144+$F144*'25SolarCoords'!Q$7)</f>
        <v>8.6055075905174389E-3</v>
      </c>
      <c r="V144" s="23">
        <f>$D144*COS($E144+$F144*'25SolarCoords'!R$7)</f>
        <v>4.2996598417981036E-2</v>
      </c>
      <c r="W144" s="23">
        <f>$D144*COS($E144+$F144*'25SolarCoords'!S$7)</f>
        <v>0.55930153578044361</v>
      </c>
      <c r="X144" s="23">
        <f>$D144*COS($E144+$F144*'25SolarCoords'!T$7)</f>
        <v>0.778476625609405</v>
      </c>
      <c r="Y144" s="23">
        <f>$D144*COS($E144+$F144*'25SolarCoords'!U$7)</f>
        <v>0.96904129628713742</v>
      </c>
      <c r="Z144" s="23">
        <f>$D144*COS($E144+$F144*'25SolarCoords'!V$7)</f>
        <v>0.87021067327090307</v>
      </c>
      <c r="AA144" s="23">
        <f>$D144*COS($E144+$F144*'25SolarCoords'!W$7)</f>
        <v>0.57589180269483375</v>
      </c>
      <c r="AB144" s="23">
        <f>$D144*COS($E144+$F144*'25SolarCoords'!X$7)</f>
        <v>0.49704153209698865</v>
      </c>
      <c r="AC144" s="23">
        <f>$D144*COS($E144+$F144*'25SolarCoords'!Y$7)</f>
        <v>0.63613386922860138</v>
      </c>
      <c r="AD144" s="23">
        <f>$D144*COS($E144+$F144*'25SolarCoords'!Z$7)</f>
        <v>-0.78289042983577684</v>
      </c>
      <c r="AE144" s="23">
        <f>$D144*COS($E144+$F144*'25SolarCoords'!AA$7)</f>
        <v>-0.77681431739084139</v>
      </c>
      <c r="AF144" s="23">
        <f>$D144*COS($E144+$F144*'25SolarCoords'!AB$7)</f>
        <v>-0.81496115790553225</v>
      </c>
      <c r="AG144" s="23">
        <f>$D144*COS($E144+$F144*'25SolarCoords'!AC$7)</f>
        <v>-0.57600398857161472</v>
      </c>
      <c r="AH144" s="23">
        <f>$D144*COS($E144+$F144*'25SolarCoords'!AD$7)</f>
        <v>0.17436523647066146</v>
      </c>
      <c r="AI144" s="23">
        <f>$D144*COS($E144+$F144*'25SolarCoords'!AE$7)</f>
        <v>0.71588469753842932</v>
      </c>
      <c r="AJ144" s="23">
        <f>$D144*COS($E144+$F144*'25SolarCoords'!AF$7)</f>
        <v>-0.95659787020323073</v>
      </c>
      <c r="AK144" s="23">
        <f>$D144*COS($E144+$F144*'25SolarCoords'!AG$7)</f>
        <v>0.45555045464865029</v>
      </c>
      <c r="AL144" s="23">
        <f>$D144*COS($E144+$F144*'25SolarCoords'!AH$7)</f>
        <v>0.91310913866220877</v>
      </c>
      <c r="AM144" s="23">
        <f>$D144*COS($E144+$F144*'25SolarCoords'!AI$7)</f>
        <v>0.78247622986690313</v>
      </c>
      <c r="AN144" s="23">
        <f>$D144*COS($E144+$F144*'25SolarCoords'!AJ$7)</f>
        <v>-0.12435024604213751</v>
      </c>
      <c r="AO144" s="23">
        <f>$D144*COS($E144+$F144*'25SolarCoords'!AK$7)</f>
        <v>-0.71584459080620144</v>
      </c>
      <c r="AP144" s="23">
        <f>$D144*COS($E144+$F144*'25SolarCoords'!AL$7)</f>
        <v>0.95831608491915954</v>
      </c>
      <c r="AQ144" s="23">
        <f>$D144*COS($E144+$F144*'25SolarCoords'!AM$7)</f>
        <v>0.33246799297252122</v>
      </c>
      <c r="AR144" s="23">
        <f>$D144*COS($E144+$F144*'25SolarCoords'!AN$7)</f>
        <v>0.66565886426097354</v>
      </c>
      <c r="AS144" s="23">
        <f>$D144*COS($E144+$F144*'25SolarCoords'!AO$7)</f>
        <v>9.3148607690460239E-2</v>
      </c>
      <c r="AT144" s="23">
        <f>$D144*COS($E144+$F144*'25SolarCoords'!AP$7)</f>
        <v>0.8894597186911718</v>
      </c>
      <c r="AU144" s="23">
        <f>$D144*COS($E144+$F144*'25SolarCoords'!AQ$7)</f>
        <v>0.7535335135620439</v>
      </c>
      <c r="AV144" s="23">
        <f>$D144*COS($E144+$F144*'25SolarCoords'!AR$7)</f>
        <v>0.57772252873492846</v>
      </c>
      <c r="AW144" s="23">
        <f>$D144*COS($E144+$F144*'25SolarCoords'!AS$7)</f>
        <v>0.34042379686908814</v>
      </c>
      <c r="AX144" s="23">
        <f>$D144*COS($E144+$F144*'25SolarCoords'!AT$7)</f>
        <v>-0.15622703277371233</v>
      </c>
      <c r="AY144" s="23">
        <f>$D144*COS($E144+$F144*'25SolarCoords'!AU$7)</f>
        <v>-0.93044185434203996</v>
      </c>
      <c r="AZ144" s="23">
        <f>$D144*COS($E144+$F144*'25SolarCoords'!AV$7)</f>
        <v>0.93699258543369301</v>
      </c>
      <c r="BA144" s="23">
        <f>$D144*COS($E144+$F144*'25SolarCoords'!AW$7)</f>
        <v>-0.66614883908091871</v>
      </c>
      <c r="BB144" s="23">
        <f>$D144*COS($E144+$F144*'25SolarCoords'!AX$7)</f>
        <v>0.40579894286634371</v>
      </c>
      <c r="BC144" s="23">
        <f>$D144*COS($E144+$F144*'25SolarCoords'!AY$7)</f>
        <v>-0.92799569877002031</v>
      </c>
      <c r="BD144" s="23">
        <f>$D144*COS($E144+$F144*'25SolarCoords'!AZ$7)</f>
        <v>-0.94026272061230198</v>
      </c>
      <c r="BE144" s="23">
        <f>$D144*COS($E144+$F144*'25SolarCoords'!BA$7)</f>
        <v>-0.95141690839518678</v>
      </c>
      <c r="BF144" s="23">
        <f>$D144*COS($E144+$F144*'25SolarCoords'!BB$7)</f>
        <v>-0.96144506074440739</v>
      </c>
      <c r="BG144" s="23">
        <f>$D144*COS($E144+$F144*'25SolarCoords'!BC$7)</f>
        <v>-0.9703353089883423</v>
      </c>
      <c r="BH144" s="23">
        <f>$D144*COS($E144+$F144*'25SolarCoords'!BD$7)</f>
        <v>-0.97807713120496464</v>
      </c>
      <c r="BI144" s="23">
        <f>$D144*COS($E144+$F144*'25SolarCoords'!BE$7)</f>
        <v>-0.98466136467488719</v>
      </c>
      <c r="BJ144" s="23">
        <f>$D144*COS($E144+$F144*'25SolarCoords'!BF$7)</f>
        <v>-0.99008021672579904</v>
      </c>
      <c r="BK144" s="23">
        <f>$D144*COS($E144+$F144*'25SolarCoords'!BG$7)</f>
        <v>0.71224397858573307</v>
      </c>
    </row>
    <row r="145" spans="2:63" x14ac:dyDescent="0.25">
      <c r="C145" s="342" t="s">
        <v>805</v>
      </c>
      <c r="D145" s="342"/>
      <c r="E145" s="342"/>
      <c r="F145" s="342"/>
      <c r="H145" s="7"/>
    </row>
    <row r="146" spans="2:63" x14ac:dyDescent="0.25">
      <c r="B146">
        <v>420</v>
      </c>
      <c r="C146" s="19"/>
      <c r="D146" s="19" t="s">
        <v>783</v>
      </c>
      <c r="E146" s="19" t="s">
        <v>781</v>
      </c>
      <c r="F146" s="19" t="s">
        <v>782</v>
      </c>
      <c r="H146" s="7"/>
    </row>
    <row r="147" spans="2:63" x14ac:dyDescent="0.25">
      <c r="C147">
        <f>C146+1</f>
        <v>1</v>
      </c>
      <c r="D147">
        <v>1</v>
      </c>
      <c r="E147">
        <v>3.14</v>
      </c>
      <c r="F147">
        <v>0</v>
      </c>
      <c r="H147" s="7"/>
      <c r="I147" s="23">
        <f>$D147*COS($E147+$F147*'25SolarCoords'!E$7)</f>
        <v>-0.9999987317275395</v>
      </c>
      <c r="J147" s="23">
        <f>$D147*COS($E147+$F147*'25SolarCoords'!F$7)</f>
        <v>-0.9999987317275395</v>
      </c>
      <c r="K147" s="23">
        <f>$D147*COS($E147+$F147*'25SolarCoords'!G$7)</f>
        <v>-0.9999987317275395</v>
      </c>
      <c r="L147" s="23">
        <f>$D147*COS($E147+$F147*'25SolarCoords'!H$7)</f>
        <v>-0.9999987317275395</v>
      </c>
      <c r="M147" s="23">
        <f>$D147*COS($E147+$F147*'25SolarCoords'!I$7)</f>
        <v>-0.9999987317275395</v>
      </c>
      <c r="N147" s="23">
        <f>$D147*COS($E147+$F147*'25SolarCoords'!J$7)</f>
        <v>-0.9999987317275395</v>
      </c>
      <c r="O147" s="23">
        <f>$D147*COS($E147+$F147*'25SolarCoords'!K$7)</f>
        <v>-0.9999987317275395</v>
      </c>
      <c r="P147" s="23">
        <f>$D147*COS($E147+$F147*'25SolarCoords'!L$7)</f>
        <v>-0.9999987317275395</v>
      </c>
      <c r="Q147" s="23">
        <f>$D147*COS($E147+$F147*'25SolarCoords'!M$7)</f>
        <v>-0.9999987317275395</v>
      </c>
      <c r="R147" s="23">
        <f>$D147*COS($E147+$F147*'25SolarCoords'!N$7)</f>
        <v>-0.9999987317275395</v>
      </c>
      <c r="S147" s="23">
        <f>$D147*COS($E147+$F147*'25SolarCoords'!O$7)</f>
        <v>-0.9999987317275395</v>
      </c>
      <c r="T147" s="23">
        <f>$D147*COS($E147+$F147*'25SolarCoords'!P$7)</f>
        <v>-0.9999987317275395</v>
      </c>
      <c r="U147" s="23">
        <f>$D147*COS($E147+$F147*'25SolarCoords'!Q$7)</f>
        <v>-0.9999987317275395</v>
      </c>
      <c r="V147" s="23">
        <f>$D147*COS($E147+$F147*'25SolarCoords'!R$7)</f>
        <v>-0.9999987317275395</v>
      </c>
      <c r="W147" s="23">
        <f>$D147*COS($E147+$F147*'25SolarCoords'!S$7)</f>
        <v>-0.9999987317275395</v>
      </c>
      <c r="X147" s="23">
        <f>$D147*COS($E147+$F147*'25SolarCoords'!T$7)</f>
        <v>-0.9999987317275395</v>
      </c>
      <c r="Y147" s="23">
        <f>$D147*COS($E147+$F147*'25SolarCoords'!U$7)</f>
        <v>-0.9999987317275395</v>
      </c>
      <c r="Z147" s="23">
        <f>$D147*COS($E147+$F147*'25SolarCoords'!V$7)</f>
        <v>-0.9999987317275395</v>
      </c>
      <c r="AA147" s="23">
        <f>$D147*COS($E147+$F147*'25SolarCoords'!W$7)</f>
        <v>-0.9999987317275395</v>
      </c>
      <c r="AB147" s="23">
        <f>$D147*COS($E147+$F147*'25SolarCoords'!X$7)</f>
        <v>-0.9999987317275395</v>
      </c>
      <c r="AC147" s="23">
        <f>$D147*COS($E147+$F147*'25SolarCoords'!Y$7)</f>
        <v>-0.9999987317275395</v>
      </c>
      <c r="AD147" s="23">
        <f>$D147*COS($E147+$F147*'25SolarCoords'!Z$7)</f>
        <v>-0.9999987317275395</v>
      </c>
      <c r="AE147" s="23">
        <f>$D147*COS($E147+$F147*'25SolarCoords'!AA$7)</f>
        <v>-0.9999987317275395</v>
      </c>
      <c r="AF147" s="23">
        <f>$D147*COS($E147+$F147*'25SolarCoords'!AB$7)</f>
        <v>-0.9999987317275395</v>
      </c>
      <c r="AG147" s="23">
        <f>$D147*COS($E147+$F147*'25SolarCoords'!AC$7)</f>
        <v>-0.9999987317275395</v>
      </c>
      <c r="AH147" s="23">
        <f>$D147*COS($E147+$F147*'25SolarCoords'!AD$7)</f>
        <v>-0.9999987317275395</v>
      </c>
      <c r="AI147" s="23">
        <f>$D147*COS($E147+$F147*'25SolarCoords'!AE$7)</f>
        <v>-0.9999987317275395</v>
      </c>
      <c r="AJ147" s="23">
        <f>$D147*COS($E147+$F147*'25SolarCoords'!AF$7)</f>
        <v>-0.9999987317275395</v>
      </c>
      <c r="AK147" s="23">
        <f>$D147*COS($E147+$F147*'25SolarCoords'!AG$7)</f>
        <v>-0.9999987317275395</v>
      </c>
      <c r="AL147" s="23">
        <f>$D147*COS($E147+$F147*'25SolarCoords'!AH$7)</f>
        <v>-0.9999987317275395</v>
      </c>
      <c r="AM147" s="23">
        <f>$D147*COS($E147+$F147*'25SolarCoords'!AI$7)</f>
        <v>-0.9999987317275395</v>
      </c>
      <c r="AN147" s="23">
        <f>$D147*COS($E147+$F147*'25SolarCoords'!AJ$7)</f>
        <v>-0.9999987317275395</v>
      </c>
      <c r="AO147" s="23">
        <f>$D147*COS($E147+$F147*'25SolarCoords'!AK$7)</f>
        <v>-0.9999987317275395</v>
      </c>
      <c r="AP147" s="23">
        <f>$D147*COS($E147+$F147*'25SolarCoords'!AL$7)</f>
        <v>-0.9999987317275395</v>
      </c>
      <c r="AQ147" s="23">
        <f>$D147*COS($E147+$F147*'25SolarCoords'!AM$7)</f>
        <v>-0.9999987317275395</v>
      </c>
      <c r="AR147" s="23">
        <f>$D147*COS($E147+$F147*'25SolarCoords'!AN$7)</f>
        <v>-0.9999987317275395</v>
      </c>
      <c r="AS147" s="23">
        <f>$D147*COS($E147+$F147*'25SolarCoords'!AO$7)</f>
        <v>-0.9999987317275395</v>
      </c>
      <c r="AT147" s="23">
        <f>$D147*COS($E147+$F147*'25SolarCoords'!AP$7)</f>
        <v>-0.9999987317275395</v>
      </c>
      <c r="AU147" s="23">
        <f>$D147*COS($E147+$F147*'25SolarCoords'!AQ$7)</f>
        <v>-0.9999987317275395</v>
      </c>
      <c r="AV147" s="23">
        <f>$D147*COS($E147+$F147*'25SolarCoords'!AR$7)</f>
        <v>-0.9999987317275395</v>
      </c>
      <c r="AW147" s="23">
        <f>$D147*COS($E147+$F147*'25SolarCoords'!AS$7)</f>
        <v>-0.9999987317275395</v>
      </c>
      <c r="AX147" s="23">
        <f>$D147*COS($E147+$F147*'25SolarCoords'!AT$7)</f>
        <v>-0.9999987317275395</v>
      </c>
      <c r="AY147" s="23">
        <f>$D147*COS($E147+$F147*'25SolarCoords'!AU$7)</f>
        <v>-0.9999987317275395</v>
      </c>
      <c r="AZ147" s="23">
        <f>$D147*COS($E147+$F147*'25SolarCoords'!AV$7)</f>
        <v>-0.9999987317275395</v>
      </c>
      <c r="BA147" s="23">
        <f>$D147*COS($E147+$F147*'25SolarCoords'!AW$7)</f>
        <v>-0.9999987317275395</v>
      </c>
      <c r="BB147" s="23">
        <f>$D147*COS($E147+$F147*'25SolarCoords'!AX$7)</f>
        <v>-0.9999987317275395</v>
      </c>
      <c r="BC147" s="23">
        <f>$D147*COS($E147+$F147*'25SolarCoords'!AY$7)</f>
        <v>-0.9999987317275395</v>
      </c>
      <c r="BD147" s="23">
        <f>$D147*COS($E147+$F147*'25SolarCoords'!AZ$7)</f>
        <v>-0.9999987317275395</v>
      </c>
      <c r="BE147" s="23">
        <f>$D147*COS($E147+$F147*'25SolarCoords'!BA$7)</f>
        <v>-0.9999987317275395</v>
      </c>
      <c r="BF147" s="23">
        <f>$D147*COS($E147+$F147*'25SolarCoords'!BB$7)</f>
        <v>-0.9999987317275395</v>
      </c>
      <c r="BG147" s="23">
        <f>$D147*COS($E147+$F147*'25SolarCoords'!BC$7)</f>
        <v>-0.9999987317275395</v>
      </c>
      <c r="BH147" s="23">
        <f>$D147*COS($E147+$F147*'25SolarCoords'!BD$7)</f>
        <v>-0.9999987317275395</v>
      </c>
      <c r="BI147" s="23">
        <f>$D147*COS($E147+$F147*'25SolarCoords'!BE$7)</f>
        <v>-0.9999987317275395</v>
      </c>
      <c r="BJ147" s="23">
        <f>$D147*COS($E147+$F147*'25SolarCoords'!BF$7)</f>
        <v>-0.9999987317275395</v>
      </c>
      <c r="BK147" s="23">
        <f>$D147*COS($E147+$F147*'25SolarCoords'!BG$7)</f>
        <v>-0.9999987317275395</v>
      </c>
    </row>
    <row r="148" spans="2:63" x14ac:dyDescent="0.25">
      <c r="C148" s="342" t="s">
        <v>806</v>
      </c>
      <c r="D148" s="342"/>
      <c r="E148" s="342"/>
      <c r="F148" s="342"/>
      <c r="H148" s="7"/>
    </row>
    <row r="149" spans="2:63" x14ac:dyDescent="0.25">
      <c r="B149">
        <v>420</v>
      </c>
      <c r="C149" s="19"/>
      <c r="D149" s="19" t="s">
        <v>783</v>
      </c>
      <c r="E149" s="19" t="s">
        <v>781</v>
      </c>
      <c r="F149" s="19" t="s">
        <v>782</v>
      </c>
      <c r="H149" s="7"/>
    </row>
    <row r="150" spans="2:63" x14ac:dyDescent="0.25">
      <c r="C150">
        <f>C149+1</f>
        <v>1</v>
      </c>
      <c r="D150">
        <v>280</v>
      </c>
      <c r="E150">
        <v>3.1989999999999998</v>
      </c>
      <c r="F150">
        <v>84334.661999999997</v>
      </c>
      <c r="H150" s="7"/>
      <c r="I150" s="23">
        <f>$D150*COS($E150+$F150*'25SolarCoords'!E$7)</f>
        <v>-274.13827797959573</v>
      </c>
      <c r="J150" s="23">
        <f>$D150*COS($E150+$F150*'25SolarCoords'!F$7)</f>
        <v>274.39478425489398</v>
      </c>
      <c r="K150" s="23">
        <f>$D150*COS($E150+$F150*'25SolarCoords'!G$7)</f>
        <v>-279.5387422187095</v>
      </c>
      <c r="L150" s="23">
        <f>$D150*COS($E150+$F150*'25SolarCoords'!H$7)</f>
        <v>247.31322880991632</v>
      </c>
      <c r="M150" s="23">
        <f>$D150*COS($E150+$F150*'25SolarCoords'!I$7)</f>
        <v>273.55440295142336</v>
      </c>
      <c r="N150" s="23">
        <f>$D150*COS($E150+$F150*'25SolarCoords'!J$7)</f>
        <v>19.07281556746949</v>
      </c>
      <c r="O150" s="23">
        <f>$D150*COS($E150+$F150*'25SolarCoords'!K$7)</f>
        <v>-202.7520798156161</v>
      </c>
      <c r="P150" s="23">
        <f>$D150*COS($E150+$F150*'25SolarCoords'!L$7)</f>
        <v>-104.72507727530667</v>
      </c>
      <c r="Q150" s="23">
        <f>$D150*COS($E150+$F150*'25SolarCoords'!M$7)</f>
        <v>-85.985912081835238</v>
      </c>
      <c r="R150" s="23">
        <f>$D150*COS($E150+$F150*'25SolarCoords'!N$7)</f>
        <v>-103.6068701331708</v>
      </c>
      <c r="S150" s="23">
        <f>$D150*COS($E150+$F150*'25SolarCoords'!O$7)</f>
        <v>223.63049687683514</v>
      </c>
      <c r="T150" s="23">
        <f>$D150*COS($E150+$F150*'25SolarCoords'!P$7)</f>
        <v>-273.08416057135315</v>
      </c>
      <c r="U150" s="23">
        <f>$D150*COS($E150+$F150*'25SolarCoords'!Q$7)</f>
        <v>198.60599032562084</v>
      </c>
      <c r="V150" s="23">
        <f>$D150*COS($E150+$F150*'25SolarCoords'!R$7)</f>
        <v>238.50381471076494</v>
      </c>
      <c r="W150" s="23">
        <f>$D150*COS($E150+$F150*'25SolarCoords'!S$7)</f>
        <v>10.076734797067848</v>
      </c>
      <c r="X150" s="23">
        <f>$D150*COS($E150+$F150*'25SolarCoords'!T$7)</f>
        <v>-89.262096659135054</v>
      </c>
      <c r="Y150" s="23">
        <f>$D150*COS($E150+$F150*'25SolarCoords'!U$7)</f>
        <v>189.00770126964343</v>
      </c>
      <c r="Z150" s="23">
        <f>$D150*COS($E150+$F150*'25SolarCoords'!V$7)</f>
        <v>-157.8143251667916</v>
      </c>
      <c r="AA150" s="23">
        <f>$D150*COS($E150+$F150*'25SolarCoords'!W$7)</f>
        <v>-166.84505887171676</v>
      </c>
      <c r="AB150" s="23">
        <f>$D150*COS($E150+$F150*'25SolarCoords'!X$7)</f>
        <v>179.63086680358691</v>
      </c>
      <c r="AC150" s="23">
        <f>$D150*COS($E150+$F150*'25SolarCoords'!Y$7)</f>
        <v>-271.02339208569646</v>
      </c>
      <c r="AD150" s="23">
        <f>$D150*COS($E150+$F150*'25SolarCoords'!Z$7)</f>
        <v>252.59056905059228</v>
      </c>
      <c r="AE150" s="23">
        <f>$D150*COS($E150+$F150*'25SolarCoords'!AA$7)</f>
        <v>-279.52851420370234</v>
      </c>
      <c r="AF150" s="23">
        <f>$D150*COS($E150+$F150*'25SolarCoords'!AB$7)</f>
        <v>-88.181904255592926</v>
      </c>
      <c r="AG150" s="23">
        <f>$D150*COS($E150+$F150*'25SolarCoords'!AC$7)</f>
        <v>189.34123953168282</v>
      </c>
      <c r="AH150" s="23">
        <f>$D150*COS($E150+$F150*'25SolarCoords'!AD$7)</f>
        <v>-271.54109225787073</v>
      </c>
      <c r="AI150" s="23">
        <f>$D150*COS($E150+$F150*'25SolarCoords'!AE$7)</f>
        <v>-249.16940113216077</v>
      </c>
      <c r="AJ150" s="23">
        <f>$D150*COS($E150+$F150*'25SolarCoords'!AF$7)</f>
        <v>202.42088196244021</v>
      </c>
      <c r="AK150" s="23">
        <f>$D150*COS($E150+$F150*'25SolarCoords'!AG$7)</f>
        <v>-201.05115808030274</v>
      </c>
      <c r="AL150" s="23">
        <f>$D150*COS($E150+$F150*'25SolarCoords'!AH$7)</f>
        <v>188.55818445605669</v>
      </c>
      <c r="AM150" s="23">
        <f>$D150*COS($E150+$F150*'25SolarCoords'!AI$7)</f>
        <v>-269.66422758822887</v>
      </c>
      <c r="AN150" s="23">
        <f>$D150*COS($E150+$F150*'25SolarCoords'!AJ$7)</f>
        <v>275.72678220714005</v>
      </c>
      <c r="AO150" s="23">
        <f>$D150*COS($E150+$F150*'25SolarCoords'!AK$7)</f>
        <v>-101.06220150462528</v>
      </c>
      <c r="AP150" s="23">
        <f>$D150*COS($E150+$F150*'25SolarCoords'!AL$7)</f>
        <v>240.45116401886312</v>
      </c>
      <c r="AQ150" s="23">
        <f>$D150*COS($E150+$F150*'25SolarCoords'!AM$7)</f>
        <v>-69.580291013364814</v>
      </c>
      <c r="AR150" s="23">
        <f>$D150*COS($E150+$F150*'25SolarCoords'!AN$7)</f>
        <v>278.09225338028597</v>
      </c>
      <c r="AS150" s="23">
        <f>$D150*COS($E150+$F150*'25SolarCoords'!AO$7)</f>
        <v>257.08463292291435</v>
      </c>
      <c r="AT150" s="23">
        <f>$D150*COS($E150+$F150*'25SolarCoords'!AP$7)</f>
        <v>-188.68875086838887</v>
      </c>
      <c r="AU150" s="23">
        <f>$D150*COS($E150+$F150*'25SolarCoords'!AQ$7)</f>
        <v>217.51635848340618</v>
      </c>
      <c r="AV150" s="23">
        <f>$D150*COS($E150+$F150*'25SolarCoords'!AR$7)</f>
        <v>171.2592984061391</v>
      </c>
      <c r="AW150" s="23">
        <f>$D150*COS($E150+$F150*'25SolarCoords'!AS$7)</f>
        <v>-254.91750487391991</v>
      </c>
      <c r="AX150" s="23">
        <f>$D150*COS($E150+$F150*'25SolarCoords'!AT$7)</f>
        <v>275.27217530166502</v>
      </c>
      <c r="AY150" s="23">
        <f>$D150*COS($E150+$F150*'25SolarCoords'!AU$7)</f>
        <v>-141.33923645301743</v>
      </c>
      <c r="AZ150" s="23">
        <f>$D150*COS($E150+$F150*'25SolarCoords'!AV$7)</f>
        <v>117.14455750122472</v>
      </c>
      <c r="BA150" s="23">
        <f>$D150*COS($E150+$F150*'25SolarCoords'!AW$7)</f>
        <v>88.445208287255383</v>
      </c>
      <c r="BB150" s="23">
        <f>$D150*COS($E150+$F150*'25SolarCoords'!AX$7)</f>
        <v>115.75646317482119</v>
      </c>
      <c r="BC150" s="23">
        <f>$D150*COS($E150+$F150*'25SolarCoords'!AY$7)</f>
        <v>250.93693430620124</v>
      </c>
      <c r="BD150" s="23">
        <f>$D150*COS($E150+$F150*'25SolarCoords'!AZ$7)</f>
        <v>215.84978390832097</v>
      </c>
      <c r="BE150" s="23">
        <f>$D150*COS($E150+$F150*'25SolarCoords'!BA$7)</f>
        <v>169.30610414462222</v>
      </c>
      <c r="BF150" s="23">
        <f>$D150*COS($E150+$F150*'25SolarCoords'!BB$7)</f>
        <v>113.77626595725255</v>
      </c>
      <c r="BG150" s="23">
        <f>$D150*COS($E150+$F150*'25SolarCoords'!BC$7)</f>
        <v>52.20759322265328</v>
      </c>
      <c r="BH150" s="23">
        <f>$D150*COS($E150+$F150*'25SolarCoords'!BD$7)</f>
        <v>-12.13207058756902</v>
      </c>
      <c r="BI150" s="23">
        <f>$D150*COS($E150+$F150*'25SolarCoords'!BE$7)</f>
        <v>-75.82780777222743</v>
      </c>
      <c r="BJ150" s="23">
        <f>$D150*COS($E150+$F150*'25SolarCoords'!BF$7)</f>
        <v>-135.49887793734612</v>
      </c>
      <c r="BK150" s="23">
        <f>$D150*COS($E150+$F150*'25SolarCoords'!BG$7)</f>
        <v>-253.47468650154923</v>
      </c>
    </row>
    <row r="151" spans="2:63" x14ac:dyDescent="0.25">
      <c r="C151">
        <f>C150+1</f>
        <v>2</v>
      </c>
      <c r="D151">
        <v>102</v>
      </c>
      <c r="E151">
        <v>5.4219999999999997</v>
      </c>
      <c r="F151">
        <v>5507.5529999999999</v>
      </c>
      <c r="H151" s="7"/>
      <c r="I151" s="23">
        <f>$D151*COS($E151+$F151*'25SolarCoords'!E$7)</f>
        <v>52.480086307436963</v>
      </c>
      <c r="J151" s="23">
        <f>$D151*COS($E151+$F151*'25SolarCoords'!F$7)</f>
        <v>-4.9065062734269453</v>
      </c>
      <c r="K151" s="23">
        <f>$D151*COS($E151+$F151*'25SolarCoords'!G$7)</f>
        <v>66.456950849805608</v>
      </c>
      <c r="L151" s="23">
        <f>$D151*COS($E151+$F151*'25SolarCoords'!H$7)</f>
        <v>101.59336455690554</v>
      </c>
      <c r="M151" s="23">
        <f>$D151*COS($E151+$F151*'25SolarCoords'!I$7)</f>
        <v>-100.24940146797877</v>
      </c>
      <c r="N151" s="23">
        <f>$D151*COS($E151+$F151*'25SolarCoords'!J$7)</f>
        <v>71.62980183419684</v>
      </c>
      <c r="O151" s="23">
        <f>$D151*COS($E151+$F151*'25SolarCoords'!K$7)</f>
        <v>-84.535999980863508</v>
      </c>
      <c r="P151" s="23">
        <f>$D151*COS($E151+$F151*'25SolarCoords'!L$7)</f>
        <v>1.4518195012907771</v>
      </c>
      <c r="Q151" s="23">
        <f>$D151*COS($E151+$F151*'25SolarCoords'!M$7)</f>
        <v>26.166518907248392</v>
      </c>
      <c r="R151" s="23">
        <f>$D151*COS($E151+$F151*'25SolarCoords'!N$7)</f>
        <v>1.7789599512215051</v>
      </c>
      <c r="S151" s="23">
        <f>$D151*COS($E151+$F151*'25SolarCoords'!O$7)</f>
        <v>72.945656885718876</v>
      </c>
      <c r="T151" s="23">
        <f>$D151*COS($E151+$F151*'25SolarCoords'!P$7)</f>
        <v>-31.268882307375009</v>
      </c>
      <c r="U151" s="23">
        <f>$D151*COS($E151+$F151*'25SolarCoords'!Q$7)</f>
        <v>56.559055727185246</v>
      </c>
      <c r="V151" s="23">
        <f>$D151*COS($E151+$F151*'25SolarCoords'!R$7)</f>
        <v>57.832511621409274</v>
      </c>
      <c r="W151" s="23">
        <f>$D151*COS($E151+$F151*'25SolarCoords'!S$7)</f>
        <v>-34.877019934895102</v>
      </c>
      <c r="X151" s="23">
        <f>$D151*COS($E151+$F151*'25SolarCoords'!T$7)</f>
        <v>-70.603050636594574</v>
      </c>
      <c r="Y151" s="23">
        <f>$D151*COS($E151+$F151*'25SolarCoords'!U$7)</f>
        <v>83.8037782727977</v>
      </c>
      <c r="Z151" s="23">
        <f>$D151*COS($E151+$F151*'25SolarCoords'!V$7)</f>
        <v>-99.073045126547669</v>
      </c>
      <c r="AA151" s="23">
        <f>$D151*COS($E151+$F151*'25SolarCoords'!W$7)</f>
        <v>-28.629343053205975</v>
      </c>
      <c r="AB151" s="23">
        <f>$D151*COS($E151+$F151*'25SolarCoords'!X$7)</f>
        <v>84.688246622693597</v>
      </c>
      <c r="AC151" s="23">
        <f>$D151*COS($E151+$F151*'25SolarCoords'!Y$7)</f>
        <v>38.015356627384385</v>
      </c>
      <c r="AD151" s="23">
        <f>$D151*COS($E151+$F151*'25SolarCoords'!Z$7)</f>
        <v>-92.326896024965478</v>
      </c>
      <c r="AE151" s="23">
        <f>$D151*COS($E151+$F151*'25SolarCoords'!AA$7)</f>
        <v>65.871675842654653</v>
      </c>
      <c r="AF151" s="23">
        <f>$D151*COS($E151+$F151*'25SolarCoords'!AB$7)</f>
        <v>100.58068340147862</v>
      </c>
      <c r="AG151" s="23">
        <f>$D151*COS($E151+$F151*'25SolarCoords'!AC$7)</f>
        <v>-54.385766484105588</v>
      </c>
      <c r="AH151" s="23">
        <f>$D151*COS($E151+$F151*'25SolarCoords'!AD$7)</f>
        <v>-77.821886860756507</v>
      </c>
      <c r="AI151" s="23">
        <f>$D151*COS($E151+$F151*'25SolarCoords'!AE$7)</f>
        <v>42.46818636121948</v>
      </c>
      <c r="AJ151" s="23">
        <f>$D151*COS($E151+$F151*'25SolarCoords'!AF$7)</f>
        <v>-32.214023292672756</v>
      </c>
      <c r="AK151" s="23">
        <f>$D151*COS($E151+$F151*'25SolarCoords'!AG$7)</f>
        <v>-99.449230390879961</v>
      </c>
      <c r="AL151" s="23">
        <f>$D151*COS($E151+$F151*'25SolarCoords'!AH$7)</f>
        <v>76.535825571034479</v>
      </c>
      <c r="AM151" s="23">
        <f>$D151*COS($E151+$F151*'25SolarCoords'!AI$7)</f>
        <v>92.912297592420728</v>
      </c>
      <c r="AN151" s="23">
        <f>$D151*COS($E151+$F151*'25SolarCoords'!AJ$7)</f>
        <v>101.50770694251653</v>
      </c>
      <c r="AO151" s="23">
        <f>$D151*COS($E151+$F151*'25SolarCoords'!AK$7)</f>
        <v>-50.513532383267687</v>
      </c>
      <c r="AP151" s="23">
        <f>$D151*COS($E151+$F151*'25SolarCoords'!AL$7)</f>
        <v>-15.220061792901852</v>
      </c>
      <c r="AQ151" s="23">
        <f>$D151*COS($E151+$F151*'25SolarCoords'!AM$7)</f>
        <v>-100.50400507384731</v>
      </c>
      <c r="AR151" s="23">
        <f>$D151*COS($E151+$F151*'25SolarCoords'!AN$7)</f>
        <v>85.383659127408038</v>
      </c>
      <c r="AS151" s="23">
        <f>$D151*COS($E151+$F151*'25SolarCoords'!AO$7)</f>
        <v>-50.524594462970043</v>
      </c>
      <c r="AT151" s="23">
        <f>$D151*COS($E151+$F151*'25SolarCoords'!AP$7)</f>
        <v>24.924679388740071</v>
      </c>
      <c r="AU151" s="23">
        <f>$D151*COS($E151+$F151*'25SolarCoords'!AQ$7)</f>
        <v>35.286691815725426</v>
      </c>
      <c r="AV151" s="23">
        <f>$D151*COS($E151+$F151*'25SolarCoords'!AR$7)</f>
        <v>45.038967797995497</v>
      </c>
      <c r="AW151" s="23">
        <f>$D151*COS($E151+$F151*'25SolarCoords'!AS$7)</f>
        <v>55.474939453295221</v>
      </c>
      <c r="AX151" s="23">
        <f>$D151*COS($E151+$F151*'25SolarCoords'!AT$7)</f>
        <v>72.8886059585206</v>
      </c>
      <c r="AY151" s="23">
        <f>$D151*COS($E151+$F151*'25SolarCoords'!AU$7)</f>
        <v>-95.082046858208088</v>
      </c>
      <c r="AZ151" s="23">
        <f>$D151*COS($E151+$F151*'25SolarCoords'!AV$7)</f>
        <v>41.708410439869382</v>
      </c>
      <c r="BA151" s="23">
        <f>$D151*COS($E151+$F151*'25SolarCoords'!AW$7)</f>
        <v>80.9516123424239</v>
      </c>
      <c r="BB151" s="23">
        <f>$D151*COS($E151+$F151*'25SolarCoords'!AX$7)</f>
        <v>-89.778878808676239</v>
      </c>
      <c r="BC151" s="23">
        <f>$D151*COS($E151+$F151*'25SolarCoords'!AY$7)</f>
        <v>96.745155434721369</v>
      </c>
      <c r="BD151" s="23">
        <f>$D151*COS($E151+$F151*'25SolarCoords'!AZ$7)</f>
        <v>97.22143890263807</v>
      </c>
      <c r="BE151" s="23">
        <f>$D151*COS($E151+$F151*'25SolarCoords'!BA$7)</f>
        <v>97.675617359491014</v>
      </c>
      <c r="BF151" s="23">
        <f>$D151*COS($E151+$F151*'25SolarCoords'!BB$7)</f>
        <v>98.107587539787247</v>
      </c>
      <c r="BG151" s="23">
        <f>$D151*COS($E151+$F151*'25SolarCoords'!BC$7)</f>
        <v>98.517251227476962</v>
      </c>
      <c r="BH151" s="23">
        <f>$D151*COS($E151+$F151*'25SolarCoords'!BD$7)</f>
        <v>98.904515278287619</v>
      </c>
      <c r="BI151" s="23">
        <f>$D151*COS($E151+$F151*'25SolarCoords'!BE$7)</f>
        <v>99.269291640897421</v>
      </c>
      <c r="BJ151" s="23">
        <f>$D151*COS($E151+$F151*'25SolarCoords'!BF$7)</f>
        <v>99.611497376957729</v>
      </c>
      <c r="BK151" s="23">
        <f>$D151*COS($E151+$F151*'25SolarCoords'!BG$7)</f>
        <v>42.256698825275279</v>
      </c>
    </row>
    <row r="152" spans="2:63" x14ac:dyDescent="0.25">
      <c r="C152">
        <f>C151+1</f>
        <v>3</v>
      </c>
      <c r="D152">
        <v>80</v>
      </c>
      <c r="E152">
        <v>3.88</v>
      </c>
      <c r="F152">
        <v>5223.6899999999996</v>
      </c>
      <c r="H152" s="7"/>
      <c r="I152" s="23">
        <f>$D152*COS($E152+$F152*'25SolarCoords'!E$7)</f>
        <v>-79.998385888687864</v>
      </c>
      <c r="J152" s="23">
        <f>$D152*COS($E152+$F152*'25SolarCoords'!F$7)</f>
        <v>26.656996338307298</v>
      </c>
      <c r="K152" s="23">
        <f>$D152*COS($E152+$F152*'25SolarCoords'!G$7)</f>
        <v>-59.163322300740681</v>
      </c>
      <c r="L152" s="23">
        <f>$D152*COS($E152+$F152*'25SolarCoords'!H$7)</f>
        <v>17.733924605505614</v>
      </c>
      <c r="M152" s="23">
        <f>$D152*COS($E152+$F152*'25SolarCoords'!I$7)</f>
        <v>54.116944318487228</v>
      </c>
      <c r="N152" s="23">
        <f>$D152*COS($E152+$F152*'25SolarCoords'!J$7)</f>
        <v>27.15759212517742</v>
      </c>
      <c r="O152" s="23">
        <f>$D152*COS($E152+$F152*'25SolarCoords'!K$7)</f>
        <v>-25.174663027732485</v>
      </c>
      <c r="P152" s="23">
        <f>$D152*COS($E152+$F152*'25SolarCoords'!L$7)</f>
        <v>78.768717212122837</v>
      </c>
      <c r="Q152" s="23">
        <f>$D152*COS($E152+$F152*'25SolarCoords'!M$7)</f>
        <v>-79.433647204895252</v>
      </c>
      <c r="R152" s="23">
        <f>$D152*COS($E152+$F152*'25SolarCoords'!N$7)</f>
        <v>71.780672080061876</v>
      </c>
      <c r="S152" s="23">
        <f>$D152*COS($E152+$F152*'25SolarCoords'!O$7)</f>
        <v>65.763994932398887</v>
      </c>
      <c r="T152" s="23">
        <f>$D152*COS($E152+$F152*'25SolarCoords'!P$7)</f>
        <v>79.56100707036947</v>
      </c>
      <c r="U152" s="23">
        <f>$D152*COS($E152+$F152*'25SolarCoords'!Q$7)</f>
        <v>-78.049550617599706</v>
      </c>
      <c r="V152" s="23">
        <f>$D152*COS($E152+$F152*'25SolarCoords'!R$7)</f>
        <v>-78.292662701227698</v>
      </c>
      <c r="W152" s="23">
        <f>$D152*COS($E152+$F152*'25SolarCoords'!S$7)</f>
        <v>77.251597640378492</v>
      </c>
      <c r="X152" s="23">
        <f>$D152*COS($E152+$F152*'25SolarCoords'!T$7)</f>
        <v>-46.199959621093399</v>
      </c>
      <c r="Y152" s="23">
        <f>$D152*COS($E152+$F152*'25SolarCoords'!U$7)</f>
        <v>20.900879290568334</v>
      </c>
      <c r="Z152" s="23">
        <f>$D152*COS($E152+$F152*'25SolarCoords'!V$7)</f>
        <v>-76.212591967318602</v>
      </c>
      <c r="AA152" s="23">
        <f>$D152*COS($E152+$F152*'25SolarCoords'!W$7)</f>
        <v>78.138014170697716</v>
      </c>
      <c r="AB152" s="23">
        <f>$D152*COS($E152+$F152*'25SolarCoords'!X$7)</f>
        <v>25.89192396580264</v>
      </c>
      <c r="AC152" s="23">
        <f>$D152*COS($E152+$F152*'25SolarCoords'!Y$7)</f>
        <v>-65.054013836636869</v>
      </c>
      <c r="AD152" s="23">
        <f>$D152*COS($E152+$F152*'25SolarCoords'!Z$7)</f>
        <v>26.183906400421087</v>
      </c>
      <c r="AE152" s="23">
        <f>$D152*COS($E152+$F152*'25SolarCoords'!AA$7)</f>
        <v>-59.546871168964458</v>
      </c>
      <c r="AF152" s="23">
        <f>$D152*COS($E152+$F152*'25SolarCoords'!AB$7)</f>
        <v>16.928315320422936</v>
      </c>
      <c r="AG152" s="23">
        <f>$D152*COS($E152+$F152*'25SolarCoords'!AC$7)</f>
        <v>76.269124927687841</v>
      </c>
      <c r="AH152" s="23">
        <f>$D152*COS($E152+$F152*'25SolarCoords'!AD$7)</f>
        <v>63.151550218157254</v>
      </c>
      <c r="AI152" s="23">
        <f>$D152*COS($E152+$F152*'25SolarCoords'!AE$7)</f>
        <v>-62.890290781215192</v>
      </c>
      <c r="AJ152" s="23">
        <f>$D152*COS($E152+$F152*'25SolarCoords'!AF$7)</f>
        <v>10.596612715714631</v>
      </c>
      <c r="AK152" s="23">
        <f>$D152*COS($E152+$F152*'25SolarCoords'!AG$7)</f>
        <v>-59.553634029974688</v>
      </c>
      <c r="AL152" s="23">
        <f>$D152*COS($E152+$F152*'25SolarCoords'!AH$7)</f>
        <v>-9.4590001783649562</v>
      </c>
      <c r="AM152" s="23">
        <f>$D152*COS($E152+$F152*'25SolarCoords'!AI$7)</f>
        <v>37.43122054937168</v>
      </c>
      <c r="AN152" s="23">
        <f>$D152*COS($E152+$F152*'25SolarCoords'!AJ$7)</f>
        <v>72.040151713063409</v>
      </c>
      <c r="AO152" s="23">
        <f>$D152*COS($E152+$F152*'25SolarCoords'!AK$7)</f>
        <v>-29.145914775558683</v>
      </c>
      <c r="AP152" s="23">
        <f>$D152*COS($E152+$F152*'25SolarCoords'!AL$7)</f>
        <v>64.756929332651268</v>
      </c>
      <c r="AQ152" s="23">
        <f>$D152*COS($E152+$F152*'25SolarCoords'!AM$7)</f>
        <v>-77.097743619605765</v>
      </c>
      <c r="AR152" s="23">
        <f>$D152*COS($E152+$F152*'25SolarCoords'!AN$7)</f>
        <v>40.67861973637789</v>
      </c>
      <c r="AS152" s="23">
        <f>$D152*COS($E152+$F152*'25SolarCoords'!AO$7)</f>
        <v>-9.3082897686840624</v>
      </c>
      <c r="AT152" s="23">
        <f>$D152*COS($E152+$F152*'25SolarCoords'!AP$7)</f>
        <v>-79.551833978236218</v>
      </c>
      <c r="AU152" s="23">
        <f>$D152*COS($E152+$F152*'25SolarCoords'!AQ$7)</f>
        <v>-78.295348502547085</v>
      </c>
      <c r="AV152" s="23">
        <f>$D152*COS($E152+$F152*'25SolarCoords'!AR$7)</f>
        <v>-76.295089900468554</v>
      </c>
      <c r="AW152" s="23">
        <f>$D152*COS($E152+$F152*'25SolarCoords'!AS$7)</f>
        <v>-73.139161411528278</v>
      </c>
      <c r="AX152" s="23">
        <f>$D152*COS($E152+$F152*'25SolarCoords'!AT$7)</f>
        <v>-64.793705056608616</v>
      </c>
      <c r="AY152" s="23">
        <f>$D152*COS($E152+$F152*'25SolarCoords'!AU$7)</f>
        <v>-79.661797961401874</v>
      </c>
      <c r="AZ152" s="23">
        <f>$D152*COS($E152+$F152*'25SolarCoords'!AV$7)</f>
        <v>-35.387031238937119</v>
      </c>
      <c r="BA152" s="23">
        <f>$D152*COS($E152+$F152*'25SolarCoords'!AW$7)</f>
        <v>-68.443536934910526</v>
      </c>
      <c r="BB152" s="23">
        <f>$D152*COS($E152+$F152*'25SolarCoords'!AX$7)</f>
        <v>63.014196886109985</v>
      </c>
      <c r="BC152" s="23">
        <f>$D152*COS($E152+$F152*'25SolarCoords'!AY$7)</f>
        <v>-39.400520606112401</v>
      </c>
      <c r="BD152" s="23">
        <f>$D152*COS($E152+$F152*'25SolarCoords'!AZ$7)</f>
        <v>-38.400774708819306</v>
      </c>
      <c r="BE152" s="23">
        <f>$D152*COS($E152+$F152*'25SolarCoords'!BA$7)</f>
        <v>-37.393174521642749</v>
      </c>
      <c r="BF152" s="23">
        <f>$D152*COS($E152+$F152*'25SolarCoords'!BB$7)</f>
        <v>-36.377926133759139</v>
      </c>
      <c r="BG152" s="23">
        <f>$D152*COS($E152+$F152*'25SolarCoords'!BC$7)</f>
        <v>-35.355237198664078</v>
      </c>
      <c r="BH152" s="23">
        <f>$D152*COS($E152+$F152*'25SolarCoords'!BD$7)</f>
        <v>-34.32531689170203</v>
      </c>
      <c r="BI152" s="23">
        <f>$D152*COS($E152+$F152*'25SolarCoords'!BE$7)</f>
        <v>-33.288375867289872</v>
      </c>
      <c r="BJ152" s="23">
        <f>$D152*COS($E152+$F152*'25SolarCoords'!BF$7)</f>
        <v>-32.244626215818485</v>
      </c>
      <c r="BK152" s="23">
        <f>$D152*COS($E152+$F152*'25SolarCoords'!BG$7)</f>
        <v>-62.997034284494234</v>
      </c>
    </row>
    <row r="153" spans="2:63" x14ac:dyDescent="0.25">
      <c r="C153">
        <f>C152+1</f>
        <v>4</v>
      </c>
      <c r="D153">
        <v>44</v>
      </c>
      <c r="E153">
        <v>3.7</v>
      </c>
      <c r="F153">
        <v>2352.87</v>
      </c>
      <c r="H153" s="7"/>
      <c r="I153" s="23">
        <f>$D153*COS($E153+$F153*'25SolarCoords'!E$7)</f>
        <v>5.7009781253220924</v>
      </c>
      <c r="J153" s="23">
        <f>$D153*COS($E153+$F153*'25SolarCoords'!F$7)</f>
        <v>-33.305056428988678</v>
      </c>
      <c r="K153" s="23">
        <f>$D153*COS($E153+$F153*'25SolarCoords'!G$7)</f>
        <v>-37.316401395257955</v>
      </c>
      <c r="L153" s="23">
        <f>$D153*COS($E153+$F153*'25SolarCoords'!H$7)</f>
        <v>9.8285508495962315</v>
      </c>
      <c r="M153" s="23">
        <f>$D153*COS($E153+$F153*'25SolarCoords'!I$7)</f>
        <v>-0.78737821766691263</v>
      </c>
      <c r="N153" s="23">
        <f>$D153*COS($E153+$F153*'25SolarCoords'!J$7)</f>
        <v>34.643527002886501</v>
      </c>
      <c r="O153" s="23">
        <f>$D153*COS($E153+$F153*'25SolarCoords'!K$7)</f>
        <v>31.814857856787601</v>
      </c>
      <c r="P153" s="23">
        <f>$D153*COS($E153+$F153*'25SolarCoords'!L$7)</f>
        <v>-5.3814244106314133</v>
      </c>
      <c r="Q153" s="23">
        <f>$D153*COS($E153+$F153*'25SolarCoords'!M$7)</f>
        <v>27.554490254195713</v>
      </c>
      <c r="R153" s="23">
        <f>$D153*COS($E153+$F153*'25SolarCoords'!N$7)</f>
        <v>14.403979002891219</v>
      </c>
      <c r="S153" s="23">
        <f>$D153*COS($E153+$F153*'25SolarCoords'!O$7)</f>
        <v>19.408301375921816</v>
      </c>
      <c r="T153" s="23">
        <f>$D153*COS($E153+$F153*'25SolarCoords'!P$7)</f>
        <v>15.003664016875144</v>
      </c>
      <c r="U153" s="23">
        <f>$D153*COS($E153+$F153*'25SolarCoords'!Q$7)</f>
        <v>43.411734527431385</v>
      </c>
      <c r="V153" s="23">
        <f>$D153*COS($E153+$F153*'25SolarCoords'!R$7)</f>
        <v>43.457026813790847</v>
      </c>
      <c r="W153" s="23">
        <f>$D153*COS($E153+$F153*'25SolarCoords'!S$7)</f>
        <v>-33.440078899620737</v>
      </c>
      <c r="X153" s="23">
        <f>$D153*COS($E153+$F153*'25SolarCoords'!T$7)</f>
        <v>0.13671503739437199</v>
      </c>
      <c r="Y153" s="23">
        <f>$D153*COS($E153+$F153*'25SolarCoords'!U$7)</f>
        <v>41.890679123041714</v>
      </c>
      <c r="Z153" s="23">
        <f>$D153*COS($E153+$F153*'25SolarCoords'!V$7)</f>
        <v>25.055050292055519</v>
      </c>
      <c r="AA153" s="23">
        <f>$D153*COS($E153+$F153*'25SolarCoords'!W$7)</f>
        <v>19.231774046333367</v>
      </c>
      <c r="AB153" s="23">
        <f>$D153*COS($E153+$F153*'25SolarCoords'!X$7)</f>
        <v>-14.33902197312424</v>
      </c>
      <c r="AC153" s="23">
        <f>$D153*COS($E153+$F153*'25SolarCoords'!Y$7)</f>
        <v>43.563563348310588</v>
      </c>
      <c r="AD153" s="23">
        <f>$D153*COS($E153+$F153*'25SolarCoords'!Z$7)</f>
        <v>40.372429222783644</v>
      </c>
      <c r="AE153" s="23">
        <f>$D153*COS($E153+$F153*'25SolarCoords'!AA$7)</f>
        <v>-37.391295948663767</v>
      </c>
      <c r="AF153" s="23">
        <f>$D153*COS($E153+$F153*'25SolarCoords'!AB$7)</f>
        <v>-42.033988530286891</v>
      </c>
      <c r="AG153" s="23">
        <f>$D153*COS($E153+$F153*'25SolarCoords'!AC$7)</f>
        <v>-19.848251737017208</v>
      </c>
      <c r="AH153" s="23">
        <f>$D153*COS($E153+$F153*'25SolarCoords'!AD$7)</f>
        <v>11.06616440523101</v>
      </c>
      <c r="AI153" s="23">
        <f>$D153*COS($E153+$F153*'25SolarCoords'!AE$7)</f>
        <v>43.429109571989827</v>
      </c>
      <c r="AJ153" s="23">
        <f>$D153*COS($E153+$F153*'25SolarCoords'!AF$7)</f>
        <v>42.293598622648567</v>
      </c>
      <c r="AK153" s="23">
        <f>$D153*COS($E153+$F153*'25SolarCoords'!AG$7)</f>
        <v>33.153226382191988</v>
      </c>
      <c r="AL153" s="23">
        <f>$D153*COS($E153+$F153*'25SolarCoords'!AH$7)</f>
        <v>-7.9372817620308682</v>
      </c>
      <c r="AM153" s="23">
        <f>$D153*COS($E153+$F153*'25SolarCoords'!AI$7)</f>
        <v>-17.248200100031625</v>
      </c>
      <c r="AN153" s="23">
        <f>$D153*COS($E153+$F153*'25SolarCoords'!AJ$7)</f>
        <v>37.022070545240375</v>
      </c>
      <c r="AO153" s="23">
        <f>$D153*COS($E153+$F153*'25SolarCoords'!AK$7)</f>
        <v>-40.511418779616854</v>
      </c>
      <c r="AP153" s="23">
        <f>$D153*COS($E153+$F153*'25SolarCoords'!AL$7)</f>
        <v>33.407775041422646</v>
      </c>
      <c r="AQ153" s="23">
        <f>$D153*COS($E153+$F153*'25SolarCoords'!AM$7)</f>
        <v>8.8581600595825538</v>
      </c>
      <c r="AR153" s="23">
        <f>$D153*COS($E153+$F153*'25SolarCoords'!AN$7)</f>
        <v>-17.020719814072386</v>
      </c>
      <c r="AS153" s="23">
        <f>$D153*COS($E153+$F153*'25SolarCoords'!AO$7)</f>
        <v>42.803736918511127</v>
      </c>
      <c r="AT153" s="23">
        <f>$D153*COS($E153+$F153*'25SolarCoords'!AP$7)</f>
        <v>35.34035627621455</v>
      </c>
      <c r="AU153" s="23">
        <f>$D153*COS($E153+$F153*'25SolarCoords'!AQ$7)</f>
        <v>34.112929725577786</v>
      </c>
      <c r="AV153" s="23">
        <f>$D153*COS($E153+$F153*'25SolarCoords'!AR$7)</f>
        <v>32.843878106800553</v>
      </c>
      <c r="AW153" s="23">
        <f>$D153*COS($E153+$F153*'25SolarCoords'!AS$7)</f>
        <v>31.330629620488175</v>
      </c>
      <c r="AX153" s="23">
        <f>$D153*COS($E153+$F153*'25SolarCoords'!AT$7)</f>
        <v>28.278713335877143</v>
      </c>
      <c r="AY153" s="23">
        <f>$D153*COS($E153+$F153*'25SolarCoords'!AU$7)</f>
        <v>-29.463462259570314</v>
      </c>
      <c r="AZ153" s="23">
        <f>$D153*COS($E153+$F153*'25SolarCoords'!AV$7)</f>
        <v>-9.6383462832673104</v>
      </c>
      <c r="BA153" s="23">
        <f>$D153*COS($E153+$F153*'25SolarCoords'!AW$7)</f>
        <v>-0.58332706571756188</v>
      </c>
      <c r="BB153" s="23">
        <f>$D153*COS($E153+$F153*'25SolarCoords'!AX$7)</f>
        <v>-36.621971912190851</v>
      </c>
      <c r="BC153" s="23">
        <f>$D153*COS($E153+$F153*'25SolarCoords'!AY$7)</f>
        <v>21.278306469933938</v>
      </c>
      <c r="BD153" s="23">
        <f>$D153*COS($E153+$F153*'25SolarCoords'!AZ$7)</f>
        <v>21.029774846540235</v>
      </c>
      <c r="BE153" s="23">
        <f>$D153*COS($E153+$F153*'25SolarCoords'!BA$7)</f>
        <v>20.780370556180209</v>
      </c>
      <c r="BF153" s="23">
        <f>$D153*COS($E153+$F153*'25SolarCoords'!BB$7)</f>
        <v>20.530103948317269</v>
      </c>
      <c r="BG153" s="23">
        <f>$D153*COS($E153+$F153*'25SolarCoords'!BC$7)</f>
        <v>20.278985408198473</v>
      </c>
      <c r="BH153" s="23">
        <f>$D153*COS($E153+$F153*'25SolarCoords'!BD$7)</f>
        <v>20.027025356422175</v>
      </c>
      <c r="BI153" s="23">
        <f>$D153*COS($E153+$F153*'25SolarCoords'!BE$7)</f>
        <v>19.774234248508655</v>
      </c>
      <c r="BJ153" s="23">
        <f>$D153*COS($E153+$F153*'25SolarCoords'!BF$7)</f>
        <v>19.520622574462358</v>
      </c>
      <c r="BK153" s="23">
        <f>$D153*COS($E153+$F153*'25SolarCoords'!BG$7)</f>
        <v>43.435968239642079</v>
      </c>
    </row>
    <row r="154" spans="2:63" x14ac:dyDescent="0.25">
      <c r="C154">
        <f>C153+1</f>
        <v>5</v>
      </c>
      <c r="D154">
        <v>32</v>
      </c>
      <c r="E154">
        <v>4</v>
      </c>
      <c r="F154">
        <v>1577.34</v>
      </c>
      <c r="H154" s="7"/>
      <c r="I154" s="23">
        <f>$D154*COS($E154+$F154*'25SolarCoords'!E$7)</f>
        <v>31.344705211111872</v>
      </c>
      <c r="J154" s="23">
        <f>$D154*COS($E154+$F154*'25SolarCoords'!F$7)</f>
        <v>14.018415970989784</v>
      </c>
      <c r="K154" s="23">
        <f>$D154*COS($E154+$F154*'25SolarCoords'!G$7)</f>
        <v>-20.916595867635582</v>
      </c>
      <c r="L154" s="23">
        <f>$D154*COS($E154+$F154*'25SolarCoords'!H$7)</f>
        <v>-24.057524134914928</v>
      </c>
      <c r="M154" s="23">
        <f>$D154*COS($E154+$F154*'25SolarCoords'!I$7)</f>
        <v>-24.755985867284995</v>
      </c>
      <c r="N154" s="23">
        <f>$D154*COS($E154+$F154*'25SolarCoords'!J$7)</f>
        <v>-31.929170183185978</v>
      </c>
      <c r="O154" s="23">
        <f>$D154*COS($E154+$F154*'25SolarCoords'!K$7)</f>
        <v>-20.141046400885422</v>
      </c>
      <c r="P154" s="23">
        <f>$D154*COS($E154+$F154*'25SolarCoords'!L$7)</f>
        <v>-1.8154852519024074</v>
      </c>
      <c r="Q154" s="23">
        <f>$D154*COS($E154+$F154*'25SolarCoords'!M$7)</f>
        <v>-31.322116316003864</v>
      </c>
      <c r="R154" s="23">
        <f>$D154*COS($E154+$F154*'25SolarCoords'!N$7)</f>
        <v>5.649254221291697</v>
      </c>
      <c r="S154" s="23">
        <f>$D154*COS($E154+$F154*'25SolarCoords'!O$7)</f>
        <v>-31.527792980030469</v>
      </c>
      <c r="T154" s="23">
        <f>$D154*COS($E154+$F154*'25SolarCoords'!P$7)</f>
        <v>0.55518231059255463</v>
      </c>
      <c r="U154" s="23">
        <f>$D154*COS($E154+$F154*'25SolarCoords'!Q$7)</f>
        <v>29.359661242385911</v>
      </c>
      <c r="V154" s="23">
        <f>$D154*COS($E154+$F154*'25SolarCoords'!R$7)</f>
        <v>29.414354850351376</v>
      </c>
      <c r="W154" s="23">
        <f>$D154*COS($E154+$F154*'25SolarCoords'!S$7)</f>
        <v>-18.180305060465773</v>
      </c>
      <c r="X154" s="23">
        <f>$D154*COS($E154+$F154*'25SolarCoords'!T$7)</f>
        <v>-29.648914026506084</v>
      </c>
      <c r="Y154" s="23">
        <f>$D154*COS($E154+$F154*'25SolarCoords'!U$7)</f>
        <v>-28.718631806478736</v>
      </c>
      <c r="Z154" s="23">
        <f>$D154*COS($E154+$F154*'25SolarCoords'!V$7)</f>
        <v>-17.93854860870179</v>
      </c>
      <c r="AA154" s="23">
        <f>$D154*COS($E154+$F154*'25SolarCoords'!W$7)</f>
        <v>-29.822856801844878</v>
      </c>
      <c r="AB154" s="23">
        <f>$D154*COS($E154+$F154*'25SolarCoords'!X$7)</f>
        <v>-10.260581317708668</v>
      </c>
      <c r="AC154" s="23">
        <f>$D154*COS($E154+$F154*'25SolarCoords'!Y$7)</f>
        <v>25.132282723889979</v>
      </c>
      <c r="AD154" s="23">
        <f>$D154*COS($E154+$F154*'25SolarCoords'!Z$7)</f>
        <v>-13.241668786029972</v>
      </c>
      <c r="AE154" s="23">
        <f>$D154*COS($E154+$F154*'25SolarCoords'!AA$7)</f>
        <v>-20.968839352466507</v>
      </c>
      <c r="AF154" s="23">
        <f>$D154*COS($E154+$F154*'25SolarCoords'!AB$7)</f>
        <v>7.484085562757425</v>
      </c>
      <c r="AG154" s="23">
        <f>$D154*COS($E154+$F154*'25SolarCoords'!AC$7)</f>
        <v>-15.694832151160433</v>
      </c>
      <c r="AH154" s="23">
        <f>$D154*COS($E154+$F154*'25SolarCoords'!AD$7)</f>
        <v>-9.7435259440634159</v>
      </c>
      <c r="AI154" s="23">
        <f>$D154*COS($E154+$F154*'25SolarCoords'!AE$7)</f>
        <v>25.399505327972349</v>
      </c>
      <c r="AJ154" s="23">
        <f>$D154*COS($E154+$F154*'25SolarCoords'!AF$7)</f>
        <v>22.088567300565771</v>
      </c>
      <c r="AK154" s="23">
        <f>$D154*COS($E154+$F154*'25SolarCoords'!AG$7)</f>
        <v>14.440970199231558</v>
      </c>
      <c r="AL154" s="23">
        <f>$D154*COS($E154+$F154*'25SolarCoords'!AH$7)</f>
        <v>-27.808786575773855</v>
      </c>
      <c r="AM154" s="23">
        <f>$D154*COS($E154+$F154*'25SolarCoords'!AI$7)</f>
        <v>-11.68832235564409</v>
      </c>
      <c r="AN154" s="23">
        <f>$D154*COS($E154+$F154*'25SolarCoords'!AJ$7)</f>
        <v>31.091220500294913</v>
      </c>
      <c r="AO154" s="23">
        <f>$D154*COS($E154+$F154*'25SolarCoords'!AK$7)</f>
        <v>30.291737123639756</v>
      </c>
      <c r="AP154" s="23">
        <f>$D154*COS($E154+$F154*'25SolarCoords'!AL$7)</f>
        <v>-11.081682872094998</v>
      </c>
      <c r="AQ154" s="23">
        <f>$D154*COS($E154+$F154*'25SolarCoords'!AM$7)</f>
        <v>18.009838126027212</v>
      </c>
      <c r="AR154" s="23">
        <f>$D154*COS($E154+$F154*'25SolarCoords'!AN$7)</f>
        <v>-9.4557347242208145</v>
      </c>
      <c r="AS154" s="23">
        <f>$D154*COS($E154+$F154*'25SolarCoords'!AO$7)</f>
        <v>12.750587760569029</v>
      </c>
      <c r="AT154" s="23">
        <f>$D154*COS($E154+$F154*'25SolarCoords'!AP$7)</f>
        <v>-17.726852370508805</v>
      </c>
      <c r="AU154" s="23">
        <f>$D154*COS($E154+$F154*'25SolarCoords'!AQ$7)</f>
        <v>-18.530247482956423</v>
      </c>
      <c r="AV154" s="23">
        <f>$D154*COS($E154+$F154*'25SolarCoords'!AR$7)</f>
        <v>-19.299604015837598</v>
      </c>
      <c r="AW154" s="23">
        <f>$D154*COS($E154+$F154*'25SolarCoords'!AS$7)</f>
        <v>-20.148960205725274</v>
      </c>
      <c r="AX154" s="23">
        <f>$D154*COS($E154+$F154*'25SolarCoords'!AT$7)</f>
        <v>-21.681036464698224</v>
      </c>
      <c r="AY154" s="23">
        <f>$D154*COS($E154+$F154*'25SolarCoords'!AU$7)</f>
        <v>31.113801986118904</v>
      </c>
      <c r="AZ154" s="23">
        <f>$D154*COS($E154+$F154*'25SolarCoords'!AV$7)</f>
        <v>30.390995490068764</v>
      </c>
      <c r="BA154" s="23">
        <f>$D154*COS($E154+$F154*'25SolarCoords'!AW$7)</f>
        <v>-13.897658435145104</v>
      </c>
      <c r="BB154" s="23">
        <f>$D154*COS($E154+$F154*'25SolarCoords'!AX$7)</f>
        <v>27.387916162534832</v>
      </c>
      <c r="BC154" s="23">
        <f>$D154*COS($E154+$F154*'25SolarCoords'!AY$7)</f>
        <v>-24.540005986293039</v>
      </c>
      <c r="BD154" s="23">
        <f>$D154*COS($E154+$F154*'25SolarCoords'!AZ$7)</f>
        <v>-24.628468432408695</v>
      </c>
      <c r="BE154" s="23">
        <f>$D154*COS($E154+$F154*'25SolarCoords'!BA$7)</f>
        <v>-24.716471567452153</v>
      </c>
      <c r="BF154" s="23">
        <f>$D154*COS($E154+$F154*'25SolarCoords'!BB$7)</f>
        <v>-24.804013750200049</v>
      </c>
      <c r="BG154" s="23">
        <f>$D154*COS($E154+$F154*'25SolarCoords'!BC$7)</f>
        <v>-24.891093348026025</v>
      </c>
      <c r="BH154" s="23">
        <f>$D154*COS($E154+$F154*'25SolarCoords'!BD$7)</f>
        <v>-24.977708736930314</v>
      </c>
      <c r="BI154" s="23">
        <f>$D154*COS($E154+$F154*'25SolarCoords'!BE$7)</f>
        <v>-25.063858301570463</v>
      </c>
      <c r="BJ154" s="23">
        <f>$D154*COS($E154+$F154*'25SolarCoords'!BF$7)</f>
        <v>-25.149540435291875</v>
      </c>
      <c r="BK154" s="23">
        <f>$D154*COS($E154+$F154*'25SolarCoords'!BG$7)</f>
        <v>25.386793976000924</v>
      </c>
    </row>
    <row r="155" spans="2:63" x14ac:dyDescent="0.25">
      <c r="C155" s="342" t="s">
        <v>807</v>
      </c>
      <c r="D155" s="342"/>
      <c r="E155" s="342"/>
      <c r="F155" s="342"/>
      <c r="H155" s="7"/>
    </row>
    <row r="156" spans="2:63" x14ac:dyDescent="0.25">
      <c r="B156">
        <v>420</v>
      </c>
      <c r="C156" s="19"/>
      <c r="D156" s="19" t="s">
        <v>783</v>
      </c>
      <c r="E156" s="19" t="s">
        <v>781</v>
      </c>
      <c r="F156" s="19" t="s">
        <v>782</v>
      </c>
      <c r="H156" s="7"/>
    </row>
    <row r="157" spans="2:63" x14ac:dyDescent="0.25">
      <c r="C157">
        <f>C156+1</f>
        <v>1</v>
      </c>
      <c r="D157">
        <v>9</v>
      </c>
      <c r="E157">
        <v>3.9</v>
      </c>
      <c r="F157">
        <v>5507.55</v>
      </c>
      <c r="H157" s="7"/>
      <c r="I157" s="23">
        <f>$D157*COS($E157+$F157*'25SolarCoords'!E$7)</f>
        <v>-7.4816696122714488</v>
      </c>
      <c r="J157" s="23">
        <f>$D157*COS($E157+$F157*'25SolarCoords'!F$7)</f>
        <v>-8.9998550532480408</v>
      </c>
      <c r="K157" s="23">
        <f>$D157*COS($E157+$F157*'25SolarCoords'!G$7)</f>
        <v>-6.5333907378012617</v>
      </c>
      <c r="L157" s="23">
        <f>$D157*COS($E157+$F157*'25SolarCoords'!H$7)</f>
        <v>-0.3646106618721956</v>
      </c>
      <c r="M157" s="23">
        <f>$D157*COS($E157+$F157*'25SolarCoords'!I$7)</f>
        <v>-2.090093677764473</v>
      </c>
      <c r="N157" s="23">
        <f>$D157*COS($E157+$F157*'25SolarCoords'!J$7)</f>
        <v>-6.0911878180073158</v>
      </c>
      <c r="O157" s="23">
        <f>$D157*COS($E157+$F157*'25SolarCoords'!K$7)</f>
        <v>4.6660135323324523</v>
      </c>
      <c r="P157" s="23">
        <f>$D157*COS($E157+$F157*'25SolarCoords'!L$7)</f>
        <v>-8.9821085934731464</v>
      </c>
      <c r="Q157" s="23">
        <f>$D157*COS($E157+$F157*'25SolarCoords'!M$7)</f>
        <v>8.8016423247994275</v>
      </c>
      <c r="R157" s="23">
        <f>$D157*COS($E157+$F157*'25SolarCoords'!N$7)</f>
        <v>8.9952313010979381</v>
      </c>
      <c r="S157" s="23">
        <f>$D157*COS($E157+$F157*'25SolarCoords'!O$7)</f>
        <v>6.6044892429041369</v>
      </c>
      <c r="T157" s="23">
        <f>$D157*COS($E157+$F157*'25SolarCoords'!P$7)</f>
        <v>-8.6991502205179021</v>
      </c>
      <c r="U157" s="23">
        <f>$D157*COS($E157+$F157*'25SolarCoords'!Q$7)</f>
        <v>-7.2031103230283327</v>
      </c>
      <c r="V157" s="23">
        <f>$D157*COS($E157+$F157*'25SolarCoords'!R$7)</f>
        <v>-7.1209313104585981</v>
      </c>
      <c r="W157" s="23">
        <f>$D157*COS($E157+$F157*'25SolarCoords'!S$7)</f>
        <v>-8.6211599250278699</v>
      </c>
      <c r="X157" s="23">
        <f>$D157*COS($E157+$F157*'25SolarCoords'!T$7)</f>
        <v>6.1247716181611755</v>
      </c>
      <c r="Y157" s="23">
        <f>$D157*COS($E157+$F157*'25SolarCoords'!U$7)</f>
        <v>-4.6947975827198993</v>
      </c>
      <c r="Z157" s="23">
        <f>$D157*COS($E157+$F157*'25SolarCoords'!V$7)</f>
        <v>1.5333653974460919</v>
      </c>
      <c r="AA157" s="23">
        <f>$D157*COS($E157+$F157*'25SolarCoords'!W$7)</f>
        <v>-8.7512276308512984</v>
      </c>
      <c r="AB157" s="23">
        <f>$D157*COS($E157+$F157*'25SolarCoords'!X$7)</f>
        <v>5.3748416660887726</v>
      </c>
      <c r="AC157" s="23">
        <f>$D157*COS($E157+$F157*'25SolarCoords'!Y$7)</f>
        <v>-8.1777573494852884</v>
      </c>
      <c r="AD157" s="23">
        <f>$D157*COS($E157+$F157*'25SolarCoords'!Z$7)</f>
        <v>3.4247149567083168</v>
      </c>
      <c r="AE157" s="23">
        <f>$D157*COS($E157+$F157*'25SolarCoords'!AA$7)</f>
        <v>-6.5798728607089805</v>
      </c>
      <c r="AF157" s="23">
        <f>$D157*COS($E157+$F157*'25SolarCoords'!AB$7)</f>
        <v>-1.0602849992162793</v>
      </c>
      <c r="AG157" s="23">
        <f>$D157*COS($E157+$F157*'25SolarCoords'!AC$7)</f>
        <v>7.3704797135047047</v>
      </c>
      <c r="AH157" s="23">
        <f>$D157*COS($E157+$F157*'25SolarCoords'!AD$7)</f>
        <v>-6.1462538852507764</v>
      </c>
      <c r="AI157" s="23">
        <f>$D157*COS($E157+$F157*'25SolarCoords'!AE$7)</f>
        <v>-7.9900192245943371</v>
      </c>
      <c r="AJ157" s="23">
        <f>$D157*COS($E157+$F157*'25SolarCoords'!AF$7)</f>
        <v>-8.6678918293386058</v>
      </c>
      <c r="AK157" s="23">
        <f>$D157*COS($E157+$F157*'25SolarCoords'!AG$7)</f>
        <v>-2.4259631392526204</v>
      </c>
      <c r="AL157" s="23">
        <f>$D157*COS($E157+$F157*'25SolarCoords'!AH$7)</f>
        <v>6.2718425233720261</v>
      </c>
      <c r="AM157" s="23">
        <f>$D157*COS($E157+$F157*'25SolarCoords'!AI$7)</f>
        <v>4.1091942403896127</v>
      </c>
      <c r="AN157" s="23">
        <f>$D157*COS($E157+$F157*'25SolarCoords'!AJ$7)</f>
        <v>1.3191714897574938</v>
      </c>
      <c r="AO157" s="23">
        <f>$D157*COS($E157+$F157*'25SolarCoords'!AK$7)</f>
        <v>7.5895040363139863</v>
      </c>
      <c r="AP157" s="23">
        <f>$D157*COS($E157+$F157*'25SolarCoords'!AL$7)</f>
        <v>-8.9541785383239301</v>
      </c>
      <c r="AQ157" s="23">
        <f>$D157*COS($E157+$F157*'25SolarCoords'!AM$7)</f>
        <v>1.0644605348087695</v>
      </c>
      <c r="AR157" s="23">
        <f>$D157*COS($E157+$F157*'25SolarCoords'!AN$7)</f>
        <v>5.2851343411745608</v>
      </c>
      <c r="AS157" s="23">
        <f>$D157*COS($E157+$F157*'25SolarCoords'!AO$7)</f>
        <v>-8.0507122975646368</v>
      </c>
      <c r="AT157" s="23">
        <f>$D157*COS($E157+$F157*'25SolarCoords'!AP$7)</f>
        <v>-8.6096809075103344</v>
      </c>
      <c r="AU157" s="23">
        <f>$D157*COS($E157+$F157*'25SolarCoords'!AQ$7)</f>
        <v>-8.2826037870724232</v>
      </c>
      <c r="AV157" s="23">
        <f>$D157*COS($E157+$F157*'25SolarCoords'!AR$7)</f>
        <v>-7.8719373935854771</v>
      </c>
      <c r="AW157" s="23">
        <f>$D157*COS($E157+$F157*'25SolarCoords'!AS$7)</f>
        <v>-7.3051278188398099</v>
      </c>
      <c r="AX157" s="23">
        <f>$D157*COS($E157+$F157*'25SolarCoords'!AT$7)</f>
        <v>-5.9751186869416948</v>
      </c>
      <c r="AY157" s="23">
        <f>$D157*COS($E157+$F157*'25SolarCoords'!AU$7)</f>
        <v>-3.6640234459562122</v>
      </c>
      <c r="AZ157" s="23">
        <f>$D157*COS($E157+$F157*'25SolarCoords'!AV$7)</f>
        <v>-8.0238771616692333</v>
      </c>
      <c r="BA157" s="23">
        <f>$D157*COS($E157+$F157*'25SolarCoords'!AW$7)</f>
        <v>-5.1190865575920128</v>
      </c>
      <c r="BB157" s="23">
        <f>$D157*COS($E157+$F157*'25SolarCoords'!AX$7)</f>
        <v>3.879155429244221</v>
      </c>
      <c r="BC157" s="23">
        <f>$D157*COS($E157+$F157*'25SolarCoords'!AY$7)</f>
        <v>-2.4323063725842347</v>
      </c>
      <c r="BD157" s="23">
        <f>$D157*COS($E157+$F157*'25SolarCoords'!AZ$7)</f>
        <v>-2.3013751291941658</v>
      </c>
      <c r="BE157" s="23">
        <f>$D157*COS($E157+$F157*'25SolarCoords'!BA$7)</f>
        <v>-2.1699206280960079</v>
      </c>
      <c r="BF157" s="23">
        <f>$D157*COS($E157+$F157*'25SolarCoords'!BB$7)</f>
        <v>-2.0379727577602549</v>
      </c>
      <c r="BG157" s="23">
        <f>$D157*COS($E157+$F157*'25SolarCoords'!BC$7)</f>
        <v>-1.9055615188319979</v>
      </c>
      <c r="BH157" s="23">
        <f>$D157*COS($E157+$F157*'25SolarCoords'!BD$7)</f>
        <v>-1.7727170173119877</v>
      </c>
      <c r="BI157" s="23">
        <f>$D157*COS($E157+$F157*'25SolarCoords'!BE$7)</f>
        <v>-1.6394694577112736</v>
      </c>
      <c r="BJ157" s="23">
        <f>$D157*COS($E157+$F157*'25SolarCoords'!BF$7)</f>
        <v>-1.505849136182678</v>
      </c>
      <c r="BK157" s="23">
        <f>$D157*COS($E157+$F157*'25SolarCoords'!BG$7)</f>
        <v>-7.9994401825514272</v>
      </c>
    </row>
    <row r="158" spans="2:63" x14ac:dyDescent="0.25">
      <c r="C158">
        <f>C157+1</f>
        <v>2</v>
      </c>
      <c r="D158">
        <v>6</v>
      </c>
      <c r="E158">
        <v>1.73</v>
      </c>
      <c r="F158">
        <v>5223.6899999999996</v>
      </c>
      <c r="H158" s="7"/>
      <c r="I158" s="23">
        <f>$D158*COS($E158+$F158*'25SolarCoords'!E$7)</f>
        <v>3.3159773848267324</v>
      </c>
      <c r="J158" s="23">
        <f>$D158*COS($E158+$F158*'25SolarCoords'!F$7)</f>
        <v>-5.8287473840375981</v>
      </c>
      <c r="K158" s="23">
        <f>$D158*COS($E158+$F158*'25SolarCoords'!G$7)</f>
        <v>-0.95119200386518654</v>
      </c>
      <c r="L158" s="23">
        <f>$D158*COS($E158+$F158*'25SolarCoords'!H$7)</f>
        <v>-5.6244745751374525</v>
      </c>
      <c r="M158" s="23">
        <f>$D158*COS($E158+$F158*'25SolarCoords'!I$7)</f>
        <v>-5.9197431881252598</v>
      </c>
      <c r="N158" s="23">
        <f>$D158*COS($E158+$F158*'25SolarCoords'!J$7)</f>
        <v>3.6083382494207443</v>
      </c>
      <c r="O158" s="23">
        <f>$D158*COS($E158+$F158*'25SolarCoords'!K$7)</f>
        <v>-3.732823704296476</v>
      </c>
      <c r="P158" s="23">
        <f>$D158*COS($E158+$F158*'25SolarCoords'!L$7)</f>
        <v>-2.3560016862510551</v>
      </c>
      <c r="Q158" s="23">
        <f>$D158*COS($E158+$F158*'25SolarCoords'!M$7)</f>
        <v>3.857337491253678</v>
      </c>
      <c r="R158" s="23">
        <f>$D158*COS($E158+$F158*'25SolarCoords'!N$7)</f>
        <v>-0.72975361591606447</v>
      </c>
      <c r="S158" s="23">
        <f>$D158*COS($E158+$F158*'25SolarCoords'!O$7)</f>
        <v>-5.558990380891351</v>
      </c>
      <c r="T158" s="23">
        <f>$D158*COS($E158+$F158*'25SolarCoords'!P$7)</f>
        <v>-3.7914474535583835</v>
      </c>
      <c r="U158" s="23">
        <f>$D158*COS($E158+$F158*'25SolarCoords'!Q$7)</f>
        <v>4.306118568081736</v>
      </c>
      <c r="V158" s="23">
        <f>$D158*COS($E158+$F158*'25SolarCoords'!R$7)</f>
        <v>4.2459249558233196</v>
      </c>
      <c r="W158" s="23">
        <f>$D158*COS($E158+$F158*'25SolarCoords'!S$7)</f>
        <v>-4.4762030224274252</v>
      </c>
      <c r="X158" s="23">
        <f>$D158*COS($E158+$F158*'25SolarCoords'!T$7)</f>
        <v>-2.2028274004521906</v>
      </c>
      <c r="Y158" s="23">
        <f>$D158*COS($E158+$F158*'25SolarCoords'!U$7)</f>
        <v>3.9889714902444844</v>
      </c>
      <c r="Z158" s="23">
        <f>$D158*COS($E158+$F158*'25SolarCoords'!V$7)</f>
        <v>4.655399607546264</v>
      </c>
      <c r="AA158" s="23">
        <f>$D158*COS($E158+$F158*'25SolarCoords'!W$7)</f>
        <v>-2.1306465078096126</v>
      </c>
      <c r="AB158" s="23">
        <f>$D158*COS($E158+$F158*'25SolarCoords'!X$7)</f>
        <v>3.6882165952232464</v>
      </c>
      <c r="AC158" s="23">
        <f>$D158*COS($E158+$F158*'25SolarCoords'!Y$7)</f>
        <v>-0.25196009186128959</v>
      </c>
      <c r="AD158" s="23">
        <f>$D158*COS($E158+$F158*'25SolarCoords'!Z$7)</f>
        <v>3.6699217272476687</v>
      </c>
      <c r="AE158" s="23">
        <f>$D158*COS($E158+$F158*'25SolarCoords'!AA$7)</f>
        <v>-0.90880557843824228</v>
      </c>
      <c r="AF158" s="23">
        <f>$D158*COS($E158+$F158*'25SolarCoords'!AB$7)</f>
        <v>-5.6026240496528175</v>
      </c>
      <c r="AG158" s="23">
        <f>$D158*COS($E158+$F158*'25SolarCoords'!AC$7)</f>
        <v>-1.6154162484953345</v>
      </c>
      <c r="AH158" s="23">
        <f>$D158*COS($E158+$F158*'25SolarCoords'!AD$7)</f>
        <v>-5.6750511151205885</v>
      </c>
      <c r="AI158" s="23">
        <f>$D158*COS($E158+$F158*'25SolarCoords'!AE$7)</f>
        <v>-0.52177544243569207</v>
      </c>
      <c r="AJ158" s="23">
        <f>$D158*COS($E158+$F158*'25SolarCoords'!AF$7)</f>
        <v>-5.4121578583760561</v>
      </c>
      <c r="AK158" s="23">
        <f>$D158*COS($E158+$F158*'25SolarCoords'!AG$7)</f>
        <v>-0.90805475691469872</v>
      </c>
      <c r="AL158" s="23">
        <f>$D158*COS($E158+$F158*'25SolarCoords'!AH$7)</f>
        <v>5.3744786203607573</v>
      </c>
      <c r="AM158" s="23">
        <f>$D158*COS($E158+$F158*'25SolarCoords'!AI$7)</f>
        <v>2.9012195760029762</v>
      </c>
      <c r="AN158" s="23">
        <f>$D158*COS($E158+$F158*'25SolarCoords'!AJ$7)</f>
        <v>-0.77381659736044572</v>
      </c>
      <c r="AO158" s="23">
        <f>$D158*COS($E158+$F158*'25SolarCoords'!AK$7)</f>
        <v>5.8727768904134248</v>
      </c>
      <c r="AP158" s="23">
        <f>$D158*COS($E158+$F158*'25SolarCoords'!AL$7)</f>
        <v>-5.6068153373587499</v>
      </c>
      <c r="AQ158" s="23">
        <f>$D158*COS($E158+$F158*'25SolarCoords'!AM$7)</f>
        <v>4.505256926119876</v>
      </c>
      <c r="AR158" s="23">
        <f>$D158*COS($E158+$F158*'25SolarCoords'!AN$7)</f>
        <v>-5.993713164075527</v>
      </c>
      <c r="AS158" s="23">
        <f>$D158*COS($E158+$F158*'25SolarCoords'!AO$7)</f>
        <v>-4.6051644135940881</v>
      </c>
      <c r="AT158" s="23">
        <f>$D158*COS($E158+$F158*'25SolarCoords'!AP$7)</f>
        <v>2.7349801601008354</v>
      </c>
      <c r="AU158" s="23">
        <f>$D158*COS($E158+$F158*'25SolarCoords'!AQ$7)</f>
        <v>2.1831018482949638</v>
      </c>
      <c r="AV158" s="23">
        <f>$D158*COS($E158+$F158*'25SolarCoords'!AR$7)</f>
        <v>1.6216396956165195</v>
      </c>
      <c r="AW158" s="23">
        <f>$D158*COS($E158+$F158*'25SolarCoords'!AS$7)</f>
        <v>0.96795743345299945</v>
      </c>
      <c r="AX158" s="23">
        <f>$D158*COS($E158+$F158*'25SolarCoords'!AT$7)</f>
        <v>-0.2853405661089598</v>
      </c>
      <c r="AY158" s="23">
        <f>$D158*COS($E158+$F158*'25SolarCoords'!AU$7)</f>
        <v>2.8090265803126675</v>
      </c>
      <c r="AZ158" s="23">
        <f>$D158*COS($E158+$F158*'25SolarCoords'!AV$7)</f>
        <v>-3.0507262248821543</v>
      </c>
      <c r="BA158" s="23">
        <f>$D158*COS($E158+$F158*'25SolarCoords'!AW$7)</f>
        <v>0.21000764623263685</v>
      </c>
      <c r="BB158" s="23">
        <f>$D158*COS($E158+$F158*'25SolarCoords'!AX$7)</f>
        <v>0.50677119462005249</v>
      </c>
      <c r="BC158" s="23">
        <f>$D158*COS($E158+$F158*'25SolarCoords'!AY$7)</f>
        <v>-2.7526988263928516</v>
      </c>
      <c r="BD158" s="23">
        <f>$D158*COS($E158+$F158*'25SolarCoords'!AZ$7)</f>
        <v>-2.8286611345142836</v>
      </c>
      <c r="BE158" s="23">
        <f>$D158*COS($E158+$F158*'25SolarCoords'!BA$7)</f>
        <v>-2.9040448833567609</v>
      </c>
      <c r="BF158" s="23">
        <f>$D158*COS($E158+$F158*'25SolarCoords'!BB$7)</f>
        <v>-2.978834654329745</v>
      </c>
      <c r="BG158" s="23">
        <f>$D158*COS($E158+$F158*'25SolarCoords'!BC$7)</f>
        <v>-3.0530151503319924</v>
      </c>
      <c r="BH158" s="23">
        <f>$D158*COS($E158+$F158*'25SolarCoords'!BD$7)</f>
        <v>-3.1265711988801863</v>
      </c>
      <c r="BI158" s="23">
        <f>$D158*COS($E158+$F158*'25SolarCoords'!BE$7)</f>
        <v>-3.1994877552117256</v>
      </c>
      <c r="BJ158" s="23">
        <f>$D158*COS($E158+$F158*'25SolarCoords'!BF$7)</f>
        <v>-3.2717499053627823</v>
      </c>
      <c r="BK158" s="23">
        <f>$D158*COS($E158+$F158*'25SolarCoords'!BG$7)</f>
        <v>-0.50885253957663457</v>
      </c>
    </row>
    <row r="159" spans="2:63" x14ac:dyDescent="0.25">
      <c r="C159" s="342" t="s">
        <v>808</v>
      </c>
      <c r="D159" s="342"/>
      <c r="E159" s="342"/>
      <c r="F159" s="342"/>
      <c r="H159" s="7"/>
    </row>
    <row r="160" spans="2:63" x14ac:dyDescent="0.25">
      <c r="B160">
        <v>420</v>
      </c>
      <c r="C160" s="19"/>
      <c r="D160" s="19" t="s">
        <v>783</v>
      </c>
      <c r="E160" s="19" t="s">
        <v>781</v>
      </c>
      <c r="F160" s="19" t="s">
        <v>782</v>
      </c>
      <c r="H160" s="7"/>
    </row>
    <row r="161" spans="3:63" x14ac:dyDescent="0.25">
      <c r="C161">
        <f t="shared" ref="C161:C200" si="5">C160+1</f>
        <v>1</v>
      </c>
      <c r="D161">
        <v>100013989</v>
      </c>
      <c r="E161">
        <v>0</v>
      </c>
      <c r="F161">
        <v>0</v>
      </c>
      <c r="H161" s="7"/>
      <c r="I161" s="23">
        <f>$D161*COS($E161+$F161*'25SolarCoords'!E$7)</f>
        <v>100013989</v>
      </c>
      <c r="J161" s="23">
        <f>$D161*COS($E161+$F161*'25SolarCoords'!F$7)</f>
        <v>100013989</v>
      </c>
      <c r="K161" s="23">
        <f>$D161*COS($E161+$F161*'25SolarCoords'!G$7)</f>
        <v>100013989</v>
      </c>
      <c r="L161" s="23">
        <f>$D161*COS($E161+$F161*'25SolarCoords'!H$7)</f>
        <v>100013989</v>
      </c>
      <c r="M161" s="23">
        <f>$D161*COS($E161+$F161*'25SolarCoords'!I$7)</f>
        <v>100013989</v>
      </c>
      <c r="N161" s="23">
        <f>$D161*COS($E161+$F161*'25SolarCoords'!J$7)</f>
        <v>100013989</v>
      </c>
      <c r="O161" s="23">
        <f>$D161*COS($E161+$F161*'25SolarCoords'!K$7)</f>
        <v>100013989</v>
      </c>
      <c r="P161" s="23">
        <f>$D161*COS($E161+$F161*'25SolarCoords'!L$7)</f>
        <v>100013989</v>
      </c>
      <c r="Q161" s="23">
        <f>$D161*COS($E161+$F161*'25SolarCoords'!M$7)</f>
        <v>100013989</v>
      </c>
      <c r="R161" s="23">
        <f>$D161*COS($E161+$F161*'25SolarCoords'!N$7)</f>
        <v>100013989</v>
      </c>
      <c r="S161" s="23">
        <f>$D161*COS($E161+$F161*'25SolarCoords'!O$7)</f>
        <v>100013989</v>
      </c>
      <c r="T161" s="23">
        <f>$D161*COS($E161+$F161*'25SolarCoords'!P$7)</f>
        <v>100013989</v>
      </c>
      <c r="U161" s="23">
        <f>$D161*COS($E161+$F161*'25SolarCoords'!Q$7)</f>
        <v>100013989</v>
      </c>
      <c r="V161" s="23">
        <f>$D161*COS($E161+$F161*'25SolarCoords'!R$7)</f>
        <v>100013989</v>
      </c>
      <c r="W161" s="23">
        <f>$D161*COS($E161+$F161*'25SolarCoords'!S$7)</f>
        <v>100013989</v>
      </c>
      <c r="X161" s="23">
        <f>$D161*COS($E161+$F161*'25SolarCoords'!T$7)</f>
        <v>100013989</v>
      </c>
      <c r="Y161" s="23">
        <f>$D161*COS($E161+$F161*'25SolarCoords'!U$7)</f>
        <v>100013989</v>
      </c>
      <c r="Z161" s="23">
        <f>$D161*COS($E161+$F161*'25SolarCoords'!V$7)</f>
        <v>100013989</v>
      </c>
      <c r="AA161" s="23">
        <f>$D161*COS($E161+$F161*'25SolarCoords'!W$7)</f>
        <v>100013989</v>
      </c>
      <c r="AB161" s="23">
        <f>$D161*COS($E161+$F161*'25SolarCoords'!X$7)</f>
        <v>100013989</v>
      </c>
      <c r="AC161" s="23">
        <f>$D161*COS($E161+$F161*'25SolarCoords'!Y$7)</f>
        <v>100013989</v>
      </c>
      <c r="AD161" s="23">
        <f>$D161*COS($E161+$F161*'25SolarCoords'!Z$7)</f>
        <v>100013989</v>
      </c>
      <c r="AE161" s="23">
        <f>$D161*COS($E161+$F161*'25SolarCoords'!AA$7)</f>
        <v>100013989</v>
      </c>
      <c r="AF161" s="23">
        <f>$D161*COS($E161+$F161*'25SolarCoords'!AB$7)</f>
        <v>100013989</v>
      </c>
      <c r="AG161" s="23">
        <f>$D161*COS($E161+$F161*'25SolarCoords'!AC$7)</f>
        <v>100013989</v>
      </c>
      <c r="AH161" s="23">
        <f>$D161*COS($E161+$F161*'25SolarCoords'!AD$7)</f>
        <v>100013989</v>
      </c>
      <c r="AI161" s="23">
        <f>$D161*COS($E161+$F161*'25SolarCoords'!AE$7)</f>
        <v>100013989</v>
      </c>
      <c r="AJ161" s="23">
        <f>$D161*COS($E161+$F161*'25SolarCoords'!AF$7)</f>
        <v>100013989</v>
      </c>
      <c r="AK161" s="23">
        <f>$D161*COS($E161+$F161*'25SolarCoords'!AG$7)</f>
        <v>100013989</v>
      </c>
      <c r="AL161" s="23">
        <f>$D161*COS($E161+$F161*'25SolarCoords'!AH$7)</f>
        <v>100013989</v>
      </c>
      <c r="AM161" s="23">
        <f>$D161*COS($E161+$F161*'25SolarCoords'!AI$7)</f>
        <v>100013989</v>
      </c>
      <c r="AN161" s="23">
        <f>$D161*COS($E161+$F161*'25SolarCoords'!AJ$7)</f>
        <v>100013989</v>
      </c>
      <c r="AO161" s="23">
        <f>$D161*COS($E161+$F161*'25SolarCoords'!AK$7)</f>
        <v>100013989</v>
      </c>
      <c r="AP161" s="23">
        <f>$D161*COS($E161+$F161*'25SolarCoords'!AL$7)</f>
        <v>100013989</v>
      </c>
      <c r="AQ161" s="23">
        <f>$D161*COS($E161+$F161*'25SolarCoords'!AM$7)</f>
        <v>100013989</v>
      </c>
      <c r="AR161" s="23">
        <f>$D161*COS($E161+$F161*'25SolarCoords'!AN$7)</f>
        <v>100013989</v>
      </c>
      <c r="AS161" s="23">
        <f>$D161*COS($E161+$F161*'25SolarCoords'!AO$7)</f>
        <v>100013989</v>
      </c>
      <c r="AT161" s="23">
        <f>$D161*COS($E161+$F161*'25SolarCoords'!AP$7)</f>
        <v>100013989</v>
      </c>
      <c r="AU161" s="23">
        <f>$D161*COS($E161+$F161*'25SolarCoords'!AQ$7)</f>
        <v>100013989</v>
      </c>
      <c r="AV161" s="23">
        <f>$D161*COS($E161+$F161*'25SolarCoords'!AR$7)</f>
        <v>100013989</v>
      </c>
      <c r="AW161" s="23">
        <f>$D161*COS($E161+$F161*'25SolarCoords'!AS$7)</f>
        <v>100013989</v>
      </c>
      <c r="AX161" s="23">
        <f>$D161*COS($E161+$F161*'25SolarCoords'!AT$7)</f>
        <v>100013989</v>
      </c>
      <c r="AY161" s="23">
        <f>$D161*COS($E161+$F161*'25SolarCoords'!AU$7)</f>
        <v>100013989</v>
      </c>
      <c r="AZ161" s="23">
        <f>$D161*COS($E161+$F161*'25SolarCoords'!AV$7)</f>
        <v>100013989</v>
      </c>
      <c r="BA161" s="23">
        <f>$D161*COS($E161+$F161*'25SolarCoords'!AW$7)</f>
        <v>100013989</v>
      </c>
      <c r="BB161" s="23">
        <f>$D161*COS($E161+$F161*'25SolarCoords'!AX$7)</f>
        <v>100013989</v>
      </c>
      <c r="BC161" s="23">
        <f>$D161*COS($E161+$F161*'25SolarCoords'!AY$7)</f>
        <v>100013989</v>
      </c>
      <c r="BD161" s="23">
        <f>$D161*COS($E161+$F161*'25SolarCoords'!AZ$7)</f>
        <v>100013989</v>
      </c>
      <c r="BE161" s="23">
        <f>$D161*COS($E161+$F161*'25SolarCoords'!BA$7)</f>
        <v>100013989</v>
      </c>
      <c r="BF161" s="23">
        <f>$D161*COS($E161+$F161*'25SolarCoords'!BB$7)</f>
        <v>100013989</v>
      </c>
      <c r="BG161" s="23">
        <f>$D161*COS($E161+$F161*'25SolarCoords'!BC$7)</f>
        <v>100013989</v>
      </c>
      <c r="BH161" s="23">
        <f>$D161*COS($E161+$F161*'25SolarCoords'!BD$7)</f>
        <v>100013989</v>
      </c>
      <c r="BI161" s="23">
        <f>$D161*COS($E161+$F161*'25SolarCoords'!BE$7)</f>
        <v>100013989</v>
      </c>
      <c r="BJ161" s="23">
        <f>$D161*COS($E161+$F161*'25SolarCoords'!BF$7)</f>
        <v>100013989</v>
      </c>
      <c r="BK161" s="23">
        <f>$D161*COS($E161+$F161*'25SolarCoords'!BG$7)</f>
        <v>100013989</v>
      </c>
    </row>
    <row r="162" spans="3:63" x14ac:dyDescent="0.25">
      <c r="C162">
        <f t="shared" si="5"/>
        <v>2</v>
      </c>
      <c r="D162">
        <v>1670700</v>
      </c>
      <c r="E162">
        <v>3.0984634999999998</v>
      </c>
      <c r="F162">
        <v>6283.0758500000002</v>
      </c>
      <c r="H162" s="7"/>
      <c r="I162" s="23">
        <f>$D162*COS($E162+$F162*'25SolarCoords'!E$7)</f>
        <v>-25408.77178802211</v>
      </c>
      <c r="J162" s="23">
        <f>$D162*COS($E162+$F162*'25SolarCoords'!F$7)</f>
        <v>-1135969.7803006386</v>
      </c>
      <c r="K162" s="23">
        <f>$D162*COS($E162+$F162*'25SolarCoords'!G$7)</f>
        <v>-1669146.3863575673</v>
      </c>
      <c r="L162" s="23">
        <f>$D162*COS($E162+$F162*'25SolarCoords'!H$7)</f>
        <v>-1668829.8300138423</v>
      </c>
      <c r="M162" s="23">
        <f>$D162*COS($E162+$F162*'25SolarCoords'!I$7)</f>
        <v>-1538003.1364913315</v>
      </c>
      <c r="N162" s="23">
        <f>$D162*COS($E162+$F162*'25SolarCoords'!J$7)</f>
        <v>1609349.6472190784</v>
      </c>
      <c r="O162" s="23">
        <f>$D162*COS($E162+$F162*'25SolarCoords'!K$7)</f>
        <v>-1540865.7855821385</v>
      </c>
      <c r="P162" s="23">
        <f>$D162*COS($E162+$F162*'25SolarCoords'!L$7)</f>
        <v>1614956.2296035676</v>
      </c>
      <c r="Q162" s="23">
        <f>$D162*COS($E162+$F162*'25SolarCoords'!M$7)</f>
        <v>-1670235.4675620499</v>
      </c>
      <c r="R162" s="23">
        <f>$D162*COS($E162+$F162*'25SolarCoords'!N$7)</f>
        <v>-1669107.9832619107</v>
      </c>
      <c r="S162" s="23">
        <f>$D162*COS($E162+$F162*'25SolarCoords'!O$7)</f>
        <v>-1669413.319227732</v>
      </c>
      <c r="T162" s="23">
        <f>$D162*COS($E162+$F162*'25SolarCoords'!P$7)</f>
        <v>725902.94772013358</v>
      </c>
      <c r="U162" s="23">
        <f>$D162*COS($E162+$F162*'25SolarCoords'!Q$7)</f>
        <v>-1541687.2162890097</v>
      </c>
      <c r="V162" s="23">
        <f>$D162*COS($E162+$F162*'25SolarCoords'!R$7)</f>
        <v>-1530385.4645300184</v>
      </c>
      <c r="W162" s="23">
        <f>$D162*COS($E162+$F162*'25SolarCoords'!S$7)</f>
        <v>1291400.8185741049</v>
      </c>
      <c r="X162" s="23">
        <f>$D162*COS($E162+$F162*'25SolarCoords'!T$7)</f>
        <v>-92846.510639861241</v>
      </c>
      <c r="Y162" s="23">
        <f>$D162*COS($E162+$F162*'25SolarCoords'!U$7)</f>
        <v>445859.80480446341</v>
      </c>
      <c r="Z162" s="23">
        <f>$D162*COS($E162+$F162*'25SolarCoords'!V$7)</f>
        <v>-1018545.3091977149</v>
      </c>
      <c r="AA162" s="23">
        <f>$D162*COS($E162+$F162*'25SolarCoords'!W$7)</f>
        <v>143848.08208692863</v>
      </c>
      <c r="AB162" s="23">
        <f>$D162*COS($E162+$F162*'25SolarCoords'!X$7)</f>
        <v>221491.91988799631</v>
      </c>
      <c r="AC162" s="23">
        <f>$D162*COS($E162+$F162*'25SolarCoords'!Y$7)</f>
        <v>-1236252.2472055373</v>
      </c>
      <c r="AD162" s="23">
        <f>$D162*COS($E162+$F162*'25SolarCoords'!Z$7)</f>
        <v>-1668029.6903586725</v>
      </c>
      <c r="AE162" s="23">
        <f>$D162*COS($E162+$F162*'25SolarCoords'!AA$7)</f>
        <v>-1668465.0891461966</v>
      </c>
      <c r="AF162" s="23">
        <f>$D162*COS($E162+$F162*'25SolarCoords'!AB$7)</f>
        <v>1664906.3336558104</v>
      </c>
      <c r="AG162" s="23">
        <f>$D162*COS($E162+$F162*'25SolarCoords'!AC$7)</f>
        <v>-1076247.5717910843</v>
      </c>
      <c r="AH162" s="23">
        <f>$D162*COS($E162+$F162*'25SolarCoords'!AD$7)</f>
        <v>502376.79978071077</v>
      </c>
      <c r="AI162" s="23">
        <f>$D162*COS($E162+$F162*'25SolarCoords'!AE$7)</f>
        <v>-1173549.0502586658</v>
      </c>
      <c r="AJ162" s="23">
        <f>$D162*COS($E162+$F162*'25SolarCoords'!AF$7)</f>
        <v>-1621015.7341669351</v>
      </c>
      <c r="AK162" s="23">
        <f>$D162*COS($E162+$F162*'25SolarCoords'!AG$7)</f>
        <v>-260504.11771265694</v>
      </c>
      <c r="AL162" s="23">
        <f>$D162*COS($E162+$F162*'25SolarCoords'!AH$7)</f>
        <v>-946538.56233292085</v>
      </c>
      <c r="AM162" s="23">
        <f>$D162*COS($E162+$F162*'25SolarCoords'!AI$7)</f>
        <v>-93939.979153412161</v>
      </c>
      <c r="AN162" s="23">
        <f>$D162*COS($E162+$F162*'25SolarCoords'!AJ$7)</f>
        <v>734804.14258346881</v>
      </c>
      <c r="AO162" s="23">
        <f>$D162*COS($E162+$F162*'25SolarCoords'!AK$7)</f>
        <v>-1670669.869093901</v>
      </c>
      <c r="AP162" s="23">
        <f>$D162*COS($E162+$F162*'25SolarCoords'!AL$7)</f>
        <v>409236.20060502249</v>
      </c>
      <c r="AQ162" s="23">
        <f>$D162*COS($E162+$F162*'25SolarCoords'!AM$7)</f>
        <v>1414306.0847351931</v>
      </c>
      <c r="AR162" s="23">
        <f>$D162*COS($E162+$F162*'25SolarCoords'!AN$7)</f>
        <v>48238.728768625413</v>
      </c>
      <c r="AS162" s="23">
        <f>$D162*COS($E162+$F162*'25SolarCoords'!AO$7)</f>
        <v>-1512983.0444682958</v>
      </c>
      <c r="AT162" s="23">
        <f>$D162*COS($E162+$F162*'25SolarCoords'!AP$7)</f>
        <v>257916.4667101485</v>
      </c>
      <c r="AU162" s="23">
        <f>$D162*COS($E162+$F162*'25SolarCoords'!AQ$7)</f>
        <v>56167.705889067271</v>
      </c>
      <c r="AV162" s="23">
        <f>$D162*COS($E162+$F162*'25SolarCoords'!AR$7)</f>
        <v>-142033.05620001839</v>
      </c>
      <c r="AW162" s="23">
        <f>$D162*COS($E162+$F162*'25SolarCoords'!AS$7)</f>
        <v>-363619.4083195157</v>
      </c>
      <c r="AX162" s="23">
        <f>$D162*COS($E162+$F162*'25SolarCoords'!AT$7)</f>
        <v>-758899.68257334828</v>
      </c>
      <c r="AY162" s="23">
        <f>$D162*COS($E162+$F162*'25SolarCoords'!AU$7)</f>
        <v>1397528.3358364485</v>
      </c>
      <c r="AZ162" s="23">
        <f>$D162*COS($E162+$F162*'25SolarCoords'!AV$7)</f>
        <v>902650.35284966126</v>
      </c>
      <c r="BA162" s="23">
        <f>$D162*COS($E162+$F162*'25SolarCoords'!AW$7)</f>
        <v>-1670021.8409425728</v>
      </c>
      <c r="BB162" s="23">
        <f>$D162*COS($E162+$F162*'25SolarCoords'!AX$7)</f>
        <v>305845.68370590982</v>
      </c>
      <c r="BC162" s="23">
        <f>$D162*COS($E162+$F162*'25SolarCoords'!AY$7)</f>
        <v>-1394529.1259910888</v>
      </c>
      <c r="BD162" s="23">
        <f>$D162*COS($E162+$F162*'25SolarCoords'!AZ$7)</f>
        <v>-1410149.1623806395</v>
      </c>
      <c r="BE162" s="23">
        <f>$D162*COS($E162+$F162*'25SolarCoords'!BA$7)</f>
        <v>-1425351.9274842192</v>
      </c>
      <c r="BF162" s="23">
        <f>$D162*COS($E162+$F162*'25SolarCoords'!BB$7)</f>
        <v>-1440132.9227157577</v>
      </c>
      <c r="BG162" s="23">
        <f>$D162*COS($E162+$F162*'25SolarCoords'!BC$7)</f>
        <v>-1454487.7742934001</v>
      </c>
      <c r="BH162" s="23">
        <f>$D162*COS($E162+$F162*'25SolarCoords'!BD$7)</f>
        <v>-1468412.234533587</v>
      </c>
      <c r="BI162" s="23">
        <f>$D162*COS($E162+$F162*'25SolarCoords'!BE$7)</f>
        <v>-1481902.1831080467</v>
      </c>
      <c r="BJ162" s="23">
        <f>$D162*COS($E162+$F162*'25SolarCoords'!BF$7)</f>
        <v>-1494953.6282630644</v>
      </c>
      <c r="BK162" s="23">
        <f>$D162*COS($E162+$F162*'25SolarCoords'!BG$7)</f>
        <v>-1176637.0793071589</v>
      </c>
    </row>
    <row r="163" spans="3:63" x14ac:dyDescent="0.25">
      <c r="C163">
        <f t="shared" si="5"/>
        <v>3</v>
      </c>
      <c r="D163">
        <v>13956</v>
      </c>
      <c r="E163">
        <v>3.05525</v>
      </c>
      <c r="F163">
        <v>12566.1517</v>
      </c>
      <c r="H163" s="7"/>
      <c r="I163" s="23">
        <f>$D163*COS($E163+$F163*'25SolarCoords'!E$7)</f>
        <v>13949.579783351031</v>
      </c>
      <c r="J163" s="23">
        <f>$D163*COS($E163+$F163*'25SolarCoords'!F$7)</f>
        <v>1050.7307331521724</v>
      </c>
      <c r="K163" s="23">
        <f>$D163*COS($E163+$F163*'25SolarCoords'!G$7)</f>
        <v>-13904.010944858355</v>
      </c>
      <c r="L163" s="23">
        <f>$D163*COS($E163+$F163*'25SolarCoords'!H$7)</f>
        <v>-13893.434688553265</v>
      </c>
      <c r="M163" s="23">
        <f>$D163*COS($E163+$F163*'25SolarCoords'!I$7)</f>
        <v>-9699.0567306618377</v>
      </c>
      <c r="N163" s="23">
        <f>$D163*COS($E163+$F163*'25SolarCoords'!J$7)</f>
        <v>-11943.096757292171</v>
      </c>
      <c r="O163" s="23">
        <f>$D163*COS($E163+$F163*'25SolarCoords'!K$7)</f>
        <v>-9787.1854805255425</v>
      </c>
      <c r="P163" s="23">
        <f>$D163*COS($E163+$F163*'25SolarCoords'!L$7)</f>
        <v>-12123.893599453937</v>
      </c>
      <c r="Q163" s="23">
        <f>$D163*COS($E163+$F163*'25SolarCoords'!M$7)</f>
        <v>-13940.424937054398</v>
      </c>
      <c r="R163" s="23">
        <f>$D163*COS($E163+$F163*'25SolarCoords'!N$7)</f>
        <v>-13902.933036510502</v>
      </c>
      <c r="S163" s="23">
        <f>$D163*COS($E163+$F163*'25SolarCoords'!O$7)</f>
        <v>-13913.11625553253</v>
      </c>
      <c r="T163" s="23">
        <f>$D163*COS($E163+$F163*'25SolarCoords'!P$7)</f>
        <v>8687.64304763359</v>
      </c>
      <c r="U163" s="23">
        <f>$D163*COS($E163+$F163*'25SolarCoords'!Q$7)</f>
        <v>-9812.5040621820553</v>
      </c>
      <c r="V163" s="23">
        <f>$D163*COS($E163+$F163*'25SolarCoords'!R$7)</f>
        <v>-9465.3387941221099</v>
      </c>
      <c r="W163" s="23">
        <f>$D163*COS($E163+$F163*'25SolarCoords'!S$7)</f>
        <v>-2722.0853109111981</v>
      </c>
      <c r="X163" s="23">
        <f>$D163*COS($E163+$F163*'25SolarCoords'!T$7)</f>
        <v>13869.665760981463</v>
      </c>
      <c r="Y163" s="23">
        <f>$D163*COS($E163+$F163*'25SolarCoords'!U$7)</f>
        <v>11967.512214774968</v>
      </c>
      <c r="Z163" s="23">
        <f>$D163*COS($E163+$F163*'25SolarCoords'!V$7)</f>
        <v>3580.6598665459424</v>
      </c>
      <c r="AA163" s="23">
        <f>$D163*COS($E163+$F163*'25SolarCoords'!W$7)</f>
        <v>13749.282048910854</v>
      </c>
      <c r="AB163" s="23">
        <f>$D163*COS($E163+$F163*'25SolarCoords'!X$7)</f>
        <v>13465.729372972322</v>
      </c>
      <c r="AC163" s="23">
        <f>$D163*COS($E163+$F163*'25SolarCoords'!Y$7)</f>
        <v>-1328.1572389038113</v>
      </c>
      <c r="AD163" s="23">
        <f>$D163*COS($E163+$F163*'25SolarCoords'!Z$7)</f>
        <v>-13866.713917125162</v>
      </c>
      <c r="AE163" s="23">
        <f>$D163*COS($E163+$F163*'25SolarCoords'!AA$7)</f>
        <v>-13881.252046594374</v>
      </c>
      <c r="AF163" s="23">
        <f>$D163*COS($E163+$F163*'25SolarCoords'!AB$7)</f>
        <v>-13762.553498790016</v>
      </c>
      <c r="AG163" s="23">
        <f>$D163*COS($E163+$F163*'25SolarCoords'!AC$7)</f>
        <v>2374.2313557146272</v>
      </c>
      <c r="AH163" s="23">
        <f>$D163*COS($E163+$F163*'25SolarCoords'!AD$7)</f>
        <v>11432.885436150807</v>
      </c>
      <c r="AI163" s="23">
        <f>$D163*COS($E163+$F163*'25SolarCoords'!AE$7)</f>
        <v>182.83914200605162</v>
      </c>
      <c r="AJ163" s="23">
        <f>$D163*COS($E163+$F163*'25SolarCoords'!AF$7)</f>
        <v>-12320.004784886272</v>
      </c>
      <c r="AK163" s="23">
        <f>$D163*COS($E163+$F163*'25SolarCoords'!AG$7)</f>
        <v>13277.747958272055</v>
      </c>
      <c r="AL163" s="23">
        <f>$D163*COS($E163+$F163*'25SolarCoords'!AH$7)</f>
        <v>4995.6719253697356</v>
      </c>
      <c r="AM163" s="23">
        <f>$D163*COS($E163+$F163*'25SolarCoords'!AI$7)</f>
        <v>13867.621804063518</v>
      </c>
      <c r="AN163" s="23">
        <f>$D163*COS($E163+$F163*'25SolarCoords'!AJ$7)</f>
        <v>8557.6330723980682</v>
      </c>
      <c r="AO163" s="23">
        <f>$D163*COS($E163+$F163*'25SolarCoords'!AK$7)</f>
        <v>-13954.979040194992</v>
      </c>
      <c r="AP163" s="23">
        <f>$D163*COS($E163+$F163*'25SolarCoords'!AL$7)</f>
        <v>12280.721261707286</v>
      </c>
      <c r="AQ163" s="23">
        <f>$D163*COS($E163+$F163*'25SolarCoords'!AM$7)</f>
        <v>-6047.4020919930845</v>
      </c>
      <c r="AR163" s="23">
        <f>$D163*COS($E163+$F163*'25SolarCoords'!AN$7)</f>
        <v>13932.79846934237</v>
      </c>
      <c r="AS163" s="23">
        <f>$D163*COS($E163+$F163*'25SolarCoords'!AO$7)</f>
        <v>-8935.7655084047274</v>
      </c>
      <c r="AT163" s="23">
        <f>$D163*COS($E163+$F163*'25SolarCoords'!AP$7)</f>
        <v>13290.441000051776</v>
      </c>
      <c r="AU163" s="23">
        <f>$D163*COS($E163+$F163*'25SolarCoords'!AQ$7)</f>
        <v>13924.373169335087</v>
      </c>
      <c r="AV163" s="23">
        <f>$D163*COS($E163+$F163*'25SolarCoords'!AR$7)</f>
        <v>13754.468264521602</v>
      </c>
      <c r="AW163" s="23">
        <f>$D163*COS($E163+$F163*'25SolarCoords'!AS$7)</f>
        <v>12634.32755976835</v>
      </c>
      <c r="AX163" s="23">
        <f>$D163*COS($E163+$F163*'25SolarCoords'!AT$7)</f>
        <v>8197.744820156935</v>
      </c>
      <c r="AY163" s="23">
        <f>$D163*COS($E163+$F163*'25SolarCoords'!AU$7)</f>
        <v>-5573.5059998991219</v>
      </c>
      <c r="AZ163" s="23">
        <f>$D163*COS($E163+$F163*'25SolarCoords'!AV$7)</f>
        <v>5807.2653925285176</v>
      </c>
      <c r="BA163" s="23">
        <f>$D163*COS($E163+$F163*'25SolarCoords'!AW$7)</f>
        <v>-13933.411900454441</v>
      </c>
      <c r="BB163" s="23">
        <f>$D163*COS($E163+$F163*'25SolarCoords'!AX$7)</f>
        <v>13021.020731314131</v>
      </c>
      <c r="BC163" s="23">
        <f>$D163*COS($E163+$F163*'25SolarCoords'!AY$7)</f>
        <v>-5489.7644426429542</v>
      </c>
      <c r="BD163" s="23">
        <f>$D163*COS($E163+$F163*'25SolarCoords'!AZ$7)</f>
        <v>-5927.8667402569381</v>
      </c>
      <c r="BE163" s="23">
        <f>$D163*COS($E163+$F163*'25SolarCoords'!BA$7)</f>
        <v>-6358.9531968211822</v>
      </c>
      <c r="BF163" s="23">
        <f>$D163*COS($E163+$F163*'25SolarCoords'!BB$7)</f>
        <v>-6782.5136061865651</v>
      </c>
      <c r="BG163" s="23">
        <f>$D163*COS($E163+$F163*'25SolarCoords'!BC$7)</f>
        <v>-7198.0466695505011</v>
      </c>
      <c r="BH163" s="23">
        <f>$D163*COS($E163+$F163*'25SolarCoords'!BD$7)</f>
        <v>-7605.0605887577012</v>
      </c>
      <c r="BI163" s="23">
        <f>$D163*COS($E163+$F163*'25SolarCoords'!BE$7)</f>
        <v>-8003.0736483629362</v>
      </c>
      <c r="BJ163" s="23">
        <f>$D163*COS($E163+$F163*'25SolarCoords'!BF$7)</f>
        <v>-8391.6147857596679</v>
      </c>
      <c r="BK163" s="23">
        <f>$D163*COS($E163+$F163*'25SolarCoords'!BG$7)</f>
        <v>110.26564786012108</v>
      </c>
    </row>
    <row r="164" spans="3:63" x14ac:dyDescent="0.25">
      <c r="C164">
        <f t="shared" si="5"/>
        <v>4</v>
      </c>
      <c r="D164">
        <v>3084</v>
      </c>
      <c r="E164">
        <v>5.1985000000000001</v>
      </c>
      <c r="F164">
        <v>77713.771500000003</v>
      </c>
      <c r="H164" s="7"/>
      <c r="I164" s="23">
        <f>$D164*COS($E164+$F164*'25SolarCoords'!E$7)</f>
        <v>-2005.4763980613693</v>
      </c>
      <c r="J164" s="23">
        <f>$D164*COS($E164+$F164*'25SolarCoords'!F$7)</f>
        <v>1527.169625630389</v>
      </c>
      <c r="K164" s="23">
        <f>$D164*COS($E164+$F164*'25SolarCoords'!G$7)</f>
        <v>1440.8169290672879</v>
      </c>
      <c r="L164" s="23">
        <f>$D164*COS($E164+$F164*'25SolarCoords'!H$7)</f>
        <v>-2935.2676444176423</v>
      </c>
      <c r="M164" s="23">
        <f>$D164*COS($E164+$F164*'25SolarCoords'!I$7)</f>
        <v>2587.6138377055581</v>
      </c>
      <c r="N164" s="23">
        <f>$D164*COS($E164+$F164*'25SolarCoords'!J$7)</f>
        <v>344.40553225430784</v>
      </c>
      <c r="O164" s="23">
        <f>$D164*COS($E164+$F164*'25SolarCoords'!K$7)</f>
        <v>-357.82428070642749</v>
      </c>
      <c r="P164" s="23">
        <f>$D164*COS($E164+$F164*'25SolarCoords'!L$7)</f>
        <v>1623.9395082778001</v>
      </c>
      <c r="Q164" s="23">
        <f>$D164*COS($E164+$F164*'25SolarCoords'!M$7)</f>
        <v>3079.2986564701773</v>
      </c>
      <c r="R164" s="23">
        <f>$D164*COS($E164+$F164*'25SolarCoords'!N$7)</f>
        <v>-3083.9934801099275</v>
      </c>
      <c r="S164" s="23">
        <f>$D164*COS($E164+$F164*'25SolarCoords'!O$7)</f>
        <v>1961.8984194121576</v>
      </c>
      <c r="T164" s="23">
        <f>$D164*COS($E164+$F164*'25SolarCoords'!P$7)</f>
        <v>2999.8928088176635</v>
      </c>
      <c r="U164" s="23">
        <f>$D164*COS($E164+$F164*'25SolarCoords'!Q$7)</f>
        <v>744.47644568883459</v>
      </c>
      <c r="V164" s="23">
        <f>$D164*COS($E164+$F164*'25SolarCoords'!R$7)</f>
        <v>95.709406960697322</v>
      </c>
      <c r="W164" s="23">
        <f>$D164*COS($E164+$F164*'25SolarCoords'!S$7)</f>
        <v>756.76556489291181</v>
      </c>
      <c r="X164" s="23">
        <f>$D164*COS($E164+$F164*'25SolarCoords'!T$7)</f>
        <v>-1718.3123106021897</v>
      </c>
      <c r="Y164" s="23">
        <f>$D164*COS($E164+$F164*'25SolarCoords'!U$7)</f>
        <v>2937.6062091713902</v>
      </c>
      <c r="Z164" s="23">
        <f>$D164*COS($E164+$F164*'25SolarCoords'!V$7)</f>
        <v>-1165.5308797590076</v>
      </c>
      <c r="AA164" s="23">
        <f>$D164*COS($E164+$F164*'25SolarCoords'!W$7)</f>
        <v>-2254.1752165483881</v>
      </c>
      <c r="AB164" s="23">
        <f>$D164*COS($E164+$F164*'25SolarCoords'!X$7)</f>
        <v>-1246.7105920253553</v>
      </c>
      <c r="AC164" s="23">
        <f>$D164*COS($E164+$F164*'25SolarCoords'!Y$7)</f>
        <v>2293.5800391130088</v>
      </c>
      <c r="AD164" s="23">
        <f>$D164*COS($E164+$F164*'25SolarCoords'!Z$7)</f>
        <v>3043.5857336643498</v>
      </c>
      <c r="AE164" s="23">
        <f>$D164*COS($E164+$F164*'25SolarCoords'!AA$7)</f>
        <v>1143.1358512543543</v>
      </c>
      <c r="AF164" s="23">
        <f>$D164*COS($E164+$F164*'25SolarCoords'!AB$7)</f>
        <v>3030.5333555082029</v>
      </c>
      <c r="AG164" s="23">
        <f>$D164*COS($E164+$F164*'25SolarCoords'!AC$7)</f>
        <v>-2957.8396249321668</v>
      </c>
      <c r="AH164" s="23">
        <f>$D164*COS($E164+$F164*'25SolarCoords'!AD$7)</f>
        <v>1300.0740017490934</v>
      </c>
      <c r="AI164" s="23">
        <f>$D164*COS($E164+$F164*'25SolarCoords'!AE$7)</f>
        <v>3078.1247844276409</v>
      </c>
      <c r="AJ164" s="23">
        <f>$D164*COS($E164+$F164*'25SolarCoords'!AF$7)</f>
        <v>1808.9386233022017</v>
      </c>
      <c r="AK164" s="23">
        <f>$D164*COS($E164+$F164*'25SolarCoords'!AG$7)</f>
        <v>-2950.1543550111269</v>
      </c>
      <c r="AL164" s="23">
        <f>$D164*COS($E164+$F164*'25SolarCoords'!AH$7)</f>
        <v>-3083.9998380578249</v>
      </c>
      <c r="AM164" s="23">
        <f>$D164*COS($E164+$F164*'25SolarCoords'!AI$7)</f>
        <v>2893.3069830321729</v>
      </c>
      <c r="AN164" s="23">
        <f>$D164*COS($E164+$F164*'25SolarCoords'!AJ$7)</f>
        <v>-1307.8348626636005</v>
      </c>
      <c r="AO164" s="23">
        <f>$D164*COS($E164+$F164*'25SolarCoords'!AK$7)</f>
        <v>740.84060670802069</v>
      </c>
      <c r="AP164" s="23">
        <f>$D164*COS($E164+$F164*'25SolarCoords'!AL$7)</f>
        <v>3071.7081606187762</v>
      </c>
      <c r="AQ164" s="23">
        <f>$D164*COS($E164+$F164*'25SolarCoords'!AM$7)</f>
        <v>2796.8825955631937</v>
      </c>
      <c r="AR164" s="23">
        <f>$D164*COS($E164+$F164*'25SolarCoords'!AN$7)</f>
        <v>2858.04870691423</v>
      </c>
      <c r="AS164" s="23">
        <f>$D164*COS($E164+$F164*'25SolarCoords'!AO$7)</f>
        <v>-1804.0896745023692</v>
      </c>
      <c r="AT164" s="23">
        <f>$D164*COS($E164+$F164*'25SolarCoords'!AP$7)</f>
        <v>3083.0888059288241</v>
      </c>
      <c r="AU164" s="23">
        <f>$D164*COS($E164+$F164*'25SolarCoords'!AQ$7)</f>
        <v>289.17528793292422</v>
      </c>
      <c r="AV164" s="23">
        <f>$D164*COS($E164+$F164*'25SolarCoords'!AR$7)</f>
        <v>-3024.9486487228137</v>
      </c>
      <c r="AW164" s="23">
        <f>$D164*COS($E164+$F164*'25SolarCoords'!AS$7)</f>
        <v>-325.91199473606611</v>
      </c>
      <c r="AX164" s="23">
        <f>$D164*COS($E164+$F164*'25SolarCoords'!AT$7)</f>
        <v>396.96985446521876</v>
      </c>
      <c r="AY164" s="23">
        <f>$D164*COS($E164+$F164*'25SolarCoords'!AU$7)</f>
        <v>3083.9182254926895</v>
      </c>
      <c r="AZ164" s="23">
        <f>$D164*COS($E164+$F164*'25SolarCoords'!AV$7)</f>
        <v>2982.2117823252311</v>
      </c>
      <c r="BA164" s="23">
        <f>$D164*COS($E164+$F164*'25SolarCoords'!AW$7)</f>
        <v>3083.9985694906422</v>
      </c>
      <c r="BB164" s="23">
        <f>$D164*COS($E164+$F164*'25SolarCoords'!AX$7)</f>
        <v>-3076.9325316389218</v>
      </c>
      <c r="BC164" s="23">
        <f>$D164*COS($E164+$F164*'25SolarCoords'!AY$7)</f>
        <v>90.043912460361526</v>
      </c>
      <c r="BD164" s="23">
        <f>$D164*COS($E164+$F164*'25SolarCoords'!AZ$7)</f>
        <v>-562.94790896820916</v>
      </c>
      <c r="BE164" s="23">
        <f>$D164*COS($E164+$F164*'25SolarCoords'!BA$7)</f>
        <v>-1190.5507815962708</v>
      </c>
      <c r="BF164" s="23">
        <f>$D164*COS($E164+$F164*'25SolarCoords'!BB$7)</f>
        <v>-1764.4598179792022</v>
      </c>
      <c r="BG164" s="23">
        <f>$D164*COS($E164+$F164*'25SolarCoords'!BC$7)</f>
        <v>-2258.7917225081901</v>
      </c>
      <c r="BH164" s="23">
        <f>$D164*COS($E164+$F164*'25SolarCoords'!BD$7)</f>
        <v>-2651.2521279514376</v>
      </c>
      <c r="BI164" s="23">
        <f>$D164*COS($E164+$F164*'25SolarCoords'!BE$7)</f>
        <v>-2924.1410713436089</v>
      </c>
      <c r="BJ164" s="23">
        <f>$D164*COS($E164+$F164*'25SolarCoords'!BF$7)</f>
        <v>-3065.1512622563937</v>
      </c>
      <c r="BK164" s="23">
        <f>$D164*COS($E164+$F164*'25SolarCoords'!BG$7)</f>
        <v>3070.41454465079</v>
      </c>
    </row>
    <row r="165" spans="3:63" x14ac:dyDescent="0.25">
      <c r="C165">
        <f t="shared" si="5"/>
        <v>5</v>
      </c>
      <c r="D165">
        <v>1628</v>
      </c>
      <c r="E165">
        <v>1.1738999999999999</v>
      </c>
      <c r="F165">
        <v>5753.3849</v>
      </c>
      <c r="H165" s="7"/>
      <c r="I165" s="23">
        <f>$D165*COS($E165+$F165*'25SolarCoords'!E$7)</f>
        <v>-1626.3366866222586</v>
      </c>
      <c r="J165" s="23">
        <f>$D165*COS($E165+$F165*'25SolarCoords'!F$7)</f>
        <v>944.58012473604219</v>
      </c>
      <c r="K165" s="23">
        <f>$D165*COS($E165+$F165*'25SolarCoords'!G$7)</f>
        <v>629.31609673985486</v>
      </c>
      <c r="L165" s="23">
        <f>$D165*COS($E165+$F165*'25SolarCoords'!H$7)</f>
        <v>-209.37529032239399</v>
      </c>
      <c r="M165" s="23">
        <f>$D165*COS($E165+$F165*'25SolarCoords'!I$7)</f>
        <v>-936.54106213300224</v>
      </c>
      <c r="N165" s="23">
        <f>$D165*COS($E165+$F165*'25SolarCoords'!J$7)</f>
        <v>-431.50541171600702</v>
      </c>
      <c r="O165" s="23">
        <f>$D165*COS($E165+$F165*'25SolarCoords'!K$7)</f>
        <v>-128.7978817868923</v>
      </c>
      <c r="P165" s="23">
        <f>$D165*COS($E165+$F165*'25SolarCoords'!L$7)</f>
        <v>-1152.1440579932157</v>
      </c>
      <c r="Q165" s="23">
        <f>$D165*COS($E165+$F165*'25SolarCoords'!M$7)</f>
        <v>-1185.9141561282065</v>
      </c>
      <c r="R165" s="23">
        <f>$D165*COS($E165+$F165*'25SolarCoords'!N$7)</f>
        <v>1432.6990166217788</v>
      </c>
      <c r="S165" s="23">
        <f>$D165*COS($E165+$F165*'25SolarCoords'!O$7)</f>
        <v>840.08353580589755</v>
      </c>
      <c r="T165" s="23">
        <f>$D165*COS($E165+$F165*'25SolarCoords'!P$7)</f>
        <v>-1591.92886472238</v>
      </c>
      <c r="U165" s="23">
        <f>$D165*COS($E165+$F165*'25SolarCoords'!Q$7)</f>
        <v>1000.1842213553734</v>
      </c>
      <c r="V165" s="23">
        <f>$D165*COS($E165+$F165*'25SolarCoords'!R$7)</f>
        <v>979.82718734637774</v>
      </c>
      <c r="W165" s="23">
        <f>$D165*COS($E165+$F165*'25SolarCoords'!S$7)</f>
        <v>-834.57804390872127</v>
      </c>
      <c r="X165" s="23">
        <f>$D165*COS($E165+$F165*'25SolarCoords'!T$7)</f>
        <v>-758.56088473987575</v>
      </c>
      <c r="Y165" s="23">
        <f>$D165*COS($E165+$F165*'25SolarCoords'!U$7)</f>
        <v>855.23205649470754</v>
      </c>
      <c r="Z165" s="23">
        <f>$D165*COS($E165+$F165*'25SolarCoords'!V$7)</f>
        <v>714.96550593201721</v>
      </c>
      <c r="AA165" s="23">
        <f>$D165*COS($E165+$F165*'25SolarCoords'!W$7)</f>
        <v>-1598.0759549607328</v>
      </c>
      <c r="AB165" s="23">
        <f>$D165*COS($E165+$F165*'25SolarCoords'!X$7)</f>
        <v>1215.381336810573</v>
      </c>
      <c r="AC165" s="23">
        <f>$D165*COS($E165+$F165*'25SolarCoords'!Y$7)</f>
        <v>105.88143845792453</v>
      </c>
      <c r="AD165" s="23">
        <f>$D165*COS($E165+$F165*'25SolarCoords'!Z$7)</f>
        <v>-1608.7219856865227</v>
      </c>
      <c r="AE165" s="23">
        <f>$D165*COS($E165+$F165*'25SolarCoords'!AA$7)</f>
        <v>641.12179033397911</v>
      </c>
      <c r="AF165" s="23">
        <f>$D165*COS($E165+$F165*'25SolarCoords'!AB$7)</f>
        <v>-1618.9091552952545</v>
      </c>
      <c r="AG165" s="23">
        <f>$D165*COS($E165+$F165*'25SolarCoords'!AC$7)</f>
        <v>842.73783436043016</v>
      </c>
      <c r="AH165" s="23">
        <f>$D165*COS($E165+$F165*'25SolarCoords'!AD$7)</f>
        <v>-1612.7603238983513</v>
      </c>
      <c r="AI165" s="23">
        <f>$D165*COS($E165+$F165*'25SolarCoords'!AE$7)</f>
        <v>25.14660327136745</v>
      </c>
      <c r="AJ165" s="23">
        <f>$D165*COS($E165+$F165*'25SolarCoords'!AF$7)</f>
        <v>-24.371983872367732</v>
      </c>
      <c r="AK165" s="23">
        <f>$D165*COS($E165+$F165*'25SolarCoords'!AG$7)</f>
        <v>-1440.4819197507936</v>
      </c>
      <c r="AL165" s="23">
        <f>$D165*COS($E165+$F165*'25SolarCoords'!AH$7)</f>
        <v>1357.8735831516633</v>
      </c>
      <c r="AM165" s="23">
        <f>$D165*COS($E165+$F165*'25SolarCoords'!AI$7)</f>
        <v>1383.9245813543871</v>
      </c>
      <c r="AN165" s="23">
        <f>$D165*COS($E165+$F165*'25SolarCoords'!AJ$7)</f>
        <v>1433.7593159193543</v>
      </c>
      <c r="AO165" s="23">
        <f>$D165*COS($E165+$F165*'25SolarCoords'!AK$7)</f>
        <v>-1587.3439518856208</v>
      </c>
      <c r="AP165" s="23">
        <f>$D165*COS($E165+$F165*'25SolarCoords'!AL$7)</f>
        <v>-628.97620114676101</v>
      </c>
      <c r="AQ165" s="23">
        <f>$D165*COS($E165+$F165*'25SolarCoords'!AM$7)</f>
        <v>1342.108655821454</v>
      </c>
      <c r="AR165" s="23">
        <f>$D165*COS($E165+$F165*'25SolarCoords'!AN$7)</f>
        <v>-1456.3183886463701</v>
      </c>
      <c r="AS165" s="23">
        <f>$D165*COS($E165+$F165*'25SolarCoords'!AO$7)</f>
        <v>319.619363339546</v>
      </c>
      <c r="AT165" s="23">
        <f>$D165*COS($E165+$F165*'25SolarCoords'!AP$7)</f>
        <v>1627.782161154448</v>
      </c>
      <c r="AU165" s="23">
        <f>$D165*COS($E165+$F165*'25SolarCoords'!AQ$7)</f>
        <v>1614.7858244889119</v>
      </c>
      <c r="AV165" s="23">
        <f>$D165*COS($E165+$F165*'25SolarCoords'!AR$7)</f>
        <v>1582.7860730302559</v>
      </c>
      <c r="AW165" s="23">
        <f>$D165*COS($E165+$F165*'25SolarCoords'!AS$7)</f>
        <v>1524.1024190185992</v>
      </c>
      <c r="AX165" s="23">
        <f>$D165*COS($E165+$F165*'25SolarCoords'!AT$7)</f>
        <v>1352.7199765762648</v>
      </c>
      <c r="AY165" s="23">
        <f>$D165*COS($E165+$F165*'25SolarCoords'!AU$7)</f>
        <v>895.21433786827868</v>
      </c>
      <c r="AZ165" s="23">
        <f>$D165*COS($E165+$F165*'25SolarCoords'!AV$7)</f>
        <v>1549.5186423461648</v>
      </c>
      <c r="BA165" s="23">
        <f>$D165*COS($E165+$F165*'25SolarCoords'!AW$7)</f>
        <v>-720.29486852747436</v>
      </c>
      <c r="BB165" s="23">
        <f>$D165*COS($E165+$F165*'25SolarCoords'!AX$7)</f>
        <v>1455.3510903105814</v>
      </c>
      <c r="BC165" s="23">
        <f>$D165*COS($E165+$F165*'25SolarCoords'!AY$7)</f>
        <v>792.16852987268851</v>
      </c>
      <c r="BD165" s="23">
        <f>$D165*COS($E165+$F165*'25SolarCoords'!AZ$7)</f>
        <v>769.6677068238746</v>
      </c>
      <c r="BE165" s="23">
        <f>$D165*COS($E165+$F165*'25SolarCoords'!BA$7)</f>
        <v>746.97591573344755</v>
      </c>
      <c r="BF165" s="23">
        <f>$D165*COS($E165+$F165*'25SolarCoords'!BB$7)</f>
        <v>724.09878683230704</v>
      </c>
      <c r="BG165" s="23">
        <f>$D165*COS($E165+$F165*'25SolarCoords'!BC$7)</f>
        <v>701.04199633695168</v>
      </c>
      <c r="BH165" s="23">
        <f>$D165*COS($E165+$F165*'25SolarCoords'!BD$7)</f>
        <v>677.8112650409023</v>
      </c>
      <c r="BI165" s="23">
        <f>$D165*COS($E165+$F165*'25SolarCoords'!BE$7)</f>
        <v>654.41235689573273</v>
      </c>
      <c r="BJ165" s="23">
        <f>$D165*COS($E165+$F165*'25SolarCoords'!BF$7)</f>
        <v>630.85107758034474</v>
      </c>
      <c r="BK165" s="23">
        <f>$D165*COS($E165+$F165*'25SolarCoords'!BG$7)</f>
        <v>29.022362834977727</v>
      </c>
    </row>
    <row r="166" spans="3:63" x14ac:dyDescent="0.25">
      <c r="C166">
        <f t="shared" si="5"/>
        <v>6</v>
      </c>
      <c r="D166">
        <v>1576</v>
      </c>
      <c r="E166">
        <v>2.8469000000000002</v>
      </c>
      <c r="F166">
        <v>7860.4193999999998</v>
      </c>
      <c r="H166" s="7"/>
      <c r="I166" s="23">
        <f>$D166*COS($E166+$F166*'25SolarCoords'!E$7)</f>
        <v>-1226.833626275851</v>
      </c>
      <c r="J166" s="23">
        <f>$D166*COS($E166+$F166*'25SolarCoords'!F$7)</f>
        <v>1069.901473171318</v>
      </c>
      <c r="K166" s="23">
        <f>$D166*COS($E166+$F166*'25SolarCoords'!G$7)</f>
        <v>-1508.0609330456639</v>
      </c>
      <c r="L166" s="23">
        <f>$D166*COS($E166+$F166*'25SolarCoords'!H$7)</f>
        <v>475.53230724797243</v>
      </c>
      <c r="M166" s="23">
        <f>$D166*COS($E166+$F166*'25SolarCoords'!I$7)</f>
        <v>-275.59439617101259</v>
      </c>
      <c r="N166" s="23">
        <f>$D166*COS($E166+$F166*'25SolarCoords'!J$7)</f>
        <v>192.4127506775946</v>
      </c>
      <c r="O166" s="23">
        <f>$D166*COS($E166+$F166*'25SolarCoords'!K$7)</f>
        <v>-1551.424044568791</v>
      </c>
      <c r="P166" s="23">
        <f>$D166*COS($E166+$F166*'25SolarCoords'!L$7)</f>
        <v>1559.4674724754168</v>
      </c>
      <c r="Q166" s="23">
        <f>$D166*COS($E166+$F166*'25SolarCoords'!M$7)</f>
        <v>-945.07862713354712</v>
      </c>
      <c r="R166" s="23">
        <f>$D166*COS($E166+$F166*'25SolarCoords'!N$7)</f>
        <v>1493.1977431056814</v>
      </c>
      <c r="S166" s="23">
        <f>$D166*COS($E166+$F166*'25SolarCoords'!O$7)</f>
        <v>-505.698456398735</v>
      </c>
      <c r="T166" s="23">
        <f>$D166*COS($E166+$F166*'25SolarCoords'!P$7)</f>
        <v>1257.2216869662386</v>
      </c>
      <c r="U166" s="23">
        <f>$D166*COS($E166+$F166*'25SolarCoords'!Q$7)</f>
        <v>670.97065951669617</v>
      </c>
      <c r="V166" s="23">
        <f>$D166*COS($E166+$F166*'25SolarCoords'!R$7)</f>
        <v>701.50211742525335</v>
      </c>
      <c r="W166" s="23">
        <f>$D166*COS($E166+$F166*'25SolarCoords'!S$7)</f>
        <v>1357.2054027015765</v>
      </c>
      <c r="X166" s="23">
        <f>$D166*COS($E166+$F166*'25SolarCoords'!T$7)</f>
        <v>-1120.0759830912116</v>
      </c>
      <c r="Y166" s="23">
        <f>$D166*COS($E166+$F166*'25SolarCoords'!U$7)</f>
        <v>1516.0114115863323</v>
      </c>
      <c r="Z166" s="23">
        <f>$D166*COS($E166+$F166*'25SolarCoords'!V$7)</f>
        <v>-1145.4989713820628</v>
      </c>
      <c r="AA166" s="23">
        <f>$D166*COS($E166+$F166*'25SolarCoords'!W$7)</f>
        <v>-1551.6580530010124</v>
      </c>
      <c r="AB166" s="23">
        <f>$D166*COS($E166+$F166*'25SolarCoords'!X$7)</f>
        <v>416.35041665505253</v>
      </c>
      <c r="AC166" s="23">
        <f>$D166*COS($E166+$F166*'25SolarCoords'!Y$7)</f>
        <v>798.14568683144466</v>
      </c>
      <c r="AD166" s="23">
        <f>$D166*COS($E166+$F166*'25SolarCoords'!Z$7)</f>
        <v>-1575.6119631663353</v>
      </c>
      <c r="AE166" s="23">
        <f>$D166*COS($E166+$F166*'25SolarCoords'!AA$7)</f>
        <v>-1503.0482641642959</v>
      </c>
      <c r="AF166" s="23">
        <f>$D166*COS($E166+$F166*'25SolarCoords'!AB$7)</f>
        <v>-1560.2942086417945</v>
      </c>
      <c r="AG166" s="23">
        <f>$D166*COS($E166+$F166*'25SolarCoords'!AC$7)</f>
        <v>1567.7220367987034</v>
      </c>
      <c r="AH166" s="23">
        <f>$D166*COS($E166+$F166*'25SolarCoords'!AD$7)</f>
        <v>695.15509987696896</v>
      </c>
      <c r="AI166" s="23">
        <f>$D166*COS($E166+$F166*'25SolarCoords'!AE$7)</f>
        <v>888.39750218781114</v>
      </c>
      <c r="AJ166" s="23">
        <f>$D166*COS($E166+$F166*'25SolarCoords'!AF$7)</f>
        <v>-880.2591791332419</v>
      </c>
      <c r="AK166" s="23">
        <f>$D166*COS($E166+$F166*'25SolarCoords'!AG$7)</f>
        <v>-1394.0765155968206</v>
      </c>
      <c r="AL166" s="23">
        <f>$D166*COS($E166+$F166*'25SolarCoords'!AH$7)</f>
        <v>-1245.9061942606099</v>
      </c>
      <c r="AM166" s="23">
        <f>$D166*COS($E166+$F166*'25SolarCoords'!AI$7)</f>
        <v>48.262510604878202</v>
      </c>
      <c r="AN166" s="23">
        <f>$D166*COS($E166+$F166*'25SolarCoords'!AJ$7)</f>
        <v>1228.1203680267713</v>
      </c>
      <c r="AO166" s="23">
        <f>$D166*COS($E166+$F166*'25SolarCoords'!AK$7)</f>
        <v>197.97423520498194</v>
      </c>
      <c r="AP166" s="23">
        <f>$D166*COS($E166+$F166*'25SolarCoords'!AL$7)</f>
        <v>846.41254218042616</v>
      </c>
      <c r="AQ166" s="23">
        <f>$D166*COS($E166+$F166*'25SolarCoords'!AM$7)</f>
        <v>-69.749458030189714</v>
      </c>
      <c r="AR166" s="23">
        <f>$D166*COS($E166+$F166*'25SolarCoords'!AN$7)</f>
        <v>297.2293390792824</v>
      </c>
      <c r="AS166" s="23">
        <f>$D166*COS($E166+$F166*'25SolarCoords'!AO$7)</f>
        <v>-419.19348700551029</v>
      </c>
      <c r="AT166" s="23">
        <f>$D166*COS($E166+$F166*'25SolarCoords'!AP$7)</f>
        <v>1227.6633545157276</v>
      </c>
      <c r="AU166" s="23">
        <f>$D166*COS($E166+$F166*'25SolarCoords'!AQ$7)</f>
        <v>1363.0170025621339</v>
      </c>
      <c r="AV166" s="23">
        <f>$D166*COS($E166+$F166*'25SolarCoords'!AR$7)</f>
        <v>1465.1045844233929</v>
      </c>
      <c r="AW166" s="23">
        <f>$D166*COS($E166+$F166*'25SolarCoords'!AS$7)</f>
        <v>1541.5801286775877</v>
      </c>
      <c r="AX166" s="23">
        <f>$D166*COS($E166+$F166*'25SolarCoords'!AT$7)</f>
        <v>1567.1489582197892</v>
      </c>
      <c r="AY166" s="23">
        <f>$D166*COS($E166+$F166*'25SolarCoords'!AU$7)</f>
        <v>547.95883677502673</v>
      </c>
      <c r="AZ166" s="23">
        <f>$D166*COS($E166+$F166*'25SolarCoords'!AV$7)</f>
        <v>-1541.8663172341267</v>
      </c>
      <c r="BA166" s="23">
        <f>$D166*COS($E166+$F166*'25SolarCoords'!AW$7)</f>
        <v>931.60293261035451</v>
      </c>
      <c r="BB166" s="23">
        <f>$D166*COS($E166+$F166*'25SolarCoords'!AX$7)</f>
        <v>1567.9341767158578</v>
      </c>
      <c r="BC166" s="23">
        <f>$D166*COS($E166+$F166*'25SolarCoords'!AY$7)</f>
        <v>1151.365607957227</v>
      </c>
      <c r="BD166" s="23">
        <f>$D166*COS($E166+$F166*'25SolarCoords'!AZ$7)</f>
        <v>1127.9409875148604</v>
      </c>
      <c r="BE166" s="23">
        <f>$D166*COS($E166+$F166*'25SolarCoords'!BA$7)</f>
        <v>1103.9939942120184</v>
      </c>
      <c r="BF166" s="23">
        <f>$D166*COS($E166+$F166*'25SolarCoords'!BB$7)</f>
        <v>1079.5357183979302</v>
      </c>
      <c r="BG166" s="23">
        <f>$D166*COS($E166+$F166*'25SolarCoords'!BC$7)</f>
        <v>1054.5774872072313</v>
      </c>
      <c r="BH166" s="23">
        <f>$D166*COS($E166+$F166*'25SolarCoords'!BD$7)</f>
        <v>1029.1308593143547</v>
      </c>
      <c r="BI166" s="23">
        <f>$D166*COS($E166+$F166*'25SolarCoords'!BE$7)</f>
        <v>1003.2076195803764</v>
      </c>
      <c r="BJ166" s="23">
        <f>$D166*COS($E166+$F166*'25SolarCoords'!BF$7)</f>
        <v>976.81977359513201</v>
      </c>
      <c r="BK166" s="23">
        <f>$D166*COS($E166+$F166*'25SolarCoords'!BG$7)</f>
        <v>884.15824190035016</v>
      </c>
    </row>
    <row r="167" spans="3:63" x14ac:dyDescent="0.25">
      <c r="C167">
        <f t="shared" si="5"/>
        <v>7</v>
      </c>
      <c r="D167">
        <v>925</v>
      </c>
      <c r="E167">
        <v>5.4530000000000003</v>
      </c>
      <c r="F167">
        <v>11506.77</v>
      </c>
      <c r="H167" s="7"/>
      <c r="I167" s="23">
        <f>$D167*COS($E167+$F167*'25SolarCoords'!E$7)</f>
        <v>-923.65096989960648</v>
      </c>
      <c r="J167" s="23">
        <f>$D167*COS($E167+$F167*'25SolarCoords'!F$7)</f>
        <v>334.10788236130145</v>
      </c>
      <c r="K167" s="23">
        <f>$D167*COS($E167+$F167*'25SolarCoords'!G$7)</f>
        <v>624.13357916596499</v>
      </c>
      <c r="L167" s="23">
        <f>$D167*COS($E167+$F167*'25SolarCoords'!H$7)</f>
        <v>902.39333386340502</v>
      </c>
      <c r="M167" s="23">
        <f>$D167*COS($E167+$F167*'25SolarCoords'!I$7)</f>
        <v>344.23581976362732</v>
      </c>
      <c r="N167" s="23">
        <f>$D167*COS($E167+$F167*'25SolarCoords'!J$7)</f>
        <v>777.30163700276887</v>
      </c>
      <c r="O167" s="23">
        <f>$D167*COS($E167+$F167*'25SolarCoords'!K$7)</f>
        <v>918.12481428035642</v>
      </c>
      <c r="P167" s="23">
        <f>$D167*COS($E167+$F167*'25SolarCoords'!L$7)</f>
        <v>-35.223111787692737</v>
      </c>
      <c r="Q167" s="23">
        <f>$D167*COS($E167+$F167*'25SolarCoords'!M$7)</f>
        <v>-90.252264493545923</v>
      </c>
      <c r="R167" s="23">
        <f>$D167*COS($E167+$F167*'25SolarCoords'!N$7)</f>
        <v>-479.22668858086621</v>
      </c>
      <c r="S167" s="23">
        <f>$D167*COS($E167+$F167*'25SolarCoords'!O$7)</f>
        <v>461.91486610064055</v>
      </c>
      <c r="T167" s="23">
        <f>$D167*COS($E167+$F167*'25SolarCoords'!P$7)</f>
        <v>-857.22906614034969</v>
      </c>
      <c r="U167" s="23">
        <f>$D167*COS($E167+$F167*'25SolarCoords'!Q$7)</f>
        <v>193.56767738681125</v>
      </c>
      <c r="V167" s="23">
        <f>$D167*COS($E167+$F167*'25SolarCoords'!R$7)</f>
        <v>221.96275166082665</v>
      </c>
      <c r="W167" s="23">
        <f>$D167*COS($E167+$F167*'25SolarCoords'!S$7)</f>
        <v>408.40442476336864</v>
      </c>
      <c r="X167" s="23">
        <f>$D167*COS($E167+$F167*'25SolarCoords'!T$7)</f>
        <v>551.20379383934289</v>
      </c>
      <c r="Y167" s="23">
        <f>$D167*COS($E167+$F167*'25SolarCoords'!U$7)</f>
        <v>444.75937320916876</v>
      </c>
      <c r="Z167" s="23">
        <f>$D167*COS($E167+$F167*'25SolarCoords'!V$7)</f>
        <v>540.2517426354907</v>
      </c>
      <c r="AA167" s="23">
        <f>$D167*COS($E167+$F167*'25SolarCoords'!W$7)</f>
        <v>-869.6590880594099</v>
      </c>
      <c r="AB167" s="23">
        <f>$D167*COS($E167+$F167*'25SolarCoords'!X$7)</f>
        <v>-139.43471691565622</v>
      </c>
      <c r="AC167" s="23">
        <f>$D167*COS($E167+$F167*'25SolarCoords'!Y$7)</f>
        <v>912.19814970015716</v>
      </c>
      <c r="AD167" s="23">
        <f>$D167*COS($E167+$F167*'25SolarCoords'!Z$7)</f>
        <v>-870.65908388419098</v>
      </c>
      <c r="AE167" s="23">
        <f>$D167*COS($E167+$F167*'25SolarCoords'!AA$7)</f>
        <v>613.30273147397133</v>
      </c>
      <c r="AF167" s="23">
        <f>$D167*COS($E167+$F167*'25SolarCoords'!AB$7)</f>
        <v>-910.86313834570865</v>
      </c>
      <c r="AG167" s="23">
        <f>$D167*COS($E167+$F167*'25SolarCoords'!AC$7)</f>
        <v>458.7982619817974</v>
      </c>
      <c r="AH167" s="23">
        <f>$D167*COS($E167+$F167*'25SolarCoords'!AD$7)</f>
        <v>-880.83364468443688</v>
      </c>
      <c r="AI167" s="23">
        <f>$D167*COS($E167+$F167*'25SolarCoords'!AE$7)</f>
        <v>922.90654821472879</v>
      </c>
      <c r="AJ167" s="23">
        <f>$D167*COS($E167+$F167*'25SolarCoords'!AF$7)</f>
        <v>922.96551951112338</v>
      </c>
      <c r="AK167" s="23">
        <f>$D167*COS($E167+$F167*'25SolarCoords'!AG$7)</f>
        <v>-550.77186806841416</v>
      </c>
      <c r="AL167" s="23">
        <f>$D167*COS($E167+$F167*'25SolarCoords'!AH$7)</f>
        <v>-392.74214018745312</v>
      </c>
      <c r="AM167" s="23">
        <f>$D167*COS($E167+$F167*'25SolarCoords'!AI$7)</f>
        <v>-441.72964855097212</v>
      </c>
      <c r="AN167" s="23">
        <f>$D167*COS($E167+$F167*'25SolarCoords'!AJ$7)</f>
        <v>-537.62390492401948</v>
      </c>
      <c r="AO167" s="23">
        <f>$D167*COS($E167+$F167*'25SolarCoords'!AK$7)</f>
        <v>-847.79070707672599</v>
      </c>
      <c r="AP167" s="23">
        <f>$D167*COS($E167+$F167*'25SolarCoords'!AL$7)</f>
        <v>624.4413318876027</v>
      </c>
      <c r="AQ167" s="23">
        <f>$D167*COS($E167+$F167*'25SolarCoords'!AM$7)</f>
        <v>-300.4280660324136</v>
      </c>
      <c r="AR167" s="23">
        <f>$D167*COS($E167+$F167*'25SolarCoords'!AN$7)</f>
        <v>-528.10640203116918</v>
      </c>
      <c r="AS167" s="23">
        <f>$D167*COS($E167+$F167*'25SolarCoords'!AO$7)</f>
        <v>866.21588922048659</v>
      </c>
      <c r="AT167" s="23">
        <f>$D167*COS($E167+$F167*'25SolarCoords'!AP$7)</f>
        <v>-924.99377118548887</v>
      </c>
      <c r="AU167" s="23">
        <f>$D167*COS($E167+$F167*'25SolarCoords'!AQ$7)</f>
        <v>-902.9854374200529</v>
      </c>
      <c r="AV167" s="23">
        <f>$D167*COS($E167+$F167*'25SolarCoords'!AR$7)</f>
        <v>-838.43683846678209</v>
      </c>
      <c r="AW167" s="23">
        <f>$D167*COS($E167+$F167*'25SolarCoords'!AS$7)</f>
        <v>-718.09142382526647</v>
      </c>
      <c r="AX167" s="23">
        <f>$D167*COS($E167+$F167*'25SolarCoords'!AT$7)</f>
        <v>-383.1410016194377</v>
      </c>
      <c r="AY167" s="23">
        <f>$D167*COS($E167+$F167*'25SolarCoords'!AU$7)</f>
        <v>396.2847077128846</v>
      </c>
      <c r="AZ167" s="23">
        <f>$D167*COS($E167+$F167*'25SolarCoords'!AV$7)</f>
        <v>-770.08749301281603</v>
      </c>
      <c r="BA167" s="23">
        <f>$D167*COS($E167+$F167*'25SolarCoords'!AW$7)</f>
        <v>535.76370989530346</v>
      </c>
      <c r="BB167" s="23">
        <f>$D167*COS($E167+$F167*'25SolarCoords'!AX$7)</f>
        <v>-580.0295031144633</v>
      </c>
      <c r="BC167" s="23">
        <f>$D167*COS($E167+$F167*'25SolarCoords'!AY$7)</f>
        <v>458.04291509644662</v>
      </c>
      <c r="BD167" s="23">
        <f>$D167*COS($E167+$F167*'25SolarCoords'!AZ$7)</f>
        <v>483.12886889019944</v>
      </c>
      <c r="BE167" s="23">
        <f>$D167*COS($E167+$F167*'25SolarCoords'!BA$7)</f>
        <v>507.73536146523628</v>
      </c>
      <c r="BF167" s="23">
        <f>$D167*COS($E167+$F167*'25SolarCoords'!BB$7)</f>
        <v>531.83797312801755</v>
      </c>
      <c r="BG167" s="23">
        <f>$D167*COS($E167+$F167*'25SolarCoords'!BC$7)</f>
        <v>555.41278424068571</v>
      </c>
      <c r="BH167" s="23">
        <f>$D167*COS($E167+$F167*'25SolarCoords'!BD$7)</f>
        <v>578.43639895928732</v>
      </c>
      <c r="BI167" s="23">
        <f>$D167*COS($E167+$F167*'25SolarCoords'!BE$7)</f>
        <v>600.88596845175323</v>
      </c>
      <c r="BJ167" s="23">
        <f>$D167*COS($E167+$F167*'25SolarCoords'!BF$7)</f>
        <v>622.73921357340703</v>
      </c>
      <c r="BK167" s="23">
        <f>$D167*COS($E167+$F167*'25SolarCoords'!BG$7)</f>
        <v>922.59989925856473</v>
      </c>
    </row>
    <row r="168" spans="3:63" x14ac:dyDescent="0.25">
      <c r="C168">
        <f t="shared" si="5"/>
        <v>8</v>
      </c>
      <c r="D168">
        <v>542</v>
      </c>
      <c r="E168">
        <v>4.5640000000000001</v>
      </c>
      <c r="F168">
        <v>3930.21</v>
      </c>
      <c r="H168" s="7"/>
      <c r="I168" s="23">
        <f>$D168*COS($E168+$F168*'25SolarCoords'!E$7)</f>
        <v>-179.85464834522824</v>
      </c>
      <c r="J168" s="23">
        <f>$D168*COS($E168+$F168*'25SolarCoords'!F$7)</f>
        <v>496.91879596241228</v>
      </c>
      <c r="K168" s="23">
        <f>$D168*COS($E168+$F168*'25SolarCoords'!G$7)</f>
        <v>-80.131995222925951</v>
      </c>
      <c r="L168" s="23">
        <f>$D168*COS($E168+$F168*'25SolarCoords'!H$7)</f>
        <v>437.59942277783813</v>
      </c>
      <c r="M168" s="23">
        <f>$D168*COS($E168+$F168*'25SolarCoords'!I$7)</f>
        <v>-348.56787669266026</v>
      </c>
      <c r="N168" s="23">
        <f>$D168*COS($E168+$F168*'25SolarCoords'!J$7)</f>
        <v>405.59781001661878</v>
      </c>
      <c r="O168" s="23">
        <f>$D168*COS($E168+$F168*'25SolarCoords'!K$7)</f>
        <v>-47.293884791756504</v>
      </c>
      <c r="P168" s="23">
        <f>$D168*COS($E168+$F168*'25SolarCoords'!L$7)</f>
        <v>-540.61747909819962</v>
      </c>
      <c r="Q168" s="23">
        <f>$D168*COS($E168+$F168*'25SolarCoords'!M$7)</f>
        <v>243.00978932760916</v>
      </c>
      <c r="R168" s="23">
        <f>$D168*COS($E168+$F168*'25SolarCoords'!N$7)</f>
        <v>-534.93529270343072</v>
      </c>
      <c r="S168" s="23">
        <f>$D168*COS($E168+$F168*'25SolarCoords'!O$7)</f>
        <v>316.34604057977401</v>
      </c>
      <c r="T168" s="23">
        <f>$D168*COS($E168+$F168*'25SolarCoords'!P$7)</f>
        <v>-513.62161288184859</v>
      </c>
      <c r="U168" s="23">
        <f>$D168*COS($E168+$F168*'25SolarCoords'!Q$7)</f>
        <v>-457.13153671511003</v>
      </c>
      <c r="V168" s="23">
        <f>$D168*COS($E168+$F168*'25SolarCoords'!R$7)</f>
        <v>-460.23837021413556</v>
      </c>
      <c r="W168" s="23">
        <f>$D168*COS($E168+$F168*'25SolarCoords'!S$7)</f>
        <v>-523.12676848039166</v>
      </c>
      <c r="X168" s="23">
        <f>$D168*COS($E168+$F168*'25SolarCoords'!T$7)</f>
        <v>-205.16116855392548</v>
      </c>
      <c r="Y168" s="23">
        <f>$D168*COS($E168+$F168*'25SolarCoords'!U$7)</f>
        <v>536.67129822781078</v>
      </c>
      <c r="Z168" s="23">
        <f>$D168*COS($E168+$F168*'25SolarCoords'!V$7)</f>
        <v>-198.76554255165465</v>
      </c>
      <c r="AA168" s="23">
        <f>$D168*COS($E168+$F168*'25SolarCoords'!W$7)</f>
        <v>47.065337482233396</v>
      </c>
      <c r="AB168" s="23">
        <f>$D168*COS($E168+$F168*'25SolarCoords'!X$7)</f>
        <v>430.56868042876022</v>
      </c>
      <c r="AC168" s="23">
        <f>$D168*COS($E168+$F168*'25SolarCoords'!Y$7)</f>
        <v>-470.10909158333408</v>
      </c>
      <c r="AD168" s="23">
        <f>$D168*COS($E168+$F168*'25SolarCoords'!Z$7)</f>
        <v>6.5716388876704555</v>
      </c>
      <c r="AE168" s="23">
        <f>$D168*COS($E168+$F168*'25SolarCoords'!AA$7)</f>
        <v>-83.014824793084898</v>
      </c>
      <c r="AF168" s="23">
        <f>$D168*COS($E168+$F168*'25SolarCoords'!AB$7)</f>
        <v>-37.688107642782924</v>
      </c>
      <c r="AG168" s="23">
        <f>$D168*COS($E168+$F168*'25SolarCoords'!AC$7)</f>
        <v>-541.31665525168626</v>
      </c>
      <c r="AH168" s="23">
        <f>$D168*COS($E168+$F168*'25SolarCoords'!AD$7)</f>
        <v>-459.77600153223256</v>
      </c>
      <c r="AI168" s="23">
        <f>$D168*COS($E168+$F168*'25SolarCoords'!AE$7)</f>
        <v>-478.98343616962688</v>
      </c>
      <c r="AJ168" s="23">
        <f>$D168*COS($E168+$F168*'25SolarCoords'!AF$7)</f>
        <v>-254.14192080661869</v>
      </c>
      <c r="AK168" s="23">
        <f>$D168*COS($E168+$F168*'25SolarCoords'!AG$7)</f>
        <v>130.76150230352104</v>
      </c>
      <c r="AL168" s="23">
        <f>$D168*COS($E168+$F168*'25SolarCoords'!AH$7)</f>
        <v>175.93406693596359</v>
      </c>
      <c r="AM168" s="23">
        <f>$D168*COS($E168+$F168*'25SolarCoords'!AI$7)</f>
        <v>388.68134291227761</v>
      </c>
      <c r="AN168" s="23">
        <f>$D168*COS($E168+$F168*'25SolarCoords'!AJ$7)</f>
        <v>-511.40390572833678</v>
      </c>
      <c r="AO168" s="23">
        <f>$D168*COS($E168+$F168*'25SolarCoords'!AK$7)</f>
        <v>406.21819722383719</v>
      </c>
      <c r="AP168" s="23">
        <f>$D168*COS($E168+$F168*'25SolarCoords'!AL$7)</f>
        <v>474.8765842980817</v>
      </c>
      <c r="AQ168" s="23">
        <f>$D168*COS($E168+$F168*'25SolarCoords'!AM$7)</f>
        <v>375.24484968038882</v>
      </c>
      <c r="AR168" s="23">
        <f>$D168*COS($E168+$F168*'25SolarCoords'!AN$7)</f>
        <v>417.47181128784251</v>
      </c>
      <c r="AS168" s="23">
        <f>$D168*COS($E168+$F168*'25SolarCoords'!AO$7)</f>
        <v>-327.6409876719315</v>
      </c>
      <c r="AT168" s="23">
        <f>$D168*COS($E168+$F168*'25SolarCoords'!AP$7)</f>
        <v>510.98751177702354</v>
      </c>
      <c r="AU168" s="23">
        <f>$D168*COS($E168+$F168*'25SolarCoords'!AQ$7)</f>
        <v>523.22186161774982</v>
      </c>
      <c r="AV168" s="23">
        <f>$D168*COS($E168+$F168*'25SolarCoords'!AR$7)</f>
        <v>532.27456672548419</v>
      </c>
      <c r="AW168" s="23">
        <f>$D168*COS($E168+$F168*'25SolarCoords'!AS$7)</f>
        <v>538.97359784277501</v>
      </c>
      <c r="AX168" s="23">
        <f>$D168*COS($E168+$F168*'25SolarCoords'!AT$7)</f>
        <v>541.2679368454427</v>
      </c>
      <c r="AY168" s="23">
        <f>$D168*COS($E168+$F168*'25SolarCoords'!AU$7)</f>
        <v>445.24219760022254</v>
      </c>
      <c r="AZ168" s="23">
        <f>$D168*COS($E168+$F168*'25SolarCoords'!AV$7)</f>
        <v>-55.839964249460117</v>
      </c>
      <c r="BA168" s="23">
        <f>$D168*COS($E168+$F168*'25SolarCoords'!AW$7)</f>
        <v>483.69221587643852</v>
      </c>
      <c r="BB168" s="23">
        <f>$D168*COS($E168+$F168*'25SolarCoords'!AX$7)</f>
        <v>541.33471618535793</v>
      </c>
      <c r="BC168" s="23">
        <f>$D168*COS($E168+$F168*'25SolarCoords'!AY$7)</f>
        <v>504.37678422054017</v>
      </c>
      <c r="BD168" s="23">
        <f>$D168*COS($E168+$F168*'25SolarCoords'!AZ$7)</f>
        <v>502.21262783945986</v>
      </c>
      <c r="BE168" s="23">
        <f>$D168*COS($E168+$F168*'25SolarCoords'!BA$7)</f>
        <v>499.99032349588447</v>
      </c>
      <c r="BF168" s="23">
        <f>$D168*COS($E168+$F168*'25SolarCoords'!BB$7)</f>
        <v>497.71012849610719</v>
      </c>
      <c r="BG168" s="23">
        <f>$D168*COS($E168+$F168*'25SolarCoords'!BC$7)</f>
        <v>495.37230684920701</v>
      </c>
      <c r="BH168" s="23">
        <f>$D168*COS($E168+$F168*'25SolarCoords'!BD$7)</f>
        <v>492.97712923647447</v>
      </c>
      <c r="BI168" s="23">
        <f>$D168*COS($E168+$F168*'25SolarCoords'!BE$7)</f>
        <v>490.52487298009657</v>
      </c>
      <c r="BJ168" s="23">
        <f>$D168*COS($E168+$F168*'25SolarCoords'!BF$7)</f>
        <v>488.01582201100979</v>
      </c>
      <c r="BK168" s="23">
        <f>$D168*COS($E168+$F168*'25SolarCoords'!BG$7)</f>
        <v>-478.57023844559433</v>
      </c>
    </row>
    <row r="169" spans="3:63" x14ac:dyDescent="0.25">
      <c r="C169">
        <f t="shared" si="5"/>
        <v>9</v>
      </c>
      <c r="D169">
        <v>472</v>
      </c>
      <c r="E169">
        <v>3.661</v>
      </c>
      <c r="F169">
        <v>5884.9269999999997</v>
      </c>
      <c r="H169" s="7"/>
      <c r="I169" s="23">
        <f>$D169*COS($E169+$F169*'25SolarCoords'!E$7)</f>
        <v>468.75259976272457</v>
      </c>
      <c r="J169" s="23">
        <f>$D169*COS($E169+$F169*'25SolarCoords'!F$7)</f>
        <v>-270.24379682455702</v>
      </c>
      <c r="K169" s="23">
        <f>$D169*COS($E169+$F169*'25SolarCoords'!G$7)</f>
        <v>-409.74957438461422</v>
      </c>
      <c r="L169" s="23">
        <f>$D169*COS($E169+$F169*'25SolarCoords'!H$7)</f>
        <v>-288.33052875338194</v>
      </c>
      <c r="M169" s="23">
        <f>$D169*COS($E169+$F169*'25SolarCoords'!I$7)</f>
        <v>-465.07291595679084</v>
      </c>
      <c r="N169" s="23">
        <f>$D169*COS($E169+$F169*'25SolarCoords'!J$7)</f>
        <v>254.60638254714007</v>
      </c>
      <c r="O169" s="23">
        <f>$D169*COS($E169+$F169*'25SolarCoords'!K$7)</f>
        <v>-396.40114220210057</v>
      </c>
      <c r="P169" s="23">
        <f>$D169*COS($E169+$F169*'25SolarCoords'!L$7)</f>
        <v>86.161201139976072</v>
      </c>
      <c r="Q169" s="23">
        <f>$D169*COS($E169+$F169*'25SolarCoords'!M$7)</f>
        <v>417.03499393606222</v>
      </c>
      <c r="R169" s="23">
        <f>$D169*COS($E169+$F169*'25SolarCoords'!N$7)</f>
        <v>442.0393974764408</v>
      </c>
      <c r="S169" s="23">
        <f>$D169*COS($E169+$F169*'25SolarCoords'!O$7)</f>
        <v>341.95954428802889</v>
      </c>
      <c r="T169" s="23">
        <f>$D169*COS($E169+$F169*'25SolarCoords'!P$7)</f>
        <v>-402.01677586859279</v>
      </c>
      <c r="U169" s="23">
        <f>$D169*COS($E169+$F169*'25SolarCoords'!Q$7)</f>
        <v>352.20789484300076</v>
      </c>
      <c r="V169" s="23">
        <f>$D169*COS($E169+$F169*'25SolarCoords'!R$7)</f>
        <v>347.09968524647957</v>
      </c>
      <c r="W169" s="23">
        <f>$D169*COS($E169+$F169*'25SolarCoords'!S$7)</f>
        <v>-45.155164851059197</v>
      </c>
      <c r="X169" s="23">
        <f>$D169*COS($E169+$F169*'25SolarCoords'!T$7)</f>
        <v>414.11473894448073</v>
      </c>
      <c r="Y169" s="23">
        <f>$D169*COS($E169+$F169*'25SolarCoords'!U$7)</f>
        <v>-413.69079487398284</v>
      </c>
      <c r="Z169" s="23">
        <f>$D169*COS($E169+$F169*'25SolarCoords'!V$7)</f>
        <v>444.46253363502763</v>
      </c>
      <c r="AA169" s="23">
        <f>$D169*COS($E169+$F169*'25SolarCoords'!W$7)</f>
        <v>-253.17500167070119</v>
      </c>
      <c r="AB169" s="23">
        <f>$D169*COS($E169+$F169*'25SolarCoords'!X$7)</f>
        <v>-277.48793305148683</v>
      </c>
      <c r="AC169" s="23">
        <f>$D169*COS($E169+$F169*'25SolarCoords'!Y$7)</f>
        <v>261.48572636511409</v>
      </c>
      <c r="AD169" s="23">
        <f>$D169*COS($E169+$F169*'25SolarCoords'!Z$7)</f>
        <v>124.41605651393014</v>
      </c>
      <c r="AE169" s="23">
        <f>$D169*COS($E169+$F169*'25SolarCoords'!AA$7)</f>
        <v>-411.62366080484742</v>
      </c>
      <c r="AF169" s="23">
        <f>$D169*COS($E169+$F169*'25SolarCoords'!AB$7)</f>
        <v>457.12869201510517</v>
      </c>
      <c r="AG169" s="23">
        <f>$D169*COS($E169+$F169*'25SolarCoords'!AC$7)</f>
        <v>117.43476798995876</v>
      </c>
      <c r="AH169" s="23">
        <f>$D169*COS($E169+$F169*'25SolarCoords'!AD$7)</f>
        <v>-324.8220623486726</v>
      </c>
      <c r="AI169" s="23">
        <f>$D169*COS($E169+$F169*'25SolarCoords'!AE$7)</f>
        <v>241.20667224047381</v>
      </c>
      <c r="AJ169" s="23">
        <f>$D169*COS($E169+$F169*'25SolarCoords'!AF$7)</f>
        <v>471.86751706093605</v>
      </c>
      <c r="AK169" s="23">
        <f>$D169*COS($E169+$F169*'25SolarCoords'!AG$7)</f>
        <v>205.93380653424086</v>
      </c>
      <c r="AL169" s="23">
        <f>$D169*COS($E169+$F169*'25SolarCoords'!AH$7)</f>
        <v>-156.48276384286854</v>
      </c>
      <c r="AM169" s="23">
        <f>$D169*COS($E169+$F169*'25SolarCoords'!AI$7)</f>
        <v>-205.82444207356841</v>
      </c>
      <c r="AN169" s="23">
        <f>$D169*COS($E169+$F169*'25SolarCoords'!AJ$7)</f>
        <v>-239.54808225147917</v>
      </c>
      <c r="AO169" s="23">
        <f>$D169*COS($E169+$F169*'25SolarCoords'!AK$7)</f>
        <v>341.50406635634107</v>
      </c>
      <c r="AP169" s="23">
        <f>$D169*COS($E169+$F169*'25SolarCoords'!AL$7)</f>
        <v>360.57034860019741</v>
      </c>
      <c r="AQ169" s="23">
        <f>$D169*COS($E169+$F169*'25SolarCoords'!AM$7)</f>
        <v>-459.18744439964905</v>
      </c>
      <c r="AR169" s="23">
        <f>$D169*COS($E169+$F169*'25SolarCoords'!AN$7)</f>
        <v>221.01516536531204</v>
      </c>
      <c r="AS169" s="23">
        <f>$D169*COS($E169+$F169*'25SolarCoords'!AO$7)</f>
        <v>-222.02484374892072</v>
      </c>
      <c r="AT169" s="23">
        <f>$D169*COS($E169+$F169*'25SolarCoords'!AP$7)</f>
        <v>332.40494082986703</v>
      </c>
      <c r="AU169" s="23">
        <f>$D169*COS($E169+$F169*'25SolarCoords'!AQ$7)</f>
        <v>368.27123375604987</v>
      </c>
      <c r="AV169" s="23">
        <f>$D169*COS($E169+$F169*'25SolarCoords'!AR$7)</f>
        <v>398.76305889950783</v>
      </c>
      <c r="AW169" s="23">
        <f>$D169*COS($E169+$F169*'25SolarCoords'!AS$7)</f>
        <v>427.2915085893132</v>
      </c>
      <c r="AX169" s="23">
        <f>$D169*COS($E169+$F169*'25SolarCoords'!AT$7)</f>
        <v>462.34425516609014</v>
      </c>
      <c r="AY169" s="23">
        <f>$D169*COS($E169+$F169*'25SolarCoords'!AU$7)</f>
        <v>-195.83474928211899</v>
      </c>
      <c r="AZ169" s="23">
        <f>$D169*COS($E169+$F169*'25SolarCoords'!AV$7)</f>
        <v>-375.82398528103221</v>
      </c>
      <c r="BA169" s="23">
        <f>$D169*COS($E169+$F169*'25SolarCoords'!AW$7)</f>
        <v>-110.78303917450002</v>
      </c>
      <c r="BB169" s="23">
        <f>$D169*COS($E169+$F169*'25SolarCoords'!AX$7)</f>
        <v>-419.82383614632198</v>
      </c>
      <c r="BC169" s="23">
        <f>$D169*COS($E169+$F169*'25SolarCoords'!AY$7)</f>
        <v>453.52117502076152</v>
      </c>
      <c r="BD169" s="23">
        <f>$D169*COS($E169+$F169*'25SolarCoords'!AZ$7)</f>
        <v>451.35531991017882</v>
      </c>
      <c r="BE169" s="23">
        <f>$D169*COS($E169+$F169*'25SolarCoords'!BA$7)</f>
        <v>449.07229629659963</v>
      </c>
      <c r="BF169" s="23">
        <f>$D169*COS($E169+$F169*'25SolarCoords'!BB$7)</f>
        <v>446.67269683606969</v>
      </c>
      <c r="BG169" s="23">
        <f>$D169*COS($E169+$F169*'25SolarCoords'!BC$7)</f>
        <v>444.15714444686222</v>
      </c>
      <c r="BH169" s="23">
        <f>$D169*COS($E169+$F169*'25SolarCoords'!BD$7)</f>
        <v>441.52629214777369</v>
      </c>
      <c r="BI169" s="23">
        <f>$D169*COS($E169+$F169*'25SolarCoords'!BE$7)</f>
        <v>438.78082288860384</v>
      </c>
      <c r="BJ169" s="23">
        <f>$D169*COS($E169+$F169*'25SolarCoords'!BF$7)</f>
        <v>435.92144937286821</v>
      </c>
      <c r="BK169" s="23">
        <f>$D169*COS($E169+$F169*'25SolarCoords'!BG$7)</f>
        <v>242.19405298662932</v>
      </c>
    </row>
    <row r="170" spans="3:63" x14ac:dyDescent="0.25">
      <c r="C170">
        <f t="shared" si="5"/>
        <v>10</v>
      </c>
      <c r="D170">
        <v>346</v>
      </c>
      <c r="E170">
        <v>0.96399999999999997</v>
      </c>
      <c r="F170">
        <v>5507.5529999999999</v>
      </c>
      <c r="H170" s="7"/>
      <c r="I170" s="23">
        <f>$D170*COS($E170+$F170*'25SolarCoords'!E$7)</f>
        <v>242.34153968749578</v>
      </c>
      <c r="J170" s="23">
        <f>$D170*COS($E170+$F170*'25SolarCoords'!F$7)</f>
        <v>338.66555971596773</v>
      </c>
      <c r="K170" s="23">
        <f>$D170*COS($E170+$F170*'25SolarCoords'!G$7)</f>
        <v>197.30256957269722</v>
      </c>
      <c r="L170" s="23">
        <f>$D170*COS($E170+$F170*'25SolarCoords'!H$7)</f>
        <v>-56.853922967137777</v>
      </c>
      <c r="M170" s="23">
        <f>$D170*COS($E170+$F170*'25SolarCoords'!I$7)</f>
        <v>147.35198548494188</v>
      </c>
      <c r="N170" s="23">
        <f>$D170*COS($E170+$F170*'25SolarCoords'!J$7)</f>
        <v>177.25264579769924</v>
      </c>
      <c r="O170" s="23">
        <f>$D170*COS($E170+$F170*'25SolarCoords'!K$7)</f>
        <v>-115.21549965971327</v>
      </c>
      <c r="P170" s="23">
        <f>$D170*COS($E170+$F170*'25SolarCoords'!L$7)</f>
        <v>333.59149734218693</v>
      </c>
      <c r="Q170" s="23">
        <f>$D170*COS($E170+$F170*'25SolarCoords'!M$7)</f>
        <v>-345.99559503166864</v>
      </c>
      <c r="R170" s="23">
        <f>$D170*COS($E170+$F170*'25SolarCoords'!N$7)</f>
        <v>-336.33244158511985</v>
      </c>
      <c r="S170" s="23">
        <f>$D170*COS($E170+$F170*'25SolarCoords'!O$7)</f>
        <v>-296.32963922868413</v>
      </c>
      <c r="T170" s="23">
        <f>$D170*COS($E170+$F170*'25SolarCoords'!P$7)</f>
        <v>345.43441315771713</v>
      </c>
      <c r="U170" s="23">
        <f>$D170*COS($E170+$F170*'25SolarCoords'!Q$7)</f>
        <v>230.38723746341543</v>
      </c>
      <c r="V170" s="23">
        <f>$D170*COS($E170+$F170*'25SolarCoords'!R$7)</f>
        <v>226.46869450298013</v>
      </c>
      <c r="W170" s="23">
        <f>$D170*COS($E170+$F170*'25SolarCoords'!S$7)</f>
        <v>344.45351781537761</v>
      </c>
      <c r="X170" s="23">
        <f>$D170*COS($E170+$F170*'25SolarCoords'!T$7)</f>
        <v>-181.40776164706</v>
      </c>
      <c r="Y170" s="23">
        <f>$D170*COS($E170+$F170*'25SolarCoords'!U$7)</f>
        <v>119.35264070737152</v>
      </c>
      <c r="Z170" s="23">
        <f>$D170*COS($E170+$F170*'25SolarCoords'!V$7)</f>
        <v>4.9295105731080291</v>
      </c>
      <c r="AA170" s="23">
        <f>$D170*COS($E170+$F170*'25SolarCoords'!W$7)</f>
        <v>345.84313293077537</v>
      </c>
      <c r="AB170" s="23">
        <f>$D170*COS($E170+$F170*'25SolarCoords'!X$7)</f>
        <v>-258.93137518697165</v>
      </c>
      <c r="AC170" s="23">
        <f>$D170*COS($E170+$F170*'25SolarCoords'!Y$7)</f>
        <v>278.28663323695673</v>
      </c>
      <c r="AD170" s="23">
        <f>$D170*COS($E170+$F170*'25SolarCoords'!Z$7)</f>
        <v>-63.522409716558379</v>
      </c>
      <c r="AE170" s="23">
        <f>$D170*COS($E170+$F170*'25SolarCoords'!AA$7)</f>
        <v>199.4398869173356</v>
      </c>
      <c r="AF170" s="23">
        <f>$D170*COS($E170+$F170*'25SolarCoords'!AB$7)</f>
        <v>-30.19242143416853</v>
      </c>
      <c r="AG170" s="23">
        <f>$D170*COS($E170+$F170*'25SolarCoords'!AC$7)</f>
        <v>-236.86687317704994</v>
      </c>
      <c r="AH170" s="23">
        <f>$D170*COS($E170+$F170*'25SolarCoords'!AD$7)</f>
        <v>282.90468307201047</v>
      </c>
      <c r="AI170" s="23">
        <f>$D170*COS($E170+$F170*'25SolarCoords'!AE$7)</f>
        <v>268.20681884802127</v>
      </c>
      <c r="AJ170" s="23">
        <f>$D170*COS($E170+$F170*'25SolarCoords'!AF$7)</f>
        <v>345.22518126731643</v>
      </c>
      <c r="AK170" s="23">
        <f>$D170*COS($E170+$F170*'25SolarCoords'!AG$7)</f>
        <v>159.31451782895621</v>
      </c>
      <c r="AL170" s="23">
        <f>$D170*COS($E170+$F170*'25SolarCoords'!AH$7)</f>
        <v>-286.69361056768014</v>
      </c>
      <c r="AM170" s="23">
        <f>$D170*COS($E170+$F170*'25SolarCoords'!AI$7)</f>
        <v>-217.48529766710729</v>
      </c>
      <c r="AN170" s="23">
        <f>$D170*COS($E170+$F170*'25SolarCoords'!AJ$7)</f>
        <v>-119.51237597981732</v>
      </c>
      <c r="AO170" s="23">
        <f>$D170*COS($E170+$F170*'25SolarCoords'!AK$7)</f>
        <v>-247.79673003532491</v>
      </c>
      <c r="AP170" s="23">
        <f>$D170*COS($E170+$F170*'25SolarCoords'!AL$7)</f>
        <v>344.10842268271227</v>
      </c>
      <c r="AQ170" s="23">
        <f>$D170*COS($E170+$F170*'25SolarCoords'!AM$7)</f>
        <v>28.653826310198358</v>
      </c>
      <c r="AR170" s="23">
        <f>$D170*COS($E170+$F170*'25SolarCoords'!AN$7)</f>
        <v>-256.07822905644656</v>
      </c>
      <c r="AS170" s="23">
        <f>$D170*COS($E170+$F170*'25SolarCoords'!AO$7)</f>
        <v>334.02724051507914</v>
      </c>
      <c r="AT170" s="23">
        <f>$D170*COS($E170+$F170*'25SolarCoords'!AP$7)</f>
        <v>303.43627714493653</v>
      </c>
      <c r="AU170" s="23">
        <f>$D170*COS($E170+$F170*'25SolarCoords'!AQ$7)</f>
        <v>284.06561521859754</v>
      </c>
      <c r="AV170" s="23">
        <f>$D170*COS($E170+$F170*'25SolarCoords'!AR$7)</f>
        <v>262.00401380079398</v>
      </c>
      <c r="AW170" s="23">
        <f>$D170*COS($E170+$F170*'25SolarCoords'!AS$7)</f>
        <v>233.65167607053988</v>
      </c>
      <c r="AX170" s="23">
        <f>$D170*COS($E170+$F170*'25SolarCoords'!AT$7)</f>
        <v>172.02967550459439</v>
      </c>
      <c r="AY170" s="23">
        <f>$D170*COS($E170+$F170*'25SolarCoords'!AU$7)</f>
        <v>202.38885615614373</v>
      </c>
      <c r="AZ170" s="23">
        <f>$D170*COS($E170+$F170*'25SolarCoords'!AV$7)</f>
        <v>269.98532865296886</v>
      </c>
      <c r="BA170" s="23">
        <f>$D170*COS($E170+$F170*'25SolarCoords'!AW$7)</f>
        <v>134.62181071467725</v>
      </c>
      <c r="BB170" s="23">
        <f>$D170*COS($E170+$F170*'25SolarCoords'!AX$7)</f>
        <v>-82.297310873904237</v>
      </c>
      <c r="BC170" s="23">
        <f>$D170*COS($E170+$F170*'25SolarCoords'!AY$7)</f>
        <v>23.509110009244267</v>
      </c>
      <c r="BD170" s="23">
        <f>$D170*COS($E170+$F170*'25SolarCoords'!AZ$7)</f>
        <v>18.301406610848147</v>
      </c>
      <c r="BE170" s="23">
        <f>$D170*COS($E170+$F170*'25SolarCoords'!BA$7)</f>
        <v>13.08954206444665</v>
      </c>
      <c r="BF170" s="23">
        <f>$D170*COS($E170+$F170*'25SolarCoords'!BB$7)</f>
        <v>7.8747013795055008</v>
      </c>
      <c r="BG170" s="23">
        <f>$D170*COS($E170+$F170*'25SolarCoords'!BC$7)</f>
        <v>2.6580702421386064</v>
      </c>
      <c r="BH170" s="23">
        <f>$D170*COS($E170+$F170*'25SolarCoords'!BD$7)</f>
        <v>-2.5591652544442365</v>
      </c>
      <c r="BI170" s="23">
        <f>$D170*COS($E170+$F170*'25SolarCoords'!BE$7)</f>
        <v>-7.7758188796067431</v>
      </c>
      <c r="BJ170" s="23">
        <f>$D170*COS($E170+$F170*'25SolarCoords'!BF$7)</f>
        <v>-12.990704535026124</v>
      </c>
      <c r="BK170" s="23">
        <f>$D170*COS($E170+$F170*'25SolarCoords'!BG$7)</f>
        <v>268.70434726328381</v>
      </c>
    </row>
    <row r="171" spans="3:63" x14ac:dyDescent="0.25">
      <c r="C171">
        <f t="shared" si="5"/>
        <v>11</v>
      </c>
      <c r="D171">
        <v>329</v>
      </c>
      <c r="E171">
        <v>5.9</v>
      </c>
      <c r="F171">
        <v>5223.6940000000004</v>
      </c>
      <c r="H171" s="7"/>
      <c r="I171" s="23">
        <f>$D171*COS($E171+$F171*'25SolarCoords'!E$7)</f>
        <v>140.93200497203722</v>
      </c>
      <c r="J171" s="23">
        <f>$D171*COS($E171+$F171*'25SolarCoords'!F$7)</f>
        <v>233.37056358023895</v>
      </c>
      <c r="K171" s="23">
        <f>$D171*COS($E171+$F171*'25SolarCoords'!G$7)</f>
        <v>305.14040371478779</v>
      </c>
      <c r="L171" s="23">
        <f>$D171*COS($E171+$F171*'25SolarCoords'!H$7)</f>
        <v>257.3184986677129</v>
      </c>
      <c r="M171" s="23">
        <f>$D171*COS($E171+$F171*'25SolarCoords'!I$7)</f>
        <v>121.63450702556152</v>
      </c>
      <c r="N171" s="23">
        <f>$D171*COS($E171+$F171*'25SolarCoords'!J$7)</f>
        <v>-327.26311223624737</v>
      </c>
      <c r="O171" s="23">
        <f>$D171*COS($E171+$F171*'25SolarCoords'!K$7)</f>
        <v>326.264953533896</v>
      </c>
      <c r="P171" s="23">
        <f>$D171*COS($E171+$F171*'25SolarCoords'!L$7)</f>
        <v>-192.45205427775426</v>
      </c>
      <c r="Q171" s="23">
        <f>$D171*COS($E171+$F171*'25SolarCoords'!M$7)</f>
        <v>106.53001531058929</v>
      </c>
      <c r="R171" s="23">
        <f>$D171*COS($E171+$F171*'25SolarCoords'!N$7)</f>
        <v>-258.7094662747125</v>
      </c>
      <c r="S171" s="23">
        <f>$D171*COS($E171+$F171*'25SolarCoords'!O$7)</f>
        <v>51.826692896874128</v>
      </c>
      <c r="T171" s="23">
        <f>$D171*COS($E171+$F171*'25SolarCoords'!P$7)</f>
        <v>-109.63789383696063</v>
      </c>
      <c r="U171" s="23">
        <f>$D171*COS($E171+$F171*'25SolarCoords'!Q$7)</f>
        <v>71.619411966700895</v>
      </c>
      <c r="V171" s="23">
        <f>$D171*COS($E171+$F171*'25SolarCoords'!R$7)</f>
        <v>76.204348888349017</v>
      </c>
      <c r="W171" s="23">
        <f>$D171*COS($E171+$F171*'25SolarCoords'!S$7)</f>
        <v>-57.062423004696562</v>
      </c>
      <c r="X171" s="23">
        <f>$D171*COS($E171+$F171*'25SolarCoords'!T$7)</f>
        <v>323.77501335134474</v>
      </c>
      <c r="Y171" s="23">
        <f>$D171*COS($E171+$F171*'25SolarCoords'!U$7)</f>
        <v>-324.09608059984583</v>
      </c>
      <c r="Z171" s="23">
        <f>$D171*COS($E171+$F171*'25SolarCoords'!V$7)</f>
        <v>37.234937211592516</v>
      </c>
      <c r="AA171" s="23">
        <f>$D171*COS($E171+$F171*'25SolarCoords'!W$7)</f>
        <v>-203.09712844769982</v>
      </c>
      <c r="AB171" s="23">
        <f>$D171*COS($E171+$F171*'25SolarCoords'!X$7)</f>
        <v>-326.65019294409808</v>
      </c>
      <c r="AC171" s="23">
        <f>$D171*COS($E171+$F171*'25SolarCoords'!Y$7)</f>
        <v>288.64974212678123</v>
      </c>
      <c r="AD171" s="23">
        <f>$D171*COS($E171+$F171*'25SolarCoords'!Z$7)</f>
        <v>-326.79140024756526</v>
      </c>
      <c r="AE171" s="23">
        <f>$D171*COS($E171+$F171*'25SolarCoords'!AA$7)</f>
        <v>304.25301662231175</v>
      </c>
      <c r="AF171" s="23">
        <f>$D171*COS($E171+$F171*'25SolarCoords'!AB$7)</f>
        <v>259.45547242653072</v>
      </c>
      <c r="AG171" s="23">
        <f>$D171*COS($E171+$F171*'25SolarCoords'!AC$7)</f>
        <v>-225.63317463591034</v>
      </c>
      <c r="AH171" s="23">
        <f>$D171*COS($E171+$F171*'25SolarCoords'!AD$7)</f>
        <v>69.168046480395205</v>
      </c>
      <c r="AI171" s="23">
        <f>$D171*COS($E171+$F171*'25SolarCoords'!AE$7)</f>
        <v>295.46887925827627</v>
      </c>
      <c r="AJ171" s="23">
        <f>$D171*COS($E171+$F171*'25SolarCoords'!AF$7)</f>
        <v>274.8307896575223</v>
      </c>
      <c r="AK171" s="23">
        <f>$D171*COS($E171+$F171*'25SolarCoords'!AG$7)</f>
        <v>304.23355126718718</v>
      </c>
      <c r="AL171" s="23">
        <f>$D171*COS($E171+$F171*'25SolarCoords'!AH$7)</f>
        <v>-277.39602372387031</v>
      </c>
      <c r="AM171" s="23">
        <f>$D171*COS($E171+$F171*'25SolarCoords'!AI$7)</f>
        <v>-328.76586030755493</v>
      </c>
      <c r="AN171" s="23">
        <f>$D171*COS($E171+$F171*'25SolarCoords'!AJ$7)</f>
        <v>-257.5203576316938</v>
      </c>
      <c r="AO171" s="23">
        <f>$D171*COS($E171+$F171*'25SolarCoords'!AK$7)</f>
        <v>-224.11802461174233</v>
      </c>
      <c r="AP171" s="23">
        <f>$D171*COS($E171+$F171*'25SolarCoords'!AL$7)</f>
        <v>58.381191226497855</v>
      </c>
      <c r="AQ171" s="23">
        <f>$D171*COS($E171+$F171*'25SolarCoords'!AM$7)</f>
        <v>56.798771211362578</v>
      </c>
      <c r="AR171" s="23">
        <f>$D171*COS($E171+$F171*'25SolarCoords'!AN$7)</f>
        <v>182.54212764640391</v>
      </c>
      <c r="AS171" s="23">
        <f>$D171*COS($E171+$F171*'25SolarCoords'!AO$7)</f>
        <v>311.82012701019204</v>
      </c>
      <c r="AT171" s="23">
        <f>$D171*COS($E171+$F171*'25SolarCoords'!AP$7)</f>
        <v>173.41851580387902</v>
      </c>
      <c r="AU171" s="23">
        <f>$D171*COS($E171+$F171*'25SolarCoords'!AQ$7)</f>
        <v>200.70031096272334</v>
      </c>
      <c r="AV171" s="23">
        <f>$D171*COS($E171+$F171*'25SolarCoords'!AR$7)</f>
        <v>225.4172146912228</v>
      </c>
      <c r="AW171" s="23">
        <f>$D171*COS($E171+$F171*'25SolarCoords'!AS$7)</f>
        <v>250.71253039723723</v>
      </c>
      <c r="AX171" s="23">
        <f>$D171*COS($E171+$F171*'25SolarCoords'!AT$7)</f>
        <v>289.55299395727064</v>
      </c>
      <c r="AY171" s="23">
        <f>$D171*COS($E171+$F171*'25SolarCoords'!AU$7)</f>
        <v>169.45571532766675</v>
      </c>
      <c r="AZ171" s="23">
        <f>$D171*COS($E171+$F171*'25SolarCoords'!AV$7)</f>
        <v>328.98664759466385</v>
      </c>
      <c r="BA171" s="23">
        <f>$D171*COS($E171+$F171*'25SolarCoords'!AW$7)</f>
        <v>275.61783323978318</v>
      </c>
      <c r="BB171" s="23">
        <f>$D171*COS($E171+$F171*'25SolarCoords'!AX$7)</f>
        <v>-295.09320316556034</v>
      </c>
      <c r="BC171" s="23">
        <f>$D171*COS($E171+$F171*'25SolarCoords'!AY$7)</f>
        <v>328.29079519438409</v>
      </c>
      <c r="BD171" s="23">
        <f>$D171*COS($E171+$F171*'25SolarCoords'!AZ$7)</f>
        <v>328.5659932897367</v>
      </c>
      <c r="BE171" s="23">
        <f>$D171*COS($E171+$F171*'25SolarCoords'!BA$7)</f>
        <v>328.77398814430762</v>
      </c>
      <c r="BF171" s="23">
        <f>$D171*COS($E171+$F171*'25SolarCoords'!BB$7)</f>
        <v>328.91473721587141</v>
      </c>
      <c r="BG171" s="23">
        <f>$D171*COS($E171+$F171*'25SolarCoords'!BC$7)</f>
        <v>328.98821171631914</v>
      </c>
      <c r="BH171" s="23">
        <f>$D171*COS($E171+$F171*'25SolarCoords'!BD$7)</f>
        <v>328.99439661754485</v>
      </c>
      <c r="BI171" s="23">
        <f>$D171*COS($E171+$F171*'25SolarCoords'!BE$7)</f>
        <v>328.93329065451979</v>
      </c>
      <c r="BJ171" s="23">
        <f>$D171*COS($E171+$F171*'25SolarCoords'!BF$7)</f>
        <v>328.80490632555143</v>
      </c>
      <c r="BK171" s="23">
        <f>$D171*COS($E171+$F171*'25SolarCoords'!BG$7)</f>
        <v>295.15536773763927</v>
      </c>
    </row>
    <row r="172" spans="3:63" x14ac:dyDescent="0.25">
      <c r="C172">
        <f t="shared" si="5"/>
        <v>12</v>
      </c>
      <c r="D172">
        <v>307</v>
      </c>
      <c r="E172">
        <v>0.29899999999999999</v>
      </c>
      <c r="F172">
        <v>5573.143</v>
      </c>
      <c r="H172" s="7"/>
      <c r="I172" s="23">
        <f>$D172*COS($E172+$F172*'25SolarCoords'!E$7)</f>
        <v>-269.29975849772501</v>
      </c>
      <c r="J172" s="23">
        <f>$D172*COS($E172+$F172*'25SolarCoords'!F$7)</f>
        <v>-302.79919334715845</v>
      </c>
      <c r="K172" s="23">
        <f>$D172*COS($E172+$F172*'25SolarCoords'!G$7)</f>
        <v>293.37888020574644</v>
      </c>
      <c r="L172" s="23">
        <f>$D172*COS($E172+$F172*'25SolarCoords'!H$7)</f>
        <v>164.5200677752388</v>
      </c>
      <c r="M172" s="23">
        <f>$D172*COS($E172+$F172*'25SolarCoords'!I$7)</f>
        <v>-269.75906983236024</v>
      </c>
      <c r="N172" s="23">
        <f>$D172*COS($E172+$F172*'25SolarCoords'!J$7)</f>
        <v>275.85637579568947</v>
      </c>
      <c r="O172" s="23">
        <f>$D172*COS($E172+$F172*'25SolarCoords'!K$7)</f>
        <v>-299.8542432308227</v>
      </c>
      <c r="P172" s="23">
        <f>$D172*COS($E172+$F172*'25SolarCoords'!L$7)</f>
        <v>124.58430352213063</v>
      </c>
      <c r="Q172" s="23">
        <f>$D172*COS($E172+$F172*'25SolarCoords'!M$7)</f>
        <v>-179.63118789805637</v>
      </c>
      <c r="R172" s="23">
        <f>$D172*COS($E172+$F172*'25SolarCoords'!N$7)</f>
        <v>-12.25642052063173</v>
      </c>
      <c r="S172" s="23">
        <f>$D172*COS($E172+$F172*'25SolarCoords'!O$7)</f>
        <v>191.58525896510227</v>
      </c>
      <c r="T172" s="23">
        <f>$D172*COS($E172+$F172*'25SolarCoords'!P$7)</f>
        <v>-4.3359944553403009</v>
      </c>
      <c r="U172" s="23">
        <f>$D172*COS($E172+$F172*'25SolarCoords'!Q$7)</f>
        <v>219.84288739607214</v>
      </c>
      <c r="V172" s="23">
        <f>$D172*COS($E172+$F172*'25SolarCoords'!R$7)</f>
        <v>223.08682420364082</v>
      </c>
      <c r="W172" s="23">
        <f>$D172*COS($E172+$F172*'25SolarCoords'!S$7)</f>
        <v>-279.3400956673579</v>
      </c>
      <c r="X172" s="23">
        <f>$D172*COS($E172+$F172*'25SolarCoords'!T$7)</f>
        <v>16.482850358234575</v>
      </c>
      <c r="Y172" s="23">
        <f>$D172*COS($E172+$F172*'25SolarCoords'!U$7)</f>
        <v>33.993731244759836</v>
      </c>
      <c r="Z172" s="23">
        <f>$D172*COS($E172+$F172*'25SolarCoords'!V$7)</f>
        <v>-268.63846071475388</v>
      </c>
      <c r="AA172" s="23">
        <f>$D172*COS($E172+$F172*'25SolarCoords'!W$7)</f>
        <v>12.505578838426784</v>
      </c>
      <c r="AB172" s="23">
        <f>$D172*COS($E172+$F172*'25SolarCoords'!X$7)</f>
        <v>98.293121501810731</v>
      </c>
      <c r="AC172" s="23">
        <f>$D172*COS($E172+$F172*'25SolarCoords'!Y$7)</f>
        <v>12.78518666698848</v>
      </c>
      <c r="AD172" s="23">
        <f>$D172*COS($E172+$F172*'25SolarCoords'!Z$7)</f>
        <v>274.34319941363555</v>
      </c>
      <c r="AE172" s="23">
        <f>$D172*COS($E172+$F172*'25SolarCoords'!AA$7)</f>
        <v>294.06025604435763</v>
      </c>
      <c r="AF172" s="23">
        <f>$D172*COS($E172+$F172*'25SolarCoords'!AB$7)</f>
        <v>-125.42104170620875</v>
      </c>
      <c r="AG172" s="23">
        <f>$D172*COS($E172+$F172*'25SolarCoords'!AC$7)</f>
        <v>-101.36752268856121</v>
      </c>
      <c r="AH172" s="23">
        <f>$D172*COS($E172+$F172*'25SolarCoords'!AD$7)</f>
        <v>-140.3349777223799</v>
      </c>
      <c r="AI172" s="23">
        <f>$D172*COS($E172+$F172*'25SolarCoords'!AE$7)</f>
        <v>27.513013012833014</v>
      </c>
      <c r="AJ172" s="23">
        <f>$D172*COS($E172+$F172*'25SolarCoords'!AF$7)</f>
        <v>113.19388707509736</v>
      </c>
      <c r="AK172" s="23">
        <f>$D172*COS($E172+$F172*'25SolarCoords'!AG$7)</f>
        <v>-188.2154594129133</v>
      </c>
      <c r="AL172" s="23">
        <f>$D172*COS($E172+$F172*'25SolarCoords'!AH$7)</f>
        <v>81.344329016727713</v>
      </c>
      <c r="AM172" s="23">
        <f>$D172*COS($E172+$F172*'25SolarCoords'!AI$7)</f>
        <v>145.49824084396124</v>
      </c>
      <c r="AN172" s="23">
        <f>$D172*COS($E172+$F172*'25SolarCoords'!AJ$7)</f>
        <v>209.23137999328841</v>
      </c>
      <c r="AO172" s="23">
        <f>$D172*COS($E172+$F172*'25SolarCoords'!AK$7)</f>
        <v>-227.40007720426712</v>
      </c>
      <c r="AP172" s="23">
        <f>$D172*COS($E172+$F172*'25SolarCoords'!AL$7)</f>
        <v>119.9919701573608</v>
      </c>
      <c r="AQ172" s="23">
        <f>$D172*COS($E172+$F172*'25SolarCoords'!AM$7)</f>
        <v>-54.541508305940795</v>
      </c>
      <c r="AR172" s="23">
        <f>$D172*COS($E172+$F172*'25SolarCoords'!AN$7)</f>
        <v>-56.587492826547638</v>
      </c>
      <c r="AS172" s="23">
        <f>$D172*COS($E172+$F172*'25SolarCoords'!AO$7)</f>
        <v>305.65570778222684</v>
      </c>
      <c r="AT172" s="23">
        <f>$D172*COS($E172+$F172*'25SolarCoords'!AP$7)</f>
        <v>74.023152886435739</v>
      </c>
      <c r="AU172" s="23">
        <f>$D172*COS($E172+$F172*'25SolarCoords'!AQ$7)</f>
        <v>41.58104120997529</v>
      </c>
      <c r="AV172" s="23">
        <f>$D172*COS($E172+$F172*'25SolarCoords'!AR$7)</f>
        <v>9.3728258818826848</v>
      </c>
      <c r="AW172" s="23">
        <f>$D172*COS($E172+$F172*'25SolarCoords'!AS$7)</f>
        <v>-27.157296564546058</v>
      </c>
      <c r="AX172" s="23">
        <f>$D172*COS($E172+$F172*'25SolarCoords'!AT$7)</f>
        <v>-94.29815697209655</v>
      </c>
      <c r="AY172" s="23">
        <f>$D172*COS($E172+$F172*'25SolarCoords'!AU$7)</f>
        <v>-300.05123183843278</v>
      </c>
      <c r="AZ172" s="23">
        <f>$D172*COS($E172+$F172*'25SolarCoords'!AV$7)</f>
        <v>303.89068844941505</v>
      </c>
      <c r="BA172" s="23">
        <f>$D172*COS($E172+$F172*'25SolarCoords'!AW$7)</f>
        <v>-250.76349177611056</v>
      </c>
      <c r="BB172" s="23">
        <f>$D172*COS($E172+$F172*'25SolarCoords'!AX$7)</f>
        <v>164.42759892455513</v>
      </c>
      <c r="BC172" s="23">
        <f>$D172*COS($E172+$F172*'25SolarCoords'!AY$7)</f>
        <v>-213.70480544856554</v>
      </c>
      <c r="BD172" s="23">
        <f>$D172*COS($E172+$F172*'25SolarCoords'!AZ$7)</f>
        <v>-217.04286409314241</v>
      </c>
      <c r="BE172" s="23">
        <f>$D172*COS($E172+$F172*'25SolarCoords'!BA$7)</f>
        <v>-220.33039184048661</v>
      </c>
      <c r="BF172" s="23">
        <f>$D172*COS($E172+$F172*'25SolarCoords'!BB$7)</f>
        <v>-223.56662330384935</v>
      </c>
      <c r="BG172" s="23">
        <f>$D172*COS($E172+$F172*'25SolarCoords'!BC$7)</f>
        <v>-226.75080503908367</v>
      </c>
      <c r="BH172" s="23">
        <f>$D172*COS($E172+$F172*'25SolarCoords'!BD$7)</f>
        <v>-229.88219571999088</v>
      </c>
      <c r="BI172" s="23">
        <f>$D172*COS($E172+$F172*'25SolarCoords'!BE$7)</f>
        <v>-232.96006631094295</v>
      </c>
      <c r="BJ172" s="23">
        <f>$D172*COS($E172+$F172*'25SolarCoords'!BF$7)</f>
        <v>-235.98370023660158</v>
      </c>
      <c r="BK172" s="23">
        <f>$D172*COS($E172+$F172*'25SolarCoords'!BG$7)</f>
        <v>26.807717079830155</v>
      </c>
    </row>
    <row r="173" spans="3:63" x14ac:dyDescent="0.25">
      <c r="C173">
        <f t="shared" si="5"/>
        <v>13</v>
      </c>
      <c r="D173">
        <v>243</v>
      </c>
      <c r="E173">
        <v>4.2729999999999997</v>
      </c>
      <c r="F173">
        <v>11790.629000000001</v>
      </c>
      <c r="H173" s="7"/>
      <c r="I173" s="23">
        <f>$D173*COS($E173+$F173*'25SolarCoords'!E$7)</f>
        <v>-207.13407936389524</v>
      </c>
      <c r="J173" s="23">
        <f>$D173*COS($E173+$F173*'25SolarCoords'!F$7)</f>
        <v>-79.000353081612829</v>
      </c>
      <c r="K173" s="23">
        <f>$D173*COS($E173+$F173*'25SolarCoords'!G$7)</f>
        <v>-103.36893519197064</v>
      </c>
      <c r="L173" s="23">
        <f>$D173*COS($E173+$F173*'25SolarCoords'!H$7)</f>
        <v>78.347481114877468</v>
      </c>
      <c r="M173" s="23">
        <f>$D173*COS($E173+$F173*'25SolarCoords'!I$7)</f>
        <v>-210.99021347244269</v>
      </c>
      <c r="N173" s="23">
        <f>$D173*COS($E173+$F173*'25SolarCoords'!J$7)</f>
        <v>137.03858327910376</v>
      </c>
      <c r="O173" s="23">
        <f>$D173*COS($E173+$F173*'25SolarCoords'!K$7)</f>
        <v>-64.323197223847956</v>
      </c>
      <c r="P173" s="23">
        <f>$D173*COS($E173+$F173*'25SolarCoords'!L$7)</f>
        <v>237.13721672883881</v>
      </c>
      <c r="Q173" s="23">
        <f>$D173*COS($E173+$F173*'25SolarCoords'!M$7)</f>
        <v>238.99122209414844</v>
      </c>
      <c r="R173" s="23">
        <f>$D173*COS($E173+$F173*'25SolarCoords'!N$7)</f>
        <v>214.28292290047997</v>
      </c>
      <c r="S173" s="23">
        <f>$D173*COS($E173+$F173*'25SolarCoords'!O$7)</f>
        <v>232.66276527064522</v>
      </c>
      <c r="T173" s="23">
        <f>$D173*COS($E173+$F173*'25SolarCoords'!P$7)</f>
        <v>137.73889521363191</v>
      </c>
      <c r="U173" s="23">
        <f>$D173*COS($E173+$F173*'25SolarCoords'!Q$7)</f>
        <v>-29.780410122878674</v>
      </c>
      <c r="V173" s="23">
        <f>$D173*COS($E173+$F173*'25SolarCoords'!R$7)</f>
        <v>-21.981098676763615</v>
      </c>
      <c r="W173" s="23">
        <f>$D173*COS($E173+$F173*'25SolarCoords'!S$7)</f>
        <v>168.81250213855282</v>
      </c>
      <c r="X173" s="23">
        <f>$D173*COS($E173+$F173*'25SolarCoords'!T$7)</f>
        <v>-224.06232214051872</v>
      </c>
      <c r="Y173" s="23">
        <f>$D173*COS($E173+$F173*'25SolarCoords'!U$7)</f>
        <v>-222.64256540154295</v>
      </c>
      <c r="Z173" s="23">
        <f>$D173*COS($E173+$F173*'25SolarCoords'!V$7)</f>
        <v>-220.69151044535107</v>
      </c>
      <c r="AA173" s="23">
        <f>$D173*COS($E173+$F173*'25SolarCoords'!W$7)</f>
        <v>64.025768096944148</v>
      </c>
      <c r="AB173" s="23">
        <f>$D173*COS($E173+$F173*'25SolarCoords'!X$7)</f>
        <v>90.520391491812589</v>
      </c>
      <c r="AC173" s="23">
        <f>$D173*COS($E173+$F173*'25SolarCoords'!Y$7)</f>
        <v>3.3597820265232441</v>
      </c>
      <c r="AD173" s="23">
        <f>$D173*COS($E173+$F173*'25SolarCoords'!Z$7)</f>
        <v>7.4446742543387741</v>
      </c>
      <c r="AE173" s="23">
        <f>$D173*COS($E173+$F173*'25SolarCoords'!AA$7)</f>
        <v>-106.90489903072861</v>
      </c>
      <c r="AF173" s="23">
        <f>$D173*COS($E173+$F173*'25SolarCoords'!AB$7)</f>
        <v>-51.7479135510955</v>
      </c>
      <c r="AG173" s="23">
        <f>$D173*COS($E173+$F173*'25SolarCoords'!AC$7)</f>
        <v>240.03175410235596</v>
      </c>
      <c r="AH173" s="23">
        <f>$D173*COS($E173+$F173*'25SolarCoords'!AD$7)</f>
        <v>-23.662387852789777</v>
      </c>
      <c r="AI173" s="23">
        <f>$D173*COS($E173+$F173*'25SolarCoords'!AE$7)</f>
        <v>28.016006086860148</v>
      </c>
      <c r="AJ173" s="23">
        <f>$D173*COS($E173+$F173*'25SolarCoords'!AF$7)</f>
        <v>-241.76436926209431</v>
      </c>
      <c r="AK173" s="23">
        <f>$D173*COS($E173+$F173*'25SolarCoords'!AG$7)</f>
        <v>161.17805342798675</v>
      </c>
      <c r="AL173" s="23">
        <f>$D173*COS($E173+$F173*'25SolarCoords'!AH$7)</f>
        <v>202.61730563437541</v>
      </c>
      <c r="AM173" s="23">
        <f>$D173*COS($E173+$F173*'25SolarCoords'!AI$7)</f>
        <v>163.27780476310048</v>
      </c>
      <c r="AN173" s="23">
        <f>$D173*COS($E173+$F173*'25SolarCoords'!AJ$7)</f>
        <v>127.46585175184792</v>
      </c>
      <c r="AO173" s="23">
        <f>$D173*COS($E173+$F173*'25SolarCoords'!AK$7)</f>
        <v>135.9627654109922</v>
      </c>
      <c r="AP173" s="23">
        <f>$D173*COS($E173+$F173*'25SolarCoords'!AL$7)</f>
        <v>-16.43402965278176</v>
      </c>
      <c r="AQ173" s="23">
        <f>$D173*COS($E173+$F173*'25SolarCoords'!AM$7)</f>
        <v>183.29589693985781</v>
      </c>
      <c r="AR173" s="23">
        <f>$D173*COS($E173+$F173*'25SolarCoords'!AN$7)</f>
        <v>116.1052130712265</v>
      </c>
      <c r="AS173" s="23">
        <f>$D173*COS($E173+$F173*'25SolarCoords'!AO$7)</f>
        <v>-225.26595452105073</v>
      </c>
      <c r="AT173" s="23">
        <f>$D173*COS($E173+$F173*'25SolarCoords'!AP$7)</f>
        <v>-128.41710316982596</v>
      </c>
      <c r="AU173" s="23">
        <f>$D173*COS($E173+$F173*'25SolarCoords'!AQ$7)</f>
        <v>-171.68153274579547</v>
      </c>
      <c r="AV173" s="23">
        <f>$D173*COS($E173+$F173*'25SolarCoords'!AR$7)</f>
        <v>-205.44090673142043</v>
      </c>
      <c r="AW173" s="23">
        <f>$D173*COS($E173+$F173*'25SolarCoords'!AS$7)</f>
        <v>-231.31139539632167</v>
      </c>
      <c r="AX173" s="23">
        <f>$D173*COS($E173+$F173*'25SolarCoords'!AT$7)</f>
        <v>-239.83022788999531</v>
      </c>
      <c r="AY173" s="23">
        <f>$D173*COS($E173+$F173*'25SolarCoords'!AU$7)</f>
        <v>61.387814836471037</v>
      </c>
      <c r="AZ173" s="23">
        <f>$D173*COS($E173+$F173*'25SolarCoords'!AV$7)</f>
        <v>-75.379428565281941</v>
      </c>
      <c r="BA173" s="23">
        <f>$D173*COS($E173+$F173*'25SolarCoords'!AW$7)</f>
        <v>-38.861329810712839</v>
      </c>
      <c r="BB173" s="23">
        <f>$D173*COS($E173+$F173*'25SolarCoords'!AX$7)</f>
        <v>-240.10637468873387</v>
      </c>
      <c r="BC173" s="23">
        <f>$D173*COS($E173+$F173*'25SolarCoords'!AY$7)</f>
        <v>-103.65076815422577</v>
      </c>
      <c r="BD173" s="23">
        <f>$D173*COS($E173+$F173*'25SolarCoords'!AZ$7)</f>
        <v>-96.503118626872407</v>
      </c>
      <c r="BE173" s="23">
        <f>$D173*COS($E173+$F173*'25SolarCoords'!BA$7)</f>
        <v>-89.254915612957149</v>
      </c>
      <c r="BF173" s="23">
        <f>$D173*COS($E173+$F173*'25SolarCoords'!BB$7)</f>
        <v>-81.913711532492201</v>
      </c>
      <c r="BG173" s="23">
        <f>$D173*COS($E173+$F173*'25SolarCoords'!BC$7)</f>
        <v>-74.487155709951466</v>
      </c>
      <c r="BH173" s="23">
        <f>$D173*COS($E173+$F173*'25SolarCoords'!BD$7)</f>
        <v>-66.982986403827795</v>
      </c>
      <c r="BI173" s="23">
        <f>$D173*COS($E173+$F173*'25SolarCoords'!BE$7)</f>
        <v>-59.409022743733914</v>
      </c>
      <c r="BJ173" s="23">
        <f>$D173*COS($E173+$F173*'25SolarCoords'!BF$7)</f>
        <v>-51.77315658290847</v>
      </c>
      <c r="BK173" s="23">
        <f>$D173*COS($E173+$F173*'25SolarCoords'!BG$7)</f>
        <v>26.837863219637971</v>
      </c>
    </row>
    <row r="174" spans="3:63" x14ac:dyDescent="0.25">
      <c r="C174">
        <f t="shared" si="5"/>
        <v>14</v>
      </c>
      <c r="D174">
        <v>212</v>
      </c>
      <c r="E174">
        <v>5.8470000000000004</v>
      </c>
      <c r="F174">
        <v>1577.3440000000001</v>
      </c>
      <c r="H174" s="7"/>
      <c r="I174" s="23">
        <f>$D174*COS($E174+$F174*'25SolarCoords'!E$7)</f>
        <v>-97.663440553338063</v>
      </c>
      <c r="J174" s="23">
        <f>$D174*COS($E174+$F174*'25SolarCoords'!F$7)</f>
        <v>-208.4244573070271</v>
      </c>
      <c r="K174" s="23">
        <f>$D174*COS($E174+$F174*'25SolarCoords'!G$7)</f>
        <v>192.15041977247336</v>
      </c>
      <c r="L174" s="23">
        <f>$D174*COS($E174+$F174*'25SolarCoords'!H$7)</f>
        <v>-91.029795832158129</v>
      </c>
      <c r="M174" s="23">
        <f>$D174*COS($E174+$F174*'25SolarCoords'!I$7)</f>
        <v>-84.525173522673285</v>
      </c>
      <c r="N174" s="23">
        <f>$D174*COS($E174+$F174*'25SolarCoords'!J$7)</f>
        <v>44.111920320682678</v>
      </c>
      <c r="O174" s="23">
        <f>$D174*COS($E174+$F174*'25SolarCoords'!K$7)</f>
        <v>194.88020053326358</v>
      </c>
      <c r="P174" s="23">
        <f>$D174*COS($E174+$F174*'25SolarCoords'!L$7)</f>
        <v>206.91829727906764</v>
      </c>
      <c r="Q174" s="23">
        <f>$D174*COS($E174+$F174*'25SolarCoords'!M$7)</f>
        <v>98.273641439104651</v>
      </c>
      <c r="R174" s="23">
        <f>$D174*COS($E174+$F174*'25SolarCoords'!N$7)</f>
        <v>-211.00066647764299</v>
      </c>
      <c r="S174" s="23">
        <f>$D174*COS($E174+$F174*'25SolarCoords'!O$7)</f>
        <v>21.713572128862417</v>
      </c>
      <c r="T174" s="23">
        <f>$D174*COS($E174+$F174*'25SolarCoords'!P$7)</f>
        <v>203.21406805561509</v>
      </c>
      <c r="U174" s="23">
        <f>$D174*COS($E174+$F174*'25SolarCoords'!Q$7)</f>
        <v>29.868300697379947</v>
      </c>
      <c r="V174" s="23">
        <f>$D174*COS($E174+$F174*'25SolarCoords'!R$7)</f>
        <v>28.96162803795653</v>
      </c>
      <c r="W174" s="23">
        <f>$D174*COS($E174+$F174*'25SolarCoords'!S$7)</f>
        <v>199.86177586084102</v>
      </c>
      <c r="X174" s="23">
        <f>$D174*COS($E174+$F174*'25SolarCoords'!T$7)</f>
        <v>128.28642117188969</v>
      </c>
      <c r="Y174" s="23">
        <f>$D174*COS($E174+$F174*'25SolarCoords'!U$7)</f>
        <v>-40.584077254125681</v>
      </c>
      <c r="Z174" s="23">
        <f>$D174*COS($E174+$F174*'25SolarCoords'!V$7)</f>
        <v>199.45561878879295</v>
      </c>
      <c r="AA174" s="23">
        <f>$D174*COS($E174+$F174*'25SolarCoords'!W$7)</f>
        <v>-20.078057276550844</v>
      </c>
      <c r="AB174" s="23">
        <f>$D174*COS($E174+$F174*'25SolarCoords'!X$7)</f>
        <v>211.73255255155775</v>
      </c>
      <c r="AC174" s="23">
        <f>$D174*COS($E174+$F174*'25SolarCoords'!Y$7)</f>
        <v>80.86814509130744</v>
      </c>
      <c r="AD174" s="23">
        <f>$D174*COS($E174+$F174*'25SolarCoords'!Z$7)</f>
        <v>209.61163845993906</v>
      </c>
      <c r="AE174" s="23">
        <f>$D174*COS($E174+$F174*'25SolarCoords'!AA$7)</f>
        <v>191.95657335554881</v>
      </c>
      <c r="AF174" s="23">
        <f>$D174*COS($E174+$F174*'25SolarCoords'!AB$7)</f>
        <v>-211.83078206803796</v>
      </c>
      <c r="AG174" s="23">
        <f>$D174*COS($E174+$F174*'25SolarCoords'!AC$7)</f>
        <v>-149.40473441626548</v>
      </c>
      <c r="AH174" s="23">
        <f>$D174*COS($E174+$F174*'25SolarCoords'!AD$7)</f>
        <v>211.88288451766616</v>
      </c>
      <c r="AI174" s="23">
        <f>$D174*COS($E174+$F174*'25SolarCoords'!AE$7)</f>
        <v>78.193902678906909</v>
      </c>
      <c r="AJ174" s="23">
        <f>$D174*COS($E174+$F174*'25SolarCoords'!AF$7)</f>
        <v>107.67782961276619</v>
      </c>
      <c r="AK174" s="23">
        <f>$D174*COS($E174+$F174*'25SolarCoords'!AG$7)</f>
        <v>155.92853101758567</v>
      </c>
      <c r="AL174" s="23">
        <f>$D174*COS($E174+$F174*'25SolarCoords'!AH$7)</f>
        <v>-50.681320023798293</v>
      </c>
      <c r="AM174" s="23">
        <f>$D174*COS($E174+$F174*'25SolarCoords'!AI$7)</f>
        <v>210.98818681807282</v>
      </c>
      <c r="AN174" s="23">
        <f>$D174*COS($E174+$F174*'25SolarCoords'!AJ$7)</f>
        <v>-7.9024859519676598</v>
      </c>
      <c r="AO174" s="23">
        <f>$D174*COS($E174+$F174*'25SolarCoords'!AK$7)</f>
        <v>11.177173276581536</v>
      </c>
      <c r="AP174" s="23">
        <f>$D174*COS($E174+$F174*'25SolarCoords'!AL$7)</f>
        <v>-171.3276223225202</v>
      </c>
      <c r="AQ174" s="23">
        <f>$D174*COS($E174+$F174*'25SolarCoords'!AM$7)</f>
        <v>136.95061797979849</v>
      </c>
      <c r="AR174" s="23">
        <f>$D174*COS($E174+$F174*'25SolarCoords'!AN$7)</f>
        <v>211.94013436517076</v>
      </c>
      <c r="AS174" s="23">
        <f>$D174*COS($E174+$F174*'25SolarCoords'!AO$7)</f>
        <v>165.10630679538022</v>
      </c>
      <c r="AT174" s="23">
        <f>$D174*COS($E174+$F174*'25SolarCoords'!AP$7)</f>
        <v>-137.76762391703269</v>
      </c>
      <c r="AU174" s="23">
        <f>$D174*COS($E174+$F174*'25SolarCoords'!AQ$7)</f>
        <v>-132.79474884531095</v>
      </c>
      <c r="AV174" s="23">
        <f>$D174*COS($E174+$F174*'25SolarCoords'!AR$7)</f>
        <v>-127.81021945042873</v>
      </c>
      <c r="AW174" s="23">
        <f>$D174*COS($E174+$F174*'25SolarCoords'!AS$7)</f>
        <v>-122.03668879005176</v>
      </c>
      <c r="AX174" s="23">
        <f>$D174*COS($E174+$F174*'25SolarCoords'!AT$7)</f>
        <v>-110.827573899089</v>
      </c>
      <c r="AY174" s="23">
        <f>$D174*COS($E174+$F174*'25SolarCoords'!AU$7)</f>
        <v>-8.5212822585321586</v>
      </c>
      <c r="AZ174" s="23">
        <f>$D174*COS($E174+$F174*'25SolarCoords'!AV$7)</f>
        <v>-118.7672266037065</v>
      </c>
      <c r="BA174" s="23">
        <f>$D174*COS($E174+$F174*'25SolarCoords'!AW$7)</f>
        <v>-158.65280702241705</v>
      </c>
      <c r="BB174" s="23">
        <f>$D174*COS($E174+$F174*'25SolarCoords'!AX$7)</f>
        <v>56.041863885953674</v>
      </c>
      <c r="BC174" s="23">
        <f>$D174*COS($E174+$F174*'25SolarCoords'!AY$7)</f>
        <v>-86.550307568087391</v>
      </c>
      <c r="BD174" s="23">
        <f>$D174*COS($E174+$F174*'25SolarCoords'!AZ$7)</f>
        <v>-85.713746611958072</v>
      </c>
      <c r="BE174" s="23">
        <f>$D174*COS($E174+$F174*'25SolarCoords'!BA$7)</f>
        <v>-84.875587120673856</v>
      </c>
      <c r="BF174" s="23">
        <f>$D174*COS($E174+$F174*'25SolarCoords'!BB$7)</f>
        <v>-84.035844725658364</v>
      </c>
      <c r="BG174" s="23">
        <f>$D174*COS($E174+$F174*'25SolarCoords'!BC$7)</f>
        <v>-83.194535087847598</v>
      </c>
      <c r="BH174" s="23">
        <f>$D174*COS($E174+$F174*'25SolarCoords'!BD$7)</f>
        <v>-82.351673897407537</v>
      </c>
      <c r="BI174" s="23">
        <f>$D174*COS($E174+$F174*'25SolarCoords'!BE$7)</f>
        <v>-81.507276873442919</v>
      </c>
      <c r="BJ174" s="23">
        <f>$D174*COS($E174+$F174*'25SolarCoords'!BF$7)</f>
        <v>-80.661359763701313</v>
      </c>
      <c r="BK174" s="23">
        <f>$D174*COS($E174+$F174*'25SolarCoords'!BG$7)</f>
        <v>78.322517624692367</v>
      </c>
    </row>
    <row r="175" spans="3:63" x14ac:dyDescent="0.25">
      <c r="C175">
        <f t="shared" si="5"/>
        <v>15</v>
      </c>
      <c r="D175">
        <v>186</v>
      </c>
      <c r="E175">
        <v>5.0220000000000002</v>
      </c>
      <c r="F175">
        <v>10977.079</v>
      </c>
      <c r="H175" s="7"/>
      <c r="I175" s="23">
        <f>$D175*COS($E175+$F175*'25SolarCoords'!E$7)</f>
        <v>185.99572236481077</v>
      </c>
      <c r="J175" s="23">
        <f>$D175*COS($E175+$F175*'25SolarCoords'!F$7)</f>
        <v>-112.68852344387828</v>
      </c>
      <c r="K175" s="23">
        <f>$D175*COS($E175+$F175*'25SolarCoords'!G$7)</f>
        <v>56.672000419029416</v>
      </c>
      <c r="L175" s="23">
        <f>$D175*COS($E175+$F175*'25SolarCoords'!H$7)</f>
        <v>176.52306616445264</v>
      </c>
      <c r="M175" s="23">
        <f>$D175*COS($E175+$F175*'25SolarCoords'!I$7)</f>
        <v>45.452155232906662</v>
      </c>
      <c r="N175" s="23">
        <f>$D175*COS($E175+$F175*'25SolarCoords'!J$7)</f>
        <v>148.45759508645355</v>
      </c>
      <c r="O175" s="23">
        <f>$D175*COS($E175+$F175*'25SolarCoords'!K$7)</f>
        <v>179.11801420342749</v>
      </c>
      <c r="P175" s="23">
        <f>$D175*COS($E175+$F175*'25SolarCoords'!L$7)</f>
        <v>-111.45367321847597</v>
      </c>
      <c r="Q175" s="23">
        <f>$D175*COS($E175+$F175*'25SolarCoords'!M$7)</f>
        <v>153.15756088807711</v>
      </c>
      <c r="R175" s="23">
        <f>$D175*COS($E175+$F175*'25SolarCoords'!N$7)</f>
        <v>185.52977832978314</v>
      </c>
      <c r="S175" s="23">
        <f>$D175*COS($E175+$F175*'25SolarCoords'!O$7)</f>
        <v>-18.037835935217103</v>
      </c>
      <c r="T175" s="23">
        <f>$D175*COS($E175+$F175*'25SolarCoords'!P$7)</f>
        <v>-185.55196929246952</v>
      </c>
      <c r="U175" s="23">
        <f>$D175*COS($E175+$F175*'25SolarCoords'!Q$7)</f>
        <v>-148.36977614184028</v>
      </c>
      <c r="V175" s="23">
        <f>$D175*COS($E175+$F175*'25SolarCoords'!R$7)</f>
        <v>-144.93213035723446</v>
      </c>
      <c r="W175" s="23">
        <f>$D175*COS($E175+$F175*'25SolarCoords'!S$7)</f>
        <v>-139.16420531574397</v>
      </c>
      <c r="X175" s="23">
        <f>$D175*COS($E175+$F175*'25SolarCoords'!T$7)</f>
        <v>183.15402809391105</v>
      </c>
      <c r="Y175" s="23">
        <f>$D175*COS($E175+$F175*'25SolarCoords'!U$7)</f>
        <v>180.46495123395727</v>
      </c>
      <c r="Z175" s="23">
        <f>$D175*COS($E175+$F175*'25SolarCoords'!V$7)</f>
        <v>-136.37674989084323</v>
      </c>
      <c r="AA175" s="23">
        <f>$D175*COS($E175+$F175*'25SolarCoords'!W$7)</f>
        <v>-172.98908742427474</v>
      </c>
      <c r="AB175" s="23">
        <f>$D175*COS($E175+$F175*'25SolarCoords'!X$7)</f>
        <v>-66.639484938515565</v>
      </c>
      <c r="AC175" s="23">
        <f>$D175*COS($E175+$F175*'25SolarCoords'!Y$7)</f>
        <v>93.085863653065587</v>
      </c>
      <c r="AD175" s="23">
        <f>$D175*COS($E175+$F175*'25SolarCoords'!Z$7)</f>
        <v>-92.291906799692043</v>
      </c>
      <c r="AE175" s="23">
        <f>$D175*COS($E175+$F175*'25SolarCoords'!AA$7)</f>
        <v>54.003612622316375</v>
      </c>
      <c r="AF175" s="23">
        <f>$D175*COS($E175+$F175*'25SolarCoords'!AB$7)</f>
        <v>-52.626794670106577</v>
      </c>
      <c r="AG175" s="23">
        <f>$D175*COS($E175+$F175*'25SolarCoords'!AC$7)</f>
        <v>135.83084056021499</v>
      </c>
      <c r="AH175" s="23">
        <f>$D175*COS($E175+$F175*'25SolarCoords'!AD$7)</f>
        <v>-125.54643228636684</v>
      </c>
      <c r="AI175" s="23">
        <f>$D175*COS($E175+$F175*'25SolarCoords'!AE$7)</f>
        <v>107.89618951921562</v>
      </c>
      <c r="AJ175" s="23">
        <f>$D175*COS($E175+$F175*'25SolarCoords'!AF$7)</f>
        <v>-185.31342345187568</v>
      </c>
      <c r="AK175" s="23">
        <f>$D175*COS($E175+$F175*'25SolarCoords'!AG$7)</f>
        <v>70.181505344215012</v>
      </c>
      <c r="AL175" s="23">
        <f>$D175*COS($E175+$F175*'25SolarCoords'!AH$7)</f>
        <v>-115.63769635236774</v>
      </c>
      <c r="AM175" s="23">
        <f>$D175*COS($E175+$F175*'25SolarCoords'!AI$7)</f>
        <v>-6.663300440646144</v>
      </c>
      <c r="AN175" s="23">
        <f>$D175*COS($E175+$F175*'25SolarCoords'!AJ$7)</f>
        <v>113.94640859463418</v>
      </c>
      <c r="AO175" s="23">
        <f>$D175*COS($E175+$F175*'25SolarCoords'!AK$7)</f>
        <v>99.463883821550539</v>
      </c>
      <c r="AP175" s="23">
        <f>$D175*COS($E175+$F175*'25SolarCoords'!AL$7)</f>
        <v>-161.90864196601208</v>
      </c>
      <c r="AQ175" s="23">
        <f>$D175*COS($E175+$F175*'25SolarCoords'!AM$7)</f>
        <v>-114.24446516533163</v>
      </c>
      <c r="AR175" s="23">
        <f>$D175*COS($E175+$F175*'25SolarCoords'!AN$7)</f>
        <v>-7.0918712422479135</v>
      </c>
      <c r="AS175" s="23">
        <f>$D175*COS($E175+$F175*'25SolarCoords'!AO$7)</f>
        <v>-185.84447709205241</v>
      </c>
      <c r="AT175" s="23">
        <f>$D175*COS($E175+$F175*'25SolarCoords'!AP$7)</f>
        <v>-185.23964197325455</v>
      </c>
      <c r="AU175" s="23">
        <f>$D175*COS($E175+$F175*'25SolarCoords'!AQ$7)</f>
        <v>-177.55481718060022</v>
      </c>
      <c r="AV175" s="23">
        <f>$D175*COS($E175+$F175*'25SolarCoords'!AR$7)</f>
        <v>-162.33504527647992</v>
      </c>
      <c r="AW175" s="23">
        <f>$D175*COS($E175+$F175*'25SolarCoords'!AS$7)</f>
        <v>-136.78236988681732</v>
      </c>
      <c r="AX175" s="23">
        <f>$D175*COS($E175+$F175*'25SolarCoords'!AT$7)</f>
        <v>-69.986290141145986</v>
      </c>
      <c r="AY175" s="23">
        <f>$D175*COS($E175+$F175*'25SolarCoords'!AU$7)</f>
        <v>-111.40666790535433</v>
      </c>
      <c r="AZ175" s="23">
        <f>$D175*COS($E175+$F175*'25SolarCoords'!AV$7)</f>
        <v>-32.996687566983766</v>
      </c>
      <c r="BA175" s="23">
        <f>$D175*COS($E175+$F175*'25SolarCoords'!AW$7)</f>
        <v>-9.9851462645253974</v>
      </c>
      <c r="BB175" s="23">
        <f>$D175*COS($E175+$F175*'25SolarCoords'!AX$7)</f>
        <v>84.964423186636523</v>
      </c>
      <c r="BC175" s="23">
        <f>$D175*COS($E175+$F175*'25SolarCoords'!AY$7)</f>
        <v>91.747520475842251</v>
      </c>
      <c r="BD175" s="23">
        <f>$D175*COS($E175+$F175*'25SolarCoords'!AZ$7)</f>
        <v>96.567952048588182</v>
      </c>
      <c r="BE175" s="23">
        <f>$D175*COS($E175+$F175*'25SolarCoords'!BA$7)</f>
        <v>101.3011681639553</v>
      </c>
      <c r="BF175" s="23">
        <f>$D175*COS($E175+$F175*'25SolarCoords'!BB$7)</f>
        <v>105.94289401232621</v>
      </c>
      <c r="BG175" s="23">
        <f>$D175*COS($E175+$F175*'25SolarCoords'!BC$7)</f>
        <v>110.48893741365083</v>
      </c>
      <c r="BH175" s="23">
        <f>$D175*COS($E175+$F175*'25SolarCoords'!BD$7)</f>
        <v>114.93519260358246</v>
      </c>
      <c r="BI175" s="23">
        <f>$D175*COS($E175+$F175*'25SolarCoords'!BE$7)</f>
        <v>119.27764394161279</v>
      </c>
      <c r="BJ175" s="23">
        <f>$D175*COS($E175+$F175*'25SolarCoords'!BF$7)</f>
        <v>123.51236953780219</v>
      </c>
      <c r="BK175" s="23">
        <f>$D175*COS($E175+$F175*'25SolarCoords'!BG$7)</f>
        <v>107.20680815340538</v>
      </c>
    </row>
    <row r="176" spans="3:63" x14ac:dyDescent="0.25">
      <c r="C176">
        <f t="shared" si="5"/>
        <v>16</v>
      </c>
      <c r="D176">
        <v>175</v>
      </c>
      <c r="E176">
        <v>3.012</v>
      </c>
      <c r="F176">
        <v>18849.227999999999</v>
      </c>
      <c r="H176" s="7"/>
      <c r="I176" s="23">
        <f>$D176*COS($E176+$F176*'25SolarCoords'!E$7)</f>
        <v>7.9427837701985435</v>
      </c>
      <c r="J176" s="23">
        <f>$D176*COS($E176+$F176*'25SolarCoords'!F$7)</f>
        <v>136.82178372007021</v>
      </c>
      <c r="K176" s="23">
        <f>$D176*COS($E176+$F176*'25SolarCoords'!G$7)</f>
        <v>-173.53255805383546</v>
      </c>
      <c r="L176" s="23">
        <f>$D176*COS($E176+$F176*'25SolarCoords'!H$7)</f>
        <v>-173.23449099601871</v>
      </c>
      <c r="M176" s="23">
        <f>$D176*COS($E176+$F176*'25SolarCoords'!I$7)</f>
        <v>-62.835719239998241</v>
      </c>
      <c r="N176" s="23">
        <f>$D176*COS($E176+$F176*'25SolarCoords'!J$7)</f>
        <v>119.93411231024501</v>
      </c>
      <c r="O176" s="23">
        <f>$D176*COS($E176+$F176*'25SolarCoords'!K$7)</f>
        <v>-64.990933545980297</v>
      </c>
      <c r="P176" s="23">
        <f>$D176*COS($E176+$F176*'25SolarCoords'!L$7)</f>
        <v>124.73532932534658</v>
      </c>
      <c r="Q176" s="23">
        <f>$D176*COS($E176+$F176*'25SolarCoords'!M$7)</f>
        <v>-174.55913853628667</v>
      </c>
      <c r="R176" s="23">
        <f>$D176*COS($E176+$F176*'25SolarCoords'!N$7)</f>
        <v>-173.50987326218655</v>
      </c>
      <c r="S176" s="23">
        <f>$D176*COS($E176+$F176*'25SolarCoords'!O$7)</f>
        <v>-173.79616400172546</v>
      </c>
      <c r="T176" s="23">
        <f>$D176*COS($E176+$F176*'25SolarCoords'!P$7)</f>
        <v>-170.66253971591919</v>
      </c>
      <c r="U176" s="23">
        <f>$D176*COS($E176+$F176*'25SolarCoords'!Q$7)</f>
        <v>-65.765501019500633</v>
      </c>
      <c r="V176" s="23">
        <f>$D176*COS($E176+$F176*'25SolarCoords'!R$7)</f>
        <v>-57.312529517428992</v>
      </c>
      <c r="W176" s="23">
        <f>$D176*COS($E176+$F176*'25SolarCoords'!S$7)</f>
        <v>-82.283962555971073</v>
      </c>
      <c r="X176" s="23">
        <f>$D176*COS($E176+$F176*'25SolarCoords'!T$7)</f>
        <v>29.324232326985989</v>
      </c>
      <c r="Y176" s="23">
        <f>$D176*COS($E176+$F176*'25SolarCoords'!U$7)</f>
        <v>-126.98974271893643</v>
      </c>
      <c r="Z176" s="23">
        <f>$D176*COS($E176+$F176*'25SolarCoords'!V$7)</f>
        <v>161.23380895654495</v>
      </c>
      <c r="AA176" s="23">
        <f>$D176*COS($E176+$F176*'25SolarCoords'!W$7)</f>
        <v>-44.720268799237935</v>
      </c>
      <c r="AB176" s="23">
        <f>$D176*COS($E176+$F176*'25SolarCoords'!X$7)</f>
        <v>-67.936783853950928</v>
      </c>
      <c r="AC176" s="23">
        <f>$D176*COS($E176+$F176*'25SolarCoords'!Y$7)</f>
        <v>104.83760182008203</v>
      </c>
      <c r="AD176" s="23">
        <f>$D176*COS($E176+$F176*'25SolarCoords'!Z$7)</f>
        <v>-172.48253087391106</v>
      </c>
      <c r="AE176" s="23">
        <f>$D176*COS($E176+$F176*'25SolarCoords'!AA$7)</f>
        <v>-172.89131010944774</v>
      </c>
      <c r="AF176" s="23">
        <f>$D176*COS($E176+$F176*'25SolarCoords'!AB$7)</f>
        <v>169.55365602749609</v>
      </c>
      <c r="AG176" s="23">
        <f>$D176*COS($E176+$F176*'25SolarCoords'!AC$7)</f>
        <v>151.09033130251129</v>
      </c>
      <c r="AH176" s="23">
        <f>$D176*COS($E176+$F176*'25SolarCoords'!AD$7)</f>
        <v>-138.8119271828493</v>
      </c>
      <c r="AI176" s="23">
        <f>$D176*COS($E176+$F176*'25SolarCoords'!AE$7)</f>
        <v>126.14068440653982</v>
      </c>
      <c r="AJ176" s="23">
        <f>$D176*COS($E176+$F176*'25SolarCoords'!AF$7)</f>
        <v>-129.97610076636821</v>
      </c>
      <c r="AK176" s="23">
        <f>$D176*COS($E176+$F176*'25SolarCoords'!AG$7)</f>
        <v>79.174498634725182</v>
      </c>
      <c r="AL176" s="23">
        <f>$D176*COS($E176+$F176*'25SolarCoords'!AH$7)</f>
        <v>170.13445386209008</v>
      </c>
      <c r="AM176" s="23">
        <f>$D176*COS($E176+$F176*'25SolarCoords'!AI$7)</f>
        <v>29.431217298845873</v>
      </c>
      <c r="AN176" s="23">
        <f>$D176*COS($E176+$F176*'25SolarCoords'!AJ$7)</f>
        <v>-171.34222174116886</v>
      </c>
      <c r="AO176" s="23">
        <f>$D176*COS($E176+$F176*'25SolarCoords'!AK$7)</f>
        <v>-174.97068333893836</v>
      </c>
      <c r="AP176" s="23">
        <f>$D176*COS($E176+$F176*'25SolarCoords'!AL$7)</f>
        <v>-118.33733777781349</v>
      </c>
      <c r="AQ176" s="23">
        <f>$D176*COS($E176+$F176*'25SolarCoords'!AM$7)</f>
        <v>-19.635746191065024</v>
      </c>
      <c r="AR176" s="23">
        <f>$D176*COS($E176+$F176*'25SolarCoords'!AN$7)</f>
        <v>-15.105912447607071</v>
      </c>
      <c r="AS176" s="23">
        <f>$D176*COS($E176+$F176*'25SolarCoords'!AO$7)</f>
        <v>-44.629894010468242</v>
      </c>
      <c r="AT176" s="23">
        <f>$D176*COS($E176+$F176*'25SolarCoords'!AP$7)</f>
        <v>-78.502675325210134</v>
      </c>
      <c r="AU176" s="23">
        <f>$D176*COS($E176+$F176*'25SolarCoords'!AQ$7)</f>
        <v>-17.657458493148813</v>
      </c>
      <c r="AV176" s="23">
        <f>$D176*COS($E176+$F176*'25SolarCoords'!AR$7)</f>
        <v>44.169290648224091</v>
      </c>
      <c r="AW176" s="23">
        <f>$D176*COS($E176+$F176*'25SolarCoords'!AS$7)</f>
        <v>107.01982108144668</v>
      </c>
      <c r="AX176" s="23">
        <f>$D176*COS($E176+$F176*'25SolarCoords'!AT$7)</f>
        <v>172.86313700323578</v>
      </c>
      <c r="AY176" s="23">
        <f>$D176*COS($E176+$F176*'25SolarCoords'!AU$7)</f>
        <v>-29.478645554945864</v>
      </c>
      <c r="AZ176" s="23">
        <f>$D176*COS($E176+$F176*'25SolarCoords'!AV$7)</f>
        <v>-173.24531569165617</v>
      </c>
      <c r="BA176" s="23">
        <f>$D176*COS($E176+$F176*'25SolarCoords'!AW$7)</f>
        <v>-174.3645307134403</v>
      </c>
      <c r="BB176" s="23">
        <f>$D176*COS($E176+$F176*'25SolarCoords'!AX$7)</f>
        <v>-91.780900270873502</v>
      </c>
      <c r="BC176" s="23">
        <f>$D176*COS($E176+$F176*'25SolarCoords'!AY$7)</f>
        <v>31.164479274539787</v>
      </c>
      <c r="BD176" s="23">
        <f>$D176*COS($E176+$F176*'25SolarCoords'!AZ$7)</f>
        <v>22.240175930331294</v>
      </c>
      <c r="BE176" s="23">
        <f>$D176*COS($E176+$F176*'25SolarCoords'!BA$7)</f>
        <v>13.256655297656364</v>
      </c>
      <c r="BF176" s="23">
        <f>$D176*COS($E176+$F176*'25SolarCoords'!BB$7)</f>
        <v>4.2378371393188905</v>
      </c>
      <c r="BG176" s="23">
        <f>$D176*COS($E176+$F176*'25SolarCoords'!BC$7)</f>
        <v>-4.7922647977692341</v>
      </c>
      <c r="BH176" s="23">
        <f>$D176*COS($E176+$F176*'25SolarCoords'!BD$7)</f>
        <v>-13.809606722174632</v>
      </c>
      <c r="BI176" s="23">
        <f>$D176*COS($E176+$F176*'25SolarCoords'!BE$7)</f>
        <v>-22.790178817615722</v>
      </c>
      <c r="BJ176" s="23">
        <f>$D176*COS($E176+$F176*'25SolarCoords'!BF$7)</f>
        <v>-31.710069172172588</v>
      </c>
      <c r="BK176" s="23">
        <f>$D176*COS($E176+$F176*'25SolarCoords'!BG$7)</f>
        <v>125.19063819444068</v>
      </c>
    </row>
    <row r="177" spans="3:63" x14ac:dyDescent="0.25">
      <c r="C177">
        <f t="shared" si="5"/>
        <v>17</v>
      </c>
      <c r="D177">
        <v>110</v>
      </c>
      <c r="E177">
        <v>5.0549999999999997</v>
      </c>
      <c r="F177">
        <v>5486.7780000000002</v>
      </c>
      <c r="H177" s="7"/>
      <c r="I177" s="23">
        <f>$D177*COS($E177+$F177*'25SolarCoords'!E$7)</f>
        <v>95.471404706949528</v>
      </c>
      <c r="J177" s="23">
        <f>$D177*COS($E177+$F177*'25SolarCoords'!F$7)</f>
        <v>36.992109577266056</v>
      </c>
      <c r="K177" s="23">
        <f>$D177*COS($E177+$F177*'25SolarCoords'!G$7)</f>
        <v>36.95422538580484</v>
      </c>
      <c r="L177" s="23">
        <f>$D177*COS($E177+$F177*'25SolarCoords'!H$7)</f>
        <v>99.730960226585637</v>
      </c>
      <c r="M177" s="23">
        <f>$D177*COS($E177+$F177*'25SolarCoords'!I$7)</f>
        <v>-109.58255464216158</v>
      </c>
      <c r="N177" s="23">
        <f>$D177*COS($E177+$F177*'25SolarCoords'!J$7)</f>
        <v>68.481229458927118</v>
      </c>
      <c r="O177" s="23">
        <f>$D177*COS($E177+$F177*'25SolarCoords'!K$7)</f>
        <v>-83.203239279796975</v>
      </c>
      <c r="P177" s="23">
        <f>$D177*COS($E177+$F177*'25SolarCoords'!L$7)</f>
        <v>-12.418362597645389</v>
      </c>
      <c r="Q177" s="23">
        <f>$D177*COS($E177+$F177*'25SolarCoords'!M$7)</f>
        <v>-109.21211028450861</v>
      </c>
      <c r="R177" s="23">
        <f>$D177*COS($E177+$F177*'25SolarCoords'!N$7)</f>
        <v>-109.71946049288526</v>
      </c>
      <c r="S177" s="23">
        <f>$D177*COS($E177+$F177*'25SolarCoords'!O$7)</f>
        <v>-82.062404249427786</v>
      </c>
      <c r="T177" s="23">
        <f>$D177*COS($E177+$F177*'25SolarCoords'!P$7)</f>
        <v>-109.59727810929822</v>
      </c>
      <c r="U177" s="23">
        <f>$D177*COS($E177+$F177*'25SolarCoords'!Q$7)</f>
        <v>34.845827162330728</v>
      </c>
      <c r="V177" s="23">
        <f>$D177*COS($E177+$F177*'25SolarCoords'!R$7)</f>
        <v>36.409153145083998</v>
      </c>
      <c r="W177" s="23">
        <f>$D177*COS($E177+$F177*'25SolarCoords'!S$7)</f>
        <v>-103.83967947727281</v>
      </c>
      <c r="X177" s="23">
        <f>$D177*COS($E177+$F177*'25SolarCoords'!T$7)</f>
        <v>12.447860500268845</v>
      </c>
      <c r="Y177" s="23">
        <f>$D177*COS($E177+$F177*'25SolarCoords'!U$7)</f>
        <v>10.696976769061758</v>
      </c>
      <c r="Z177" s="23">
        <f>$D177*COS($E177+$F177*'25SolarCoords'!V$7)</f>
        <v>-90.547590304223007</v>
      </c>
      <c r="AA177" s="23">
        <f>$D177*COS($E177+$F177*'25SolarCoords'!W$7)</f>
        <v>-41.519813111934184</v>
      </c>
      <c r="AB177" s="23">
        <f>$D177*COS($E177+$F177*'25SolarCoords'!X$7)</f>
        <v>101.9635698289719</v>
      </c>
      <c r="AC177" s="23">
        <f>$D177*COS($E177+$F177*'25SolarCoords'!Y$7)</f>
        <v>51.78512666941527</v>
      </c>
      <c r="AD177" s="23">
        <f>$D177*COS($E177+$F177*'25SolarCoords'!Z$7)</f>
        <v>16.362304986140231</v>
      </c>
      <c r="AE177" s="23">
        <f>$D177*COS($E177+$F177*'25SolarCoords'!AA$7)</f>
        <v>36.175000122908386</v>
      </c>
      <c r="AF177" s="23">
        <f>$D177*COS($E177+$F177*'25SolarCoords'!AB$7)</f>
        <v>100.82201327924976</v>
      </c>
      <c r="AG177" s="23">
        <f>$D177*COS($E177+$F177*'25SolarCoords'!AC$7)</f>
        <v>-65.195555547642812</v>
      </c>
      <c r="AH177" s="23">
        <f>$D177*COS($E177+$F177*'25SolarCoords'!AD$7)</f>
        <v>-92.078643469161449</v>
      </c>
      <c r="AI177" s="23">
        <f>$D177*COS($E177+$F177*'25SolarCoords'!AE$7)</f>
        <v>56.319324292180966</v>
      </c>
      <c r="AJ177" s="23">
        <f>$D177*COS($E177+$F177*'25SolarCoords'!AF$7)</f>
        <v>-56.765345762494036</v>
      </c>
      <c r="AK177" s="23">
        <f>$D177*COS($E177+$F177*'25SolarCoords'!AG$7)</f>
        <v>-109.99725058758939</v>
      </c>
      <c r="AL177" s="23">
        <f>$D177*COS($E177+$F177*'25SolarCoords'!AH$7)</f>
        <v>94.413695936185405</v>
      </c>
      <c r="AM177" s="23">
        <f>$D177*COS($E177+$F177*'25SolarCoords'!AI$7)</f>
        <v>107.36365423368395</v>
      </c>
      <c r="AN177" s="23">
        <f>$D177*COS($E177+$F177*'25SolarCoords'!AJ$7)</f>
        <v>109.0700045288677</v>
      </c>
      <c r="AO177" s="23">
        <f>$D177*COS($E177+$F177*'25SolarCoords'!AK$7)</f>
        <v>78.177626740967114</v>
      </c>
      <c r="AP177" s="23">
        <f>$D177*COS($E177+$F177*'25SolarCoords'!AL$7)</f>
        <v>-35.012189176716319</v>
      </c>
      <c r="AQ177" s="23">
        <f>$D177*COS($E177+$F177*'25SolarCoords'!AM$7)</f>
        <v>107.877755536012</v>
      </c>
      <c r="AR177" s="23">
        <f>$D177*COS($E177+$F177*'25SolarCoords'!AN$7)</f>
        <v>107.66494385316564</v>
      </c>
      <c r="AS177" s="23">
        <f>$D177*COS($E177+$F177*'25SolarCoords'!AO$7)</f>
        <v>21.591818080133109</v>
      </c>
      <c r="AT177" s="23">
        <f>$D177*COS($E177+$F177*'25SolarCoords'!AP$7)</f>
        <v>-61.419851334794096</v>
      </c>
      <c r="AU177" s="23">
        <f>$D177*COS($E177+$F177*'25SolarCoords'!AQ$7)</f>
        <v>-51.421245199936322</v>
      </c>
      <c r="AV177" s="23">
        <f>$D177*COS($E177+$F177*'25SolarCoords'!AR$7)</f>
        <v>-41.0798323399259</v>
      </c>
      <c r="AW177" s="23">
        <f>$D177*COS($E177+$F177*'25SolarCoords'!AS$7)</f>
        <v>-28.859195404504678</v>
      </c>
      <c r="AX177" s="23">
        <f>$D177*COS($E177+$F177*'25SolarCoords'!AT$7)</f>
        <v>-4.981006501682808</v>
      </c>
      <c r="AY177" s="23">
        <f>$D177*COS($E177+$F177*'25SolarCoords'!AU$7)</f>
        <v>-93.44625698779727</v>
      </c>
      <c r="AZ177" s="23">
        <f>$D177*COS($E177+$F177*'25SolarCoords'!AV$7)</f>
        <v>11.281981389249411</v>
      </c>
      <c r="BA177" s="23">
        <f>$D177*COS($E177+$F177*'25SolarCoords'!AW$7)</f>
        <v>104.0952871029756</v>
      </c>
      <c r="BB177" s="23">
        <f>$D177*COS($E177+$F177*'25SolarCoords'!AX$7)</f>
        <v>-109.96324676276689</v>
      </c>
      <c r="BC177" s="23">
        <f>$D177*COS($E177+$F177*'25SolarCoords'!AY$7)</f>
        <v>43.378661247540933</v>
      </c>
      <c r="BD177" s="23">
        <f>$D177*COS($E177+$F177*'25SolarCoords'!AZ$7)</f>
        <v>44.892215121627551</v>
      </c>
      <c r="BE177" s="23">
        <f>$D177*COS($E177+$F177*'25SolarCoords'!BA$7)</f>
        <v>46.395638814916943</v>
      </c>
      <c r="BF177" s="23">
        <f>$D177*COS($E177+$F177*'25SolarCoords'!BB$7)</f>
        <v>47.888593071398105</v>
      </c>
      <c r="BG177" s="23">
        <f>$D177*COS($E177+$F177*'25SolarCoords'!BC$7)</f>
        <v>49.370740997544509</v>
      </c>
      <c r="BH177" s="23">
        <f>$D177*COS($E177+$F177*'25SolarCoords'!BD$7)</f>
        <v>50.841748138347263</v>
      </c>
      <c r="BI177" s="23">
        <f>$D177*COS($E177+$F177*'25SolarCoords'!BE$7)</f>
        <v>52.301282552769877</v>
      </c>
      <c r="BJ177" s="23">
        <f>$D177*COS($E177+$F177*'25SolarCoords'!BF$7)</f>
        <v>53.749014888661229</v>
      </c>
      <c r="BK177" s="23">
        <f>$D177*COS($E177+$F177*'25SolarCoords'!BG$7)</f>
        <v>56.104625124173687</v>
      </c>
    </row>
    <row r="178" spans="3:63" x14ac:dyDescent="0.25">
      <c r="C178">
        <f t="shared" si="5"/>
        <v>18</v>
      </c>
      <c r="D178">
        <v>98</v>
      </c>
      <c r="E178">
        <v>0.89</v>
      </c>
      <c r="F178">
        <v>6069.78</v>
      </c>
      <c r="H178" s="7"/>
      <c r="I178" s="23">
        <f>$D178*COS($E178+$F178*'25SolarCoords'!E$7)</f>
        <v>-49.836762593261156</v>
      </c>
      <c r="J178" s="23">
        <f>$D178*COS($E178+$F178*'25SolarCoords'!F$7)</f>
        <v>65.093744516757297</v>
      </c>
      <c r="K178" s="23">
        <f>$D178*COS($E178+$F178*'25SolarCoords'!G$7)</f>
        <v>61.682378604222293</v>
      </c>
      <c r="L178" s="23">
        <f>$D178*COS($E178+$F178*'25SolarCoords'!H$7)</f>
        <v>44.517843978007733</v>
      </c>
      <c r="M178" s="23">
        <f>$D178*COS($E178+$F178*'25SolarCoords'!I$7)</f>
        <v>-56.957601909877816</v>
      </c>
      <c r="N178" s="23">
        <f>$D178*COS($E178+$F178*'25SolarCoords'!J$7)</f>
        <v>96.167164852984669</v>
      </c>
      <c r="O178" s="23">
        <f>$D178*COS($E178+$F178*'25SolarCoords'!K$7)</f>
        <v>-72.828480017250428</v>
      </c>
      <c r="P178" s="23">
        <f>$D178*COS($E178+$F178*'25SolarCoords'!L$7)</f>
        <v>97.9974345354278</v>
      </c>
      <c r="Q178" s="23">
        <f>$D178*COS($E178+$F178*'25SolarCoords'!M$7)</f>
        <v>-95.00913734127883</v>
      </c>
      <c r="R178" s="23">
        <f>$D178*COS($E178+$F178*'25SolarCoords'!N$7)</f>
        <v>-9.796323994965455</v>
      </c>
      <c r="S178" s="23">
        <f>$D178*COS($E178+$F178*'25SolarCoords'!O$7)</f>
        <v>-30.612512673937267</v>
      </c>
      <c r="T178" s="23">
        <f>$D178*COS($E178+$F178*'25SolarCoords'!P$7)</f>
        <v>91.129782522692665</v>
      </c>
      <c r="U178" s="23">
        <f>$D178*COS($E178+$F178*'25SolarCoords'!Q$7)</f>
        <v>2.4163160597809581</v>
      </c>
      <c r="V178" s="23">
        <f>$D178*COS($E178+$F178*'25SolarCoords'!R$7)</f>
        <v>0.78797357123244127</v>
      </c>
      <c r="W178" s="23">
        <f>$D178*COS($E178+$F178*'25SolarCoords'!S$7)</f>
        <v>-85.872764954669151</v>
      </c>
      <c r="X178" s="23">
        <f>$D178*COS($E178+$F178*'25SolarCoords'!T$7)</f>
        <v>15.765858271022994</v>
      </c>
      <c r="Y178" s="23">
        <f>$D178*COS($E178+$F178*'25SolarCoords'!U$7)</f>
        <v>-25.400960699330216</v>
      </c>
      <c r="Z178" s="23">
        <f>$D178*COS($E178+$F178*'25SolarCoords'!V$7)</f>
        <v>59.665627245464513</v>
      </c>
      <c r="AA178" s="23">
        <f>$D178*COS($E178+$F178*'25SolarCoords'!W$7)</f>
        <v>54.761134099461486</v>
      </c>
      <c r="AB178" s="23">
        <f>$D178*COS($E178+$F178*'25SolarCoords'!X$7)</f>
        <v>-40.711126062235373</v>
      </c>
      <c r="AC178" s="23">
        <f>$D178*COS($E178+$F178*'25SolarCoords'!Y$7)</f>
        <v>94.524745264592767</v>
      </c>
      <c r="AD178" s="23">
        <f>$D178*COS($E178+$F178*'25SolarCoords'!Z$7)</f>
        <v>-59.63237558213352</v>
      </c>
      <c r="AE178" s="23">
        <f>$D178*COS($E178+$F178*'25SolarCoords'!AA$7)</f>
        <v>62.313003359277786</v>
      </c>
      <c r="AF178" s="23">
        <f>$D178*COS($E178+$F178*'25SolarCoords'!AB$7)</f>
        <v>41.676040859241525</v>
      </c>
      <c r="AG178" s="23">
        <f>$D178*COS($E178+$F178*'25SolarCoords'!AC$7)</f>
        <v>-13.937512276070327</v>
      </c>
      <c r="AH178" s="23">
        <f>$D178*COS($E178+$F178*'25SolarCoords'!AD$7)</f>
        <v>54.637221865835869</v>
      </c>
      <c r="AI178" s="23">
        <f>$D178*COS($E178+$F178*'25SolarCoords'!AE$7)</f>
        <v>93.041256563899736</v>
      </c>
      <c r="AJ178" s="23">
        <f>$D178*COS($E178+$F178*'25SolarCoords'!AF$7)</f>
        <v>-56.764041489063672</v>
      </c>
      <c r="AK178" s="23">
        <f>$D178*COS($E178+$F178*'25SolarCoords'!AG$7)</f>
        <v>48.034269499434572</v>
      </c>
      <c r="AL178" s="23">
        <f>$D178*COS($E178+$F178*'25SolarCoords'!AH$7)</f>
        <v>-78.289881677666898</v>
      </c>
      <c r="AM178" s="23">
        <f>$D178*COS($E178+$F178*'25SolarCoords'!AI$7)</f>
        <v>-56.237663937645713</v>
      </c>
      <c r="AN178" s="23">
        <f>$D178*COS($E178+$F178*'25SolarCoords'!AJ$7)</f>
        <v>-31.77652536365779</v>
      </c>
      <c r="AO178" s="23">
        <f>$D178*COS($E178+$F178*'25SolarCoords'!AK$7)</f>
        <v>-44.947743682465848</v>
      </c>
      <c r="AP178" s="23">
        <f>$D178*COS($E178+$F178*'25SolarCoords'!AL$7)</f>
        <v>44.903922530748055</v>
      </c>
      <c r="AQ178" s="23">
        <f>$D178*COS($E178+$F178*'25SolarCoords'!AM$7)</f>
        <v>-97.988083183377924</v>
      </c>
      <c r="AR178" s="23">
        <f>$D178*COS($E178+$F178*'25SolarCoords'!AN$7)</f>
        <v>-77.144496904277432</v>
      </c>
      <c r="AS178" s="23">
        <f>$D178*COS($E178+$F178*'25SolarCoords'!AO$7)</f>
        <v>86.742194827701525</v>
      </c>
      <c r="AT178" s="23">
        <f>$D178*COS($E178+$F178*'25SolarCoords'!AP$7)</f>
        <v>78.502581396052491</v>
      </c>
      <c r="AU178" s="23">
        <f>$D178*COS($E178+$F178*'25SolarCoords'!AQ$7)</f>
        <v>71.101084982568239</v>
      </c>
      <c r="AV178" s="23">
        <f>$D178*COS($E178+$F178*'25SolarCoords'!AR$7)</f>
        <v>62.914207032082231</v>
      </c>
      <c r="AW178" s="23">
        <f>$D178*COS($E178+$F178*'25SolarCoords'!AS$7)</f>
        <v>52.665500547075276</v>
      </c>
      <c r="AX178" s="23">
        <f>$D178*COS($E178+$F178*'25SolarCoords'!AT$7)</f>
        <v>31.180320188883595</v>
      </c>
      <c r="AY178" s="23">
        <f>$D178*COS($E178+$F178*'25SolarCoords'!AU$7)</f>
        <v>-94.72284569682715</v>
      </c>
      <c r="AZ178" s="23">
        <f>$D178*COS($E178+$F178*'25SolarCoords'!AV$7)</f>
        <v>74.280871830393124</v>
      </c>
      <c r="BA178" s="23">
        <f>$D178*COS($E178+$F178*'25SolarCoords'!AW$7)</f>
        <v>-62.115428959601608</v>
      </c>
      <c r="BB178" s="23">
        <f>$D178*COS($E178+$F178*'25SolarCoords'!AX$7)</f>
        <v>70.525574310053472</v>
      </c>
      <c r="BC178" s="23">
        <f>$D178*COS($E178+$F178*'25SolarCoords'!AY$7)</f>
        <v>-17.038438994168448</v>
      </c>
      <c r="BD178" s="23">
        <f>$D178*COS($E178+$F178*'25SolarCoords'!AZ$7)</f>
        <v>-18.639788325363593</v>
      </c>
      <c r="BE178" s="23">
        <f>$D178*COS($E178+$F178*'25SolarCoords'!BA$7)</f>
        <v>-20.23599015563935</v>
      </c>
      <c r="BF178" s="23">
        <f>$D178*COS($E178+$F178*'25SolarCoords'!BB$7)</f>
        <v>-21.826603683295307</v>
      </c>
      <c r="BG178" s="23">
        <f>$D178*COS($E178+$F178*'25SolarCoords'!BC$7)</f>
        <v>-23.41118964987513</v>
      </c>
      <c r="BH178" s="23">
        <f>$D178*COS($E178+$F178*'25SolarCoords'!BD$7)</f>
        <v>-24.989310461484173</v>
      </c>
      <c r="BI178" s="23">
        <f>$D178*COS($E178+$F178*'25SolarCoords'!BE$7)</f>
        <v>-26.560530309604225</v>
      </c>
      <c r="BJ178" s="23">
        <f>$D178*COS($E178+$F178*'25SolarCoords'!BF$7)</f>
        <v>-28.124415291482684</v>
      </c>
      <c r="BK178" s="23">
        <f>$D178*COS($E178+$F178*'25SolarCoords'!BG$7)</f>
        <v>93.118277549807729</v>
      </c>
    </row>
    <row r="179" spans="3:63" x14ac:dyDescent="0.25">
      <c r="C179">
        <f t="shared" si="5"/>
        <v>19</v>
      </c>
      <c r="D179">
        <v>86</v>
      </c>
      <c r="E179">
        <v>5.69</v>
      </c>
      <c r="F179">
        <v>15720.84</v>
      </c>
      <c r="H179" s="7"/>
      <c r="I179" s="23">
        <f>$D179*COS($E179+$F179*'25SolarCoords'!E$7)</f>
        <v>18.552208758068282</v>
      </c>
      <c r="J179" s="23">
        <f>$D179*COS($E179+$F179*'25SolarCoords'!F$7)</f>
        <v>-6.2335578476894895</v>
      </c>
      <c r="K179" s="23">
        <f>$D179*COS($E179+$F179*'25SolarCoords'!G$7)</f>
        <v>71.308128587589394</v>
      </c>
      <c r="L179" s="23">
        <f>$D179*COS($E179+$F179*'25SolarCoords'!H$7)</f>
        <v>-70.151976811921003</v>
      </c>
      <c r="M179" s="23">
        <f>$D179*COS($E179+$F179*'25SolarCoords'!I$7)</f>
        <v>-80.852755841748376</v>
      </c>
      <c r="N179" s="23">
        <f>$D179*COS($E179+$F179*'25SolarCoords'!J$7)</f>
        <v>-83.515109301328778</v>
      </c>
      <c r="O179" s="23">
        <f>$D179*COS($E179+$F179*'25SolarCoords'!K$7)</f>
        <v>80.790551843052242</v>
      </c>
      <c r="P179" s="23">
        <f>$D179*COS($E179+$F179*'25SolarCoords'!L$7)</f>
        <v>82.503477781351592</v>
      </c>
      <c r="Q179" s="23">
        <f>$D179*COS($E179+$F179*'25SolarCoords'!M$7)</f>
        <v>-24.471633028882387</v>
      </c>
      <c r="R179" s="23">
        <f>$D179*COS($E179+$F179*'25SolarCoords'!N$7)</f>
        <v>68.62367770493006</v>
      </c>
      <c r="S179" s="23">
        <f>$D179*COS($E179+$F179*'25SolarCoords'!O$7)</f>
        <v>-68.513821881689751</v>
      </c>
      <c r="T179" s="23">
        <f>$D179*COS($E179+$F179*'25SolarCoords'!P$7)</f>
        <v>23.025879192501769</v>
      </c>
      <c r="U179" s="23">
        <f>$D179*COS($E179+$F179*'25SolarCoords'!Q$7)</f>
        <v>-55.243208305072585</v>
      </c>
      <c r="V179" s="23">
        <f>$D179*COS($E179+$F179*'25SolarCoords'!R$7)</f>
        <v>-52.356048946076683</v>
      </c>
      <c r="W179" s="23">
        <f>$D179*COS($E179+$F179*'25SolarCoords'!S$7)</f>
        <v>42.113817027548116</v>
      </c>
      <c r="X179" s="23">
        <f>$D179*COS($E179+$F179*'25SolarCoords'!T$7)</f>
        <v>1.5145520616444417</v>
      </c>
      <c r="Y179" s="23">
        <f>$D179*COS($E179+$F179*'25SolarCoords'!U$7)</f>
        <v>72.818644739892235</v>
      </c>
      <c r="Z179" s="23">
        <f>$D179*COS($E179+$F179*'25SolarCoords'!V$7)</f>
        <v>5.8843156768924514</v>
      </c>
      <c r="AA179" s="23">
        <f>$D179*COS($E179+$F179*'25SolarCoords'!W$7)</f>
        <v>80.84034400532434</v>
      </c>
      <c r="AB179" s="23">
        <f>$D179*COS($E179+$F179*'25SolarCoords'!X$7)</f>
        <v>-74.162181335610526</v>
      </c>
      <c r="AC179" s="23">
        <f>$D179*COS($E179+$F179*'25SolarCoords'!Y$7)</f>
        <v>-42.172775942160712</v>
      </c>
      <c r="AD179" s="23">
        <f>$D179*COS($E179+$F179*'25SolarCoords'!Z$7)</f>
        <v>85.900410878315029</v>
      </c>
      <c r="AE179" s="23">
        <f>$D179*COS($E179+$F179*'25SolarCoords'!AA$7)</f>
        <v>70.257102989234397</v>
      </c>
      <c r="AF179" s="23">
        <f>$D179*COS($E179+$F179*'25SolarCoords'!AB$7)</f>
        <v>82.680736435719069</v>
      </c>
      <c r="AG179" s="23">
        <f>$D179*COS($E179+$F179*'25SolarCoords'!AC$7)</f>
        <v>84.264258808594306</v>
      </c>
      <c r="AH179" s="23">
        <f>$D179*COS($E179+$F179*'25SolarCoords'!AD$7)</f>
        <v>-52.795184405823882</v>
      </c>
      <c r="AI179" s="23">
        <f>$D179*COS($E179+$F179*'25SolarCoords'!AE$7)</f>
        <v>-31.651189530491813</v>
      </c>
      <c r="AJ179" s="23">
        <f>$D179*COS($E179+$F179*'25SolarCoords'!AF$7)</f>
        <v>-32.037953983361845</v>
      </c>
      <c r="AK179" s="23">
        <f>$D179*COS($E179+$F179*'25SolarCoords'!AG$7)</f>
        <v>48.312076807324978</v>
      </c>
      <c r="AL179" s="23">
        <f>$D179*COS($E179+$F179*'25SolarCoords'!AH$7)</f>
        <v>21.17714894440612</v>
      </c>
      <c r="AM179" s="23">
        <f>$D179*COS($E179+$F179*'25SolarCoords'!AI$7)</f>
        <v>-85.858131668014551</v>
      </c>
      <c r="AN179" s="23">
        <f>$D179*COS($E179+$F179*'25SolarCoords'!AJ$7)</f>
        <v>18.767192253000193</v>
      </c>
      <c r="AO179" s="23">
        <f>$D179*COS($E179+$F179*'25SolarCoords'!AK$7)</f>
        <v>-83.371315355550223</v>
      </c>
      <c r="AP179" s="23">
        <f>$D179*COS($E179+$F179*'25SolarCoords'!AL$7)</f>
        <v>-36.685453546617346</v>
      </c>
      <c r="AQ179" s="23">
        <f>$D179*COS($E179+$F179*'25SolarCoords'!AM$7)</f>
        <v>-85.703297075573062</v>
      </c>
      <c r="AR179" s="23">
        <f>$D179*COS($E179+$F179*'25SolarCoords'!AN$7)</f>
        <v>-80.002610448945731</v>
      </c>
      <c r="AS179" s="23">
        <f>$D179*COS($E179+$F179*'25SolarCoords'!AO$7)</f>
        <v>-73.556484175120019</v>
      </c>
      <c r="AT179" s="23">
        <f>$D179*COS($E179+$F179*'25SolarCoords'!AP$7)</f>
        <v>18.052645084886748</v>
      </c>
      <c r="AU179" s="23">
        <f>$D179*COS($E179+$F179*'25SolarCoords'!AQ$7)</f>
        <v>42.370560760853245</v>
      </c>
      <c r="AV179" s="23">
        <f>$D179*COS($E179+$F179*'25SolarCoords'!AR$7)</f>
        <v>62.423288054157069</v>
      </c>
      <c r="AW179" s="23">
        <f>$D179*COS($E179+$F179*'25SolarCoords'!AS$7)</f>
        <v>78.436586490750116</v>
      </c>
      <c r="AX179" s="23">
        <f>$D179*COS($E179+$F179*'25SolarCoords'!AT$7)</f>
        <v>84.141161721974996</v>
      </c>
      <c r="AY179" s="23">
        <f>$D179*COS($E179+$F179*'25SolarCoords'!AU$7)</f>
        <v>-64.991913168418051</v>
      </c>
      <c r="AZ179" s="23">
        <f>$D179*COS($E179+$F179*'25SolarCoords'!AV$7)</f>
        <v>78.762075478322387</v>
      </c>
      <c r="BA179" s="23">
        <f>$D179*COS($E179+$F179*'25SolarCoords'!AW$7)</f>
        <v>-25.581333644717553</v>
      </c>
      <c r="BB179" s="23">
        <f>$D179*COS($E179+$F179*'25SolarCoords'!AX$7)</f>
        <v>84.309909620568902</v>
      </c>
      <c r="BC179" s="23">
        <f>$D179*COS($E179+$F179*'25SolarCoords'!AY$7)</f>
        <v>6.1236217002552316</v>
      </c>
      <c r="BD179" s="23">
        <f>$D179*COS($E179+$F179*'25SolarCoords'!AZ$7)</f>
        <v>2.4269328841474143</v>
      </c>
      <c r="BE179" s="23">
        <f>$D179*COS($E179+$F179*'25SolarCoords'!BA$7)</f>
        <v>-1.2742512638913577</v>
      </c>
      <c r="BF179" s="23">
        <f>$D179*COS($E179+$F179*'25SolarCoords'!BB$7)</f>
        <v>-4.9730751561389432</v>
      </c>
      <c r="BG179" s="23">
        <f>$D179*COS($E179+$F179*'25SolarCoords'!BC$7)</f>
        <v>-8.6626875767012361</v>
      </c>
      <c r="BH179" s="23">
        <f>$D179*COS($E179+$F179*'25SolarCoords'!BD$7)</f>
        <v>-12.336254371810078</v>
      </c>
      <c r="BI179" s="23">
        <f>$D179*COS($E179+$F179*'25SolarCoords'!BE$7)</f>
        <v>-15.98697110849332</v>
      </c>
      <c r="BJ179" s="23">
        <f>$D179*COS($E179+$F179*'25SolarCoords'!BF$7)</f>
        <v>-19.608075678242447</v>
      </c>
      <c r="BK179" s="23">
        <f>$D179*COS($E179+$F179*'25SolarCoords'!BG$7)</f>
        <v>-32.170761264071338</v>
      </c>
    </row>
    <row r="180" spans="3:63" x14ac:dyDescent="0.25">
      <c r="C180">
        <f t="shared" si="5"/>
        <v>20</v>
      </c>
      <c r="D180">
        <v>86</v>
      </c>
      <c r="E180">
        <v>1.27</v>
      </c>
      <c r="F180">
        <v>161000.69</v>
      </c>
      <c r="H180" s="7"/>
      <c r="I180" s="23">
        <f>$D180*COS($E180+$F180*'25SolarCoords'!E$7)</f>
        <v>29.046976878158336</v>
      </c>
      <c r="J180" s="23">
        <f>$D180*COS($E180+$F180*'25SolarCoords'!F$7)</f>
        <v>-31.656043455890849</v>
      </c>
      <c r="K180" s="23">
        <f>$D180*COS($E180+$F180*'25SolarCoords'!G$7)</f>
        <v>25.480155071577411</v>
      </c>
      <c r="L180" s="23">
        <f>$D180*COS($E180+$F180*'25SolarCoords'!H$7)</f>
        <v>-79.854424329015075</v>
      </c>
      <c r="M180" s="23">
        <f>$D180*COS($E180+$F180*'25SolarCoords'!I$7)</f>
        <v>68.24716162262537</v>
      </c>
      <c r="N180" s="23">
        <f>$D180*COS($E180+$F180*'25SolarCoords'!J$7)</f>
        <v>83.700158008150296</v>
      </c>
      <c r="O180" s="23">
        <f>$D180*COS($E180+$F180*'25SolarCoords'!K$7)</f>
        <v>-85.990162065825245</v>
      </c>
      <c r="P180" s="23">
        <f>$D180*COS($E180+$F180*'25SolarCoords'!L$7)</f>
        <v>-54.909225136614211</v>
      </c>
      <c r="Q180" s="23">
        <f>$D180*COS($E180+$F180*'25SolarCoords'!M$7)</f>
        <v>42.204951748547131</v>
      </c>
      <c r="R180" s="23">
        <f>$D180*COS($E180+$F180*'25SolarCoords'!N$7)</f>
        <v>2.8374226137696246</v>
      </c>
      <c r="S180" s="23">
        <f>$D180*COS($E180+$F180*'25SolarCoords'!O$7)</f>
        <v>-55.551560858626438</v>
      </c>
      <c r="T180" s="23">
        <f>$D180*COS($E180+$F180*'25SolarCoords'!P$7)</f>
        <v>-37.264887080204808</v>
      </c>
      <c r="U180" s="23">
        <f>$D180*COS($E180+$F180*'25SolarCoords'!Q$7)</f>
        <v>25.486534361907584</v>
      </c>
      <c r="V180" s="23">
        <f>$D180*COS($E180+$F180*'25SolarCoords'!R$7)</f>
        <v>58.094729363340662</v>
      </c>
      <c r="W180" s="23">
        <f>$D180*COS($E180+$F180*'25SolarCoords'!S$7)</f>
        <v>-85.715904358554141</v>
      </c>
      <c r="X180" s="23">
        <f>$D180*COS($E180+$F180*'25SolarCoords'!T$7)</f>
        <v>81.58238879714429</v>
      </c>
      <c r="Y180" s="23">
        <f>$D180*COS($E180+$F180*'25SolarCoords'!U$7)</f>
        <v>-56.476286025328719</v>
      </c>
      <c r="Z180" s="23">
        <f>$D180*COS($E180+$F180*'25SolarCoords'!V$7)</f>
        <v>-82.211744256321623</v>
      </c>
      <c r="AA180" s="23">
        <f>$D180*COS($E180+$F180*'25SolarCoords'!W$7)</f>
        <v>85.498639631030429</v>
      </c>
      <c r="AB180" s="23">
        <f>$D180*COS($E180+$F180*'25SolarCoords'!X$7)</f>
        <v>-41.619096266900691</v>
      </c>
      <c r="AC180" s="23">
        <f>$D180*COS($E180+$F180*'25SolarCoords'!Y$7)</f>
        <v>85.075846062340048</v>
      </c>
      <c r="AD180" s="23">
        <f>$D180*COS($E180+$F180*'25SolarCoords'!Z$7)</f>
        <v>-60.620543028612822</v>
      </c>
      <c r="AE180" s="23">
        <f>$D180*COS($E180+$F180*'25SolarCoords'!AA$7)</f>
        <v>42.820791888209158</v>
      </c>
      <c r="AF180" s="23">
        <f>$D180*COS($E180+$F180*'25SolarCoords'!AB$7)</f>
        <v>61.405054495130976</v>
      </c>
      <c r="AG180" s="23">
        <f>$D180*COS($E180+$F180*'25SolarCoords'!AC$7)</f>
        <v>-20.345763484553828</v>
      </c>
      <c r="AH180" s="23">
        <f>$D180*COS($E180+$F180*'25SolarCoords'!AD$7)</f>
        <v>-83.842669952166872</v>
      </c>
      <c r="AI180" s="23">
        <f>$D180*COS($E180+$F180*'25SolarCoords'!AE$7)</f>
        <v>3.0133590251083908</v>
      </c>
      <c r="AJ180" s="23">
        <f>$D180*COS($E180+$F180*'25SolarCoords'!AF$7)</f>
        <v>85.849477420113487</v>
      </c>
      <c r="AK180" s="23">
        <f>$D180*COS($E180+$F180*'25SolarCoords'!AG$7)</f>
        <v>5.9991965509330001</v>
      </c>
      <c r="AL180" s="23">
        <f>$D180*COS($E180+$F180*'25SolarCoords'!AH$7)</f>
        <v>-22.837529891543195</v>
      </c>
      <c r="AM180" s="23">
        <f>$D180*COS($E180+$F180*'25SolarCoords'!AI$7)</f>
        <v>-80.217743361547818</v>
      </c>
      <c r="AN180" s="23">
        <f>$D180*COS($E180+$F180*'25SolarCoords'!AJ$7)</f>
        <v>-10.701895000789671</v>
      </c>
      <c r="AO180" s="23">
        <f>$D180*COS($E180+$F180*'25SolarCoords'!AK$7)</f>
        <v>-29.56194157781081</v>
      </c>
      <c r="AP180" s="23">
        <f>$D180*COS($E180+$F180*'25SolarCoords'!AL$7)</f>
        <v>-47.052601999308727</v>
      </c>
      <c r="AQ180" s="23">
        <f>$D180*COS($E180+$F180*'25SolarCoords'!AM$7)</f>
        <v>74.241932893606574</v>
      </c>
      <c r="AR180" s="23">
        <f>$D180*COS($E180+$F180*'25SolarCoords'!AN$7)</f>
        <v>70.178352696797319</v>
      </c>
      <c r="AS180" s="23">
        <f>$D180*COS($E180+$F180*'25SolarCoords'!AO$7)</f>
        <v>18.620202093901664</v>
      </c>
      <c r="AT180" s="23">
        <f>$D180*COS($E180+$F180*'25SolarCoords'!AP$7)</f>
        <v>-24.861014944525071</v>
      </c>
      <c r="AU180" s="23">
        <f>$D180*COS($E180+$F180*'25SolarCoords'!AQ$7)</f>
        <v>27.444274955080864</v>
      </c>
      <c r="AV180" s="23">
        <f>$D180*COS($E180+$F180*'25SolarCoords'!AR$7)</f>
        <v>-35.355898934786119</v>
      </c>
      <c r="AW180" s="23">
        <f>$D180*COS($E180+$F180*'25SolarCoords'!AS$7)</f>
        <v>10.662883951892418</v>
      </c>
      <c r="AX180" s="23">
        <f>$D180*COS($E180+$F180*'25SolarCoords'!AT$7)</f>
        <v>-4.5491841289142592</v>
      </c>
      <c r="AY180" s="23">
        <f>$D180*COS($E180+$F180*'25SolarCoords'!AU$7)</f>
        <v>83.753681165166313</v>
      </c>
      <c r="AZ180" s="23">
        <f>$D180*COS($E180+$F180*'25SolarCoords'!AV$7)</f>
        <v>-67.994666484364117</v>
      </c>
      <c r="BA180" s="23">
        <f>$D180*COS($E180+$F180*'25SolarCoords'!AW$7)</f>
        <v>70.076945307389124</v>
      </c>
      <c r="BB180" s="23">
        <f>$D180*COS($E180+$F180*'25SolarCoords'!AX$7)</f>
        <v>-35.942996833091364</v>
      </c>
      <c r="BC180" s="23">
        <f>$D180*COS($E180+$F180*'25SolarCoords'!AY$7)</f>
        <v>-56.085583691829207</v>
      </c>
      <c r="BD180" s="23">
        <f>$D180*COS($E180+$F180*'25SolarCoords'!AZ$7)</f>
        <v>-78.540618646095282</v>
      </c>
      <c r="BE180" s="23">
        <f>$D180*COS($E180+$F180*'25SolarCoords'!BA$7)</f>
        <v>-85.980632930877093</v>
      </c>
      <c r="BF180" s="23">
        <f>$D180*COS($E180+$F180*'25SolarCoords'!BB$7)</f>
        <v>-76.983280119665778</v>
      </c>
      <c r="BG180" s="23">
        <f>$D180*COS($E180+$F180*'25SolarCoords'!BC$7)</f>
        <v>-53.268631186685923</v>
      </c>
      <c r="BH180" s="23">
        <f>$D180*COS($E180+$F180*'25SolarCoords'!BD$7)</f>
        <v>-19.370339546354717</v>
      </c>
      <c r="BI180" s="23">
        <f>$D180*COS($E180+$F180*'25SolarCoords'!BE$7)</f>
        <v>18.231081171283233</v>
      </c>
      <c r="BJ180" s="23">
        <f>$D180*COS($E180+$F180*'25SolarCoords'!BF$7)</f>
        <v>52.347170791080828</v>
      </c>
      <c r="BK180" s="23">
        <f>$D180*COS($E180+$F180*'25SolarCoords'!BG$7)</f>
        <v>8.7290598753558406</v>
      </c>
    </row>
    <row r="181" spans="3:63" x14ac:dyDescent="0.25">
      <c r="C181">
        <f t="shared" si="5"/>
        <v>21</v>
      </c>
      <c r="D181">
        <v>65</v>
      </c>
      <c r="E181">
        <v>0.27</v>
      </c>
      <c r="F181">
        <v>17260.150000000001</v>
      </c>
      <c r="H181" s="7"/>
      <c r="I181" s="23">
        <f>$D181*COS($E181+$F181*'25SolarCoords'!E$7)</f>
        <v>64.978511692301353</v>
      </c>
      <c r="J181" s="23">
        <f>$D181*COS($E181+$F181*'25SolarCoords'!F$7)</f>
        <v>63.90413315743303</v>
      </c>
      <c r="K181" s="23">
        <f>$D181*COS($E181+$F181*'25SolarCoords'!G$7)</f>
        <v>62.645108263782888</v>
      </c>
      <c r="L181" s="23">
        <f>$D181*COS($E181+$F181*'25SolarCoords'!H$7)</f>
        <v>-17.762855004241569</v>
      </c>
      <c r="M181" s="23">
        <f>$D181*COS($E181+$F181*'25SolarCoords'!I$7)</f>
        <v>-64.190734054475897</v>
      </c>
      <c r="N181" s="23">
        <f>$D181*COS($E181+$F181*'25SolarCoords'!J$7)</f>
        <v>-51.509568380141495</v>
      </c>
      <c r="O181" s="23">
        <f>$D181*COS($E181+$F181*'25SolarCoords'!K$7)</f>
        <v>-8.2676141330909036</v>
      </c>
      <c r="P181" s="23">
        <f>$D181*COS($E181+$F181*'25SolarCoords'!L$7)</f>
        <v>-40.5068454315944</v>
      </c>
      <c r="Q181" s="23">
        <f>$D181*COS($E181+$F181*'25SolarCoords'!M$7)</f>
        <v>-35.827446317380215</v>
      </c>
      <c r="R181" s="23">
        <f>$D181*COS($E181+$F181*'25SolarCoords'!N$7)</f>
        <v>1.4301737170464974</v>
      </c>
      <c r="S181" s="23">
        <f>$D181*COS($E181+$F181*'25SolarCoords'!O$7)</f>
        <v>64.910687962937999</v>
      </c>
      <c r="T181" s="23">
        <f>$D181*COS($E181+$F181*'25SolarCoords'!P$7)</f>
        <v>56.146367548950209</v>
      </c>
      <c r="U181" s="23">
        <f>$D181*COS($E181+$F181*'25SolarCoords'!Q$7)</f>
        <v>56.598588689406753</v>
      </c>
      <c r="V181" s="23">
        <f>$D181*COS($E181+$F181*'25SolarCoords'!R$7)</f>
        <v>58.045252713843567</v>
      </c>
      <c r="W181" s="23">
        <f>$D181*COS($E181+$F181*'25SolarCoords'!S$7)</f>
        <v>-64.364183514443752</v>
      </c>
      <c r="X181" s="23">
        <f>$D181*COS($E181+$F181*'25SolarCoords'!T$7)</f>
        <v>-63.53529535727165</v>
      </c>
      <c r="Y181" s="23">
        <f>$D181*COS($E181+$F181*'25SolarCoords'!U$7)</f>
        <v>64.998169624580285</v>
      </c>
      <c r="Z181" s="23">
        <f>$D181*COS($E181+$F181*'25SolarCoords'!V$7)</f>
        <v>64.466435643996022</v>
      </c>
      <c r="AA181" s="23">
        <f>$D181*COS($E181+$F181*'25SolarCoords'!W$7)</f>
        <v>58.068126087524163</v>
      </c>
      <c r="AB181" s="23">
        <f>$D181*COS($E181+$F181*'25SolarCoords'!X$7)</f>
        <v>31.330394953836926</v>
      </c>
      <c r="AC181" s="23">
        <f>$D181*COS($E181+$F181*'25SolarCoords'!Y$7)</f>
        <v>19.534609033316553</v>
      </c>
      <c r="AD181" s="23">
        <f>$D181*COS($E181+$F181*'25SolarCoords'!Z$7)</f>
        <v>54.637461900549447</v>
      </c>
      <c r="AE181" s="23">
        <f>$D181*COS($E181+$F181*'25SolarCoords'!AA$7)</f>
        <v>63.037233349499132</v>
      </c>
      <c r="AF181" s="23">
        <f>$D181*COS($E181+$F181*'25SolarCoords'!AB$7)</f>
        <v>63.608467490591487</v>
      </c>
      <c r="AG181" s="23">
        <f>$D181*COS($E181+$F181*'25SolarCoords'!AC$7)</f>
        <v>64.92359696646254</v>
      </c>
      <c r="AH181" s="23">
        <f>$D181*COS($E181+$F181*'25SolarCoords'!AD$7)</f>
        <v>56.380517554640051</v>
      </c>
      <c r="AI181" s="23">
        <f>$D181*COS($E181+$F181*'25SolarCoords'!AE$7)</f>
        <v>10.120795703164239</v>
      </c>
      <c r="AJ181" s="23">
        <f>$D181*COS($E181+$F181*'25SolarCoords'!AF$7)</f>
        <v>-10.033903124730109</v>
      </c>
      <c r="AK181" s="23">
        <f>$D181*COS($E181+$F181*'25SolarCoords'!AG$7)</f>
        <v>14.61489430443763</v>
      </c>
      <c r="AL181" s="23">
        <f>$D181*COS($E181+$F181*'25SolarCoords'!AH$7)</f>
        <v>4.6867824480055624</v>
      </c>
      <c r="AM181" s="23">
        <f>$D181*COS($E181+$F181*'25SolarCoords'!AI$7)</f>
        <v>-1.0964974089182522</v>
      </c>
      <c r="AN181" s="23">
        <f>$D181*COS($E181+$F181*'25SolarCoords'!AJ$7)</f>
        <v>-12.940158212408848</v>
      </c>
      <c r="AO181" s="23">
        <f>$D181*COS($E181+$F181*'25SolarCoords'!AK$7)</f>
        <v>54.98130309742298</v>
      </c>
      <c r="AP181" s="23">
        <f>$D181*COS($E181+$F181*'25SolarCoords'!AL$7)</f>
        <v>-62.632561504290884</v>
      </c>
      <c r="AQ181" s="23">
        <f>$D181*COS($E181+$F181*'25SolarCoords'!AM$7)</f>
        <v>21.544828472375947</v>
      </c>
      <c r="AR181" s="23">
        <f>$D181*COS($E181+$F181*'25SolarCoords'!AN$7)</f>
        <v>4.5807685467448671</v>
      </c>
      <c r="AS181" s="23">
        <f>$D181*COS($E181+$F181*'25SolarCoords'!AO$7)</f>
        <v>30.71206804466944</v>
      </c>
      <c r="AT181" s="23">
        <f>$D181*COS($E181+$F181*'25SolarCoords'!AP$7)</f>
        <v>-64.87856235829976</v>
      </c>
      <c r="AU181" s="23">
        <f>$D181*COS($E181+$F181*'25SolarCoords'!AQ$7)</f>
        <v>-62.605441461769594</v>
      </c>
      <c r="AV181" s="23">
        <f>$D181*COS($E181+$F181*'25SolarCoords'!AR$7)</f>
        <v>-53.702750682045377</v>
      </c>
      <c r="AW181" s="23">
        <f>$D181*COS($E181+$F181*'25SolarCoords'!AS$7)</f>
        <v>-36.885668813502598</v>
      </c>
      <c r="AX181" s="23">
        <f>$D181*COS($E181+$F181*'25SolarCoords'!AT$7)</f>
        <v>5.7876867234715466</v>
      </c>
      <c r="AY181" s="23">
        <f>$D181*COS($E181+$F181*'25SolarCoords'!AU$7)</f>
        <v>64.858891093381004</v>
      </c>
      <c r="AZ181" s="23">
        <f>$D181*COS($E181+$F181*'25SolarCoords'!AV$7)</f>
        <v>-44.096307280905755</v>
      </c>
      <c r="BA181" s="23">
        <f>$D181*COS($E181+$F181*'25SolarCoords'!AW$7)</f>
        <v>-64.75957560411959</v>
      </c>
      <c r="BB181" s="23">
        <f>$D181*COS($E181+$F181*'25SolarCoords'!AX$7)</f>
        <v>-18.372797144467981</v>
      </c>
      <c r="BC181" s="23">
        <f>$D181*COS($E181+$F181*'25SolarCoords'!AY$7)</f>
        <v>64.867069005414422</v>
      </c>
      <c r="BD181" s="23">
        <f>$D181*COS($E181+$F181*'25SolarCoords'!AZ$7)</f>
        <v>64.990925711337539</v>
      </c>
      <c r="BE181" s="23">
        <f>$D181*COS($E181+$F181*'25SolarCoords'!BA$7)</f>
        <v>64.969678016216037</v>
      </c>
      <c r="BF181" s="23">
        <f>$D181*COS($E181+$F181*'25SolarCoords'!BB$7)</f>
        <v>64.803373359504661</v>
      </c>
      <c r="BG181" s="23">
        <f>$D181*COS($E181+$F181*'25SolarCoords'!BC$7)</f>
        <v>64.49238304746423</v>
      </c>
      <c r="BH181" s="23">
        <f>$D181*COS($E181+$F181*'25SolarCoords'!BD$7)</f>
        <v>64.037401424149436</v>
      </c>
      <c r="BI181" s="23">
        <f>$D181*COS($E181+$F181*'25SolarCoords'!BE$7)</f>
        <v>63.439444321160693</v>
      </c>
      <c r="BJ181" s="23">
        <f>$D181*COS($E181+$F181*'25SolarCoords'!BF$7)</f>
        <v>62.699846789602574</v>
      </c>
      <c r="BK181" s="23">
        <f>$D181*COS($E181+$F181*'25SolarCoords'!BG$7)</f>
        <v>10.579169213112998</v>
      </c>
    </row>
    <row r="182" spans="3:63" x14ac:dyDescent="0.25">
      <c r="C182">
        <f t="shared" si="5"/>
        <v>22</v>
      </c>
      <c r="D182">
        <v>63</v>
      </c>
      <c r="E182">
        <v>0.92</v>
      </c>
      <c r="F182">
        <v>529.69000000000005</v>
      </c>
      <c r="H182" s="7"/>
      <c r="I182" s="23">
        <f>$D182*COS($E182+$F182*'25SolarCoords'!E$7)</f>
        <v>-54.155947136979641</v>
      </c>
      <c r="J182" s="23">
        <f>$D182*COS($E182+$F182*'25SolarCoords'!F$7)</f>
        <v>-45.142696030327045</v>
      </c>
      <c r="K182" s="23">
        <f>$D182*COS($E182+$F182*'25SolarCoords'!G$7)</f>
        <v>38.166669868538158</v>
      </c>
      <c r="L182" s="23">
        <f>$D182*COS($E182+$F182*'25SolarCoords'!H$7)</f>
        <v>58.270529434276</v>
      </c>
      <c r="M182" s="23">
        <f>$D182*COS($E182+$F182*'25SolarCoords'!I$7)</f>
        <v>59.081396101153764</v>
      </c>
      <c r="N182" s="23">
        <f>$D182*COS($E182+$F182*'25SolarCoords'!J$7)</f>
        <v>53.287742087582956</v>
      </c>
      <c r="O182" s="23">
        <f>$D182*COS($E182+$F182*'25SolarCoords'!K$7)</f>
        <v>39.951542471794426</v>
      </c>
      <c r="P182" s="23">
        <f>$D182*COS($E182+$F182*'25SolarCoords'!L$7)</f>
        <v>28.944179182409972</v>
      </c>
      <c r="Q182" s="23">
        <f>$D182*COS($E182+$F182*'25SolarCoords'!M$7)</f>
        <v>-13.255938600304191</v>
      </c>
      <c r="R182" s="23">
        <f>$D182*COS($E182+$F182*'25SolarCoords'!N$7)</f>
        <v>-56.291912013853398</v>
      </c>
      <c r="S182" s="23">
        <f>$D182*COS($E182+$F182*'25SolarCoords'!O$7)</f>
        <v>-62.872383266766917</v>
      </c>
      <c r="T182" s="23">
        <f>$D182*COS($E182+$F182*'25SolarCoords'!P$7)</f>
        <v>43.62459702210721</v>
      </c>
      <c r="U182" s="23">
        <f>$D182*COS($E182+$F182*'25SolarCoords'!Q$7)</f>
        <v>-3.4378523988068639</v>
      </c>
      <c r="V182" s="23">
        <f>$D182*COS($E182+$F182*'25SolarCoords'!R$7)</f>
        <v>-3.5290759876204501</v>
      </c>
      <c r="W182" s="23">
        <f>$D182*COS($E182+$F182*'25SolarCoords'!S$7)</f>
        <v>-13.983845244362421</v>
      </c>
      <c r="X182" s="23">
        <f>$D182*COS($E182+$F182*'25SolarCoords'!T$7)</f>
        <v>-1.8126731272420842</v>
      </c>
      <c r="Y182" s="23">
        <f>$D182*COS($E182+$F182*'25SolarCoords'!U$7)</f>
        <v>15.84023641596937</v>
      </c>
      <c r="Z182" s="23">
        <f>$D182*COS($E182+$F182*'25SolarCoords'!V$7)</f>
        <v>-22.879260904044266</v>
      </c>
      <c r="AA182" s="23">
        <f>$D182*COS($E182+$F182*'25SolarCoords'!W$7)</f>
        <v>56.439450238345962</v>
      </c>
      <c r="AB182" s="23">
        <f>$D182*COS($E182+$F182*'25SolarCoords'!X$7)</f>
        <v>-62.973999816496786</v>
      </c>
      <c r="AC182" s="23">
        <f>$D182*COS($E182+$F182*'25SolarCoords'!Y$7)</f>
        <v>12.619486034412365</v>
      </c>
      <c r="AD182" s="23">
        <f>$D182*COS($E182+$F182*'25SolarCoords'!Z$7)</f>
        <v>38.80974738394896</v>
      </c>
      <c r="AE182" s="23">
        <f>$D182*COS($E182+$F182*'25SolarCoords'!AA$7)</f>
        <v>38.203004253359907</v>
      </c>
      <c r="AF182" s="23">
        <f>$D182*COS($E182+$F182*'25SolarCoords'!AB$7)</f>
        <v>-23.206605838337602</v>
      </c>
      <c r="AG182" s="23">
        <f>$D182*COS($E182+$F182*'25SolarCoords'!AC$7)</f>
        <v>-41.641152587002182</v>
      </c>
      <c r="AH182" s="23">
        <f>$D182*COS($E182+$F182*'25SolarCoords'!AD$7)</f>
        <v>33.581671771661284</v>
      </c>
      <c r="AI182" s="23">
        <f>$D182*COS($E182+$F182*'25SolarCoords'!AE$7)</f>
        <v>12.337289854287805</v>
      </c>
      <c r="AJ182" s="23">
        <f>$D182*COS($E182+$F182*'25SolarCoords'!AF$7)</f>
        <v>-59.462080711454199</v>
      </c>
      <c r="AK182" s="23">
        <f>$D182*COS($E182+$F182*'25SolarCoords'!AG$7)</f>
        <v>-61.222512626750223</v>
      </c>
      <c r="AL182" s="23">
        <f>$D182*COS($E182+$F182*'25SolarCoords'!AH$7)</f>
        <v>-51.259059996151166</v>
      </c>
      <c r="AM182" s="23">
        <f>$D182*COS($E182+$F182*'25SolarCoords'!AI$7)</f>
        <v>-62.937118088227969</v>
      </c>
      <c r="AN182" s="23">
        <f>$D182*COS($E182+$F182*'25SolarCoords'!AJ$7)</f>
        <v>-54.415651073374697</v>
      </c>
      <c r="AO182" s="23">
        <f>$D182*COS($E182+$F182*'25SolarCoords'!AK$7)</f>
        <v>20.798478630734657</v>
      </c>
      <c r="AP182" s="23">
        <f>$D182*COS($E182+$F182*'25SolarCoords'!AL$7)</f>
        <v>-41.32504186932443</v>
      </c>
      <c r="AQ182" s="23">
        <f>$D182*COS($E182+$F182*'25SolarCoords'!AM$7)</f>
        <v>62.197625937165</v>
      </c>
      <c r="AR182" s="23">
        <f>$D182*COS($E182+$F182*'25SolarCoords'!AN$7)</f>
        <v>30.88160416056423</v>
      </c>
      <c r="AS182" s="23">
        <f>$D182*COS($E182+$F182*'25SolarCoords'!AO$7)</f>
        <v>-43.505430756427415</v>
      </c>
      <c r="AT182" s="23">
        <f>$D182*COS($E182+$F182*'25SolarCoords'!AP$7)</f>
        <v>58.152275066663712</v>
      </c>
      <c r="AU182" s="23">
        <f>$D182*COS($E182+$F182*'25SolarCoords'!AQ$7)</f>
        <v>57.901266213186005</v>
      </c>
      <c r="AV182" s="23">
        <f>$D182*COS($E182+$F182*'25SolarCoords'!AR$7)</f>
        <v>57.649825961214979</v>
      </c>
      <c r="AW182" s="23">
        <f>$D182*COS($E182+$F182*'25SolarCoords'!AS$7)</f>
        <v>57.358516506047557</v>
      </c>
      <c r="AX182" s="23">
        <f>$D182*COS($E182+$F182*'25SolarCoords'!AT$7)</f>
        <v>56.791755928733942</v>
      </c>
      <c r="AY182" s="23">
        <f>$D182*COS($E182+$F182*'25SolarCoords'!AU$7)</f>
        <v>52.141030386977498</v>
      </c>
      <c r="AZ182" s="23">
        <f>$D182*COS($E182+$F182*'25SolarCoords'!AV$7)</f>
        <v>59.87463194186148</v>
      </c>
      <c r="BA182" s="23">
        <f>$D182*COS($E182+$F182*'25SolarCoords'!AW$7)</f>
        <v>-31.177008136816365</v>
      </c>
      <c r="BB182" s="23">
        <f>$D182*COS($E182+$F182*'25SolarCoords'!AX$7)</f>
        <v>-60.446923698506815</v>
      </c>
      <c r="BC182" s="23">
        <f>$D182*COS($E182+$F182*'25SolarCoords'!AY$7)</f>
        <v>55.551937497778852</v>
      </c>
      <c r="BD182" s="23">
        <f>$D182*COS($E182+$F182*'25SolarCoords'!AZ$7)</f>
        <v>55.508786017022302</v>
      </c>
      <c r="BE182" s="23">
        <f>$D182*COS($E182+$F182*'25SolarCoords'!BA$7)</f>
        <v>55.46551779490472</v>
      </c>
      <c r="BF182" s="23">
        <f>$D182*COS($E182+$F182*'25SolarCoords'!BB$7)</f>
        <v>55.422132922424275</v>
      </c>
      <c r="BG182" s="23">
        <f>$D182*COS($E182+$F182*'25SolarCoords'!BC$7)</f>
        <v>55.37863149082429</v>
      </c>
      <c r="BH182" s="23">
        <f>$D182*COS($E182+$F182*'25SolarCoords'!BD$7)</f>
        <v>55.33501359159321</v>
      </c>
      <c r="BI182" s="23">
        <f>$D182*COS($E182+$F182*'25SolarCoords'!BE$7)</f>
        <v>55.29127931646461</v>
      </c>
      <c r="BJ182" s="23">
        <f>$D182*COS($E182+$F182*'25SolarCoords'!BF$7)</f>
        <v>55.24742875741665</v>
      </c>
      <c r="BK182" s="23">
        <f>$D182*COS($E182+$F182*'25SolarCoords'!BG$7)</f>
        <v>12.350832411548819</v>
      </c>
    </row>
    <row r="183" spans="3:63" x14ac:dyDescent="0.25">
      <c r="C183">
        <f t="shared" si="5"/>
        <v>23</v>
      </c>
      <c r="D183">
        <v>57</v>
      </c>
      <c r="E183">
        <v>2.0099999999999998</v>
      </c>
      <c r="F183">
        <v>83996.85</v>
      </c>
      <c r="H183" s="7"/>
      <c r="I183" s="23">
        <f>$D183*COS($E183+$F183*'25SolarCoords'!E$7)</f>
        <v>-42.88007586510443</v>
      </c>
      <c r="J183" s="23">
        <f>$D183*COS($E183+$F183*'25SolarCoords'!F$7)</f>
        <v>-55.395716927857812</v>
      </c>
      <c r="K183" s="23">
        <f>$D183*COS($E183+$F183*'25SolarCoords'!G$7)</f>
        <v>-24.237474569594674</v>
      </c>
      <c r="L183" s="23">
        <f>$D183*COS($E183+$F183*'25SolarCoords'!H$7)</f>
        <v>53.286981508933742</v>
      </c>
      <c r="M183" s="23">
        <f>$D183*COS($E183+$F183*'25SolarCoords'!I$7)</f>
        <v>-56.101048832084416</v>
      </c>
      <c r="N183" s="23">
        <f>$D183*COS($E183+$F183*'25SolarCoords'!J$7)</f>
        <v>-9.2916649845262427</v>
      </c>
      <c r="O183" s="23">
        <f>$D183*COS($E183+$F183*'25SolarCoords'!K$7)</f>
        <v>27.792101679591834</v>
      </c>
      <c r="P183" s="23">
        <f>$D183*COS($E183+$F183*'25SolarCoords'!L$7)</f>
        <v>41.574686375097997</v>
      </c>
      <c r="Q183" s="23">
        <f>$D183*COS($E183+$F183*'25SolarCoords'!M$7)</f>
        <v>-56.804489705559789</v>
      </c>
      <c r="R183" s="23">
        <f>$D183*COS($E183+$F183*'25SolarCoords'!N$7)</f>
        <v>56.961482730696417</v>
      </c>
      <c r="S183" s="23">
        <f>$D183*COS($E183+$F183*'25SolarCoords'!O$7)</f>
        <v>-37.752473809652869</v>
      </c>
      <c r="T183" s="23">
        <f>$D183*COS($E183+$F183*'25SolarCoords'!P$7)</f>
        <v>35.694482688008591</v>
      </c>
      <c r="U183" s="23">
        <f>$D183*COS($E183+$F183*'25SolarCoords'!Q$7)</f>
        <v>8.0868678780371184</v>
      </c>
      <c r="V183" s="23">
        <f>$D183*COS($E183+$F183*'25SolarCoords'!R$7)</f>
        <v>20.735635417003749</v>
      </c>
      <c r="W183" s="23">
        <f>$D183*COS($E183+$F183*'25SolarCoords'!S$7)</f>
        <v>-23.639523274525335</v>
      </c>
      <c r="X183" s="23">
        <f>$D183*COS($E183+$F183*'25SolarCoords'!T$7)</f>
        <v>-45.088776345653343</v>
      </c>
      <c r="Y183" s="23">
        <f>$D183*COS($E183+$F183*'25SolarCoords'!U$7)</f>
        <v>-1.5660824646721181</v>
      </c>
      <c r="Z183" s="23">
        <f>$D183*COS($E183+$F183*'25SolarCoords'!V$7)</f>
        <v>-27.629514456350186</v>
      </c>
      <c r="AA183" s="23">
        <f>$D183*COS($E183+$F183*'25SolarCoords'!W$7)</f>
        <v>35.339139827607674</v>
      </c>
      <c r="AB183" s="23">
        <f>$D183*COS($E183+$F183*'25SolarCoords'!X$7)</f>
        <v>48.732587476230378</v>
      </c>
      <c r="AC183" s="23">
        <f>$D183*COS($E183+$F183*'25SolarCoords'!Y$7)</f>
        <v>-56.999913521019977</v>
      </c>
      <c r="AD183" s="23">
        <f>$D183*COS($E183+$F183*'25SolarCoords'!Z$7)</f>
        <v>-56.70454742487167</v>
      </c>
      <c r="AE183" s="23">
        <f>$D183*COS($E183+$F183*'25SolarCoords'!AA$7)</f>
        <v>-18.158368279337498</v>
      </c>
      <c r="AF183" s="23">
        <f>$D183*COS($E183+$F183*'25SolarCoords'!AB$7)</f>
        <v>54.87859354863685</v>
      </c>
      <c r="AG183" s="23">
        <f>$D183*COS($E183+$F183*'25SolarCoords'!AC$7)</f>
        <v>22.674188288099884</v>
      </c>
      <c r="AH183" s="23">
        <f>$D183*COS($E183+$F183*'25SolarCoords'!AD$7)</f>
        <v>56.492491925921939</v>
      </c>
      <c r="AI183" s="23">
        <f>$D183*COS($E183+$F183*'25SolarCoords'!AE$7)</f>
        <v>-42.610891436649574</v>
      </c>
      <c r="AJ183" s="23">
        <f>$D183*COS($E183+$F183*'25SolarCoords'!AF$7)</f>
        <v>-21.063844912104493</v>
      </c>
      <c r="AK183" s="23">
        <f>$D183*COS($E183+$F183*'25SolarCoords'!AG$7)</f>
        <v>24.714025200997632</v>
      </c>
      <c r="AL183" s="23">
        <f>$D183*COS($E183+$F183*'25SolarCoords'!AH$7)</f>
        <v>32.456611624791108</v>
      </c>
      <c r="AM183" s="23">
        <f>$D183*COS($E183+$F183*'25SolarCoords'!AI$7)</f>
        <v>-22.90647249592659</v>
      </c>
      <c r="AN183" s="23">
        <f>$D183*COS($E183+$F183*'25SolarCoords'!AJ$7)</f>
        <v>35.897030273881384</v>
      </c>
      <c r="AO183" s="23">
        <f>$D183*COS($E183+$F183*'25SolarCoords'!AK$7)</f>
        <v>-13.123823190916736</v>
      </c>
      <c r="AP183" s="23">
        <f>$D183*COS($E183+$F183*'25SolarCoords'!AL$7)</f>
        <v>9.1912817496999146</v>
      </c>
      <c r="AQ183" s="23">
        <f>$D183*COS($E183+$F183*'25SolarCoords'!AM$7)</f>
        <v>31.329990498797233</v>
      </c>
      <c r="AR183" s="23">
        <f>$D183*COS($E183+$F183*'25SolarCoords'!AN$7)</f>
        <v>22.734871412033538</v>
      </c>
      <c r="AS183" s="23">
        <f>$D183*COS($E183+$F183*'25SolarCoords'!AO$7)</f>
        <v>11.096538058967791</v>
      </c>
      <c r="AT183" s="23">
        <f>$D183*COS($E183+$F183*'25SolarCoords'!AP$7)</f>
        <v>10.374192741302242</v>
      </c>
      <c r="AU183" s="23">
        <f>$D183*COS($E183+$F183*'25SolarCoords'!AQ$7)</f>
        <v>-56.509764104711856</v>
      </c>
      <c r="AV183" s="23">
        <f>$D183*COS($E183+$F183*'25SolarCoords'!AR$7)</f>
        <v>-6.5182773797798248</v>
      </c>
      <c r="AW183" s="23">
        <f>$D183*COS($E183+$F183*'25SolarCoords'!AS$7)</f>
        <v>56.65670361801061</v>
      </c>
      <c r="AX183" s="23">
        <f>$D183*COS($E183+$F183*'25SolarCoords'!AT$7)</f>
        <v>-53.761216172775299</v>
      </c>
      <c r="AY183" s="23">
        <f>$D183*COS($E183+$F183*'25SolarCoords'!AU$7)</f>
        <v>47.329464893560491</v>
      </c>
      <c r="AZ183" s="23">
        <f>$D183*COS($E183+$F183*'25SolarCoords'!AV$7)</f>
        <v>42.146405214495474</v>
      </c>
      <c r="BA183" s="23">
        <f>$D183*COS($E183+$F183*'25SolarCoords'!AW$7)</f>
        <v>-56.984154344029122</v>
      </c>
      <c r="BB183" s="23">
        <f>$D183*COS($E183+$F183*'25SolarCoords'!AX$7)</f>
        <v>-13.987360797163571</v>
      </c>
      <c r="BC183" s="23">
        <f>$D183*COS($E183+$F183*'25SolarCoords'!AY$7)</f>
        <v>-32.939306240359187</v>
      </c>
      <c r="BD183" s="23">
        <f>$D183*COS($E183+$F183*'25SolarCoords'!AZ$7)</f>
        <v>-21.468186161926145</v>
      </c>
      <c r="BE183" s="23">
        <f>$D183*COS($E183+$F183*'25SolarCoords'!BA$7)</f>
        <v>-8.8666820120103562</v>
      </c>
      <c r="BF183" s="23">
        <f>$D183*COS($E183+$F183*'25SolarCoords'!BB$7)</f>
        <v>4.2016876680117043</v>
      </c>
      <c r="BG183" s="23">
        <f>$D183*COS($E183+$F183*'25SolarCoords'!BC$7)</f>
        <v>17.048822038368858</v>
      </c>
      <c r="BH183" s="23">
        <f>$D183*COS($E183+$F183*'25SolarCoords'!BD$7)</f>
        <v>28.998269164744524</v>
      </c>
      <c r="BI183" s="23">
        <f>$D183*COS($E183+$F183*'25SolarCoords'!BE$7)</f>
        <v>39.420843861514349</v>
      </c>
      <c r="BJ183" s="23">
        <f>$D183*COS($E183+$F183*'25SolarCoords'!BF$7)</f>
        <v>47.767756755791524</v>
      </c>
      <c r="BK183" s="23">
        <f>$D183*COS($E183+$F183*'25SolarCoords'!BG$7)</f>
        <v>-43.900934409790409</v>
      </c>
    </row>
    <row r="184" spans="3:63" x14ac:dyDescent="0.25">
      <c r="C184">
        <f t="shared" si="5"/>
        <v>24</v>
      </c>
      <c r="D184">
        <v>56</v>
      </c>
      <c r="E184">
        <v>5.24</v>
      </c>
      <c r="F184">
        <v>71430.7</v>
      </c>
      <c r="H184" s="7"/>
      <c r="I184" s="23">
        <f>$D184*COS($E184+$F184*'25SolarCoords'!E$7)</f>
        <v>-43.156375507567105</v>
      </c>
      <c r="J184" s="23">
        <f>$D184*COS($E184+$F184*'25SolarCoords'!F$7)</f>
        <v>-17.293574205098921</v>
      </c>
      <c r="K184" s="23">
        <f>$D184*COS($E184+$F184*'25SolarCoords'!G$7)</f>
        <v>28.194357598518394</v>
      </c>
      <c r="L184" s="23">
        <f>$D184*COS($E184+$F184*'25SolarCoords'!H$7)</f>
        <v>-54.028337391541342</v>
      </c>
      <c r="M184" s="23">
        <f>$D184*COS($E184+$F184*'25SolarCoords'!I$7)</f>
        <v>31.276682415333056</v>
      </c>
      <c r="N184" s="23">
        <f>$D184*COS($E184+$F184*'25SolarCoords'!J$7)</f>
        <v>-20.878842896663929</v>
      </c>
      <c r="O184" s="23">
        <f>$D184*COS($E184+$F184*'25SolarCoords'!K$7)</f>
        <v>15.595980555911567</v>
      </c>
      <c r="P184" s="23">
        <f>$D184*COS($E184+$F184*'25SolarCoords'!L$7)</f>
        <v>-16.39884404427297</v>
      </c>
      <c r="Q184" s="23">
        <f>$D184*COS($E184+$F184*'25SolarCoords'!M$7)</f>
        <v>55.968193346038163</v>
      </c>
      <c r="R184" s="23">
        <f>$D184*COS($E184+$F184*'25SolarCoords'!N$7)</f>
        <v>-55.932553715756526</v>
      </c>
      <c r="S184" s="23">
        <f>$D184*COS($E184+$F184*'25SolarCoords'!O$7)</f>
        <v>33.751594785710402</v>
      </c>
      <c r="T184" s="23">
        <f>$D184*COS($E184+$F184*'25SolarCoords'!P$7)</f>
        <v>-12.334398439957166</v>
      </c>
      <c r="U184" s="23">
        <f>$D184*COS($E184+$F184*'25SolarCoords'!Q$7)</f>
        <v>33.900782981525595</v>
      </c>
      <c r="V184" s="23">
        <f>$D184*COS($E184+$F184*'25SolarCoords'!R$7)</f>
        <v>24.593059797423873</v>
      </c>
      <c r="W184" s="23">
        <f>$D184*COS($E184+$F184*'25SolarCoords'!S$7)</f>
        <v>-45.547366531123167</v>
      </c>
      <c r="X184" s="23">
        <f>$D184*COS($E184+$F184*'25SolarCoords'!T$7)</f>
        <v>-47.739905687911943</v>
      </c>
      <c r="Y184" s="23">
        <f>$D184*COS($E184+$F184*'25SolarCoords'!U$7)</f>
        <v>-29.974522079497724</v>
      </c>
      <c r="Z184" s="23">
        <f>$D184*COS($E184+$F184*'25SolarCoords'!V$7)</f>
        <v>-54.431492091619951</v>
      </c>
      <c r="AA184" s="23">
        <f>$D184*COS($E184+$F184*'25SolarCoords'!W$7)</f>
        <v>41.663009558467806</v>
      </c>
      <c r="AB184" s="23">
        <f>$D184*COS($E184+$F184*'25SolarCoords'!X$7)</f>
        <v>53.79534094404368</v>
      </c>
      <c r="AC184" s="23">
        <f>$D184*COS($E184+$F184*'25SolarCoords'!Y$7)</f>
        <v>5.5393760320789029</v>
      </c>
      <c r="AD184" s="23">
        <f>$D184*COS($E184+$F184*'25SolarCoords'!Z$7)</f>
        <v>54.684529138043573</v>
      </c>
      <c r="AE184" s="23">
        <f>$D184*COS($E184+$F184*'25SolarCoords'!AA$7)</f>
        <v>23.335995204667668</v>
      </c>
      <c r="AF184" s="23">
        <f>$D184*COS($E184+$F184*'25SolarCoords'!AB$7)</f>
        <v>-55.69157669344105</v>
      </c>
      <c r="AG184" s="23">
        <f>$D184*COS($E184+$F184*'25SolarCoords'!AC$7)</f>
        <v>-46.777582124278624</v>
      </c>
      <c r="AH184" s="23">
        <f>$D184*COS($E184+$F184*'25SolarCoords'!AD$7)</f>
        <v>41.268653894861494</v>
      </c>
      <c r="AI184" s="23">
        <f>$D184*COS($E184+$F184*'25SolarCoords'!AE$7)</f>
        <v>36.728975147203386</v>
      </c>
      <c r="AJ184" s="23">
        <f>$D184*COS($E184+$F184*'25SolarCoords'!AF$7)</f>
        <v>42.788986829844283</v>
      </c>
      <c r="AK184" s="23">
        <f>$D184*COS($E184+$F184*'25SolarCoords'!AG$7)</f>
        <v>7.6740957724597187</v>
      </c>
      <c r="AL184" s="23">
        <f>$D184*COS($E184+$F184*'25SolarCoords'!AH$7)</f>
        <v>-31.664889925253931</v>
      </c>
      <c r="AM184" s="23">
        <f>$D184*COS($E184+$F184*'25SolarCoords'!AI$7)</f>
        <v>-16.490530242073937</v>
      </c>
      <c r="AN184" s="23">
        <f>$D184*COS($E184+$F184*'25SolarCoords'!AJ$7)</f>
        <v>55.989765807223002</v>
      </c>
      <c r="AO184" s="23">
        <f>$D184*COS($E184+$F184*'25SolarCoords'!AK$7)</f>
        <v>13.647152131198808</v>
      </c>
      <c r="AP184" s="23">
        <f>$D184*COS($E184+$F184*'25SolarCoords'!AL$7)</f>
        <v>-18.416873030771068</v>
      </c>
      <c r="AQ184" s="23">
        <f>$D184*COS($E184+$F184*'25SolarCoords'!AM$7)</f>
        <v>-55.497620934497391</v>
      </c>
      <c r="AR184" s="23">
        <f>$D184*COS($E184+$F184*'25SolarCoords'!AN$7)</f>
        <v>19.447481093061654</v>
      </c>
      <c r="AS184" s="23">
        <f>$D184*COS($E184+$F184*'25SolarCoords'!AO$7)</f>
        <v>-49.208819754001183</v>
      </c>
      <c r="AT184" s="23">
        <f>$D184*COS($E184+$F184*'25SolarCoords'!AP$7)</f>
        <v>-7.2126716216269484</v>
      </c>
      <c r="AU184" s="23">
        <f>$D184*COS($E184+$F184*'25SolarCoords'!AQ$7)</f>
        <v>-55.893064752435706</v>
      </c>
      <c r="AV184" s="23">
        <f>$D184*COS($E184+$F184*'25SolarCoords'!AR$7)</f>
        <v>-15.61861115217099</v>
      </c>
      <c r="AW184" s="23">
        <f>$D184*COS($E184+$F184*'25SolarCoords'!AS$7)</f>
        <v>53.036043229023399</v>
      </c>
      <c r="AX184" s="23">
        <f>$D184*COS($E184+$F184*'25SolarCoords'!AT$7)</f>
        <v>-46.151444985041685</v>
      </c>
      <c r="AY184" s="23">
        <f>$D184*COS($E184+$F184*'25SolarCoords'!AU$7)</f>
        <v>-47.118690453405193</v>
      </c>
      <c r="AZ184" s="23">
        <f>$D184*COS($E184+$F184*'25SolarCoords'!AV$7)</f>
        <v>-17.163083278672396</v>
      </c>
      <c r="BA184" s="23">
        <f>$D184*COS($E184+$F184*'25SolarCoords'!AW$7)</f>
        <v>55.972450638816106</v>
      </c>
      <c r="BB184" s="23">
        <f>$D184*COS($E184+$F184*'25SolarCoords'!AX$7)</f>
        <v>6.6040468330651692</v>
      </c>
      <c r="BC184" s="23">
        <f>$D184*COS($E184+$F184*'25SolarCoords'!AY$7)</f>
        <v>-29.388903165362436</v>
      </c>
      <c r="BD184" s="23">
        <f>$D184*COS($E184+$F184*'25SolarCoords'!AZ$7)</f>
        <v>-38.091752589513824</v>
      </c>
      <c r="BE184" s="23">
        <f>$D184*COS($E184+$F184*'25SolarCoords'!BA$7)</f>
        <v>-45.342371034698388</v>
      </c>
      <c r="BF184" s="23">
        <f>$D184*COS($E184+$F184*'25SolarCoords'!BB$7)</f>
        <v>-50.864331925388811</v>
      </c>
      <c r="BG184" s="23">
        <f>$D184*COS($E184+$F184*'25SolarCoords'!BC$7)</f>
        <v>-54.447112979875122</v>
      </c>
      <c r="BH184" s="23">
        <f>$D184*COS($E184+$F184*'25SolarCoords'!BD$7)</f>
        <v>-55.95412227774181</v>
      </c>
      <c r="BI184" s="23">
        <f>$D184*COS($E184+$F184*'25SolarCoords'!BE$7)</f>
        <v>-55.327905765566179</v>
      </c>
      <c r="BJ184" s="23">
        <f>$D184*COS($E184+$F184*'25SolarCoords'!BF$7)</f>
        <v>-52.592337666951401</v>
      </c>
      <c r="BK184" s="23">
        <f>$D184*COS($E184+$F184*'25SolarCoords'!BG$7)</f>
        <v>35.463472002035189</v>
      </c>
    </row>
    <row r="185" spans="3:63" x14ac:dyDescent="0.25">
      <c r="C185">
        <f t="shared" si="5"/>
        <v>25</v>
      </c>
      <c r="D185">
        <v>49</v>
      </c>
      <c r="E185">
        <v>3.25</v>
      </c>
      <c r="F185">
        <v>2544.31</v>
      </c>
      <c r="H185" s="7"/>
      <c r="I185" s="23">
        <f>$D185*COS($E185+$F185*'25SolarCoords'!E$7)</f>
        <v>-41.702113896889784</v>
      </c>
      <c r="J185" s="23">
        <f>$D185*COS($E185+$F185*'25SolarCoords'!F$7)</f>
        <v>-48.288539040906791</v>
      </c>
      <c r="K185" s="23">
        <f>$D185*COS($E185+$F185*'25SolarCoords'!G$7)</f>
        <v>-48.712354127946767</v>
      </c>
      <c r="L185" s="23">
        <f>$D185*COS($E185+$F185*'25SolarCoords'!H$7)</f>
        <v>37.352333903599394</v>
      </c>
      <c r="M185" s="23">
        <f>$D185*COS($E185+$F185*'25SolarCoords'!I$7)</f>
        <v>-9.6614636551104027</v>
      </c>
      <c r="N185" s="23">
        <f>$D185*COS($E185+$F185*'25SolarCoords'!J$7)</f>
        <v>-45.635842970463727</v>
      </c>
      <c r="O185" s="23">
        <f>$D185*COS($E185+$F185*'25SolarCoords'!K$7)</f>
        <v>-19.106361142548458</v>
      </c>
      <c r="P185" s="23">
        <f>$D185*COS($E185+$F185*'25SolarCoords'!L$7)</f>
        <v>27.91073990222263</v>
      </c>
      <c r="Q185" s="23">
        <f>$D185*COS($E185+$F185*'25SolarCoords'!M$7)</f>
        <v>48.45054893495184</v>
      </c>
      <c r="R185" s="23">
        <f>$D185*COS($E185+$F185*'25SolarCoords'!N$7)</f>
        <v>-47.120829707456423</v>
      </c>
      <c r="S185" s="23">
        <f>$D185*COS($E185+$F185*'25SolarCoords'!O$7)</f>
        <v>46.494281201642195</v>
      </c>
      <c r="T185" s="23">
        <f>$D185*COS($E185+$F185*'25SolarCoords'!P$7)</f>
        <v>-15.906967712819798</v>
      </c>
      <c r="U185" s="23">
        <f>$D185*COS($E185+$F185*'25SolarCoords'!Q$7)</f>
        <v>0.33545950836437738</v>
      </c>
      <c r="V185" s="23">
        <f>$D185*COS($E185+$F185*'25SolarCoords'!R$7)</f>
        <v>-5.8689867547086398E-3</v>
      </c>
      <c r="W185" s="23">
        <f>$D185*COS($E185+$F185*'25SolarCoords'!S$7)</f>
        <v>43.948838563968437</v>
      </c>
      <c r="X185" s="23">
        <f>$D185*COS($E185+$F185*'25SolarCoords'!T$7)</f>
        <v>8.5710568028912917</v>
      </c>
      <c r="Y185" s="23">
        <f>$D185*COS($E185+$F185*'25SolarCoords'!U$7)</f>
        <v>-45.365767170858412</v>
      </c>
      <c r="Z185" s="23">
        <f>$D185*COS($E185+$F185*'25SolarCoords'!V$7)</f>
        <v>-43.282424001330234</v>
      </c>
      <c r="AA185" s="23">
        <f>$D185*COS($E185+$F185*'25SolarCoords'!W$7)</f>
        <v>-31.827743836288779</v>
      </c>
      <c r="AB185" s="23">
        <f>$D185*COS($E185+$F185*'25SolarCoords'!X$7)</f>
        <v>-37.807464756978057</v>
      </c>
      <c r="AC185" s="23">
        <f>$D185*COS($E185+$F185*'25SolarCoords'!Y$7)</f>
        <v>-1.1734512449999175</v>
      </c>
      <c r="AD185" s="23">
        <f>$D185*COS($E185+$F185*'25SolarCoords'!Z$7)</f>
        <v>-24.687594647218312</v>
      </c>
      <c r="AE185" s="23">
        <f>$D185*COS($E185+$F185*'25SolarCoords'!AA$7)</f>
        <v>-48.730523807072188</v>
      </c>
      <c r="AF185" s="23">
        <f>$D185*COS($E185+$F185*'25SolarCoords'!AB$7)</f>
        <v>41.438669426267211</v>
      </c>
      <c r="AG185" s="23">
        <f>$D185*COS($E185+$F185*'25SolarCoords'!AC$7)</f>
        <v>47.462928427520701</v>
      </c>
      <c r="AH185" s="23">
        <f>$D185*COS($E185+$F185*'25SolarCoords'!AD$7)</f>
        <v>9.6637117704596758</v>
      </c>
      <c r="AI185" s="23">
        <f>$D185*COS($E185+$F185*'25SolarCoords'!AE$7)</f>
        <v>-2.2483618022959515</v>
      </c>
      <c r="AJ185" s="23">
        <f>$D185*COS($E185+$F185*'25SolarCoords'!AF$7)</f>
        <v>-23.700254742466107</v>
      </c>
      <c r="AK185" s="23">
        <f>$D185*COS($E185+$F185*'25SolarCoords'!AG$7)</f>
        <v>-40.65439263501441</v>
      </c>
      <c r="AL185" s="23">
        <f>$D185*COS($E185+$F185*'25SolarCoords'!AH$7)</f>
        <v>45.320822682559005</v>
      </c>
      <c r="AM185" s="23">
        <f>$D185*COS($E185+$F185*'25SolarCoords'!AI$7)</f>
        <v>-35.31041835344616</v>
      </c>
      <c r="AN185" s="23">
        <f>$D185*COS($E185+$F185*'25SolarCoords'!AJ$7)</f>
        <v>19.740672251794294</v>
      </c>
      <c r="AO185" s="23">
        <f>$D185*COS($E185+$F185*'25SolarCoords'!AK$7)</f>
        <v>20.687748038210785</v>
      </c>
      <c r="AP185" s="23">
        <f>$D185*COS($E185+$F185*'25SolarCoords'!AL$7)</f>
        <v>2.5629424144226429</v>
      </c>
      <c r="AQ185" s="23">
        <f>$D185*COS($E185+$F185*'25SolarCoords'!AM$7)</f>
        <v>-2.3650886643946234</v>
      </c>
      <c r="AR185" s="23">
        <f>$D185*COS($E185+$F185*'25SolarCoords'!AN$7)</f>
        <v>-35.052723197373417</v>
      </c>
      <c r="AS185" s="23">
        <f>$D185*COS($E185+$F185*'25SolarCoords'!AO$7)</f>
        <v>45.550691425061792</v>
      </c>
      <c r="AT185" s="23">
        <f>$D185*COS($E185+$F185*'25SolarCoords'!AP$7)</f>
        <v>-8.4007963853372534</v>
      </c>
      <c r="AU185" s="23">
        <f>$D185*COS($E185+$F185*'25SolarCoords'!AQ$7)</f>
        <v>-6.018984132073764</v>
      </c>
      <c r="AV185" s="23">
        <f>$D185*COS($E185+$F185*'25SolarCoords'!AR$7)</f>
        <v>-3.6746384841052868</v>
      </c>
      <c r="AW185" s="23">
        <f>$D185*COS($E185+$F185*'25SolarCoords'!AS$7)</f>
        <v>-1.0135032246126798</v>
      </c>
      <c r="AX185" s="23">
        <f>$D185*COS($E185+$F185*'25SolarCoords'!AT$7)</f>
        <v>3.9846538827420575</v>
      </c>
      <c r="AY185" s="23">
        <f>$D185*COS($E185+$F185*'25SolarCoords'!AU$7)</f>
        <v>0.48401390532024691</v>
      </c>
      <c r="AZ185" s="23">
        <f>$D185*COS($E185+$F185*'25SolarCoords'!AV$7)</f>
        <v>-44.055027774027593</v>
      </c>
      <c r="BA185" s="23">
        <f>$D185*COS($E185+$F185*'25SolarCoords'!AW$7)</f>
        <v>15.041454561873797</v>
      </c>
      <c r="BB185" s="23">
        <f>$D185*COS($E185+$F185*'25SolarCoords'!AX$7)</f>
        <v>9.0507882916059845</v>
      </c>
      <c r="BC185" s="23">
        <f>$D185*COS($E185+$F185*'25SolarCoords'!AY$7)</f>
        <v>14.029857069582986</v>
      </c>
      <c r="BD185" s="23">
        <f>$D185*COS($E185+$F185*'25SolarCoords'!AZ$7)</f>
        <v>14.356554626936729</v>
      </c>
      <c r="BE185" s="23">
        <f>$D185*COS($E185+$F185*'25SolarCoords'!BA$7)</f>
        <v>14.682555544828869</v>
      </c>
      <c r="BF185" s="23">
        <f>$D185*COS($E185+$F185*'25SolarCoords'!BB$7)</f>
        <v>15.007844004344326</v>
      </c>
      <c r="BG185" s="23">
        <f>$D185*COS($E185+$F185*'25SolarCoords'!BC$7)</f>
        <v>15.332404221140454</v>
      </c>
      <c r="BH185" s="23">
        <f>$D185*COS($E185+$F185*'25SolarCoords'!BD$7)</f>
        <v>15.656220446212942</v>
      </c>
      <c r="BI185" s="23">
        <f>$D185*COS($E185+$F185*'25SolarCoords'!BE$7)</f>
        <v>15.979276966657059</v>
      </c>
      <c r="BJ185" s="23">
        <f>$D185*COS($E185+$F185*'25SolarCoords'!BF$7)</f>
        <v>16.301558106433077</v>
      </c>
      <c r="BK185" s="23">
        <f>$D185*COS($E185+$F185*'25SolarCoords'!BG$7)</f>
        <v>-2.1968201819547168</v>
      </c>
    </row>
    <row r="186" spans="3:63" x14ac:dyDescent="0.25">
      <c r="C186">
        <f t="shared" si="5"/>
        <v>26</v>
      </c>
      <c r="D186">
        <v>47</v>
      </c>
      <c r="E186">
        <v>2.58</v>
      </c>
      <c r="F186">
        <v>775.52</v>
      </c>
      <c r="H186" s="7"/>
      <c r="I186" s="23">
        <f>$D186*COS($E186+$F186*'25SolarCoords'!E$7)</f>
        <v>15.405976203738073</v>
      </c>
      <c r="J186" s="23">
        <f>$D186*COS($E186+$F186*'25SolarCoords'!F$7)</f>
        <v>-22.683654147697276</v>
      </c>
      <c r="K186" s="23">
        <f>$D186*COS($E186+$F186*'25SolarCoords'!G$7)</f>
        <v>-39.781177937141457</v>
      </c>
      <c r="L186" s="23">
        <f>$D186*COS($E186+$F186*'25SolarCoords'!H$7)</f>
        <v>-10.859172241388022</v>
      </c>
      <c r="M186" s="23">
        <f>$D186*COS($E186+$F186*'25SolarCoords'!I$7)</f>
        <v>18.600731106918456</v>
      </c>
      <c r="N186" s="23">
        <f>$D186*COS($E186+$F186*'25SolarCoords'!J$7)</f>
        <v>30.692573763214924</v>
      </c>
      <c r="O186" s="23">
        <f>$D186*COS($E186+$F186*'25SolarCoords'!K$7)</f>
        <v>43.490148296751386</v>
      </c>
      <c r="P186" s="23">
        <f>$D186*COS($E186+$F186*'25SolarCoords'!L$7)</f>
        <v>46.841686136014026</v>
      </c>
      <c r="Q186" s="23">
        <f>$D186*COS($E186+$F186*'25SolarCoords'!M$7)</f>
        <v>42.774420896433654</v>
      </c>
      <c r="R186" s="23">
        <f>$D186*COS($E186+$F186*'25SolarCoords'!N$7)</f>
        <v>45.499224599135204</v>
      </c>
      <c r="S186" s="23">
        <f>$D186*COS($E186+$F186*'25SolarCoords'!O$7)</f>
        <v>24.261834047910817</v>
      </c>
      <c r="T186" s="23">
        <f>$D186*COS($E186+$F186*'25SolarCoords'!P$7)</f>
        <v>38.380530375726266</v>
      </c>
      <c r="U186" s="23">
        <f>$D186*COS($E186+$F186*'25SolarCoords'!Q$7)</f>
        <v>-46.999413223865389</v>
      </c>
      <c r="V186" s="23">
        <f>$D186*COS($E186+$F186*'25SolarCoords'!R$7)</f>
        <v>-46.998808625723541</v>
      </c>
      <c r="W186" s="23">
        <f>$D186*COS($E186+$F186*'25SolarCoords'!S$7)</f>
        <v>15.445116009356834</v>
      </c>
      <c r="X186" s="23">
        <f>$D186*COS($E186+$F186*'25SolarCoords'!T$7)</f>
        <v>27.3247054014629</v>
      </c>
      <c r="Y186" s="23">
        <f>$D186*COS($E186+$F186*'25SolarCoords'!U$7)</f>
        <v>40.405547020721528</v>
      </c>
      <c r="Z186" s="23">
        <f>$D186*COS($E186+$F186*'25SolarCoords'!V$7)</f>
        <v>46.013920209733065</v>
      </c>
      <c r="AA186" s="23">
        <f>$D186*COS($E186+$F186*'25SolarCoords'!W$7)</f>
        <v>25.041102203845345</v>
      </c>
      <c r="AB186" s="23">
        <f>$D186*COS($E186+$F186*'25SolarCoords'!X$7)</f>
        <v>-45.333934747591606</v>
      </c>
      <c r="AC186" s="23">
        <f>$D186*COS($E186+$F186*'25SolarCoords'!Y$7)</f>
        <v>-40.140198232820794</v>
      </c>
      <c r="AD186" s="23">
        <f>$D186*COS($E186+$F186*'25SolarCoords'!Z$7)</f>
        <v>25.501156075991815</v>
      </c>
      <c r="AE186" s="23">
        <f>$D186*COS($E186+$F186*'25SolarCoords'!AA$7)</f>
        <v>-39.754583862228031</v>
      </c>
      <c r="AF186" s="23">
        <f>$D186*COS($E186+$F186*'25SolarCoords'!AB$7)</f>
        <v>12.762222499908177</v>
      </c>
      <c r="AG186" s="23">
        <f>$D186*COS($E186+$F186*'25SolarCoords'!AC$7)</f>
        <v>15.176643055171732</v>
      </c>
      <c r="AH186" s="23">
        <f>$D186*COS($E186+$F186*'25SolarCoords'!AD$7)</f>
        <v>46.003279479869946</v>
      </c>
      <c r="AI186" s="23">
        <f>$D186*COS($E186+$F186*'25SolarCoords'!AE$7)</f>
        <v>-39.975718093660603</v>
      </c>
      <c r="AJ186" s="23">
        <f>$D186*COS($E186+$F186*'25SolarCoords'!AF$7)</f>
        <v>-45.322159864897415</v>
      </c>
      <c r="AK186" s="23">
        <f>$D186*COS($E186+$F186*'25SolarCoords'!AG$7)</f>
        <v>-46.641315985855876</v>
      </c>
      <c r="AL186" s="23">
        <f>$D186*COS($E186+$F186*'25SolarCoords'!AH$7)</f>
        <v>-19.910672021576985</v>
      </c>
      <c r="AM186" s="23">
        <f>$D186*COS($E186+$F186*'25SolarCoords'!AI$7)</f>
        <v>-45.031914505328281</v>
      </c>
      <c r="AN186" s="23">
        <f>$D186*COS($E186+$F186*'25SolarCoords'!AJ$7)</f>
        <v>-40.110983653390235</v>
      </c>
      <c r="AO186" s="23">
        <f>$D186*COS($E186+$F186*'25SolarCoords'!AK$7)</f>
        <v>44.426696813185032</v>
      </c>
      <c r="AP186" s="23">
        <f>$D186*COS($E186+$F186*'25SolarCoords'!AL$7)</f>
        <v>-4.3872850152800682</v>
      </c>
      <c r="AQ186" s="23">
        <f>$D186*COS($E186+$F186*'25SolarCoords'!AM$7)</f>
        <v>-37.61724027273879</v>
      </c>
      <c r="AR186" s="23">
        <f>$D186*COS($E186+$F186*'25SolarCoords'!AN$7)</f>
        <v>-44.006632282032193</v>
      </c>
      <c r="AS186" s="23">
        <f>$D186*COS($E186+$F186*'25SolarCoords'!AO$7)</f>
        <v>-19.066777160629865</v>
      </c>
      <c r="AT186" s="23">
        <f>$D186*COS($E186+$F186*'25SolarCoords'!AP$7)</f>
        <v>9.833128231164574</v>
      </c>
      <c r="AU186" s="23">
        <f>$D186*COS($E186+$F186*'25SolarCoords'!AQ$7)</f>
        <v>9.1435366074933295</v>
      </c>
      <c r="AV186" s="23">
        <f>$D186*COS($E186+$F186*'25SolarCoords'!AR$7)</f>
        <v>8.4668901860079249</v>
      </c>
      <c r="AW186" s="23">
        <f>$D186*COS($E186+$F186*'25SolarCoords'!AS$7)</f>
        <v>7.6994969612831197</v>
      </c>
      <c r="AX186" s="23">
        <f>$D186*COS($E186+$F186*'25SolarCoords'!AT$7)</f>
        <v>6.2531680718604203</v>
      </c>
      <c r="AY186" s="23">
        <f>$D186*COS($E186+$F186*'25SolarCoords'!AU$7)</f>
        <v>32.349917147975482</v>
      </c>
      <c r="AZ186" s="23">
        <f>$D186*COS($E186+$F186*'25SolarCoords'!AV$7)</f>
        <v>33.744336427188273</v>
      </c>
      <c r="BA186" s="23">
        <f>$D186*COS($E186+$F186*'25SolarCoords'!AW$7)</f>
        <v>-36.039825049224085</v>
      </c>
      <c r="BB186" s="23">
        <f>$D186*COS($E186+$F186*'25SolarCoords'!AX$7)</f>
        <v>30.309858473181407</v>
      </c>
      <c r="BC186" s="23">
        <f>$D186*COS($E186+$F186*'25SolarCoords'!AY$7)</f>
        <v>3.2753140980496691</v>
      </c>
      <c r="BD186" s="23">
        <f>$D186*COS($E186+$F186*'25SolarCoords'!AZ$7)</f>
        <v>3.1757562721379231</v>
      </c>
      <c r="BE186" s="23">
        <f>$D186*COS($E186+$F186*'25SolarCoords'!BA$7)</f>
        <v>3.0761841292086411</v>
      </c>
      <c r="BF186" s="23">
        <f>$D186*COS($E186+$F186*'25SolarCoords'!BB$7)</f>
        <v>2.976598118155251</v>
      </c>
      <c r="BG186" s="23">
        <f>$D186*COS($E186+$F186*'25SolarCoords'!BC$7)</f>
        <v>2.8769986879340332</v>
      </c>
      <c r="BH186" s="23">
        <f>$D186*COS($E186+$F186*'25SolarCoords'!BD$7)</f>
        <v>2.7773862875607658</v>
      </c>
      <c r="BI186" s="23">
        <f>$D186*COS($E186+$F186*'25SolarCoords'!BE$7)</f>
        <v>2.677761366110698</v>
      </c>
      <c r="BJ186" s="23">
        <f>$D186*COS($E186+$F186*'25SolarCoords'!BF$7)</f>
        <v>2.5781243727151946</v>
      </c>
      <c r="BK186" s="23">
        <f>$D186*COS($E186+$F186*'25SolarCoords'!BG$7)</f>
        <v>-39.983648938498256</v>
      </c>
    </row>
    <row r="187" spans="3:63" x14ac:dyDescent="0.25">
      <c r="C187">
        <f t="shared" si="5"/>
        <v>27</v>
      </c>
      <c r="D187">
        <v>45</v>
      </c>
      <c r="E187">
        <v>5.54</v>
      </c>
      <c r="F187">
        <v>9437.76</v>
      </c>
      <c r="H187" s="7"/>
      <c r="I187" s="23">
        <f>$D187*COS($E187+$F187*'25SolarCoords'!E$7)</f>
        <v>-40.98568718079401</v>
      </c>
      <c r="J187" s="23">
        <f>$D187*COS($E187+$F187*'25SolarCoords'!F$7)</f>
        <v>36.254602076329725</v>
      </c>
      <c r="K187" s="23">
        <f>$D187*COS($E187+$F187*'25SolarCoords'!G$7)</f>
        <v>33.134265086427867</v>
      </c>
      <c r="L187" s="23">
        <f>$D187*COS($E187+$F187*'25SolarCoords'!H$7)</f>
        <v>-32.536062793747547</v>
      </c>
      <c r="M187" s="23">
        <f>$D187*COS($E187+$F187*'25SolarCoords'!I$7)</f>
        <v>-43.638736950628427</v>
      </c>
      <c r="N187" s="23">
        <f>$D187*COS($E187+$F187*'25SolarCoords'!J$7)</f>
        <v>42.71932209357216</v>
      </c>
      <c r="O187" s="23">
        <f>$D187*COS($E187+$F187*'25SolarCoords'!K$7)</f>
        <v>43.709452267390752</v>
      </c>
      <c r="P187" s="23">
        <f>$D187*COS($E187+$F187*'25SolarCoords'!L$7)</f>
        <v>-42.239307049160267</v>
      </c>
      <c r="Q187" s="23">
        <f>$D187*COS($E187+$F187*'25SolarCoords'!M$7)</f>
        <v>-19.883781280069748</v>
      </c>
      <c r="R187" s="23">
        <f>$D187*COS($E187+$F187*'25SolarCoords'!N$7)</f>
        <v>41.238402452709401</v>
      </c>
      <c r="S187" s="23">
        <f>$D187*COS($E187+$F187*'25SolarCoords'!O$7)</f>
        <v>-41.120054362140692</v>
      </c>
      <c r="T187" s="23">
        <f>$D187*COS($E187+$F187*'25SolarCoords'!P$7)</f>
        <v>-42.007770112883037</v>
      </c>
      <c r="U187" s="23">
        <f>$D187*COS($E187+$F187*'25SolarCoords'!Q$7)</f>
        <v>-43.077866308320175</v>
      </c>
      <c r="V187" s="23">
        <f>$D187*COS($E187+$F187*'25SolarCoords'!R$7)</f>
        <v>-42.727318980083105</v>
      </c>
      <c r="W187" s="23">
        <f>$D187*COS($E187+$F187*'25SolarCoords'!S$7)</f>
        <v>-44.180926516981593</v>
      </c>
      <c r="X187" s="23">
        <f>$D187*COS($E187+$F187*'25SolarCoords'!T$7)</f>
        <v>44.54266768631917</v>
      </c>
      <c r="Y187" s="23">
        <f>$D187*COS($E187+$F187*'25SolarCoords'!U$7)</f>
        <v>20.441029206449379</v>
      </c>
      <c r="Z187" s="23">
        <f>$D187*COS($E187+$F187*'25SolarCoords'!V$7)</f>
        <v>41.054599027712115</v>
      </c>
      <c r="AA187" s="23">
        <f>$D187*COS($E187+$F187*'25SolarCoords'!W$7)</f>
        <v>3.0967342073412296</v>
      </c>
      <c r="AB187" s="23">
        <f>$D187*COS($E187+$F187*'25SolarCoords'!X$7)</f>
        <v>-9.153414884971582</v>
      </c>
      <c r="AC187" s="23">
        <f>$D187*COS($E187+$F187*'25SolarCoords'!Y$7)</f>
        <v>-44.635012077065731</v>
      </c>
      <c r="AD187" s="23">
        <f>$D187*COS($E187+$F187*'25SolarCoords'!Z$7)</f>
        <v>44.232998772564315</v>
      </c>
      <c r="AE187" s="23">
        <f>$D187*COS($E187+$F187*'25SolarCoords'!AA$7)</f>
        <v>32.738126658676109</v>
      </c>
      <c r="AF187" s="23">
        <f>$D187*COS($E187+$F187*'25SolarCoords'!AB$7)</f>
        <v>-44.358145474129522</v>
      </c>
      <c r="AG187" s="23">
        <f>$D187*COS($E187+$F187*'25SolarCoords'!AC$7)</f>
        <v>28.704940267499715</v>
      </c>
      <c r="AH187" s="23">
        <f>$D187*COS($E187+$F187*'25SolarCoords'!AD$7)</f>
        <v>-17.991151607063383</v>
      </c>
      <c r="AI187" s="23">
        <f>$D187*COS($E187+$F187*'25SolarCoords'!AE$7)</f>
        <v>-44.021926451287442</v>
      </c>
      <c r="AJ187" s="23">
        <f>$D187*COS($E187+$F187*'25SolarCoords'!AF$7)</f>
        <v>-18.886974628333626</v>
      </c>
      <c r="AK187" s="23">
        <f>$D187*COS($E187+$F187*'25SolarCoords'!AG$7)</f>
        <v>43.635817825580105</v>
      </c>
      <c r="AL187" s="23">
        <f>$D187*COS($E187+$F187*'25SolarCoords'!AH$7)</f>
        <v>-35.603986906487812</v>
      </c>
      <c r="AM187" s="23">
        <f>$D187*COS($E187+$F187*'25SolarCoords'!AI$7)</f>
        <v>3.5689006522416666</v>
      </c>
      <c r="AN187" s="23">
        <f>$D187*COS($E187+$F187*'25SolarCoords'!AJ$7)</f>
        <v>29.069063210220573</v>
      </c>
      <c r="AO187" s="23">
        <f>$D187*COS($E187+$F187*'25SolarCoords'!AK$7)</f>
        <v>-44.914883637576693</v>
      </c>
      <c r="AP187" s="23">
        <f>$D187*COS($E187+$F187*'25SolarCoords'!AL$7)</f>
        <v>41.683479777362429</v>
      </c>
      <c r="AQ187" s="23">
        <f>$D187*COS($E187+$F187*'25SolarCoords'!AM$7)</f>
        <v>35.392464744989326</v>
      </c>
      <c r="AR187" s="23">
        <f>$D187*COS($E187+$F187*'25SolarCoords'!AN$7)</f>
        <v>-6.8875178894540268</v>
      </c>
      <c r="AS187" s="23">
        <f>$D187*COS($E187+$F187*'25SolarCoords'!AO$7)</f>
        <v>-17.660643909181843</v>
      </c>
      <c r="AT187" s="23">
        <f>$D187*COS($E187+$F187*'25SolarCoords'!AP$7)</f>
        <v>44.326258761226335</v>
      </c>
      <c r="AU187" s="23">
        <f>$D187*COS($E187+$F187*'25SolarCoords'!AQ$7)</f>
        <v>42.185171043770595</v>
      </c>
      <c r="AV187" s="23">
        <f>$D187*COS($E187+$F187*'25SolarCoords'!AR$7)</f>
        <v>38.736569048134207</v>
      </c>
      <c r="AW187" s="23">
        <f>$D187*COS($E187+$F187*'25SolarCoords'!AS$7)</f>
        <v>33.363091495353373</v>
      </c>
      <c r="AX187" s="23">
        <f>$D187*COS($E187+$F187*'25SolarCoords'!AT$7)</f>
        <v>19.834466342050089</v>
      </c>
      <c r="AY187" s="23">
        <f>$D187*COS($E187+$F187*'25SolarCoords'!AU$7)</f>
        <v>42.613764586299226</v>
      </c>
      <c r="AZ187" s="23">
        <f>$D187*COS($E187+$F187*'25SolarCoords'!AV$7)</f>
        <v>-31.993117921670517</v>
      </c>
      <c r="BA187" s="23">
        <f>$D187*COS($E187+$F187*'25SolarCoords'!AW$7)</f>
        <v>-3.6264557313065722</v>
      </c>
      <c r="BB187" s="23">
        <f>$D187*COS($E187+$F187*'25SolarCoords'!AX$7)</f>
        <v>-7.9888028495280992</v>
      </c>
      <c r="BC187" s="23">
        <f>$D187*COS($E187+$F187*'25SolarCoords'!AY$7)</f>
        <v>-14.100961069040668</v>
      </c>
      <c r="BD187" s="23">
        <f>$D187*COS($E187+$F187*'25SolarCoords'!AZ$7)</f>
        <v>-15.200332944848794</v>
      </c>
      <c r="BE187" s="23">
        <f>$D187*COS($E187+$F187*'25SolarCoords'!BA$7)</f>
        <v>-16.289556683083937</v>
      </c>
      <c r="BF187" s="23">
        <f>$D187*COS($E187+$F187*'25SolarCoords'!BB$7)</f>
        <v>-17.367905089649682</v>
      </c>
      <c r="BG187" s="23">
        <f>$D187*COS($E187+$F187*'25SolarCoords'!BC$7)</f>
        <v>-18.434658231107456</v>
      </c>
      <c r="BH187" s="23">
        <f>$D187*COS($E187+$F187*'25SolarCoords'!BD$7)</f>
        <v>-19.489103915319166</v>
      </c>
      <c r="BI187" s="23">
        <f>$D187*COS($E187+$F187*'25SolarCoords'!BE$7)</f>
        <v>-20.530538166920635</v>
      </c>
      <c r="BJ187" s="23">
        <f>$D187*COS($E187+$F187*'25SolarCoords'!BF$7)</f>
        <v>-21.5582656973254</v>
      </c>
      <c r="BK187" s="23">
        <f>$D187*COS($E187+$F187*'25SolarCoords'!BG$7)</f>
        <v>-44.058035950917805</v>
      </c>
    </row>
    <row r="188" spans="3:63" x14ac:dyDescent="0.25">
      <c r="C188">
        <f t="shared" si="5"/>
        <v>28</v>
      </c>
      <c r="D188">
        <v>43</v>
      </c>
      <c r="E188">
        <v>6.01</v>
      </c>
      <c r="F188">
        <v>6275.96</v>
      </c>
      <c r="H188" s="7"/>
      <c r="I188" s="23">
        <f>$D188*COS($E188+$F188*'25SolarCoords'!E$7)</f>
        <v>3.6821639935173298</v>
      </c>
      <c r="J188" s="23">
        <f>$D188*COS($E188+$F188*'25SolarCoords'!F$7)</f>
        <v>42.730783615953101</v>
      </c>
      <c r="K188" s="23">
        <f>$D188*COS($E188+$F188*'25SolarCoords'!G$7)</f>
        <v>41.405404638810246</v>
      </c>
      <c r="L188" s="23">
        <f>$D188*COS($E188+$F188*'25SolarCoords'!H$7)</f>
        <v>41.439214903537511</v>
      </c>
      <c r="M188" s="23">
        <f>$D188*COS($E188+$F188*'25SolarCoords'!I$7)</f>
        <v>41.519218789111015</v>
      </c>
      <c r="N188" s="23">
        <f>$D188*COS($E188+$F188*'25SolarCoords'!J$7)</f>
        <v>-39.390000723251134</v>
      </c>
      <c r="O188" s="23">
        <f>$D188*COS($E188+$F188*'25SolarCoords'!K$7)</f>
        <v>41.645348388075817</v>
      </c>
      <c r="P188" s="23">
        <f>$D188*COS($E188+$F188*'25SolarCoords'!L$7)</f>
        <v>-39.487010670573021</v>
      </c>
      <c r="Q188" s="23">
        <f>$D188*COS($E188+$F188*'25SolarCoords'!M$7)</f>
        <v>38.56955888461421</v>
      </c>
      <c r="R188" s="23">
        <f>$D188*COS($E188+$F188*'25SolarCoords'!N$7)</f>
        <v>-38.107000727892611</v>
      </c>
      <c r="S188" s="23">
        <f>$D188*COS($E188+$F188*'25SolarCoords'!O$7)</f>
        <v>-37.874964648124745</v>
      </c>
      <c r="T188" s="23">
        <f>$D188*COS($E188+$F188*'25SolarCoords'!P$7)</f>
        <v>-34.516412086728472</v>
      </c>
      <c r="U188" s="23">
        <f>$D188*COS($E188+$F188*'25SolarCoords'!Q$7)</f>
        <v>-38.851871917677258</v>
      </c>
      <c r="V188" s="23">
        <f>$D188*COS($E188+$F188*'25SolarCoords'!R$7)</f>
        <v>-39.162735260533999</v>
      </c>
      <c r="W188" s="23">
        <f>$D188*COS($E188+$F188*'25SolarCoords'!S$7)</f>
        <v>42.223087087438834</v>
      </c>
      <c r="X188" s="23">
        <f>$D188*COS($E188+$F188*'25SolarCoords'!T$7)</f>
        <v>-34.486353611494771</v>
      </c>
      <c r="Y188" s="23">
        <f>$D188*COS($E188+$F188*'25SolarCoords'!U$7)</f>
        <v>39.096172428952805</v>
      </c>
      <c r="Z188" s="23">
        <f>$D188*COS($E188+$F188*'25SolarCoords'!V$7)</f>
        <v>-10.564830699315763</v>
      </c>
      <c r="AA188" s="23">
        <f>$D188*COS($E188+$F188*'25SolarCoords'!W$7)</f>
        <v>2.2893868557804176</v>
      </c>
      <c r="AB188" s="23">
        <f>$D188*COS($E188+$F188*'25SolarCoords'!X$7)</f>
        <v>1.811527186271944</v>
      </c>
      <c r="AC188" s="23">
        <f>$D188*COS($E188+$F188*'25SolarCoords'!Y$7)</f>
        <v>33.690674034784237</v>
      </c>
      <c r="AD188" s="23">
        <f>$D188*COS($E188+$F188*'25SolarCoords'!Z$7)</f>
        <v>35.496952922926049</v>
      </c>
      <c r="AE188" s="23">
        <f>$D188*COS($E188+$F188*'25SolarCoords'!AA$7)</f>
        <v>41.304206445440052</v>
      </c>
      <c r="AF188" s="23">
        <f>$D188*COS($E188+$F188*'25SolarCoords'!AB$7)</f>
        <v>-42.997646892000887</v>
      </c>
      <c r="AG188" s="23">
        <f>$D188*COS($E188+$F188*'25SolarCoords'!AC$7)</f>
        <v>24.994309762385427</v>
      </c>
      <c r="AH188" s="23">
        <f>$D188*COS($E188+$F188*'25SolarCoords'!AD$7)</f>
        <v>-6.7906777556867919</v>
      </c>
      <c r="AI188" s="23">
        <f>$D188*COS($E188+$F188*'25SolarCoords'!AE$7)</f>
        <v>32.195267536627547</v>
      </c>
      <c r="AJ188" s="23">
        <f>$D188*COS($E188+$F188*'25SolarCoords'!AF$7)</f>
        <v>39.183451120531004</v>
      </c>
      <c r="AK188" s="23">
        <f>$D188*COS($E188+$F188*'25SolarCoords'!AG$7)</f>
        <v>-0.9514062196108739</v>
      </c>
      <c r="AL188" s="23">
        <f>$D188*COS($E188+$F188*'25SolarCoords'!AH$7)</f>
        <v>29.917562617345894</v>
      </c>
      <c r="AM188" s="23">
        <f>$D188*COS($E188+$F188*'25SolarCoords'!AI$7)</f>
        <v>9.8511778855907703</v>
      </c>
      <c r="AN188" s="23">
        <f>$D188*COS($E188+$F188*'25SolarCoords'!AJ$7)</f>
        <v>-11.585785066735667</v>
      </c>
      <c r="AO188" s="23">
        <f>$D188*COS($E188+$F188*'25SolarCoords'!AK$7)</f>
        <v>21.058878762831299</v>
      </c>
      <c r="AP188" s="23">
        <f>$D188*COS($E188+$F188*'25SolarCoords'!AL$7)</f>
        <v>-17.198114554808186</v>
      </c>
      <c r="AQ188" s="23">
        <f>$D188*COS($E188+$F188*'25SolarCoords'!AM$7)</f>
        <v>32.663048696022521</v>
      </c>
      <c r="AR188" s="23">
        <f>$D188*COS($E188+$F188*'25SolarCoords'!AN$7)</f>
        <v>8.6708272367642607</v>
      </c>
      <c r="AS188" s="23">
        <f>$D188*COS($E188+$F188*'25SolarCoords'!AO$7)</f>
        <v>-12.504779672562204</v>
      </c>
      <c r="AT188" s="23">
        <f>$D188*COS($E188+$F188*'25SolarCoords'!AP$7)</f>
        <v>-22.358643223527221</v>
      </c>
      <c r="AU188" s="23">
        <f>$D188*COS($E188+$F188*'25SolarCoords'!AQ$7)</f>
        <v>-17.752548190434869</v>
      </c>
      <c r="AV188" s="23">
        <f>$D188*COS($E188+$F188*'25SolarCoords'!AR$7)</f>
        <v>-12.993503381570475</v>
      </c>
      <c r="AW188" s="23">
        <f>$D188*COS($E188+$F188*'25SolarCoords'!AS$7)</f>
        <v>-7.3952120749257517</v>
      </c>
      <c r="AX188" s="23">
        <f>$D188*COS($E188+$F188*'25SolarCoords'!AT$7)</f>
        <v>3.3931303184272461</v>
      </c>
      <c r="AY188" s="23">
        <f>$D188*COS($E188+$F188*'25SolarCoords'!AU$7)</f>
        <v>-34.976273060146234</v>
      </c>
      <c r="AZ188" s="23">
        <f>$D188*COS($E188+$F188*'25SolarCoords'!AV$7)</f>
        <v>-30.369768843618136</v>
      </c>
      <c r="BA188" s="23">
        <f>$D188*COS($E188+$F188*'25SolarCoords'!AW$7)</f>
        <v>41.544863474532313</v>
      </c>
      <c r="BB188" s="23">
        <f>$D188*COS($E188+$F188*'25SolarCoords'!AX$7)</f>
        <v>-10.971207657060704</v>
      </c>
      <c r="BC188" s="23">
        <f>$D188*COS($E188+$F188*'25SolarCoords'!AY$7)</f>
        <v>24.083049112845025</v>
      </c>
      <c r="BD188" s="23">
        <f>$D188*COS($E188+$F188*'25SolarCoords'!AZ$7)</f>
        <v>24.691563237921834</v>
      </c>
      <c r="BE188" s="23">
        <f>$D188*COS($E188+$F188*'25SolarCoords'!BA$7)</f>
        <v>25.292787526536269</v>
      </c>
      <c r="BF188" s="23">
        <f>$D188*COS($E188+$F188*'25SolarCoords'!BB$7)</f>
        <v>25.886544475678548</v>
      </c>
      <c r="BG188" s="23">
        <f>$D188*COS($E188+$F188*'25SolarCoords'!BC$7)</f>
        <v>26.472658786968751</v>
      </c>
      <c r="BH188" s="23">
        <f>$D188*COS($E188+$F188*'25SolarCoords'!BD$7)</f>
        <v>27.050957418408135</v>
      </c>
      <c r="BI188" s="23">
        <f>$D188*COS($E188+$F188*'25SolarCoords'!BE$7)</f>
        <v>27.62126963546455</v>
      </c>
      <c r="BJ188" s="23">
        <f>$D188*COS($E188+$F188*'25SolarCoords'!BF$7)</f>
        <v>28.183427061485148</v>
      </c>
      <c r="BK188" s="23">
        <f>$D188*COS($E188+$F188*'25SolarCoords'!BG$7)</f>
        <v>32.269191228637503</v>
      </c>
    </row>
    <row r="189" spans="3:63" x14ac:dyDescent="0.25">
      <c r="C189">
        <f t="shared" si="5"/>
        <v>29</v>
      </c>
      <c r="D189">
        <v>39</v>
      </c>
      <c r="E189">
        <v>5.36</v>
      </c>
      <c r="F189">
        <v>4694</v>
      </c>
      <c r="H189" s="7"/>
      <c r="I189" s="23">
        <f>$D189*COS($E189+$F189*'25SolarCoords'!E$7)</f>
        <v>-11.024145863077646</v>
      </c>
      <c r="J189" s="23">
        <f>$D189*COS($E189+$F189*'25SolarCoords'!F$7)</f>
        <v>-35.967370373999351</v>
      </c>
      <c r="K189" s="23">
        <f>$D189*COS($E189+$F189*'25SolarCoords'!G$7)</f>
        <v>23.528031227937753</v>
      </c>
      <c r="L189" s="23">
        <f>$D189*COS($E189+$F189*'25SolarCoords'!H$7)</f>
        <v>30.742932779532939</v>
      </c>
      <c r="M189" s="23">
        <f>$D189*COS($E189+$F189*'25SolarCoords'!I$7)</f>
        <v>13.490295483032323</v>
      </c>
      <c r="N189" s="23">
        <f>$D189*COS($E189+$F189*'25SolarCoords'!J$7)</f>
        <v>-38.875847684104386</v>
      </c>
      <c r="O189" s="23">
        <f>$D189*COS($E189+$F189*'25SolarCoords'!K$7)</f>
        <v>36.292581825953683</v>
      </c>
      <c r="P189" s="23">
        <f>$D189*COS($E189+$F189*'25SolarCoords'!L$7)</f>
        <v>3.4494707645203251</v>
      </c>
      <c r="Q189" s="23">
        <f>$D189*COS($E189+$F189*'25SolarCoords'!M$7)</f>
        <v>23.560574166053726</v>
      </c>
      <c r="R189" s="23">
        <f>$D189*COS($E189+$F189*'25SolarCoords'!N$7)</f>
        <v>38.360441613044856</v>
      </c>
      <c r="S189" s="23">
        <f>$D189*COS($E189+$F189*'25SolarCoords'!O$7)</f>
        <v>6.2037216457838884</v>
      </c>
      <c r="T189" s="23">
        <f>$D189*COS($E189+$F189*'25SolarCoords'!P$7)</f>
        <v>3.1756264012886133</v>
      </c>
      <c r="U189" s="23">
        <f>$D189*COS($E189+$F189*'25SolarCoords'!Q$7)</f>
        <v>-33.180249635505632</v>
      </c>
      <c r="V189" s="23">
        <f>$D189*COS($E189+$F189*'25SolarCoords'!R$7)</f>
        <v>-32.914117828548136</v>
      </c>
      <c r="W189" s="23">
        <f>$D189*COS($E189+$F189*'25SolarCoords'!S$7)</f>
        <v>36.734916956256583</v>
      </c>
      <c r="X189" s="23">
        <f>$D189*COS($E189+$F189*'25SolarCoords'!T$7)</f>
        <v>7.1648917414867519</v>
      </c>
      <c r="Y189" s="23">
        <f>$D189*COS($E189+$F189*'25SolarCoords'!U$7)</f>
        <v>-28.489003313461293</v>
      </c>
      <c r="Z189" s="23">
        <f>$D189*COS($E189+$F189*'25SolarCoords'!V$7)</f>
        <v>-38.57015502169947</v>
      </c>
      <c r="AA189" s="23">
        <f>$D189*COS($E189+$F189*'25SolarCoords'!W$7)</f>
        <v>-21.534288591425291</v>
      </c>
      <c r="AB189" s="23">
        <f>$D189*COS($E189+$F189*'25SolarCoords'!X$7)</f>
        <v>33.681943251784695</v>
      </c>
      <c r="AC189" s="23">
        <f>$D189*COS($E189+$F189*'25SolarCoords'!Y$7)</f>
        <v>3.1668324308168883</v>
      </c>
      <c r="AD189" s="23">
        <f>$D189*COS($E189+$F189*'25SolarCoords'!Z$7)</f>
        <v>-6.5185256278990735</v>
      </c>
      <c r="AE189" s="23">
        <f>$D189*COS($E189+$F189*'25SolarCoords'!AA$7)</f>
        <v>23.327683577749529</v>
      </c>
      <c r="AF189" s="23">
        <f>$D189*COS($E189+$F189*'25SolarCoords'!AB$7)</f>
        <v>24.070717964473019</v>
      </c>
      <c r="AG189" s="23">
        <f>$D189*COS($E189+$F189*'25SolarCoords'!AC$7)</f>
        <v>35.710009158397177</v>
      </c>
      <c r="AH189" s="23">
        <f>$D189*COS($E189+$F189*'25SolarCoords'!AD$7)</f>
        <v>29.050835726201814</v>
      </c>
      <c r="AI189" s="23">
        <f>$D189*COS($E189+$F189*'25SolarCoords'!AE$7)</f>
        <v>4.7379736151907164</v>
      </c>
      <c r="AJ189" s="23">
        <f>$D189*COS($E189+$F189*'25SolarCoords'!AF$7)</f>
        <v>-31.620050486992138</v>
      </c>
      <c r="AK189" s="23">
        <f>$D189*COS($E189+$F189*'25SolarCoords'!AG$7)</f>
        <v>-37.801334147245768</v>
      </c>
      <c r="AL189" s="23">
        <f>$D189*COS($E189+$F189*'25SolarCoords'!AH$7)</f>
        <v>0.10376045098692899</v>
      </c>
      <c r="AM189" s="23">
        <f>$D189*COS($E189+$F189*'25SolarCoords'!AI$7)</f>
        <v>36.115997964244194</v>
      </c>
      <c r="AN189" s="23">
        <f>$D189*COS($E189+$F189*'25SolarCoords'!AJ$7)</f>
        <v>26.610353384251017</v>
      </c>
      <c r="AO189" s="23">
        <f>$D189*COS($E189+$F189*'25SolarCoords'!AK$7)</f>
        <v>29.699512686377094</v>
      </c>
      <c r="AP189" s="23">
        <f>$D189*COS($E189+$F189*'25SolarCoords'!AL$7)</f>
        <v>33.964392537526749</v>
      </c>
      <c r="AQ189" s="23">
        <f>$D189*COS($E189+$F189*'25SolarCoords'!AM$7)</f>
        <v>15.16035821520834</v>
      </c>
      <c r="AR189" s="23">
        <f>$D189*COS($E189+$F189*'25SolarCoords'!AN$7)</f>
        <v>37.210203330310051</v>
      </c>
      <c r="AS189" s="23">
        <f>$D189*COS($E189+$F189*'25SolarCoords'!AO$7)</f>
        <v>-38.820634911527065</v>
      </c>
      <c r="AT189" s="23">
        <f>$D189*COS($E189+$F189*'25SolarCoords'!AP$7)</f>
        <v>20.05956059902978</v>
      </c>
      <c r="AU189" s="23">
        <f>$D189*COS($E189+$F189*'25SolarCoords'!AQ$7)</f>
        <v>23.005663417872416</v>
      </c>
      <c r="AV189" s="23">
        <f>$D189*COS($E189+$F189*'25SolarCoords'!AR$7)</f>
        <v>25.705210012817961</v>
      </c>
      <c r="AW189" s="23">
        <f>$D189*COS($E189+$F189*'25SolarCoords'!AS$7)</f>
        <v>28.513457619006026</v>
      </c>
      <c r="AX189" s="23">
        <f>$D189*COS($E189+$F189*'25SolarCoords'!AT$7)</f>
        <v>32.991301633738509</v>
      </c>
      <c r="AY189" s="23">
        <f>$D189*COS($E189+$F189*'25SolarCoords'!AU$7)</f>
        <v>38.943793938074414</v>
      </c>
      <c r="AZ189" s="23">
        <f>$D189*COS($E189+$F189*'25SolarCoords'!AV$7)</f>
        <v>30.145369396292466</v>
      </c>
      <c r="BA189" s="23">
        <f>$D189*COS($E189+$F189*'25SolarCoords'!AW$7)</f>
        <v>-12.278884367757852</v>
      </c>
      <c r="BB189" s="23">
        <f>$D189*COS($E189+$F189*'25SolarCoords'!AX$7)</f>
        <v>36.451811938505351</v>
      </c>
      <c r="BC189" s="23">
        <f>$D189*COS($E189+$F189*'25SolarCoords'!AY$7)</f>
        <v>38.39106216171642</v>
      </c>
      <c r="BD189" s="23">
        <f>$D189*COS($E189+$F189*'25SolarCoords'!AZ$7)</f>
        <v>38.47611303056707</v>
      </c>
      <c r="BE189" s="23">
        <f>$D189*COS($E189+$F189*'25SolarCoords'!BA$7)</f>
        <v>38.554809259656345</v>
      </c>
      <c r="BF189" s="23">
        <f>$D189*COS($E189+$F189*'25SolarCoords'!BB$7)</f>
        <v>38.6271378516686</v>
      </c>
      <c r="BG189" s="23">
        <f>$D189*COS($E189+$F189*'25SolarCoords'!BC$7)</f>
        <v>38.693086860954615</v>
      </c>
      <c r="BH189" s="23">
        <f>$D189*COS($E189+$F189*'25SolarCoords'!BD$7)</f>
        <v>38.752645395504892</v>
      </c>
      <c r="BI189" s="23">
        <f>$D189*COS($E189+$F189*'25SolarCoords'!BE$7)</f>
        <v>38.805803618747802</v>
      </c>
      <c r="BJ189" s="23">
        <f>$D189*COS($E189+$F189*'25SolarCoords'!BF$7)</f>
        <v>38.852552751175082</v>
      </c>
      <c r="BK189" s="23">
        <f>$D189*COS($E189+$F189*'25SolarCoords'!BG$7)</f>
        <v>4.6627646695997784</v>
      </c>
    </row>
    <row r="190" spans="3:63" x14ac:dyDescent="0.25">
      <c r="C190">
        <f t="shared" si="5"/>
        <v>30</v>
      </c>
      <c r="D190">
        <v>38</v>
      </c>
      <c r="E190">
        <v>2.39</v>
      </c>
      <c r="F190">
        <v>8827.39</v>
      </c>
      <c r="H190" s="7"/>
      <c r="I190" s="23">
        <f>$D190*COS($E190+$F190*'25SolarCoords'!E$7)</f>
        <v>37.115588534621757</v>
      </c>
      <c r="J190" s="23">
        <f>$D190*COS($E190+$F190*'25SolarCoords'!F$7)</f>
        <v>-37.452556628754301</v>
      </c>
      <c r="K190" s="23">
        <f>$D190*COS($E190+$F190*'25SolarCoords'!G$7)</f>
        <v>-27.762888423485812</v>
      </c>
      <c r="L190" s="23">
        <f>$D190*COS($E190+$F190*'25SolarCoords'!H$7)</f>
        <v>37.513142009570728</v>
      </c>
      <c r="M190" s="23">
        <f>$D190*COS($E190+$F190*'25SolarCoords'!I$7)</f>
        <v>8.1889625914305704</v>
      </c>
      <c r="N190" s="23">
        <f>$D190*COS($E190+$F190*'25SolarCoords'!J$7)</f>
        <v>4.1460237383147813</v>
      </c>
      <c r="O190" s="23">
        <f>$D190*COS($E190+$F190*'25SolarCoords'!K$7)</f>
        <v>-27.799941020639121</v>
      </c>
      <c r="P190" s="23">
        <f>$D190*COS($E190+$F190*'25SolarCoords'!L$7)</f>
        <v>17.20759114268149</v>
      </c>
      <c r="Q190" s="23">
        <f>$D190*COS($E190+$F190*'25SolarCoords'!M$7)</f>
        <v>29.283807201524045</v>
      </c>
      <c r="R190" s="23">
        <f>$D190*COS($E190+$F190*'25SolarCoords'!N$7)</f>
        <v>-33.40210129275674</v>
      </c>
      <c r="S190" s="23">
        <f>$D190*COS($E190+$F190*'25SolarCoords'!O$7)</f>
        <v>17.221079025873138</v>
      </c>
      <c r="T190" s="23">
        <f>$D190*COS($E190+$F190*'25SolarCoords'!P$7)</f>
        <v>28.994206111569493</v>
      </c>
      <c r="U190" s="23">
        <f>$D190*COS($E190+$F190*'25SolarCoords'!Q$7)</f>
        <v>16.081063527970169</v>
      </c>
      <c r="V190" s="23">
        <f>$D190*COS($E190+$F190*'25SolarCoords'!R$7)</f>
        <v>15.244350388468003</v>
      </c>
      <c r="W190" s="23">
        <f>$D190*COS($E190+$F190*'25SolarCoords'!S$7)</f>
        <v>-31.360942185757782</v>
      </c>
      <c r="X190" s="23">
        <f>$D190*COS($E190+$F190*'25SolarCoords'!T$7)</f>
        <v>28.840080231170553</v>
      </c>
      <c r="Y190" s="23">
        <f>$D190*COS($E190+$F190*'25SolarCoords'!U$7)</f>
        <v>24.824416451190221</v>
      </c>
      <c r="Z190" s="23">
        <f>$D190*COS($E190+$F190*'25SolarCoords'!V$7)</f>
        <v>-32.228773627054466</v>
      </c>
      <c r="AA190" s="23">
        <f>$D190*COS($E190+$F190*'25SolarCoords'!W$7)</f>
        <v>-37.98930175891384</v>
      </c>
      <c r="AB190" s="23">
        <f>$D190*COS($E190+$F190*'25SolarCoords'!X$7)</f>
        <v>-37.262140597149774</v>
      </c>
      <c r="AC190" s="23">
        <f>$D190*COS($E190+$F190*'25SolarCoords'!Y$7)</f>
        <v>2.0977121914689612</v>
      </c>
      <c r="AD190" s="23">
        <f>$D190*COS($E190+$F190*'25SolarCoords'!Z$7)</f>
        <v>12.858962146044334</v>
      </c>
      <c r="AE190" s="23">
        <f>$D190*COS($E190+$F190*'25SolarCoords'!AA$7)</f>
        <v>-27.447330283415472</v>
      </c>
      <c r="AF190" s="23">
        <f>$D190*COS($E190+$F190*'25SolarCoords'!AB$7)</f>
        <v>-35.857263219484778</v>
      </c>
      <c r="AG190" s="23">
        <f>$D190*COS($E190+$F190*'25SolarCoords'!AC$7)</f>
        <v>-13.67509223669423</v>
      </c>
      <c r="AH190" s="23">
        <f>$D190*COS($E190+$F190*'25SolarCoords'!AD$7)</f>
        <v>36.154034092109015</v>
      </c>
      <c r="AI190" s="23">
        <f>$D190*COS($E190+$F190*'25SolarCoords'!AE$7)</f>
        <v>-0.7951446157934291</v>
      </c>
      <c r="AJ190" s="23">
        <f>$D190*COS($E190+$F190*'25SolarCoords'!AF$7)</f>
        <v>-37.999605698635847</v>
      </c>
      <c r="AK190" s="23">
        <f>$D190*COS($E190+$F190*'25SolarCoords'!AG$7)</f>
        <v>2.5849422628392804</v>
      </c>
      <c r="AL190" s="23">
        <f>$D190*COS($E190+$F190*'25SolarCoords'!AH$7)</f>
        <v>36.925142130150633</v>
      </c>
      <c r="AM190" s="23">
        <f>$D190*COS($E190+$F190*'25SolarCoords'!AI$7)</f>
        <v>-37.910977439083197</v>
      </c>
      <c r="AN190" s="23">
        <f>$D190*COS($E190+$F190*'25SolarCoords'!AJ$7)</f>
        <v>37.946341159735887</v>
      </c>
      <c r="AO190" s="23">
        <f>$D190*COS($E190+$F190*'25SolarCoords'!AK$7)</f>
        <v>-14.368475042708742</v>
      </c>
      <c r="AP190" s="23">
        <f>$D190*COS($E190+$F190*'25SolarCoords'!AL$7)</f>
        <v>-20.144774913503088</v>
      </c>
      <c r="AQ190" s="23">
        <f>$D190*COS($E190+$F190*'25SolarCoords'!AM$7)</f>
        <v>11.574816920651394</v>
      </c>
      <c r="AR190" s="23">
        <f>$D190*COS($E190+$F190*'25SolarCoords'!AN$7)</f>
        <v>-0.54481238963421508</v>
      </c>
      <c r="AS190" s="23">
        <f>$D190*COS($E190+$F190*'25SolarCoords'!AO$7)</f>
        <v>37.998210729530769</v>
      </c>
      <c r="AT190" s="23">
        <f>$D190*COS($E190+$F190*'25SolarCoords'!AP$7)</f>
        <v>-15.727976832568279</v>
      </c>
      <c r="AU190" s="23">
        <f>$D190*COS($E190+$F190*'25SolarCoords'!AQ$7)</f>
        <v>-21.369986842104311</v>
      </c>
      <c r="AV190" s="23">
        <f>$D190*COS($E190+$F190*'25SolarCoords'!AR$7)</f>
        <v>-26.291003148155831</v>
      </c>
      <c r="AW190" s="23">
        <f>$D190*COS($E190+$F190*'25SolarCoords'!AS$7)</f>
        <v>-30.970144878036812</v>
      </c>
      <c r="AX190" s="23">
        <f>$D190*COS($E190+$F190*'25SolarCoords'!AT$7)</f>
        <v>-36.684964175108114</v>
      </c>
      <c r="AY190" s="23">
        <f>$D190*COS($E190+$F190*'25SolarCoords'!AU$7)</f>
        <v>37.360299962225383</v>
      </c>
      <c r="AZ190" s="23">
        <f>$D190*COS($E190+$F190*'25SolarCoords'!AV$7)</f>
        <v>30.564060206644875</v>
      </c>
      <c r="BA190" s="23">
        <f>$D190*COS($E190+$F190*'25SolarCoords'!AW$7)</f>
        <v>33.877129475408061</v>
      </c>
      <c r="BB190" s="23">
        <f>$D190*COS($E190+$F190*'25SolarCoords'!AX$7)</f>
        <v>-25.959885651261612</v>
      </c>
      <c r="BC190" s="23">
        <f>$D190*COS($E190+$F190*'25SolarCoords'!AY$7)</f>
        <v>-34.029808868172253</v>
      </c>
      <c r="BD190" s="23">
        <f>$D190*COS($E190+$F190*'25SolarCoords'!AZ$7)</f>
        <v>-33.611211468356117</v>
      </c>
      <c r="BE190" s="23">
        <f>$D190*COS($E190+$F190*'25SolarCoords'!BA$7)</f>
        <v>-33.172982852308138</v>
      </c>
      <c r="BF190" s="23">
        <f>$D190*COS($E190+$F190*'25SolarCoords'!BB$7)</f>
        <v>-32.715378975120693</v>
      </c>
      <c r="BG190" s="23">
        <f>$D190*COS($E190+$F190*'25SolarCoords'!BC$7)</f>
        <v>-32.238667108346583</v>
      </c>
      <c r="BH190" s="23">
        <f>$D190*COS($E190+$F190*'25SolarCoords'!BD$7)</f>
        <v>-31.743125683892611</v>
      </c>
      <c r="BI190" s="23">
        <f>$D190*COS($E190+$F190*'25SolarCoords'!BE$7)</f>
        <v>-31.229044131400531</v>
      </c>
      <c r="BJ190" s="23">
        <f>$D190*COS($E190+$F190*'25SolarCoords'!BF$7)</f>
        <v>-30.696722709195942</v>
      </c>
      <c r="BK190" s="23">
        <f>$D190*COS($E190+$F190*'25SolarCoords'!BG$7)</f>
        <v>-0.65634902838601228</v>
      </c>
    </row>
    <row r="191" spans="3:63" x14ac:dyDescent="0.25">
      <c r="C191">
        <f t="shared" si="5"/>
        <v>31</v>
      </c>
      <c r="D191">
        <v>37</v>
      </c>
      <c r="E191">
        <v>0.83</v>
      </c>
      <c r="F191">
        <v>19651.05</v>
      </c>
      <c r="H191" s="7"/>
      <c r="I191" s="23">
        <f>$D191*COS($E191+$F191*'25SolarCoords'!E$7)</f>
        <v>36.726813924865674</v>
      </c>
      <c r="J191" s="23">
        <f>$D191*COS($E191+$F191*'25SolarCoords'!F$7)</f>
        <v>17.219193100277138</v>
      </c>
      <c r="K191" s="23">
        <f>$D191*COS($E191+$F191*'25SolarCoords'!G$7)</f>
        <v>24.970403122636885</v>
      </c>
      <c r="L191" s="23">
        <f>$D191*COS($E191+$F191*'25SolarCoords'!H$7)</f>
        <v>36.995806713673161</v>
      </c>
      <c r="M191" s="23">
        <f>$D191*COS($E191+$F191*'25SolarCoords'!I$7)</f>
        <v>-12.688924940267585</v>
      </c>
      <c r="N191" s="23">
        <f>$D191*COS($E191+$F191*'25SolarCoords'!J$7)</f>
        <v>32.758896999743698</v>
      </c>
      <c r="O191" s="23">
        <f>$D191*COS($E191+$F191*'25SolarCoords'!K$7)</f>
        <v>15.692595552046345</v>
      </c>
      <c r="P191" s="23">
        <f>$D191*COS($E191+$F191*'25SolarCoords'!L$7)</f>
        <v>34.649637527816409</v>
      </c>
      <c r="Q191" s="23">
        <f>$D191*COS($E191+$F191*'25SolarCoords'!M$7)</f>
        <v>-27.004545198448195</v>
      </c>
      <c r="R191" s="23">
        <f>$D191*COS($E191+$F191*'25SolarCoords'!N$7)</f>
        <v>25.52956843800499</v>
      </c>
      <c r="S191" s="23">
        <f>$D191*COS($E191+$F191*'25SolarCoords'!O$7)</f>
        <v>-0.98300131222683129</v>
      </c>
      <c r="T191" s="23">
        <f>$D191*COS($E191+$F191*'25SolarCoords'!P$7)</f>
        <v>-1.967541128527706</v>
      </c>
      <c r="U191" s="23">
        <f>$D191*COS($E191+$F191*'25SolarCoords'!Q$7)</f>
        <v>-35.272159761550654</v>
      </c>
      <c r="V191" s="23">
        <f>$D191*COS($E191+$F191*'25SolarCoords'!R$7)</f>
        <v>-34.620193185587233</v>
      </c>
      <c r="W191" s="23">
        <f>$D191*COS($E191+$F191*'25SolarCoords'!S$7)</f>
        <v>9.0209270049153059</v>
      </c>
      <c r="X191" s="23">
        <f>$D191*COS($E191+$F191*'25SolarCoords'!T$7)</f>
        <v>34.477757019893616</v>
      </c>
      <c r="Y191" s="23">
        <f>$D191*COS($E191+$F191*'25SolarCoords'!U$7)</f>
        <v>-28.285972417872078</v>
      </c>
      <c r="Z191" s="23">
        <f>$D191*COS($E191+$F191*'25SolarCoords'!V$7)</f>
        <v>35.261204370471106</v>
      </c>
      <c r="AA191" s="23">
        <f>$D191*COS($E191+$F191*'25SolarCoords'!W$7)</f>
        <v>-15.621645388899774</v>
      </c>
      <c r="AB191" s="23">
        <f>$D191*COS($E191+$F191*'25SolarCoords'!X$7)</f>
        <v>36.729088069807958</v>
      </c>
      <c r="AC191" s="23">
        <f>$D191*COS($E191+$F191*'25SolarCoords'!Y$7)</f>
        <v>-31.770856421658475</v>
      </c>
      <c r="AD191" s="23">
        <f>$D191*COS($E191+$F191*'25SolarCoords'!Z$7)</f>
        <v>-2.1993475237391609</v>
      </c>
      <c r="AE191" s="23">
        <f>$D191*COS($E191+$F191*'25SolarCoords'!AA$7)</f>
        <v>25.695765636179619</v>
      </c>
      <c r="AF191" s="23">
        <f>$D191*COS($E191+$F191*'25SolarCoords'!AB$7)</f>
        <v>12.656128520524996</v>
      </c>
      <c r="AG191" s="23">
        <f>$D191*COS($E191+$F191*'25SolarCoords'!AC$7)</f>
        <v>35.829063141076624</v>
      </c>
      <c r="AH191" s="23">
        <f>$D191*COS($E191+$F191*'25SolarCoords'!AD$7)</f>
        <v>-34.724364932849895</v>
      </c>
      <c r="AI191" s="23">
        <f>$D191*COS($E191+$F191*'25SolarCoords'!AE$7)</f>
        <v>-28.115718459452754</v>
      </c>
      <c r="AJ191" s="23">
        <f>$D191*COS($E191+$F191*'25SolarCoords'!AF$7)</f>
        <v>23.842813587851879</v>
      </c>
      <c r="AK191" s="23">
        <f>$D191*COS($E191+$F191*'25SolarCoords'!AG$7)</f>
        <v>-34.710399176945579</v>
      </c>
      <c r="AL191" s="23">
        <f>$D191*COS($E191+$F191*'25SolarCoords'!AH$7)</f>
        <v>-36.878665265513249</v>
      </c>
      <c r="AM191" s="23">
        <f>$D191*COS($E191+$F191*'25SolarCoords'!AI$7)</f>
        <v>27.989233869779177</v>
      </c>
      <c r="AN191" s="23">
        <f>$D191*COS($E191+$F191*'25SolarCoords'!AJ$7)</f>
        <v>-4.3703020719155496</v>
      </c>
      <c r="AO191" s="23">
        <f>$D191*COS($E191+$F191*'25SolarCoords'!AK$7)</f>
        <v>32.906223546298868</v>
      </c>
      <c r="AP191" s="23">
        <f>$D191*COS($E191+$F191*'25SolarCoords'!AL$7)</f>
        <v>29.942634971490445</v>
      </c>
      <c r="AQ191" s="23">
        <f>$D191*COS($E191+$F191*'25SolarCoords'!AM$7)</f>
        <v>23.289778673997315</v>
      </c>
      <c r="AR191" s="23">
        <f>$D191*COS($E191+$F191*'25SolarCoords'!AN$7)</f>
        <v>35.177993528863531</v>
      </c>
      <c r="AS191" s="23">
        <f>$D191*COS($E191+$F191*'25SolarCoords'!AO$7)</f>
        <v>-3.8877710663893383</v>
      </c>
      <c r="AT191" s="23">
        <f>$D191*COS($E191+$F191*'25SolarCoords'!AP$7)</f>
        <v>4.7103958232965937</v>
      </c>
      <c r="AU191" s="23">
        <f>$D191*COS($E191+$F191*'25SolarCoords'!AQ$7)</f>
        <v>-9.223695053320478</v>
      </c>
      <c r="AV191" s="23">
        <f>$D191*COS($E191+$F191*'25SolarCoords'!AR$7)</f>
        <v>-21.59836483313142</v>
      </c>
      <c r="AW191" s="23">
        <f>$D191*COS($E191+$F191*'25SolarCoords'!AS$7)</f>
        <v>-31.970888574297348</v>
      </c>
      <c r="AX191" s="23">
        <f>$D191*COS($E191+$F191*'25SolarCoords'!AT$7)</f>
        <v>-35.746422660461867</v>
      </c>
      <c r="AY191" s="23">
        <f>$D191*COS($E191+$F191*'25SolarCoords'!AU$7)</f>
        <v>36.790480499851228</v>
      </c>
      <c r="AZ191" s="23">
        <f>$D191*COS($E191+$F191*'25SolarCoords'!AV$7)</f>
        <v>18.294364092813744</v>
      </c>
      <c r="BA191" s="23">
        <f>$D191*COS($E191+$F191*'25SolarCoords'!AW$7)</f>
        <v>25.781426475534357</v>
      </c>
      <c r="BB191" s="23">
        <f>$D191*COS($E191+$F191*'25SolarCoords'!AX$7)</f>
        <v>-35.859718284519893</v>
      </c>
      <c r="BC191" s="23">
        <f>$D191*COS($E191+$F191*'25SolarCoords'!AY$7)</f>
        <v>11.086241620023705</v>
      </c>
      <c r="BD191" s="23">
        <f>$D191*COS($E191+$F191*'25SolarCoords'!AZ$7)</f>
        <v>12.968486154626614</v>
      </c>
      <c r="BE191" s="23">
        <f>$D191*COS($E191+$F191*'25SolarCoords'!BA$7)</f>
        <v>14.813200946042235</v>
      </c>
      <c r="BF191" s="23">
        <f>$D191*COS($E191+$F191*'25SolarCoords'!BB$7)</f>
        <v>16.615047539831217</v>
      </c>
      <c r="BG191" s="23">
        <f>$D191*COS($E191+$F191*'25SolarCoords'!BC$7)</f>
        <v>18.368811538641879</v>
      </c>
      <c r="BH191" s="23">
        <f>$D191*COS($E191+$F191*'25SolarCoords'!BD$7)</f>
        <v>20.069417692230395</v>
      </c>
      <c r="BI191" s="23">
        <f>$D191*COS($E191+$F191*'25SolarCoords'!BE$7)</f>
        <v>21.711944584831453</v>
      </c>
      <c r="BJ191" s="23">
        <f>$D191*COS($E191+$F191*'25SolarCoords'!BF$7)</f>
        <v>23.291638877331284</v>
      </c>
      <c r="BK191" s="23">
        <f>$D191*COS($E191+$F191*'25SolarCoords'!BG$7)</f>
        <v>-28.310391143984738</v>
      </c>
    </row>
    <row r="192" spans="3:63" x14ac:dyDescent="0.25">
      <c r="C192">
        <f t="shared" si="5"/>
        <v>32</v>
      </c>
      <c r="D192">
        <v>37</v>
      </c>
      <c r="E192">
        <v>4.9000000000000004</v>
      </c>
      <c r="F192">
        <v>12139.55</v>
      </c>
      <c r="H192" s="7"/>
      <c r="I192" s="23">
        <f>$D192*COS($E192+$F192*'25SolarCoords'!E$7)</f>
        <v>18.54467856278897</v>
      </c>
      <c r="J192" s="23">
        <f>$D192*COS($E192+$F192*'25SolarCoords'!F$7)</f>
        <v>4.53274792585347</v>
      </c>
      <c r="K192" s="23">
        <f>$D192*COS($E192+$F192*'25SolarCoords'!G$7)</f>
        <v>6.9009576686353036</v>
      </c>
      <c r="L192" s="23">
        <f>$D192*COS($E192+$F192*'25SolarCoords'!H$7)</f>
        <v>21.078346096696567</v>
      </c>
      <c r="M192" s="23">
        <f>$D192*COS($E192+$F192*'25SolarCoords'!I$7)</f>
        <v>11.249383351551597</v>
      </c>
      <c r="N192" s="23">
        <f>$D192*COS($E192+$F192*'25SolarCoords'!J$7)</f>
        <v>-34.550089352343143</v>
      </c>
      <c r="O192" s="23">
        <f>$D192*COS($E192+$F192*'25SolarCoords'!K$7)</f>
        <v>-4.6570837963285729</v>
      </c>
      <c r="P192" s="23">
        <f>$D192*COS($E192+$F192*'25SolarCoords'!L$7)</f>
        <v>-36.976094609151197</v>
      </c>
      <c r="Q192" s="23">
        <f>$D192*COS($E192+$F192*'25SolarCoords'!M$7)</f>
        <v>-32.907380872319081</v>
      </c>
      <c r="R192" s="23">
        <f>$D192*COS($E192+$F192*'25SolarCoords'!N$7)</f>
        <v>36.125465001654213</v>
      </c>
      <c r="S192" s="23">
        <f>$D192*COS($E192+$F192*'25SolarCoords'!O$7)</f>
        <v>29.388200428570865</v>
      </c>
      <c r="T192" s="23">
        <f>$D192*COS($E192+$F192*'25SolarCoords'!P$7)</f>
        <v>-26.7346741855884</v>
      </c>
      <c r="U192" s="23">
        <f>$D192*COS($E192+$F192*'25SolarCoords'!Q$7)</f>
        <v>36.954330104490758</v>
      </c>
      <c r="V192" s="23">
        <f>$D192*COS($E192+$F192*'25SolarCoords'!R$7)</f>
        <v>36.994991363783633</v>
      </c>
      <c r="W192" s="23">
        <f>$D192*COS($E192+$F192*'25SolarCoords'!S$7)</f>
        <v>-19.555387109347055</v>
      </c>
      <c r="X192" s="23">
        <f>$D192*COS($E192+$F192*'25SolarCoords'!T$7)</f>
        <v>35.182317860598793</v>
      </c>
      <c r="Y192" s="23">
        <f>$D192*COS($E192+$F192*'25SolarCoords'!U$7)</f>
        <v>32.183259618039905</v>
      </c>
      <c r="Z192" s="23">
        <f>$D192*COS($E192+$F192*'25SolarCoords'!V$7)</f>
        <v>11.186563402885575</v>
      </c>
      <c r="AA192" s="23">
        <f>$D192*COS($E192+$F192*'25SolarCoords'!W$7)</f>
        <v>14.626855132618999</v>
      </c>
      <c r="AB192" s="23">
        <f>$D192*COS($E192+$F192*'25SolarCoords'!X$7)</f>
        <v>23.622364730298468</v>
      </c>
      <c r="AC192" s="23">
        <f>$D192*COS($E192+$F192*'25SolarCoords'!Y$7)</f>
        <v>-32.239894301338104</v>
      </c>
      <c r="AD192" s="23">
        <f>$D192*COS($E192+$F192*'25SolarCoords'!Z$7)</f>
        <v>8.8108733533567687</v>
      </c>
      <c r="AE192" s="23">
        <f>$D192*COS($E192+$F192*'25SolarCoords'!AA$7)</f>
        <v>6.2959508673539268</v>
      </c>
      <c r="AF192" s="23">
        <f>$D192*COS($E192+$F192*'25SolarCoords'!AB$7)</f>
        <v>23.009754926922891</v>
      </c>
      <c r="AG192" s="23">
        <f>$D192*COS($E192+$F192*'25SolarCoords'!AC$7)</f>
        <v>35.272414031393055</v>
      </c>
      <c r="AH192" s="23">
        <f>$D192*COS($E192+$F192*'25SolarCoords'!AD$7)</f>
        <v>14.7307190894836</v>
      </c>
      <c r="AI192" s="23">
        <f>$D192*COS($E192+$F192*'25SolarCoords'!AE$7)</f>
        <v>-30.165330987288545</v>
      </c>
      <c r="AJ192" s="23">
        <f>$D192*COS($E192+$F192*'25SolarCoords'!AF$7)</f>
        <v>12.922007312333573</v>
      </c>
      <c r="AK192" s="23">
        <f>$D192*COS($E192+$F192*'25SolarCoords'!AG$7)</f>
        <v>18.537269168495104</v>
      </c>
      <c r="AL192" s="23">
        <f>$D192*COS($E192+$F192*'25SolarCoords'!AH$7)</f>
        <v>-10.989288461060227</v>
      </c>
      <c r="AM192" s="23">
        <f>$D192*COS($E192+$F192*'25SolarCoords'!AI$7)</f>
        <v>11.880100326924147</v>
      </c>
      <c r="AN192" s="23">
        <f>$D192*COS($E192+$F192*'25SolarCoords'!AJ$7)</f>
        <v>28.724440559056056</v>
      </c>
      <c r="AO192" s="23">
        <f>$D192*COS($E192+$F192*'25SolarCoords'!AK$7)</f>
        <v>22.025453918458503</v>
      </c>
      <c r="AP192" s="23">
        <f>$D192*COS($E192+$F192*'25SolarCoords'!AL$7)</f>
        <v>20.810804624153899</v>
      </c>
      <c r="AQ192" s="23">
        <f>$D192*COS($E192+$F192*'25SolarCoords'!AM$7)</f>
        <v>-36.971852866981429</v>
      </c>
      <c r="AR192" s="23">
        <f>$D192*COS($E192+$F192*'25SolarCoords'!AN$7)</f>
        <v>-8.0774848456863229</v>
      </c>
      <c r="AS192" s="23">
        <f>$D192*COS($E192+$F192*'25SolarCoords'!AO$7)</f>
        <v>-21.023785096048794</v>
      </c>
      <c r="AT192" s="23">
        <f>$D192*COS($E192+$F192*'25SolarCoords'!AP$7)</f>
        <v>-11.255710319083489</v>
      </c>
      <c r="AU192" s="23">
        <f>$D192*COS($E192+$F192*'25SolarCoords'!AQ$7)</f>
        <v>-2.7578960918491777</v>
      </c>
      <c r="AV192" s="23">
        <f>$D192*COS($E192+$F192*'25SolarCoords'!AR$7)</f>
        <v>5.7053264207894481</v>
      </c>
      <c r="AW192" s="23">
        <f>$D192*COS($E192+$F192*'25SolarCoords'!AS$7)</f>
        <v>14.893183850841041</v>
      </c>
      <c r="AX192" s="23">
        <f>$D192*COS($E192+$F192*'25SolarCoords'!AT$7)</f>
        <v>29.014935261535939</v>
      </c>
      <c r="AY192" s="23">
        <f>$D192*COS($E192+$F192*'25SolarCoords'!AU$7)</f>
        <v>-31.735122987699839</v>
      </c>
      <c r="AZ192" s="23">
        <f>$D192*COS($E192+$F192*'25SolarCoords'!AV$7)</f>
        <v>-4.7237814971818519</v>
      </c>
      <c r="BA192" s="23">
        <f>$D192*COS($E192+$F192*'25SolarCoords'!AW$7)</f>
        <v>8.0292422588156267</v>
      </c>
      <c r="BB192" s="23">
        <f>$D192*COS($E192+$F192*'25SolarCoords'!AX$7)</f>
        <v>-0.54131619694702082</v>
      </c>
      <c r="BC192" s="23">
        <f>$D192*COS($E192+$F192*'25SolarCoords'!AY$7)</f>
        <v>35.031317684707325</v>
      </c>
      <c r="BD192" s="23">
        <f>$D192*COS($E192+$F192*'25SolarCoords'!AZ$7)</f>
        <v>34.616257258661925</v>
      </c>
      <c r="BE192" s="23">
        <f>$D192*COS($E192+$F192*'25SolarCoords'!BA$7)</f>
        <v>34.162961501282744</v>
      </c>
      <c r="BF192" s="23">
        <f>$D192*COS($E192+$F192*'25SolarCoords'!BB$7)</f>
        <v>33.67193109967026</v>
      </c>
      <c r="BG192" s="23">
        <f>$D192*COS($E192+$F192*'25SolarCoords'!BC$7)</f>
        <v>33.143708420665575</v>
      </c>
      <c r="BH192" s="23">
        <f>$D192*COS($E192+$F192*'25SolarCoords'!BD$7)</f>
        <v>32.57887691178005</v>
      </c>
      <c r="BI192" s="23">
        <f>$D192*COS($E192+$F192*'25SolarCoords'!BE$7)</f>
        <v>31.978060456749247</v>
      </c>
      <c r="BJ192" s="23">
        <f>$D192*COS($E192+$F192*'25SolarCoords'!BF$7)</f>
        <v>31.341922686423182</v>
      </c>
      <c r="BK192" s="23">
        <f>$D192*COS($E192+$F192*'25SolarCoords'!BG$7)</f>
        <v>-30.272589713275433</v>
      </c>
    </row>
    <row r="193" spans="2:63" x14ac:dyDescent="0.25">
      <c r="C193">
        <f t="shared" si="5"/>
        <v>33</v>
      </c>
      <c r="D193">
        <v>36</v>
      </c>
      <c r="E193">
        <v>1.67</v>
      </c>
      <c r="F193">
        <v>12036.46</v>
      </c>
      <c r="H193" s="7"/>
      <c r="I193" s="23">
        <f>$D193*COS($E193+$F193*'25SolarCoords'!E$7)</f>
        <v>-20.317546375729236</v>
      </c>
      <c r="J193" s="23">
        <f>$D193*COS($E193+$F193*'25SolarCoords'!F$7)</f>
        <v>32.990630875171874</v>
      </c>
      <c r="K193" s="23">
        <f>$D193*COS($E193+$F193*'25SolarCoords'!G$7)</f>
        <v>-3.5654773175542083</v>
      </c>
      <c r="L193" s="23">
        <f>$D193*COS($E193+$F193*'25SolarCoords'!H$7)</f>
        <v>-20.942917770491462</v>
      </c>
      <c r="M193" s="23">
        <f>$D193*COS($E193+$F193*'25SolarCoords'!I$7)</f>
        <v>-35.994566941453343</v>
      </c>
      <c r="N193" s="23">
        <f>$D193*COS($E193+$F193*'25SolarCoords'!J$7)</f>
        <v>3.0928517813241359E-2</v>
      </c>
      <c r="O193" s="23">
        <f>$D193*COS($E193+$F193*'25SolarCoords'!K$7)</f>
        <v>-30.586494448088263</v>
      </c>
      <c r="P193" s="23">
        <f>$D193*COS($E193+$F193*'25SolarCoords'!L$7)</f>
        <v>17.450272603595682</v>
      </c>
      <c r="Q193" s="23">
        <f>$D193*COS($E193+$F193*'25SolarCoords'!M$7)</f>
        <v>-10.650165831518612</v>
      </c>
      <c r="R193" s="23">
        <f>$D193*COS($E193+$F193*'25SolarCoords'!N$7)</f>
        <v>35.859650685967999</v>
      </c>
      <c r="S193" s="23">
        <f>$D193*COS($E193+$F193*'25SolarCoords'!O$7)</f>
        <v>32.418933396970395</v>
      </c>
      <c r="T193" s="23">
        <f>$D193*COS($E193+$F193*'25SolarCoords'!P$7)</f>
        <v>33.55955610234674</v>
      </c>
      <c r="U193" s="23">
        <f>$D193*COS($E193+$F193*'25SolarCoords'!Q$7)</f>
        <v>-9.7689588232114914</v>
      </c>
      <c r="V193" s="23">
        <f>$D193*COS($E193+$F193*'25SolarCoords'!R$7)</f>
        <v>-10.905279269497324</v>
      </c>
      <c r="W193" s="23">
        <f>$D193*COS($E193+$F193*'25SolarCoords'!S$7)</f>
        <v>-22.929473816644677</v>
      </c>
      <c r="X193" s="23">
        <f>$D193*COS($E193+$F193*'25SolarCoords'!T$7)</f>
        <v>-20.333527605391559</v>
      </c>
      <c r="Y193" s="23">
        <f>$D193*COS($E193+$F193*'25SolarCoords'!U$7)</f>
        <v>-24.442994883241322</v>
      </c>
      <c r="Z193" s="23">
        <f>$D193*COS($E193+$F193*'25SolarCoords'!V$7)</f>
        <v>-30.38531005573634</v>
      </c>
      <c r="AA193" s="23">
        <f>$D193*COS($E193+$F193*'25SolarCoords'!W$7)</f>
        <v>26.259135086535171</v>
      </c>
      <c r="AB193" s="23">
        <f>$D193*COS($E193+$F193*'25SolarCoords'!X$7)</f>
        <v>-35.47703113885003</v>
      </c>
      <c r="AC193" s="23">
        <f>$D193*COS($E193+$F193*'25SolarCoords'!Y$7)</f>
        <v>-33.706857473817742</v>
      </c>
      <c r="AD193" s="23">
        <f>$D193*COS($E193+$F193*'25SolarCoords'!Z$7)</f>
        <v>-34.073770152797138</v>
      </c>
      <c r="AE193" s="23">
        <f>$D193*COS($E193+$F193*'25SolarCoords'!AA$7)</f>
        <v>-2.974763892358554</v>
      </c>
      <c r="AF193" s="23">
        <f>$D193*COS($E193+$F193*'25SolarCoords'!AB$7)</f>
        <v>30.468873093126255</v>
      </c>
      <c r="AG193" s="23">
        <f>$D193*COS($E193+$F193*'25SolarCoords'!AC$7)</f>
        <v>7.5931396078144129</v>
      </c>
      <c r="AH193" s="23">
        <f>$D193*COS($E193+$F193*'25SolarCoords'!AD$7)</f>
        <v>23.403916241234104</v>
      </c>
      <c r="AI193" s="23">
        <f>$D193*COS($E193+$F193*'25SolarCoords'!AE$7)</f>
        <v>-34.835825316485042</v>
      </c>
      <c r="AJ193" s="23">
        <f>$D193*COS($E193+$F193*'25SolarCoords'!AF$7)</f>
        <v>9.9410341237378805</v>
      </c>
      <c r="AK193" s="23">
        <f>$D193*COS($E193+$F193*'25SolarCoords'!AG$7)</f>
        <v>-33.292586242058931</v>
      </c>
      <c r="AL193" s="23">
        <f>$D193*COS($E193+$F193*'25SolarCoords'!AH$7)</f>
        <v>-17.927136336609077</v>
      </c>
      <c r="AM193" s="23">
        <f>$D193*COS($E193+$F193*'25SolarCoords'!AI$7)</f>
        <v>-31.003514564955179</v>
      </c>
      <c r="AN193" s="23">
        <f>$D193*COS($E193+$F193*'25SolarCoords'!AJ$7)</f>
        <v>-35.877018311307786</v>
      </c>
      <c r="AO193" s="23">
        <f>$D193*COS($E193+$F193*'25SolarCoords'!AK$7)</f>
        <v>-26.160628424195391</v>
      </c>
      <c r="AP193" s="23">
        <f>$D193*COS($E193+$F193*'25SolarCoords'!AL$7)</f>
        <v>-35.802106086635348</v>
      </c>
      <c r="AQ193" s="23">
        <f>$D193*COS($E193+$F193*'25SolarCoords'!AM$7)</f>
        <v>-31.593911541034757</v>
      </c>
      <c r="AR193" s="23">
        <f>$D193*COS($E193+$F193*'25SolarCoords'!AN$7)</f>
        <v>3.763070195159226</v>
      </c>
      <c r="AS193" s="23">
        <f>$D193*COS($E193+$F193*'25SolarCoords'!AO$7)</f>
        <v>33.235492855929053</v>
      </c>
      <c r="AT193" s="23">
        <f>$D193*COS($E193+$F193*'25SolarCoords'!AP$7)</f>
        <v>14.038127084232892</v>
      </c>
      <c r="AU193" s="23">
        <f>$D193*COS($E193+$F193*'25SolarCoords'!AQ$7)</f>
        <v>21.298823455710259</v>
      </c>
      <c r="AV193" s="23">
        <f>$D193*COS($E193+$F193*'25SolarCoords'!AR$7)</f>
        <v>27.295444747000211</v>
      </c>
      <c r="AW193" s="23">
        <f>$D193*COS($E193+$F193*'25SolarCoords'!AS$7)</f>
        <v>32.369123784050124</v>
      </c>
      <c r="AX193" s="23">
        <f>$D193*COS($E193+$F193*'25SolarCoords'!AT$7)</f>
        <v>35.983809792466595</v>
      </c>
      <c r="AY193" s="23">
        <f>$D193*COS($E193+$F193*'25SolarCoords'!AU$7)</f>
        <v>-18.556166016829369</v>
      </c>
      <c r="AZ193" s="23">
        <f>$D193*COS($E193+$F193*'25SolarCoords'!AV$7)</f>
        <v>9.9566123575071561</v>
      </c>
      <c r="BA193" s="23">
        <f>$D193*COS($E193+$F193*'25SolarCoords'!AW$7)</f>
        <v>3.9324107290525223</v>
      </c>
      <c r="BB193" s="23">
        <f>$D193*COS($E193+$F193*'25SolarCoords'!AX$7)</f>
        <v>-33.395486990036133</v>
      </c>
      <c r="BC193" s="23">
        <f>$D193*COS($E193+$F193*'25SolarCoords'!AY$7)</f>
        <v>18.883703560527849</v>
      </c>
      <c r="BD193" s="23">
        <f>$D193*COS($E193+$F193*'25SolarCoords'!AZ$7)</f>
        <v>17.863601683284326</v>
      </c>
      <c r="BE193" s="23">
        <f>$D193*COS($E193+$F193*'25SolarCoords'!BA$7)</f>
        <v>16.824102258352077</v>
      </c>
      <c r="BF193" s="23">
        <f>$D193*COS($E193+$F193*'25SolarCoords'!BB$7)</f>
        <v>15.766334046893014</v>
      </c>
      <c r="BG193" s="23">
        <f>$D193*COS($E193+$F193*'25SolarCoords'!BC$7)</f>
        <v>14.691445647584032</v>
      </c>
      <c r="BH193" s="23">
        <f>$D193*COS($E193+$F193*'25SolarCoords'!BD$7)</f>
        <v>13.600604249398767</v>
      </c>
      <c r="BI193" s="23">
        <f>$D193*COS($E193+$F193*'25SolarCoords'!BE$7)</f>
        <v>12.494994364203734</v>
      </c>
      <c r="BJ193" s="23">
        <f>$D193*COS($E193+$F193*'25SolarCoords'!BF$7)</f>
        <v>11.375816540509962</v>
      </c>
      <c r="BK193" s="23">
        <f>$D193*COS($E193+$F193*'25SolarCoords'!BG$7)</f>
        <v>-34.790158426735729</v>
      </c>
    </row>
    <row r="194" spans="2:63" x14ac:dyDescent="0.25">
      <c r="C194">
        <f t="shared" si="5"/>
        <v>34</v>
      </c>
      <c r="D194">
        <v>35</v>
      </c>
      <c r="E194">
        <v>1.84</v>
      </c>
      <c r="F194">
        <v>2942.46</v>
      </c>
      <c r="H194" s="7"/>
      <c r="I194" s="23">
        <f>$D194*COS($E194+$F194*'25SolarCoords'!E$7)</f>
        <v>-34.918316351934919</v>
      </c>
      <c r="J194" s="23">
        <f>$D194*COS($E194+$F194*'25SolarCoords'!F$7)</f>
        <v>-15.702850599343035</v>
      </c>
      <c r="K194" s="23">
        <f>$D194*COS($E194+$F194*'25SolarCoords'!G$7)</f>
        <v>-9.3087356463143127</v>
      </c>
      <c r="L194" s="23">
        <f>$D194*COS($E194+$F194*'25SolarCoords'!H$7)</f>
        <v>15.736151535810686</v>
      </c>
      <c r="M194" s="23">
        <f>$D194*COS($E194+$F194*'25SolarCoords'!I$7)</f>
        <v>2.6651896705933789</v>
      </c>
      <c r="N194" s="23">
        <f>$D194*COS($E194+$F194*'25SolarCoords'!J$7)</f>
        <v>-30.865492257832248</v>
      </c>
      <c r="O194" s="23">
        <f>$D194*COS($E194+$F194*'25SolarCoords'!K$7)</f>
        <v>-9.5839060559489244</v>
      </c>
      <c r="P194" s="23">
        <f>$D194*COS($E194+$F194*'25SolarCoords'!L$7)</f>
        <v>27.125233578018459</v>
      </c>
      <c r="Q194" s="23">
        <f>$D194*COS($E194+$F194*'25SolarCoords'!M$7)</f>
        <v>-34.047309884675578</v>
      </c>
      <c r="R194" s="23">
        <f>$D194*COS($E194+$F194*'25SolarCoords'!N$7)</f>
        <v>34.506025400050731</v>
      </c>
      <c r="S194" s="23">
        <f>$D194*COS($E194+$F194*'25SolarCoords'!O$7)</f>
        <v>-32.639624212590405</v>
      </c>
      <c r="T194" s="23">
        <f>$D194*COS($E194+$F194*'25SolarCoords'!P$7)</f>
        <v>9.9857904538786251</v>
      </c>
      <c r="U194" s="23">
        <f>$D194*COS($E194+$F194*'25SolarCoords'!Q$7)</f>
        <v>-32.488247670246928</v>
      </c>
      <c r="V194" s="23">
        <f>$D194*COS($E194+$F194*'25SolarCoords'!R$7)</f>
        <v>-32.382307295901043</v>
      </c>
      <c r="W194" s="23">
        <f>$D194*COS($E194+$F194*'25SolarCoords'!S$7)</f>
        <v>-23.012424109283337</v>
      </c>
      <c r="X194" s="23">
        <f>$D194*COS($E194+$F194*'25SolarCoords'!T$7)</f>
        <v>-34.076480582434606</v>
      </c>
      <c r="Y194" s="23">
        <f>$D194*COS($E194+$F194*'25SolarCoords'!U$7)</f>
        <v>8.0188536102130996</v>
      </c>
      <c r="Z194" s="23">
        <f>$D194*COS($E194+$F194*'25SolarCoords'!V$7)</f>
        <v>34.269777702456004</v>
      </c>
      <c r="AA194" s="23">
        <f>$D194*COS($E194+$F194*'25SolarCoords'!W$7)</f>
        <v>-17.143207543994251</v>
      </c>
      <c r="AB194" s="23">
        <f>$D194*COS($E194+$F194*'25SolarCoords'!X$7)</f>
        <v>-15.589661553069726</v>
      </c>
      <c r="AC194" s="23">
        <f>$D194*COS($E194+$F194*'25SolarCoords'!Y$7)</f>
        <v>-30.691859836277402</v>
      </c>
      <c r="AD194" s="23">
        <f>$D194*COS($E194+$F194*'25SolarCoords'!Z$7)</f>
        <v>28.017245192518054</v>
      </c>
      <c r="AE194" s="23">
        <f>$D194*COS($E194+$F194*'25SolarCoords'!AA$7)</f>
        <v>-9.1727578975775028</v>
      </c>
      <c r="AF194" s="23">
        <f>$D194*COS($E194+$F194*'25SolarCoords'!AB$7)</f>
        <v>34.764031518225515</v>
      </c>
      <c r="AG194" s="23">
        <f>$D194*COS($E194+$F194*'25SolarCoords'!AC$7)</f>
        <v>-27.860764357344028</v>
      </c>
      <c r="AH194" s="23">
        <f>$D194*COS($E194+$F194*'25SolarCoords'!AD$7)</f>
        <v>14.126017404660063</v>
      </c>
      <c r="AI194" s="23">
        <f>$D194*COS($E194+$F194*'25SolarCoords'!AE$7)</f>
        <v>-30.254954541669097</v>
      </c>
      <c r="AJ194" s="23">
        <f>$D194*COS($E194+$F194*'25SolarCoords'!AF$7)</f>
        <v>34.999905623507964</v>
      </c>
      <c r="AK194" s="23">
        <f>$D194*COS($E194+$F194*'25SolarCoords'!AG$7)</f>
        <v>29.83595438593855</v>
      </c>
      <c r="AL194" s="23">
        <f>$D194*COS($E194+$F194*'25SolarCoords'!AH$7)</f>
        <v>19.961451915990658</v>
      </c>
      <c r="AM194" s="23">
        <f>$D194*COS($E194+$F194*'25SolarCoords'!AI$7)</f>
        <v>-18.30175860637123</v>
      </c>
      <c r="AN194" s="23">
        <f>$D194*COS($E194+$F194*'25SolarCoords'!AJ$7)</f>
        <v>17.077785411963237</v>
      </c>
      <c r="AO194" s="23">
        <f>$D194*COS($E194+$F194*'25SolarCoords'!AK$7)</f>
        <v>32.357332014538358</v>
      </c>
      <c r="AP194" s="23">
        <f>$D194*COS($E194+$F194*'25SolarCoords'!AL$7)</f>
        <v>32.98258841215214</v>
      </c>
      <c r="AQ194" s="23">
        <f>$D194*COS($E194+$F194*'25SolarCoords'!AM$7)</f>
        <v>3.5793330895591717</v>
      </c>
      <c r="AR194" s="23">
        <f>$D194*COS($E194+$F194*'25SolarCoords'!AN$7)</f>
        <v>-30.158483135757479</v>
      </c>
      <c r="AS194" s="23">
        <f>$D194*COS($E194+$F194*'25SolarCoords'!AO$7)</f>
        <v>17.513207235069565</v>
      </c>
      <c r="AT194" s="23">
        <f>$D194*COS($E194+$F194*'25SolarCoords'!AP$7)</f>
        <v>32.434050078643786</v>
      </c>
      <c r="AU194" s="23">
        <f>$D194*COS($E194+$F194*'25SolarCoords'!AQ$7)</f>
        <v>33.128947677319317</v>
      </c>
      <c r="AV194" s="23">
        <f>$D194*COS($E194+$F194*'25SolarCoords'!AR$7)</f>
        <v>33.705260079556069</v>
      </c>
      <c r="AW194" s="23">
        <f>$D194*COS($E194+$F194*'25SolarCoords'!AS$7)</f>
        <v>34.231371089763392</v>
      </c>
      <c r="AX194" s="23">
        <f>$D194*COS($E194+$F194*'25SolarCoords'!AT$7)</f>
        <v>34.852339908908029</v>
      </c>
      <c r="AY194" s="23">
        <f>$D194*COS($E194+$F194*'25SolarCoords'!AU$7)</f>
        <v>19.212225395289316</v>
      </c>
      <c r="AZ194" s="23">
        <f>$D194*COS($E194+$F194*'25SolarCoords'!AV$7)</f>
        <v>10.855722983445929</v>
      </c>
      <c r="BA194" s="23">
        <f>$D194*COS($E194+$F194*'25SolarCoords'!AW$7)</f>
        <v>21.916887922036562</v>
      </c>
      <c r="BB194" s="23">
        <f>$D194*COS($E194+$F194*'25SolarCoords'!AX$7)</f>
        <v>-8.5563298456396666</v>
      </c>
      <c r="BC194" s="23">
        <f>$D194*COS($E194+$F194*'25SolarCoords'!AY$7)</f>
        <v>34.608079549447744</v>
      </c>
      <c r="BD194" s="23">
        <f>$D194*COS($E194+$F194*'25SolarCoords'!AZ$7)</f>
        <v>34.564879566032474</v>
      </c>
      <c r="BE194" s="23">
        <f>$D194*COS($E194+$F194*'25SolarCoords'!BA$7)</f>
        <v>34.519436354781064</v>
      </c>
      <c r="BF194" s="23">
        <f>$D194*COS($E194+$F194*'25SolarCoords'!BB$7)</f>
        <v>34.47175286491472</v>
      </c>
      <c r="BG194" s="23">
        <f>$D194*COS($E194+$F194*'25SolarCoords'!BC$7)</f>
        <v>34.421832191046647</v>
      </c>
      <c r="BH194" s="23">
        <f>$D194*COS($E194+$F194*'25SolarCoords'!BD$7)</f>
        <v>34.369677572981111</v>
      </c>
      <c r="BI194" s="23">
        <f>$D194*COS($E194+$F194*'25SolarCoords'!BE$7)</f>
        <v>34.315292395503278</v>
      </c>
      <c r="BJ194" s="23">
        <f>$D194*COS($E194+$F194*'25SolarCoords'!BF$7)</f>
        <v>34.258680188159481</v>
      </c>
      <c r="BK194" s="23">
        <f>$D194*COS($E194+$F194*'25SolarCoords'!BG$7)</f>
        <v>-30.276359861465657</v>
      </c>
    </row>
    <row r="195" spans="2:63" x14ac:dyDescent="0.25">
      <c r="C195">
        <f t="shared" si="5"/>
        <v>35</v>
      </c>
      <c r="D195">
        <v>33</v>
      </c>
      <c r="E195">
        <v>0.24</v>
      </c>
      <c r="F195">
        <v>7084.9</v>
      </c>
      <c r="H195" s="7"/>
      <c r="I195" s="23">
        <f>$D195*COS($E195+$F195*'25SolarCoords'!E$7)</f>
        <v>-27.509682562166063</v>
      </c>
      <c r="J195" s="23">
        <f>$D195*COS($E195+$F195*'25SolarCoords'!F$7)</f>
        <v>-31.800311899976133</v>
      </c>
      <c r="K195" s="23">
        <f>$D195*COS($E195+$F195*'25SolarCoords'!G$7)</f>
        <v>32.054153170116976</v>
      </c>
      <c r="L195" s="23">
        <f>$D195*COS($E195+$F195*'25SolarCoords'!H$7)</f>
        <v>27.84375510185389</v>
      </c>
      <c r="M195" s="23">
        <f>$D195*COS($E195+$F195*'25SolarCoords'!I$7)</f>
        <v>-31.907520018466386</v>
      </c>
      <c r="N195" s="23">
        <f>$D195*COS($E195+$F195*'25SolarCoords'!J$7)</f>
        <v>26.932641811964299</v>
      </c>
      <c r="O195" s="23">
        <f>$D195*COS($E195+$F195*'25SolarCoords'!K$7)</f>
        <v>-28.324127770154711</v>
      </c>
      <c r="P195" s="23">
        <f>$D195*COS($E195+$F195*'25SolarCoords'!L$7)</f>
        <v>32.341102863703078</v>
      </c>
      <c r="Q195" s="23">
        <f>$D195*COS($E195+$F195*'25SolarCoords'!M$7)</f>
        <v>-6.1948230544189604</v>
      </c>
      <c r="R195" s="23">
        <f>$D195*COS($E195+$F195*'25SolarCoords'!N$7)</f>
        <v>32.966493549637619</v>
      </c>
      <c r="S195" s="23">
        <f>$D195*COS($E195+$F195*'25SolarCoords'!O$7)</f>
        <v>21.978747386719476</v>
      </c>
      <c r="T195" s="23">
        <f>$D195*COS($E195+$F195*'25SolarCoords'!P$7)</f>
        <v>32.941436138369177</v>
      </c>
      <c r="U195" s="23">
        <f>$D195*COS($E195+$F195*'25SolarCoords'!Q$7)</f>
        <v>-13.0515111897819</v>
      </c>
      <c r="V195" s="23">
        <f>$D195*COS($E195+$F195*'25SolarCoords'!R$7)</f>
        <v>-13.636942015284077</v>
      </c>
      <c r="W195" s="23">
        <f>$D195*COS($E195+$F195*'25SolarCoords'!S$7)</f>
        <v>24.559328543373809</v>
      </c>
      <c r="X195" s="23">
        <f>$D195*COS($E195+$F195*'25SolarCoords'!T$7)</f>
        <v>-32.350142532814473</v>
      </c>
      <c r="Y195" s="23">
        <f>$D195*COS($E195+$F195*'25SolarCoords'!U$7)</f>
        <v>21.986329115203134</v>
      </c>
      <c r="Z195" s="23">
        <f>$D195*COS($E195+$F195*'25SolarCoords'!V$7)</f>
        <v>-19.692431778732697</v>
      </c>
      <c r="AA195" s="23">
        <f>$D195*COS($E195+$F195*'25SolarCoords'!W$7)</f>
        <v>-13.239288328660109</v>
      </c>
      <c r="AB195" s="23">
        <f>$D195*COS($E195+$F195*'25SolarCoords'!X$7)</f>
        <v>-16.038012047894053</v>
      </c>
      <c r="AC195" s="23">
        <f>$D195*COS($E195+$F195*'25SolarCoords'!Y$7)</f>
        <v>1.4167835010932974</v>
      </c>
      <c r="AD195" s="23">
        <f>$D195*COS($E195+$F195*'25SolarCoords'!Z$7)</f>
        <v>-19.243061122079574</v>
      </c>
      <c r="AE195" s="23">
        <f>$D195*COS($E195+$F195*'25SolarCoords'!AA$7)</f>
        <v>32.128722815430876</v>
      </c>
      <c r="AF195" s="23">
        <f>$D195*COS($E195+$F195*'25SolarCoords'!AB$7)</f>
        <v>-5.277736900189451</v>
      </c>
      <c r="AG195" s="23">
        <f>$D195*COS($E195+$F195*'25SolarCoords'!AC$7)</f>
        <v>8.2657578771794498</v>
      </c>
      <c r="AH195" s="23">
        <f>$D195*COS($E195+$F195*'25SolarCoords'!AD$7)</f>
        <v>19.607131182720774</v>
      </c>
      <c r="AI195" s="23">
        <f>$D195*COS($E195+$F195*'25SolarCoords'!AE$7)</f>
        <v>-0.59984836060970137</v>
      </c>
      <c r="AJ195" s="23">
        <f>$D195*COS($E195+$F195*'25SolarCoords'!AF$7)</f>
        <v>25.592055042862643</v>
      </c>
      <c r="AK195" s="23">
        <f>$D195*COS($E195+$F195*'25SolarCoords'!AG$7)</f>
        <v>26.552479144513256</v>
      </c>
      <c r="AL195" s="23">
        <f>$D195*COS($E195+$F195*'25SolarCoords'!AH$7)</f>
        <v>29.752683943191489</v>
      </c>
      <c r="AM195" s="23">
        <f>$D195*COS($E195+$F195*'25SolarCoords'!AI$7)</f>
        <v>-9.567132747573579</v>
      </c>
      <c r="AN195" s="23">
        <f>$D195*COS($E195+$F195*'25SolarCoords'!AJ$7)</f>
        <v>-32.828055647017322</v>
      </c>
      <c r="AO195" s="23">
        <f>$D195*COS($E195+$F195*'25SolarCoords'!AK$7)</f>
        <v>13.798168558355826</v>
      </c>
      <c r="AP195" s="23">
        <f>$D195*COS($E195+$F195*'25SolarCoords'!AL$7)</f>
        <v>-29.763894835536451</v>
      </c>
      <c r="AQ195" s="23">
        <f>$D195*COS($E195+$F195*'25SolarCoords'!AM$7)</f>
        <v>20.218117650087024</v>
      </c>
      <c r="AR195" s="23">
        <f>$D195*COS($E195+$F195*'25SolarCoords'!AN$7)</f>
        <v>-16.444426075213997</v>
      </c>
      <c r="AS195" s="23">
        <f>$D195*COS($E195+$F195*'25SolarCoords'!AO$7)</f>
        <v>32.761131022497196</v>
      </c>
      <c r="AT195" s="23">
        <f>$D195*COS($E195+$F195*'25SolarCoords'!AP$7)</f>
        <v>-15.643562998962334</v>
      </c>
      <c r="AU195" s="23">
        <f>$D195*COS($E195+$F195*'25SolarCoords'!AQ$7)</f>
        <v>-11.533035160567486</v>
      </c>
      <c r="AV195" s="23">
        <f>$D195*COS($E195+$F195*'25SolarCoords'!AR$7)</f>
        <v>-7.3022275870418278</v>
      </c>
      <c r="AW195" s="23">
        <f>$D195*COS($E195+$F195*'25SolarCoords'!AS$7)</f>
        <v>-2.3642536156055902</v>
      </c>
      <c r="AX195" s="23">
        <f>$D195*COS($E195+$F195*'25SolarCoords'!AT$7)</f>
        <v>6.9626699883454846</v>
      </c>
      <c r="AY195" s="23">
        <f>$D195*COS($E195+$F195*'25SolarCoords'!AU$7)</f>
        <v>30.681108901841146</v>
      </c>
      <c r="AZ195" s="23">
        <f>$D195*COS($E195+$F195*'25SolarCoords'!AV$7)</f>
        <v>-27.451859065268778</v>
      </c>
      <c r="BA195" s="23">
        <f>$D195*COS($E195+$F195*'25SolarCoords'!AW$7)</f>
        <v>1.2393204053052975</v>
      </c>
      <c r="BB195" s="23">
        <f>$D195*COS($E195+$F195*'25SolarCoords'!AX$7)</f>
        <v>23.09463620477846</v>
      </c>
      <c r="BC195" s="23">
        <f>$D195*COS($E195+$F195*'25SolarCoords'!AY$7)</f>
        <v>23.546163746246272</v>
      </c>
      <c r="BD195" s="23">
        <f>$D195*COS($E195+$F195*'25SolarCoords'!AZ$7)</f>
        <v>23.990192260004296</v>
      </c>
      <c r="BE195" s="23">
        <f>$D195*COS($E195+$F195*'25SolarCoords'!BA$7)</f>
        <v>24.425194528886795</v>
      </c>
      <c r="BF195" s="23">
        <f>$D195*COS($E195+$F195*'25SolarCoords'!BB$7)</f>
        <v>24.851006884466749</v>
      </c>
      <c r="BG195" s="23">
        <f>$D195*COS($E195+$F195*'25SolarCoords'!BC$7)</f>
        <v>25.267469115999042</v>
      </c>
      <c r="BH195" s="23">
        <f>$D195*COS($E195+$F195*'25SolarCoords'!BD$7)</f>
        <v>25.674424530697955</v>
      </c>
      <c r="BI195" s="23">
        <f>$D195*COS($E195+$F195*'25SolarCoords'!BE$7)</f>
        <v>26.071720012688296</v>
      </c>
      <c r="BJ195" s="23">
        <f>$D195*COS($E195+$F195*'25SolarCoords'!BF$7)</f>
        <v>26.459206080621982</v>
      </c>
      <c r="BK195" s="23">
        <f>$D195*COS($E195+$F195*'25SolarCoords'!BG$7)</f>
        <v>-0.50310390884828005</v>
      </c>
    </row>
    <row r="196" spans="2:63" x14ac:dyDescent="0.25">
      <c r="C196">
        <f t="shared" si="5"/>
        <v>36</v>
      </c>
      <c r="D196">
        <v>32</v>
      </c>
      <c r="E196">
        <v>0.18</v>
      </c>
      <c r="F196">
        <v>5088.63</v>
      </c>
      <c r="H196" s="7"/>
      <c r="I196" s="23">
        <f>$D196*COS($E196+$F196*'25SolarCoords'!E$7)</f>
        <v>13.281131249197703</v>
      </c>
      <c r="J196" s="23">
        <f>$D196*COS($E196+$F196*'25SolarCoords'!F$7)</f>
        <v>30.684332186540523</v>
      </c>
      <c r="K196" s="23">
        <f>$D196*COS($E196+$F196*'25SolarCoords'!G$7)</f>
        <v>31.482998169219886</v>
      </c>
      <c r="L196" s="23">
        <f>$D196*COS($E196+$F196*'25SolarCoords'!H$7)</f>
        <v>6.3487623021828243</v>
      </c>
      <c r="M196" s="23">
        <f>$D196*COS($E196+$F196*'25SolarCoords'!I$7)</f>
        <v>-29.948671315381045</v>
      </c>
      <c r="N196" s="23">
        <f>$D196*COS($E196+$F196*'25SolarCoords'!J$7)</f>
        <v>22.696030735297533</v>
      </c>
      <c r="O196" s="23">
        <f>$D196*COS($E196+$F196*'25SolarCoords'!K$7)</f>
        <v>-21.405571252942387</v>
      </c>
      <c r="P196" s="23">
        <f>$D196*COS($E196+$F196*'25SolarCoords'!L$7)</f>
        <v>-12.333685761890319</v>
      </c>
      <c r="Q196" s="23">
        <f>$D196*COS($E196+$F196*'25SolarCoords'!M$7)</f>
        <v>30.908163239680146</v>
      </c>
      <c r="R196" s="23">
        <f>$D196*COS($E196+$F196*'25SolarCoords'!N$7)</f>
        <v>27.85142684847883</v>
      </c>
      <c r="S196" s="23">
        <f>$D196*COS($E196+$F196*'25SolarCoords'!O$7)</f>
        <v>24.818437840305702</v>
      </c>
      <c r="T196" s="23">
        <f>$D196*COS($E196+$F196*'25SolarCoords'!P$7)</f>
        <v>-24.274110545574683</v>
      </c>
      <c r="U196" s="23">
        <f>$D196*COS($E196+$F196*'25SolarCoords'!Q$7)</f>
        <v>-31.917719781928067</v>
      </c>
      <c r="V196" s="23">
        <f>$D196*COS($E196+$F196*'25SolarCoords'!R$7)</f>
        <v>-31.946571077192853</v>
      </c>
      <c r="W196" s="23">
        <f>$D196*COS($E196+$F196*'25SolarCoords'!S$7)</f>
        <v>17.747164494489159</v>
      </c>
      <c r="X196" s="23">
        <f>$D196*COS($E196+$F196*'25SolarCoords'!T$7)</f>
        <v>-30.710653985402196</v>
      </c>
      <c r="Y196" s="23">
        <f>$D196*COS($E196+$F196*'25SolarCoords'!U$7)</f>
        <v>24.302746285710814</v>
      </c>
      <c r="Z196" s="23">
        <f>$D196*COS($E196+$F196*'25SolarCoords'!V$7)</f>
        <v>20.588317041771742</v>
      </c>
      <c r="AA196" s="23">
        <f>$D196*COS($E196+$F196*'25SolarCoords'!W$7)</f>
        <v>-6.1617384297463493</v>
      </c>
      <c r="AB196" s="23">
        <f>$D196*COS($E196+$F196*'25SolarCoords'!X$7)</f>
        <v>4.9388036512162516</v>
      </c>
      <c r="AC196" s="23">
        <f>$D196*COS($E196+$F196*'25SolarCoords'!Y$7)</f>
        <v>-31.998113994501441</v>
      </c>
      <c r="AD196" s="23">
        <f>$D196*COS($E196+$F196*'25SolarCoords'!Z$7)</f>
        <v>-16.756554022987757</v>
      </c>
      <c r="AE196" s="23">
        <f>$D196*COS($E196+$F196*'25SolarCoords'!AA$7)</f>
        <v>31.522141582237488</v>
      </c>
      <c r="AF196" s="23">
        <f>$D196*COS($E196+$F196*'25SolarCoords'!AB$7)</f>
        <v>14.838668165153937</v>
      </c>
      <c r="AG196" s="23">
        <f>$D196*COS($E196+$F196*'25SolarCoords'!AC$7)</f>
        <v>27.458279443883583</v>
      </c>
      <c r="AH196" s="23">
        <f>$D196*COS($E196+$F196*'25SolarCoords'!AD$7)</f>
        <v>-29.947476841132605</v>
      </c>
      <c r="AI196" s="23">
        <f>$D196*COS($E196+$F196*'25SolarCoords'!AE$7)</f>
        <v>-31.952035682323697</v>
      </c>
      <c r="AJ196" s="23">
        <f>$D196*COS($E196+$F196*'25SolarCoords'!AF$7)</f>
        <v>-16.016813251527019</v>
      </c>
      <c r="AK196" s="23">
        <f>$D196*COS($E196+$F196*'25SolarCoords'!AG$7)</f>
        <v>13.140725582347635</v>
      </c>
      <c r="AL196" s="23">
        <f>$D196*COS($E196+$F196*'25SolarCoords'!AH$7)</f>
        <v>21.90412947675134</v>
      </c>
      <c r="AM196" s="23">
        <f>$D196*COS($E196+$F196*'25SolarCoords'!AI$7)</f>
        <v>5.4591758512357542E-2</v>
      </c>
      <c r="AN196" s="23">
        <f>$D196*COS($E196+$F196*'25SolarCoords'!AJ$7)</f>
        <v>-22.46794425379689</v>
      </c>
      <c r="AO196" s="23">
        <f>$D196*COS($E196+$F196*'25SolarCoords'!AK$7)</f>
        <v>-21.522606138056279</v>
      </c>
      <c r="AP196" s="23">
        <f>$D196*COS($E196+$F196*'25SolarCoords'!AL$7)</f>
        <v>-31.926586800467195</v>
      </c>
      <c r="AQ196" s="23">
        <f>$D196*COS($E196+$F196*'25SolarCoords'!AM$7)</f>
        <v>-31.654124415032545</v>
      </c>
      <c r="AR196" s="23">
        <f>$D196*COS($E196+$F196*'25SolarCoords'!AN$7)</f>
        <v>1.9283974710148633</v>
      </c>
      <c r="AS196" s="23">
        <f>$D196*COS($E196+$F196*'25SolarCoords'!AO$7)</f>
        <v>24.513993065929618</v>
      </c>
      <c r="AT196" s="23">
        <f>$D196*COS($E196+$F196*'25SolarCoords'!AP$7)</f>
        <v>-29.703248738870208</v>
      </c>
      <c r="AU196" s="23">
        <f>$D196*COS($E196+$F196*'25SolarCoords'!AQ$7)</f>
        <v>-30.728159309487424</v>
      </c>
      <c r="AV196" s="23">
        <f>$D196*COS($E196+$F196*'25SolarCoords'!AR$7)</f>
        <v>-31.443829656462022</v>
      </c>
      <c r="AW196" s="23">
        <f>$D196*COS($E196+$F196*'25SolarCoords'!AS$7)</f>
        <v>-31.902812035279545</v>
      </c>
      <c r="AX196" s="23">
        <f>$D196*COS($E196+$F196*'25SolarCoords'!AT$7)</f>
        <v>-31.745384665879804</v>
      </c>
      <c r="AY196" s="23">
        <f>$D196*COS($E196+$F196*'25SolarCoords'!AU$7)</f>
        <v>-31.995197873524805</v>
      </c>
      <c r="AZ196" s="23">
        <f>$D196*COS($E196+$F196*'25SolarCoords'!AV$7)</f>
        <v>20.648689753700079</v>
      </c>
      <c r="BA196" s="23">
        <f>$D196*COS($E196+$F196*'25SolarCoords'!AW$7)</f>
        <v>-25.250751152885702</v>
      </c>
      <c r="BB196" s="23">
        <f>$D196*COS($E196+$F196*'25SolarCoords'!AX$7)</f>
        <v>-29.363211309535885</v>
      </c>
      <c r="BC196" s="23">
        <f>$D196*COS($E196+$F196*'25SolarCoords'!AY$7)</f>
        <v>-27.377507678109996</v>
      </c>
      <c r="BD196" s="23">
        <f>$D196*COS($E196+$F196*'25SolarCoords'!AZ$7)</f>
        <v>-27.144045510834079</v>
      </c>
      <c r="BE196" s="23">
        <f>$D196*COS($E196+$F196*'25SolarCoords'!BA$7)</f>
        <v>-26.905314820939282</v>
      </c>
      <c r="BF196" s="23">
        <f>$D196*COS($E196+$F196*'25SolarCoords'!BB$7)</f>
        <v>-26.661361944851475</v>
      </c>
      <c r="BG196" s="23">
        <f>$D196*COS($E196+$F196*'25SolarCoords'!BC$7)</f>
        <v>-26.412234232595861</v>
      </c>
      <c r="BH196" s="23">
        <f>$D196*COS($E196+$F196*'25SolarCoords'!BD$7)</f>
        <v>-26.157980038607274</v>
      </c>
      <c r="BI196" s="23">
        <f>$D196*COS($E196+$F196*'25SolarCoords'!BE$7)</f>
        <v>-25.898648712345636</v>
      </c>
      <c r="BJ196" s="23">
        <f>$D196*COS($E196+$F196*'25SolarCoords'!BF$7)</f>
        <v>-25.634290588716183</v>
      </c>
      <c r="BK196" s="23">
        <f>$D196*COS($E196+$F196*'25SolarCoords'!BG$7)</f>
        <v>-31.955653129603597</v>
      </c>
    </row>
    <row r="197" spans="2:63" x14ac:dyDescent="0.25">
      <c r="C197">
        <f t="shared" si="5"/>
        <v>37</v>
      </c>
      <c r="D197">
        <v>32</v>
      </c>
      <c r="E197">
        <v>1.78</v>
      </c>
      <c r="F197">
        <v>398.15</v>
      </c>
      <c r="H197" s="7"/>
      <c r="I197" s="23">
        <f>$D197*COS($E197+$F197*'25SolarCoords'!E$7)</f>
        <v>-25.091639539662587</v>
      </c>
      <c r="J197" s="23">
        <f>$D197*COS($E197+$F197*'25SolarCoords'!F$7)</f>
        <v>-17.736114371126273</v>
      </c>
      <c r="K197" s="23">
        <f>$D197*COS($E197+$F197*'25SolarCoords'!G$7)</f>
        <v>-6.6457920514810818</v>
      </c>
      <c r="L197" s="23">
        <f>$D197*COS($E197+$F197*'25SolarCoords'!H$7)</f>
        <v>6.0189356966939851</v>
      </c>
      <c r="M197" s="23">
        <f>$D197*COS($E197+$F197*'25SolarCoords'!I$7)</f>
        <v>-31.184190665762014</v>
      </c>
      <c r="N197" s="23">
        <f>$D197*COS($E197+$F197*'25SolarCoords'!J$7)</f>
        <v>-31.921940340730501</v>
      </c>
      <c r="O197" s="23">
        <f>$D197*COS($E197+$F197*'25SolarCoords'!K$7)</f>
        <v>-31.53006701065177</v>
      </c>
      <c r="P197" s="23">
        <f>$D197*COS($E197+$F197*'25SolarCoords'!L$7)</f>
        <v>-30.282618773654555</v>
      </c>
      <c r="Q197" s="23">
        <f>$D197*COS($E197+$F197*'25SolarCoords'!M$7)</f>
        <v>30.217518436924475</v>
      </c>
      <c r="R197" s="23">
        <f>$D197*COS($E197+$F197*'25SolarCoords'!N$7)</f>
        <v>29.503252152102149</v>
      </c>
      <c r="S197" s="23">
        <f>$D197*COS($E197+$F197*'25SolarCoords'!O$7)</f>
        <v>31.999999113774372</v>
      </c>
      <c r="T197" s="23">
        <f>$D197*COS($E197+$F197*'25SolarCoords'!P$7)</f>
        <v>-25.114887543215858</v>
      </c>
      <c r="U197" s="23">
        <f>$D197*COS($E197+$F197*'25SolarCoords'!Q$7)</f>
        <v>13.525990778444855</v>
      </c>
      <c r="V197" s="23">
        <f>$D197*COS($E197+$F197*'25SolarCoords'!R$7)</f>
        <v>13.557595813494981</v>
      </c>
      <c r="W197" s="23">
        <f>$D197*COS($E197+$F197*'25SolarCoords'!S$7)</f>
        <v>6.7030258965804999</v>
      </c>
      <c r="X197" s="23">
        <f>$D197*COS($E197+$F197*'25SolarCoords'!T$7)</f>
        <v>11.202292402959621</v>
      </c>
      <c r="Y197" s="23">
        <f>$D197*COS($E197+$F197*'25SolarCoords'!U$7)</f>
        <v>17.276879912068363</v>
      </c>
      <c r="Z197" s="23">
        <f>$D197*COS($E197+$F197*'25SolarCoords'!V$7)</f>
        <v>31.121401446251806</v>
      </c>
      <c r="AA197" s="23">
        <f>$D197*COS($E197+$F197*'25SolarCoords'!W$7)</f>
        <v>-31.65622479086792</v>
      </c>
      <c r="AB197" s="23">
        <f>$D197*COS($E197+$F197*'25SolarCoords'!X$7)</f>
        <v>8.7276525774455997</v>
      </c>
      <c r="AC197" s="23">
        <f>$D197*COS($E197+$F197*'25SolarCoords'!Y$7)</f>
        <v>16.06255587051788</v>
      </c>
      <c r="AD197" s="23">
        <f>$D197*COS($E197+$F197*'25SolarCoords'!Z$7)</f>
        <v>28.835166506304677</v>
      </c>
      <c r="AE197" s="23">
        <f>$D197*COS($E197+$F197*'25SolarCoords'!AA$7)</f>
        <v>-6.6287301379947365</v>
      </c>
      <c r="AF197" s="23">
        <f>$D197*COS($E197+$F197*'25SolarCoords'!AB$7)</f>
        <v>-25.84323966500498</v>
      </c>
      <c r="AG197" s="23">
        <f>$D197*COS($E197+$F197*'25SolarCoords'!AC$7)</f>
        <v>30.053768296271056</v>
      </c>
      <c r="AH197" s="23">
        <f>$D197*COS($E197+$F197*'25SolarCoords'!AD$7)</f>
        <v>-30.880141829328782</v>
      </c>
      <c r="AI197" s="23">
        <f>$D197*COS($E197+$F197*'25SolarCoords'!AE$7)</f>
        <v>16.157530016328131</v>
      </c>
      <c r="AJ197" s="23">
        <f>$D197*COS($E197+$F197*'25SolarCoords'!AF$7)</f>
        <v>16.751571762035766</v>
      </c>
      <c r="AK197" s="23">
        <f>$D197*COS($E197+$F197*'25SolarCoords'!AG$7)</f>
        <v>14.686394385043389</v>
      </c>
      <c r="AL197" s="23">
        <f>$D197*COS($E197+$F197*'25SolarCoords'!AH$7)</f>
        <v>-5.3668916987519522</v>
      </c>
      <c r="AM197" s="23">
        <f>$D197*COS($E197+$F197*'25SolarCoords'!AI$7)</f>
        <v>8.3578745709397673</v>
      </c>
      <c r="AN197" s="23">
        <f>$D197*COS($E197+$F197*'25SolarCoords'!AJ$7)</f>
        <v>20.488103457481522</v>
      </c>
      <c r="AO197" s="23">
        <f>$D197*COS($E197+$F197*'25SolarCoords'!AK$7)</f>
        <v>0.11599273995407912</v>
      </c>
      <c r="AP197" s="23">
        <f>$D197*COS($E197+$F197*'25SolarCoords'!AL$7)</f>
        <v>-10.825423916203009</v>
      </c>
      <c r="AQ197" s="23">
        <f>$D197*COS($E197+$F197*'25SolarCoords'!AM$7)</f>
        <v>31.999470534074444</v>
      </c>
      <c r="AR197" s="23">
        <f>$D197*COS($E197+$F197*'25SolarCoords'!AN$7)</f>
        <v>-9.8625679530615837</v>
      </c>
      <c r="AS197" s="23">
        <f>$D197*COS($E197+$F197*'25SolarCoords'!AO$7)</f>
        <v>-24.105934557470935</v>
      </c>
      <c r="AT197" s="23">
        <f>$D197*COS($E197+$F197*'25SolarCoords'!AP$7)</f>
        <v>-5.2432222970064482</v>
      </c>
      <c r="AU197" s="23">
        <f>$D197*COS($E197+$F197*'25SolarCoords'!AQ$7)</f>
        <v>-5.0002810434411522</v>
      </c>
      <c r="AV197" s="23">
        <f>$D197*COS($E197+$F197*'25SolarCoords'!AR$7)</f>
        <v>-4.7623139867660127</v>
      </c>
      <c r="AW197" s="23">
        <f>$D197*COS($E197+$F197*'25SolarCoords'!AS$7)</f>
        <v>-4.4928763647598391</v>
      </c>
      <c r="AX197" s="23">
        <f>$D197*COS($E197+$F197*'25SolarCoords'!AT$7)</f>
        <v>-3.9861433319050845</v>
      </c>
      <c r="AY197" s="23">
        <f>$D197*COS($E197+$F197*'25SolarCoords'!AU$7)</f>
        <v>-26.051511429027098</v>
      </c>
      <c r="AZ197" s="23">
        <f>$D197*COS($E197+$F197*'25SolarCoords'!AV$7)</f>
        <v>21.102366661945855</v>
      </c>
      <c r="BA197" s="23">
        <f>$D197*COS($E197+$F197*'25SolarCoords'!AW$7)</f>
        <v>16.279589353027859</v>
      </c>
      <c r="BB197" s="23">
        <f>$D197*COS($E197+$F197*'25SolarCoords'!AX$7)</f>
        <v>-28.366771723459845</v>
      </c>
      <c r="BC197" s="23">
        <f>$D197*COS($E197+$F197*'25SolarCoords'!AY$7)</f>
        <v>-2.9458755987735108</v>
      </c>
      <c r="BD197" s="23">
        <f>$D197*COS($E197+$F197*'25SolarCoords'!AZ$7)</f>
        <v>-2.9111395711187216</v>
      </c>
      <c r="BE197" s="23">
        <f>$D197*COS($E197+$F197*'25SolarCoords'!BA$7)</f>
        <v>-2.876400084261403</v>
      </c>
      <c r="BF197" s="23">
        <f>$D197*COS($E197+$F197*'25SolarCoords'!BB$7)</f>
        <v>-2.8416571794814072</v>
      </c>
      <c r="BG197" s="23">
        <f>$D197*COS($E197+$F197*'25SolarCoords'!BC$7)</f>
        <v>-2.8069108980624788</v>
      </c>
      <c r="BH197" s="23">
        <f>$D197*COS($E197+$F197*'25SolarCoords'!BD$7)</f>
        <v>-2.7721612812922034</v>
      </c>
      <c r="BI197" s="23">
        <f>$D197*COS($E197+$F197*'25SolarCoords'!BE$7)</f>
        <v>-2.7374083704624708</v>
      </c>
      <c r="BJ197" s="23">
        <f>$D197*COS($E197+$F197*'25SolarCoords'!BF$7)</f>
        <v>-2.7026522068689136</v>
      </c>
      <c r="BK197" s="23">
        <f>$D197*COS($E197+$F197*'25SolarCoords'!BG$7)</f>
        <v>16.152978559722328</v>
      </c>
    </row>
    <row r="198" spans="2:63" x14ac:dyDescent="0.25">
      <c r="C198">
        <f t="shared" si="5"/>
        <v>38</v>
      </c>
      <c r="D198">
        <v>28</v>
      </c>
      <c r="E198">
        <v>1.21</v>
      </c>
      <c r="F198">
        <v>6286.6</v>
      </c>
      <c r="H198" s="7"/>
      <c r="I198" s="23">
        <f>$D198*COS($E198+$F198*'25SolarCoords'!E$7)</f>
        <v>25.196379814221146</v>
      </c>
      <c r="J198" s="23">
        <f>$D198*COS($E198+$F198*'25SolarCoords'!F$7)</f>
        <v>-22.179180130606511</v>
      </c>
      <c r="K198" s="23">
        <f>$D198*COS($E198+$F198*'25SolarCoords'!G$7)</f>
        <v>9.8845432341412511</v>
      </c>
      <c r="L198" s="23">
        <f>$D198*COS($E198+$F198*'25SolarCoords'!H$7)</f>
        <v>10.086427682310665</v>
      </c>
      <c r="M198" s="23">
        <f>$D198*COS($E198+$F198*'25SolarCoords'!I$7)</f>
        <v>-1.0641864512493735</v>
      </c>
      <c r="N198" s="23">
        <f>$D198*COS($E198+$F198*'25SolarCoords'!J$7)</f>
        <v>-16.579368539607099</v>
      </c>
      <c r="O198" s="23">
        <f>$D198*COS($E198+$F198*'25SolarCoords'!K$7)</f>
        <v>-1.0393329940204088</v>
      </c>
      <c r="P198" s="23">
        <f>$D198*COS($E198+$F198*'25SolarCoords'!L$7)</f>
        <v>-16.208855595619379</v>
      </c>
      <c r="Q198" s="23">
        <f>$D198*COS($E198+$F198*'25SolarCoords'!M$7)</f>
        <v>17.901948578099152</v>
      </c>
      <c r="R198" s="23">
        <f>$D198*COS($E198+$F198*'25SolarCoords'!N$7)</f>
        <v>27.821904682412004</v>
      </c>
      <c r="S198" s="23">
        <f>$D198*COS($E198+$F198*'25SolarCoords'!O$7)</f>
        <v>27.819093024083848</v>
      </c>
      <c r="T198" s="23">
        <f>$D198*COS($E198+$F198*'25SolarCoords'!P$7)</f>
        <v>19.018041920439526</v>
      </c>
      <c r="U198" s="23">
        <f>$D198*COS($E198+$F198*'25SolarCoords'!Q$7)</f>
        <v>25.166689765551926</v>
      </c>
      <c r="V198" s="23">
        <f>$D198*COS($E198+$F198*'25SolarCoords'!R$7)</f>
        <v>24.951724594612031</v>
      </c>
      <c r="W198" s="23">
        <f>$D198*COS($E198+$F198*'25SolarCoords'!S$7)</f>
        <v>19.613328894663631</v>
      </c>
      <c r="X198" s="23">
        <f>$D198*COS($E198+$F198*'25SolarCoords'!T$7)</f>
        <v>1.4146553614448758</v>
      </c>
      <c r="Y198" s="23">
        <f>$D198*COS($E198+$F198*'25SolarCoords'!U$7)</f>
        <v>4.6233491315878172</v>
      </c>
      <c r="Z198" s="23">
        <f>$D198*COS($E198+$F198*'25SolarCoords'!V$7)</f>
        <v>-24.498333850038517</v>
      </c>
      <c r="AA198" s="23">
        <f>$D198*COS($E198+$F198*'25SolarCoords'!W$7)</f>
        <v>-26.937837279134527</v>
      </c>
      <c r="AB198" s="23">
        <f>$D198*COS($E198+$F198*'25SolarCoords'!X$7)</f>
        <v>-27.373636247908472</v>
      </c>
      <c r="AC198" s="23">
        <f>$D198*COS($E198+$F198*'25SolarCoords'!Y$7)</f>
        <v>-9.3243980744114445</v>
      </c>
      <c r="AD198" s="23">
        <f>$D198*COS($E198+$F198*'25SolarCoords'!Z$7)</f>
        <v>6.0873574597096995</v>
      </c>
      <c r="AE198" s="23">
        <f>$D198*COS($E198+$F198*'25SolarCoords'!AA$7)</f>
        <v>10.109624962697261</v>
      </c>
      <c r="AF198" s="23">
        <f>$D198*COS($E198+$F198*'25SolarCoords'!AB$7)</f>
        <v>-14.90512556964913</v>
      </c>
      <c r="AG198" s="23">
        <f>$D198*COS($E198+$F198*'25SolarCoords'!AC$7)</f>
        <v>26.683868386265349</v>
      </c>
      <c r="AH198" s="23">
        <f>$D198*COS($E198+$F198*'25SolarCoords'!AD$7)</f>
        <v>-27.960003454361242</v>
      </c>
      <c r="AI198" s="23">
        <f>$D198*COS($E198+$F198*'25SolarCoords'!AE$7)</f>
        <v>-10.741940053263798</v>
      </c>
      <c r="AJ198" s="23">
        <f>$D198*COS($E198+$F198*'25SolarCoords'!AF$7)</f>
        <v>15.50678268729849</v>
      </c>
      <c r="AK198" s="23">
        <f>$D198*COS($E198+$F198*'25SolarCoords'!AG$7)</f>
        <v>27.514241641109642</v>
      </c>
      <c r="AL198" s="23">
        <f>$D198*COS($E198+$F198*'25SolarCoords'!AH$7)</f>
        <v>-16.261305805912883</v>
      </c>
      <c r="AM198" s="23">
        <f>$D198*COS($E198+$F198*'25SolarCoords'!AI$7)</f>
        <v>-25.776115332811234</v>
      </c>
      <c r="AN198" s="23">
        <f>$D198*COS($E198+$F198*'25SolarCoords'!AJ$7)</f>
        <v>-27.817551021619046</v>
      </c>
      <c r="AO198" s="23">
        <f>$D198*COS($E198+$F198*'25SolarCoords'!AK$7)</f>
        <v>23.018304674059923</v>
      </c>
      <c r="AP198" s="23">
        <f>$D198*COS($E198+$F198*'25SolarCoords'!AL$7)</f>
        <v>23.14337035960029</v>
      </c>
      <c r="AQ198" s="23">
        <f>$D198*COS($E198+$F198*'25SolarCoords'!AM$7)</f>
        <v>27.855000622739016</v>
      </c>
      <c r="AR198" s="23">
        <f>$D198*COS($E198+$F198*'25SolarCoords'!AN$7)</f>
        <v>-26.847834903373311</v>
      </c>
      <c r="AS198" s="23">
        <f>$D198*COS($E198+$F198*'25SolarCoords'!AO$7)</f>
        <v>16.746221384429052</v>
      </c>
      <c r="AT198" s="23">
        <f>$D198*COS($E198+$F198*'25SolarCoords'!AP$7)</f>
        <v>25.870221337291738</v>
      </c>
      <c r="AU198" s="23">
        <f>$D198*COS($E198+$F198*'25SolarCoords'!AQ$7)</f>
        <v>26.977266204847197</v>
      </c>
      <c r="AV198" s="23">
        <f>$D198*COS($E198+$F198*'25SolarCoords'!AR$7)</f>
        <v>27.675882135171097</v>
      </c>
      <c r="AW198" s="23">
        <f>$D198*COS($E198+$F198*'25SolarCoords'!AS$7)</f>
        <v>27.995492707450243</v>
      </c>
      <c r="AX198" s="23">
        <f>$D198*COS($E198+$F198*'25SolarCoords'!AT$7)</f>
        <v>27.234849047808407</v>
      </c>
      <c r="AY198" s="23">
        <f>$D198*COS($E198+$F198*'25SolarCoords'!AU$7)</f>
        <v>-23.428757461171223</v>
      </c>
      <c r="AZ198" s="23">
        <f>$D198*COS($E198+$F198*'25SolarCoords'!AV$7)</f>
        <v>17.478114766466817</v>
      </c>
      <c r="BA198" s="23">
        <f>$D198*COS($E198+$F198*'25SolarCoords'!AW$7)</f>
        <v>13.869058688766872</v>
      </c>
      <c r="BB198" s="23">
        <f>$D198*COS($E198+$F198*'25SolarCoords'!AX$7)</f>
        <v>-26.877623045229079</v>
      </c>
      <c r="BC198" s="23">
        <f>$D198*COS($E198+$F198*'25SolarCoords'!AY$7)</f>
        <v>20.474495497080998</v>
      </c>
      <c r="BD198" s="23">
        <f>$D198*COS($E198+$F198*'25SolarCoords'!AZ$7)</f>
        <v>20.142740951734798</v>
      </c>
      <c r="BE198" s="23">
        <f>$D198*COS($E198+$F198*'25SolarCoords'!BA$7)</f>
        <v>19.805019364958824</v>
      </c>
      <c r="BF198" s="23">
        <f>$D198*COS($E198+$F198*'25SolarCoords'!BB$7)</f>
        <v>19.461430782656812</v>
      </c>
      <c r="BG198" s="23">
        <f>$D198*COS($E198+$F198*'25SolarCoords'!BC$7)</f>
        <v>19.11207698875673</v>
      </c>
      <c r="BH198" s="23">
        <f>$D198*COS($E198+$F198*'25SolarCoords'!BD$7)</f>
        <v>18.757061475060151</v>
      </c>
      <c r="BI198" s="23">
        <f>$D198*COS($E198+$F198*'25SolarCoords'!BE$7)</f>
        <v>18.396489410585275</v>
      </c>
      <c r="BJ198" s="23">
        <f>$D198*COS($E198+$F198*'25SolarCoords'!BF$7)</f>
        <v>18.030467610410771</v>
      </c>
      <c r="BK198" s="23">
        <f>$D198*COS($E198+$F198*'25SolarCoords'!BG$7)</f>
        <v>-10.674630632979714</v>
      </c>
    </row>
    <row r="199" spans="2:63" x14ac:dyDescent="0.25">
      <c r="C199">
        <f t="shared" si="5"/>
        <v>39</v>
      </c>
      <c r="D199">
        <v>28</v>
      </c>
      <c r="E199">
        <v>1.9</v>
      </c>
      <c r="F199">
        <v>6279.55</v>
      </c>
      <c r="H199" s="7"/>
      <c r="I199" s="23">
        <f>$D199*COS($E199+$F199*'25SolarCoords'!E$7)</f>
        <v>24.066383291416024</v>
      </c>
      <c r="J199" s="23">
        <f>$D199*COS($E199+$F199*'25SolarCoords'!F$7)</f>
        <v>-19.879565097528928</v>
      </c>
      <c r="K199" s="23">
        <f>$D199*COS($E199+$F199*'25SolarCoords'!G$7)</f>
        <v>-9.0521078721780945</v>
      </c>
      <c r="L199" s="23">
        <f>$D199*COS($E199+$F199*'25SolarCoords'!H$7)</f>
        <v>-9.0345437900565582</v>
      </c>
      <c r="M199" s="23">
        <f>$D199*COS($E199+$F199*'25SolarCoords'!I$7)</f>
        <v>-20.456198274917831</v>
      </c>
      <c r="N199" s="23">
        <f>$D199*COS($E199+$F199*'25SolarCoords'!J$7)</f>
        <v>4.0373572610156163</v>
      </c>
      <c r="O199" s="23">
        <f>$D199*COS($E199+$F199*'25SolarCoords'!K$7)</f>
        <v>-20.303875353452522</v>
      </c>
      <c r="P199" s="23">
        <f>$D199*COS($E199+$F199*'25SolarCoords'!L$7)</f>
        <v>4.2937245818800056</v>
      </c>
      <c r="Q199" s="23">
        <f>$D199*COS($E199+$F199*'25SolarCoords'!M$7)</f>
        <v>-18.066579664498903</v>
      </c>
      <c r="R199" s="23">
        <f>$D199*COS($E199+$F199*'25SolarCoords'!N$7)</f>
        <v>-27.090956815659485</v>
      </c>
      <c r="S199" s="23">
        <f>$D199*COS($E199+$F199*'25SolarCoords'!O$7)</f>
        <v>-27.14624636796999</v>
      </c>
      <c r="T199" s="23">
        <f>$D199*COS($E199+$F199*'25SolarCoords'!P$7)</f>
        <v>-5.8065645188614896</v>
      </c>
      <c r="U199" s="23">
        <f>$D199*COS($E199+$F199*'25SolarCoords'!Q$7)</f>
        <v>-25.836856791613862</v>
      </c>
      <c r="V199" s="23">
        <f>$D199*COS($E199+$F199*'25SolarCoords'!R$7)</f>
        <v>-25.647514747142765</v>
      </c>
      <c r="W199" s="23">
        <f>$D199*COS($E199+$F199*'25SolarCoords'!S$7)</f>
        <v>-22.465246373069775</v>
      </c>
      <c r="X199" s="23">
        <f>$D199*COS($E199+$F199*'25SolarCoords'!T$7)</f>
        <v>2.8505971431191979</v>
      </c>
      <c r="Y199" s="23">
        <f>$D199*COS($E199+$F199*'25SolarCoords'!U$7)</f>
        <v>-8.6653339380459347</v>
      </c>
      <c r="Z199" s="23">
        <f>$D199*COS($E199+$F199*'25SolarCoords'!V$7)</f>
        <v>5.0087962504705255</v>
      </c>
      <c r="AA199" s="23">
        <f>$D199*COS($E199+$F199*'25SolarCoords'!W$7)</f>
        <v>-24.526219937823413</v>
      </c>
      <c r="AB199" s="23">
        <f>$D199*COS($E199+$F199*'25SolarCoords'!X$7)</f>
        <v>-24.122771244879356</v>
      </c>
      <c r="AC199" s="23">
        <f>$D199*COS($E199+$F199*'25SolarCoords'!Y$7)</f>
        <v>-26.002388783426266</v>
      </c>
      <c r="AD199" s="23">
        <f>$D199*COS($E199+$F199*'25SolarCoords'!Z$7)</f>
        <v>-4.4789847758479091</v>
      </c>
      <c r="AE199" s="23">
        <f>$D199*COS($E199+$F199*'25SolarCoords'!AA$7)</f>
        <v>-8.8240069112355251</v>
      </c>
      <c r="AF199" s="23">
        <f>$D199*COS($E199+$F199*'25SolarCoords'!AB$7)</f>
        <v>12.165920623827091</v>
      </c>
      <c r="AG199" s="23">
        <f>$D199*COS($E199+$F199*'25SolarCoords'!AC$7)</f>
        <v>11.519252597319825</v>
      </c>
      <c r="AH199" s="23">
        <f>$D199*COS($E199+$F199*'25SolarCoords'!AD$7)</f>
        <v>-21.069168691719319</v>
      </c>
      <c r="AI199" s="23">
        <f>$D199*COS($E199+$F199*'25SolarCoords'!AE$7)</f>
        <v>-26.526655145871359</v>
      </c>
      <c r="AJ199" s="23">
        <f>$D199*COS($E199+$F199*'25SolarCoords'!AF$7)</f>
        <v>-4.2573233596091509</v>
      </c>
      <c r="AK199" s="23">
        <f>$D199*COS($E199+$F199*'25SolarCoords'!AG$7)</f>
        <v>23.80683311254057</v>
      </c>
      <c r="AL199" s="23">
        <f>$D199*COS($E199+$F199*'25SolarCoords'!AH$7)</f>
        <v>-27.448424465438102</v>
      </c>
      <c r="AM199" s="23">
        <f>$D199*COS($E199+$F199*'25SolarCoords'!AI$7)</f>
        <v>-26.365150758811858</v>
      </c>
      <c r="AN199" s="23">
        <f>$D199*COS($E199+$F199*'25SolarCoords'!AJ$7)</f>
        <v>-18.453237295620692</v>
      </c>
      <c r="AO199" s="23">
        <f>$D199*COS($E199+$F199*'25SolarCoords'!AK$7)</f>
        <v>-23.681789468214049</v>
      </c>
      <c r="AP199" s="23">
        <f>$D199*COS($E199+$F199*'25SolarCoords'!AL$7)</f>
        <v>27.653011841237699</v>
      </c>
      <c r="AQ199" s="23">
        <f>$D199*COS($E199+$F199*'25SolarCoords'!AM$7)</f>
        <v>-13.24898093760463</v>
      </c>
      <c r="AR199" s="23">
        <f>$D199*COS($E199+$F199*'25SolarCoords'!AN$7)</f>
        <v>-25.786563019528312</v>
      </c>
      <c r="AS199" s="23">
        <f>$D199*COS($E199+$F199*'25SolarCoords'!AO$7)</f>
        <v>-27.999730649008573</v>
      </c>
      <c r="AT199" s="23">
        <f>$D199*COS($E199+$F199*'25SolarCoords'!AP$7)</f>
        <v>27.73693691364516</v>
      </c>
      <c r="AU199" s="23">
        <f>$D199*COS($E199+$F199*'25SolarCoords'!AQ$7)</f>
        <v>27.069776455282625</v>
      </c>
      <c r="AV199" s="23">
        <f>$D199*COS($E199+$F199*'25SolarCoords'!AR$7)</f>
        <v>26.0319673486052</v>
      </c>
      <c r="AW199" s="23">
        <f>$D199*COS($E199+$F199*'25SolarCoords'!AS$7)</f>
        <v>24.418070227540184</v>
      </c>
      <c r="AX199" s="23">
        <f>$D199*COS($E199+$F199*'25SolarCoords'!AT$7)</f>
        <v>20.230691291846327</v>
      </c>
      <c r="AY199" s="23">
        <f>$D199*COS($E199+$F199*'25SolarCoords'!AU$7)</f>
        <v>-3.1815983281667788</v>
      </c>
      <c r="AZ199" s="23">
        <f>$D199*COS($E199+$F199*'25SolarCoords'!AV$7)</f>
        <v>27.49500305733919</v>
      </c>
      <c r="BA199" s="23">
        <f>$D199*COS($E199+$F199*'25SolarCoords'!AW$7)</f>
        <v>-16.495383653002957</v>
      </c>
      <c r="BB199" s="23">
        <f>$D199*COS($E199+$F199*'25SolarCoords'!AX$7)</f>
        <v>-21.288051631732031</v>
      </c>
      <c r="BC199" s="23">
        <f>$D199*COS($E199+$F199*'25SolarCoords'!AY$7)</f>
        <v>8.0515419459451802</v>
      </c>
      <c r="BD199" s="23">
        <f>$D199*COS($E199+$F199*'25SolarCoords'!AZ$7)</f>
        <v>7.5893174638910512</v>
      </c>
      <c r="BE199" s="23">
        <f>$D199*COS($E199+$F199*'25SolarCoords'!BA$7)</f>
        <v>7.124849778620689</v>
      </c>
      <c r="BF199" s="23">
        <f>$D199*COS($E199+$F199*'25SolarCoords'!BB$7)</f>
        <v>6.6582761746021397</v>
      </c>
      <c r="BG199" s="23">
        <f>$D199*COS($E199+$F199*'25SolarCoords'!BC$7)</f>
        <v>6.1897345587578183</v>
      </c>
      <c r="BH199" s="23">
        <f>$D199*COS($E199+$F199*'25SolarCoords'!BD$7)</f>
        <v>5.7193634197004997</v>
      </c>
      <c r="BI199" s="23">
        <f>$D199*COS($E199+$F199*'25SolarCoords'!BE$7)</f>
        <v>5.2473017868051484</v>
      </c>
      <c r="BJ199" s="23">
        <f>$D199*COS($E199+$F199*'25SolarCoords'!BF$7)</f>
        <v>4.7736891891092563</v>
      </c>
      <c r="BK199" s="23">
        <f>$D199*COS($E199+$F199*'25SolarCoords'!BG$7)</f>
        <v>-26.503272653736055</v>
      </c>
    </row>
    <row r="200" spans="2:63" x14ac:dyDescent="0.25">
      <c r="C200">
        <f t="shared" si="5"/>
        <v>40</v>
      </c>
      <c r="D200">
        <v>26</v>
      </c>
      <c r="E200">
        <v>4.59</v>
      </c>
      <c r="F200">
        <v>10447.39</v>
      </c>
      <c r="H200" s="7"/>
      <c r="I200" s="23">
        <f>$D200*COS($E200+$F200*'25SolarCoords'!E$7)</f>
        <v>-25.977576678525267</v>
      </c>
      <c r="J200" s="23">
        <f>$D200*COS($E200+$F200*'25SolarCoords'!F$7)</f>
        <v>20.942020857861088</v>
      </c>
      <c r="K200" s="23">
        <f>$D200*COS($E200+$F200*'25SolarCoords'!G$7)</f>
        <v>-3.174175258213269</v>
      </c>
      <c r="L200" s="23">
        <f>$D200*COS($E200+$F200*'25SolarCoords'!H$7)</f>
        <v>23.754661774589227</v>
      </c>
      <c r="M200" s="23">
        <f>$D200*COS($E200+$F200*'25SolarCoords'!I$7)</f>
        <v>2.9430524846061537</v>
      </c>
      <c r="N200" s="23">
        <f>$D200*COS($E200+$F200*'25SolarCoords'!J$7)</f>
        <v>19.525688015179867</v>
      </c>
      <c r="O200" s="23">
        <f>$D200*COS($E200+$F200*'25SolarCoords'!K$7)</f>
        <v>20.399165227215494</v>
      </c>
      <c r="P200" s="23">
        <f>$D200*COS($E200+$F200*'25SolarCoords'!L$7)</f>
        <v>-24.656914851587786</v>
      </c>
      <c r="Q200" s="23">
        <f>$D200*COS($E200+$F200*'25SolarCoords'!M$7)</f>
        <v>-25.075098863365291</v>
      </c>
      <c r="R200" s="23">
        <f>$D200*COS($E200+$F200*'25SolarCoords'!N$7)</f>
        <v>-16.522905393186218</v>
      </c>
      <c r="S200" s="23">
        <f>$D200*COS($E200+$F200*'25SolarCoords'!O$7)</f>
        <v>-8.3466105594355504</v>
      </c>
      <c r="T200" s="23">
        <f>$D200*COS($E200+$F200*'25SolarCoords'!P$7)</f>
        <v>-25.193961392066356</v>
      </c>
      <c r="U200" s="23">
        <f>$D200*COS($E200+$F200*'25SolarCoords'!Q$7)</f>
        <v>-22.914069921190197</v>
      </c>
      <c r="V200" s="23">
        <f>$D200*COS($E200+$F200*'25SolarCoords'!R$7)</f>
        <v>-23.256069870302227</v>
      </c>
      <c r="W200" s="23">
        <f>$D200*COS($E200+$F200*'25SolarCoords'!S$7)</f>
        <v>-21.688474958064305</v>
      </c>
      <c r="X200" s="23">
        <f>$D200*COS($E200+$F200*'25SolarCoords'!T$7)</f>
        <v>7.2118786193939659</v>
      </c>
      <c r="Y200" s="23">
        <f>$D200*COS($E200+$F200*'25SolarCoords'!U$7)</f>
        <v>21.646785856364822</v>
      </c>
      <c r="Z200" s="23">
        <f>$D200*COS($E200+$F200*'25SolarCoords'!V$7)</f>
        <v>-19.65966608984446</v>
      </c>
      <c r="AA200" s="23">
        <f>$D200*COS($E200+$F200*'25SolarCoords'!W$7)</f>
        <v>-23.908794999218767</v>
      </c>
      <c r="AB200" s="23">
        <f>$D200*COS($E200+$F200*'25SolarCoords'!X$7)</f>
        <v>20.091204890352056</v>
      </c>
      <c r="AC200" s="23">
        <f>$D200*COS($E200+$F200*'25SolarCoords'!Y$7)</f>
        <v>-9.0864224241754492</v>
      </c>
      <c r="AD200" s="23">
        <f>$D200*COS($E200+$F200*'25SolarCoords'!Z$7)</f>
        <v>19.971819799316236</v>
      </c>
      <c r="AE200" s="23">
        <f>$D200*COS($E200+$F200*'25SolarCoords'!AA$7)</f>
        <v>-3.5429007324812396</v>
      </c>
      <c r="AF200" s="23">
        <f>$D200*COS($E200+$F200*'25SolarCoords'!AB$7)</f>
        <v>23.972127357262515</v>
      </c>
      <c r="AG200" s="23">
        <f>$D200*COS($E200+$F200*'25SolarCoords'!AC$7)</f>
        <v>-21.682409013797436</v>
      </c>
      <c r="AH200" s="23">
        <f>$D200*COS($E200+$F200*'25SolarCoords'!AD$7)</f>
        <v>-5.6821666291048247</v>
      </c>
      <c r="AI200" s="23">
        <f>$D200*COS($E200+$F200*'25SolarCoords'!AE$7)</f>
        <v>-6.8567997956052436</v>
      </c>
      <c r="AJ200" s="23">
        <f>$D200*COS($E200+$F200*'25SolarCoords'!AF$7)</f>
        <v>25.271880115729136</v>
      </c>
      <c r="AK200" s="23">
        <f>$D200*COS($E200+$F200*'25SolarCoords'!AG$7)</f>
        <v>-3.5512810618894459</v>
      </c>
      <c r="AL200" s="23">
        <f>$D200*COS($E200+$F200*'25SolarCoords'!AH$7)</f>
        <v>25.436723442116683</v>
      </c>
      <c r="AM200" s="23">
        <f>$D200*COS($E200+$F200*'25SolarCoords'!AI$7)</f>
        <v>13.997742307525158</v>
      </c>
      <c r="AN200" s="23">
        <f>$D200*COS($E200+$F200*'25SolarCoords'!AJ$7)</f>
        <v>-16.740159667643479</v>
      </c>
      <c r="AO200" s="23">
        <f>$D200*COS($E200+$F200*'25SolarCoords'!AK$7)</f>
        <v>19.622429130979935</v>
      </c>
      <c r="AP200" s="23">
        <f>$D200*COS($E200+$F200*'25SolarCoords'!AL$7)</f>
        <v>-7.3642892586953437</v>
      </c>
      <c r="AQ200" s="23">
        <f>$D200*COS($E200+$F200*'25SolarCoords'!AM$7)</f>
        <v>-21.711628949024032</v>
      </c>
      <c r="AR200" s="23">
        <f>$D200*COS($E200+$F200*'25SolarCoords'!AN$7)</f>
        <v>13.196714212177648</v>
      </c>
      <c r="AS200" s="23">
        <f>$D200*COS($E200+$F200*'25SolarCoords'!AO$7)</f>
        <v>24.975678409910635</v>
      </c>
      <c r="AT200" s="23">
        <f>$D200*COS($E200+$F200*'25SolarCoords'!AP$7)</f>
        <v>-25.562926469399173</v>
      </c>
      <c r="AU200" s="23">
        <f>$D200*COS($E200+$F200*'25SolarCoords'!AQ$7)</f>
        <v>-24.092547555848554</v>
      </c>
      <c r="AV200" s="23">
        <f>$D200*COS($E200+$F200*'25SolarCoords'!AR$7)</f>
        <v>-21.706988951993441</v>
      </c>
      <c r="AW200" s="23">
        <f>$D200*COS($E200+$F200*'25SolarCoords'!AS$7)</f>
        <v>-17.999154245892342</v>
      </c>
      <c r="AX200" s="23">
        <f>$D200*COS($E200+$F200*'25SolarCoords'!AT$7)</f>
        <v>-8.8033549547184258</v>
      </c>
      <c r="AY200" s="23">
        <f>$D200*COS($E200+$F200*'25SolarCoords'!AU$7)</f>
        <v>-25.687117216139992</v>
      </c>
      <c r="AZ200" s="23">
        <f>$D200*COS($E200+$F200*'25SolarCoords'!AV$7)</f>
        <v>15.232722978254822</v>
      </c>
      <c r="BA200" s="23">
        <f>$D200*COS($E200+$F200*'25SolarCoords'!AW$7)</f>
        <v>-12.725793956664239</v>
      </c>
      <c r="BB200" s="23">
        <f>$D200*COS($E200+$F200*'25SolarCoords'!AX$7)</f>
        <v>-6.9875800549756208</v>
      </c>
      <c r="BC200" s="23">
        <f>$D200*COS($E200+$F200*'25SolarCoords'!AY$7)</f>
        <v>12.753449352749957</v>
      </c>
      <c r="BD200" s="23">
        <f>$D200*COS($E200+$F200*'25SolarCoords'!AZ$7)</f>
        <v>13.396217553225341</v>
      </c>
      <c r="BE200" s="23">
        <f>$D200*COS($E200+$F200*'25SolarCoords'!BA$7)</f>
        <v>14.028026329260074</v>
      </c>
      <c r="BF200" s="23">
        <f>$D200*COS($E200+$F200*'25SolarCoords'!BB$7)</f>
        <v>14.648358799091493</v>
      </c>
      <c r="BG200" s="23">
        <f>$D200*COS($E200+$F200*'25SolarCoords'!BC$7)</f>
        <v>15.256707469704939</v>
      </c>
      <c r="BH200" s="23">
        <f>$D200*COS($E200+$F200*'25SolarCoords'!BD$7)</f>
        <v>15.85257465201297</v>
      </c>
      <c r="BI200" s="23">
        <f>$D200*COS($E200+$F200*'25SolarCoords'!BE$7)</f>
        <v>16.435472868014042</v>
      </c>
      <c r="BJ200" s="23">
        <f>$D200*COS($E200+$F200*'25SolarCoords'!BF$7)</f>
        <v>17.00492524959747</v>
      </c>
      <c r="BK200" s="23">
        <f>$D200*COS($E200+$F200*'25SolarCoords'!BG$7)</f>
        <v>-6.9651697281581253</v>
      </c>
    </row>
    <row r="201" spans="2:63" x14ac:dyDescent="0.25">
      <c r="B201">
        <v>421</v>
      </c>
      <c r="C201" s="342" t="s">
        <v>809</v>
      </c>
      <c r="D201" s="342"/>
      <c r="E201" s="342"/>
      <c r="F201" s="342"/>
      <c r="H201" s="7"/>
    </row>
    <row r="202" spans="2:63" x14ac:dyDescent="0.25">
      <c r="C202" s="19"/>
      <c r="D202" s="19" t="s">
        <v>783</v>
      </c>
      <c r="E202" s="19" t="s">
        <v>781</v>
      </c>
      <c r="F202" s="19" t="s">
        <v>782</v>
      </c>
      <c r="H202" s="7"/>
    </row>
    <row r="203" spans="2:63" x14ac:dyDescent="0.25">
      <c r="C203">
        <f t="shared" ref="C203:C212" si="6">C202+1</f>
        <v>1</v>
      </c>
      <c r="D203">
        <v>103019</v>
      </c>
      <c r="E203">
        <v>1.1074900000000001</v>
      </c>
      <c r="F203">
        <v>6283.0758500000002</v>
      </c>
      <c r="H203" s="7"/>
      <c r="I203" s="23">
        <f>$D203*COS($E203+$F203*'25SolarCoords'!E$7)</f>
        <v>94686.303524588482</v>
      </c>
      <c r="J203" s="23">
        <f>$D203*COS($E203+$F203*'25SolarCoords'!F$7)</f>
        <v>-40396.587382641541</v>
      </c>
      <c r="K203" s="23">
        <f>$D203*COS($E203+$F203*'25SolarCoords'!G$7)</f>
        <v>46040.047947844439</v>
      </c>
      <c r="L203" s="23">
        <f>$D203*COS($E203+$F203*'25SolarCoords'!H$7)</f>
        <v>46425.886440959715</v>
      </c>
      <c r="M203" s="23">
        <f>$D203*COS($E203+$F203*'25SolarCoords'!I$7)</f>
        <v>1949.8978893241913</v>
      </c>
      <c r="N203" s="23">
        <f>$D203*COS($E203+$F203*'25SolarCoords'!J$7)</f>
        <v>-65735.509305267507</v>
      </c>
      <c r="O203" s="23">
        <f>$D203*COS($E203+$F203*'25SolarCoords'!K$7)</f>
        <v>2404.1086461005034</v>
      </c>
      <c r="P203" s="23">
        <f>$D203*COS($E203+$F203*'25SolarCoords'!L$7)</f>
        <v>-64715.478748502821</v>
      </c>
      <c r="Q203" s="23">
        <f>$D203*COS($E203+$F203*'25SolarCoords'!M$7)</f>
        <v>44229.942913338513</v>
      </c>
      <c r="R203" s="23">
        <f>$D203*COS($E203+$F203*'25SolarCoords'!N$7)</f>
        <v>37878.51541876133</v>
      </c>
      <c r="S203" s="23">
        <f>$D203*COS($E203+$F203*'25SolarCoords'!O$7)</f>
        <v>38300.6339247941</v>
      </c>
      <c r="T203" s="23">
        <f>$D203*COS($E203+$F203*'25SolarCoords'!P$7)</f>
        <v>-102974.79749759198</v>
      </c>
      <c r="U203" s="23">
        <f>$D203*COS($E203+$F203*'25SolarCoords'!Q$7)</f>
        <v>2535.3199295104405</v>
      </c>
      <c r="V203" s="23">
        <f>$D203*COS($E203+$F203*'25SolarCoords'!R$7)</f>
        <v>763.42330762411643</v>
      </c>
      <c r="W203" s="23">
        <f>$D203*COS($E203+$F203*'25SolarCoords'!S$7)</f>
        <v>27191.366400190425</v>
      </c>
      <c r="X203" s="23">
        <f>$D203*COS($E203+$F203*'25SolarCoords'!T$7)</f>
        <v>-91577.305664671934</v>
      </c>
      <c r="Y203" s="23">
        <f>$D203*COS($E203+$F203*'25SolarCoords'!U$7)</f>
        <v>79431.938915473569</v>
      </c>
      <c r="Z203" s="23">
        <f>$D203*COS($E203+$F203*'25SolarCoords'!V$7)</f>
        <v>-48937.093196796392</v>
      </c>
      <c r="AA203" s="23">
        <f>$D203*COS($E203+$F203*'25SolarCoords'!W$7)</f>
        <v>-97327.04134044885</v>
      </c>
      <c r="AB203" s="23">
        <f>$D203*COS($E203+$F203*'25SolarCoords'!X$7)</f>
        <v>-98799.090067463476</v>
      </c>
      <c r="AC203" s="23">
        <f>$D203*COS($E203+$F203*'25SolarCoords'!Y$7)</f>
        <v>-32172.260199675358</v>
      </c>
      <c r="AD203" s="23">
        <f>$D203*COS($E203+$F203*'25SolarCoords'!Z$7)</f>
        <v>47272.376683120703</v>
      </c>
      <c r="AE203" s="23">
        <f>$D203*COS($E203+$F203*'25SolarCoords'!AA$7)</f>
        <v>46830.998013674762</v>
      </c>
      <c r="AF203" s="23">
        <f>$D203*COS($E203+$F203*'25SolarCoords'!AB$7)</f>
        <v>-49704.403050911547</v>
      </c>
      <c r="AG203" s="23">
        <f>$D203*COS($E203+$F203*'25SolarCoords'!AC$7)</f>
        <v>99013.057358384336</v>
      </c>
      <c r="AH203" s="23">
        <f>$D203*COS($E203+$F203*'25SolarCoords'!AD$7)</f>
        <v>-102341.46195319778</v>
      </c>
      <c r="AI203" s="23">
        <f>$D203*COS($E203+$F203*'25SolarCoords'!AE$7)</f>
        <v>-37427.419970464704</v>
      </c>
      <c r="AJ203" s="23">
        <f>$D203*COS($E203+$F203*'25SolarCoords'!AF$7)</f>
        <v>63541.660583497578</v>
      </c>
      <c r="AK203" s="23">
        <f>$D203*COS($E203+$F203*'25SolarCoords'!AG$7)</f>
        <v>99460.186812681306</v>
      </c>
      <c r="AL203" s="23">
        <f>$D203*COS($E203+$F203*'25SolarCoords'!AH$7)</f>
        <v>-53697.648268292978</v>
      </c>
      <c r="AM203" s="23">
        <f>$D203*COS($E203+$F203*'25SolarCoords'!AI$7)</f>
        <v>-91546.354567660746</v>
      </c>
      <c r="AN203" s="23">
        <f>$D203*COS($E203+$F203*'25SolarCoords'!AJ$7)</f>
        <v>-102955.11543835227</v>
      </c>
      <c r="AO203" s="23">
        <f>$D203*COS($E203+$F203*'25SolarCoords'!AK$7)</f>
        <v>42587.874121512083</v>
      </c>
      <c r="AP203" s="23">
        <f>$D203*COS($E203+$F203*'25SolarCoords'!AL$7)</f>
        <v>80899.008097036363</v>
      </c>
      <c r="AQ203" s="23">
        <f>$D203*COS($E203+$F203*'25SolarCoords'!AM$7)</f>
        <v>14495.645372448455</v>
      </c>
      <c r="AR203" s="23">
        <f>$D203*COS($E203+$F203*'25SolarCoords'!AN$7)</f>
        <v>-95232.217326879065</v>
      </c>
      <c r="AS203" s="23">
        <f>$D203*COS($E203+$F203*'25SolarCoords'!AO$7)</f>
        <v>-1836.8312223277105</v>
      </c>
      <c r="AT203" s="23">
        <f>$D203*COS($E203+$F203*'25SolarCoords'!AP$7)</f>
        <v>86443.04035975672</v>
      </c>
      <c r="AU203" s="23">
        <f>$D203*COS($E203+$F203*'25SolarCoords'!AQ$7)</f>
        <v>92592.088485902088</v>
      </c>
      <c r="AV203" s="23">
        <f>$D203*COS($E203+$F203*'25SolarCoords'!AR$7)</f>
        <v>97290.162030253807</v>
      </c>
      <c r="AW203" s="23">
        <f>$D203*COS($E203+$F203*'25SolarCoords'!AS$7)</f>
        <v>100949.56103043517</v>
      </c>
      <c r="AX203" s="23">
        <f>$D203*COS($E203+$F203*'25SolarCoords'!AT$7)</f>
        <v>102883.24872298339</v>
      </c>
      <c r="AY203" s="23">
        <f>$D203*COS($E203+$F203*'25SolarCoords'!AU$7)</f>
        <v>-86694.309303100366</v>
      </c>
      <c r="AZ203" s="23">
        <f>$D203*COS($E203+$F203*'25SolarCoords'!AV$7)</f>
        <v>56443.61491019238</v>
      </c>
      <c r="BA203" s="23">
        <f>$D203*COS($E203+$F203*'25SolarCoords'!AW$7)</f>
        <v>39326.997797763201</v>
      </c>
      <c r="BB203" s="23">
        <f>$D203*COS($E203+$F203*'25SolarCoords'!AX$7)</f>
        <v>-100161.62156771499</v>
      </c>
      <c r="BC203" s="23">
        <f>$D203*COS($E203+$F203*'25SolarCoords'!AY$7)</f>
        <v>86875.705359335901</v>
      </c>
      <c r="BD203" s="23">
        <f>$D203*COS($E203+$F203*'25SolarCoords'!AZ$7)</f>
        <v>85910.465473043398</v>
      </c>
      <c r="BE203" s="23">
        <f>$D203*COS($E203+$F203*'25SolarCoords'!BA$7)</f>
        <v>84919.804183567001</v>
      </c>
      <c r="BF203" s="23">
        <f>$D203*COS($E203+$F203*'25SolarCoords'!BB$7)</f>
        <v>83904.014633308718</v>
      </c>
      <c r="BG203" s="23">
        <f>$D203*COS($E203+$F203*'25SolarCoords'!BC$7)</f>
        <v>82863.397400263028</v>
      </c>
      <c r="BH203" s="23">
        <f>$D203*COS($E203+$F203*'25SolarCoords'!BD$7)</f>
        <v>81798.260409084251</v>
      </c>
      <c r="BI203" s="23">
        <f>$D203*COS($E203+$F203*'25SolarCoords'!BE$7)</f>
        <v>80708.91883996503</v>
      </c>
      <c r="BJ203" s="23">
        <f>$D203*COS($E203+$F203*'25SolarCoords'!BF$7)</f>
        <v>79595.695035368874</v>
      </c>
      <c r="BK203" s="23">
        <f>$D203*COS($E203+$F203*'25SolarCoords'!BG$7)</f>
        <v>-37177.724577123852</v>
      </c>
    </row>
    <row r="204" spans="2:63" x14ac:dyDescent="0.25">
      <c r="C204">
        <f t="shared" si="6"/>
        <v>2</v>
      </c>
      <c r="D204">
        <v>1721</v>
      </c>
      <c r="E204">
        <v>1.0644</v>
      </c>
      <c r="F204">
        <v>12566.1517</v>
      </c>
      <c r="H204" s="7"/>
      <c r="I204" s="23">
        <f>$D204*COS($E204+$F204*'25SolarCoords'!E$7)</f>
        <v>-653.85842973859758</v>
      </c>
      <c r="J204" s="23">
        <f>$D204*COS($E204+$F204*'25SolarCoords'!F$7)</f>
        <v>-1619.7691452851295</v>
      </c>
      <c r="K204" s="23">
        <f>$D204*COS($E204+$F204*'25SolarCoords'!G$7)</f>
        <v>834.73490529847584</v>
      </c>
      <c r="L204" s="23">
        <f>$D204*COS($E204+$F204*'25SolarCoords'!H$7)</f>
        <v>847.32065933549268</v>
      </c>
      <c r="M204" s="23">
        <f>$D204*COS($E204+$F204*'25SolarCoords'!I$7)</f>
        <v>-642.12250394625755</v>
      </c>
      <c r="N204" s="23">
        <f>$D204*COS($E204+$F204*'25SolarCoords'!J$7)</f>
        <v>1413.5856189398255</v>
      </c>
      <c r="O204" s="23">
        <f>$D204*COS($E204+$F204*'25SolarCoords'!K$7)</f>
        <v>-628.01466430537755</v>
      </c>
      <c r="P204" s="23">
        <f>$D204*COS($E204+$F204*'25SolarCoords'!L$7)</f>
        <v>1388.0112096004391</v>
      </c>
      <c r="Q204" s="23">
        <f>$D204*COS($E204+$F204*'25SolarCoords'!M$7)</f>
        <v>775.27525003339645</v>
      </c>
      <c r="R204" s="23">
        <f>$D204*COS($E204+$F204*'25SolarCoords'!N$7)</f>
        <v>562.26711867350525</v>
      </c>
      <c r="S204" s="23">
        <f>$D204*COS($E204+$F204*'25SolarCoords'!O$7)</f>
        <v>576.59128173136617</v>
      </c>
      <c r="T204" s="23">
        <f>$D204*COS($E204+$F204*'25SolarCoords'!P$7)</f>
        <v>792.89959998619292</v>
      </c>
      <c r="U204" s="23">
        <f>$D204*COS($E204+$F204*'25SolarCoords'!Q$7)</f>
        <v>-623.92982399141374</v>
      </c>
      <c r="V204" s="23">
        <f>$D204*COS($E204+$F204*'25SolarCoords'!R$7)</f>
        <v>-678.7313062305326</v>
      </c>
      <c r="W204" s="23">
        <f>$D204*COS($E204+$F204*'25SolarCoords'!S$7)</f>
        <v>-1404.3156664445316</v>
      </c>
      <c r="X204" s="23">
        <f>$D204*COS($E204+$F204*'25SolarCoords'!T$7)</f>
        <v>-872.01503909071164</v>
      </c>
      <c r="Y204" s="23">
        <f>$D204*COS($E204+$F204*'25SolarCoords'!U$7)</f>
        <v>-1410.24872764305</v>
      </c>
      <c r="Z204" s="23">
        <f>$D204*COS($E204+$F204*'25SolarCoords'!V$7)</f>
        <v>-1698.8576721099694</v>
      </c>
      <c r="AA204" s="23">
        <f>$D204*COS($E204+$F204*'25SolarCoords'!W$7)</f>
        <v>-421.98517384572244</v>
      </c>
      <c r="AB204" s="23">
        <f>$D204*COS($E204+$F204*'25SolarCoords'!X$7)</f>
        <v>-264.33875869422064</v>
      </c>
      <c r="AC204" s="23">
        <f>$D204*COS($E204+$F204*'25SolarCoords'!Y$7)</f>
        <v>-1497.4639541506554</v>
      </c>
      <c r="AD204" s="23">
        <f>$D204*COS($E204+$F204*'25SolarCoords'!Z$7)</f>
        <v>874.81554317467828</v>
      </c>
      <c r="AE204" s="23">
        <f>$D204*COS($E204+$F204*'25SolarCoords'!AA$7)</f>
        <v>860.49951614406473</v>
      </c>
      <c r="AF204" s="23">
        <f>$D204*COS($E204+$F204*'25SolarCoords'!AB$7)</f>
        <v>952.84013470546836</v>
      </c>
      <c r="AG204" s="23">
        <f>$D204*COS($E204+$F204*'25SolarCoords'!AC$7)</f>
        <v>1429.0832360081924</v>
      </c>
      <c r="AH204" s="23">
        <f>$D204*COS($E204+$F204*'25SolarCoords'!AD$7)</f>
        <v>326.22883579710248</v>
      </c>
      <c r="AI204" s="23">
        <f>$D204*COS($E204+$F204*'25SolarCoords'!AE$7)</f>
        <v>-1580.4484235160867</v>
      </c>
      <c r="AJ204" s="23">
        <f>$D204*COS($E204+$F204*'25SolarCoords'!AF$7)</f>
        <v>1357.7993947438151</v>
      </c>
      <c r="AK204" s="23">
        <f>$D204*COS($E204+$F204*'25SolarCoords'!AG$7)</f>
        <v>-183.81306032057063</v>
      </c>
      <c r="AL204" s="23">
        <f>$D204*COS($E204+$F204*'25SolarCoords'!AH$7)</f>
        <v>-1718.4939143369875</v>
      </c>
      <c r="AM204" s="23">
        <f>$D204*COS($E204+$F204*'25SolarCoords'!AI$7)</f>
        <v>-873.9595146055517</v>
      </c>
      <c r="AN204" s="23">
        <f>$D204*COS($E204+$F204*'25SolarCoords'!AJ$7)</f>
        <v>810.94050240484546</v>
      </c>
      <c r="AO204" s="23">
        <f>$D204*COS($E204+$F204*'25SolarCoords'!AK$7)</f>
        <v>720.79577646477287</v>
      </c>
      <c r="AP204" s="23">
        <f>$D204*COS($E204+$F204*'25SolarCoords'!AL$7)</f>
        <v>-1364.0758562874116</v>
      </c>
      <c r="AQ204" s="23">
        <f>$D204*COS($E204+$F204*'25SolarCoords'!AM$7)</f>
        <v>-1112.0781802645806</v>
      </c>
      <c r="AR204" s="23">
        <f>$D204*COS($E204+$F204*'25SolarCoords'!AN$7)</f>
        <v>-610.10090445103083</v>
      </c>
      <c r="AS204" s="23">
        <f>$D204*COS($E204+$F204*'25SolarCoords'!AO$7)</f>
        <v>-757.6720650458717</v>
      </c>
      <c r="AT204" s="23">
        <f>$D204*COS($E204+$F204*'25SolarCoords'!AP$7)</f>
        <v>-1147.8497441756551</v>
      </c>
      <c r="AU204" s="23">
        <f>$D204*COS($E204+$F204*'25SolarCoords'!AQ$7)</f>
        <v>-805.97994473635265</v>
      </c>
      <c r="AV204" s="23">
        <f>$D204*COS($E204+$F204*'25SolarCoords'!AR$7)</f>
        <v>-425.62270105761854</v>
      </c>
      <c r="AW204" s="23">
        <f>$D204*COS($E204+$F204*'25SolarCoords'!AS$7)</f>
        <v>32.118573347615907</v>
      </c>
      <c r="AX204" s="23">
        <f>$D204*COS($E204+$F204*'25SolarCoords'!AT$7)</f>
        <v>859.45993445111822</v>
      </c>
      <c r="AY204" s="23">
        <f>$D204*COS($E204+$F204*'25SolarCoords'!AU$7)</f>
        <v>1720.9266592942374</v>
      </c>
      <c r="AZ204" s="23">
        <f>$D204*COS($E204+$F204*'25SolarCoords'!AV$7)</f>
        <v>-1720.9285515014096</v>
      </c>
      <c r="BA204" s="23">
        <f>$D204*COS($E204+$F204*'25SolarCoords'!AW$7)</f>
        <v>611.33612432599057</v>
      </c>
      <c r="BB204" s="23">
        <f>$D204*COS($E204+$F204*'25SolarCoords'!AX$7)</f>
        <v>-89.336136795405395</v>
      </c>
      <c r="BC204" s="23">
        <f>$D204*COS($E204+$F204*'25SolarCoords'!AY$7)</f>
        <v>1720.7860641579466</v>
      </c>
      <c r="BD204" s="23">
        <f>$D204*COS($E204+$F204*'25SolarCoords'!AZ$7)</f>
        <v>1720.7011418849024</v>
      </c>
      <c r="BE204" s="23">
        <f>$D204*COS($E204+$F204*'25SolarCoords'!BA$7)</f>
        <v>1718.5797086316795</v>
      </c>
      <c r="BF204" s="23">
        <f>$D204*COS($E204+$F204*'25SolarCoords'!BB$7)</f>
        <v>1714.4242751899681</v>
      </c>
      <c r="BG204" s="23">
        <f>$D204*COS($E204+$F204*'25SolarCoords'!BC$7)</f>
        <v>1708.2397596629778</v>
      </c>
      <c r="BH204" s="23">
        <f>$D204*COS($E204+$F204*'25SolarCoords'!BD$7)</f>
        <v>1700.0334816447273</v>
      </c>
      <c r="BI204" s="23">
        <f>$D204*COS($E204+$F204*'25SolarCoords'!BE$7)</f>
        <v>1689.8151535570405</v>
      </c>
      <c r="BJ204" s="23">
        <f>$D204*COS($E204+$F204*'25SolarCoords'!BF$7)</f>
        <v>1677.5968691545049</v>
      </c>
      <c r="BK204" s="23">
        <f>$D204*COS($E204+$F204*'25SolarCoords'!BG$7)</f>
        <v>-1576.8845536863212</v>
      </c>
    </row>
    <row r="205" spans="2:63" x14ac:dyDescent="0.25">
      <c r="C205">
        <f t="shared" si="6"/>
        <v>3</v>
      </c>
      <c r="D205">
        <v>702</v>
      </c>
      <c r="E205">
        <v>3.1419999999999999</v>
      </c>
      <c r="F205">
        <v>0</v>
      </c>
      <c r="H205" s="7"/>
      <c r="I205" s="23">
        <f>$D205*COS($E205+$F205*'25SolarCoords'!E$7)</f>
        <v>-701.99994175818551</v>
      </c>
      <c r="J205" s="23">
        <f>$D205*COS($E205+$F205*'25SolarCoords'!F$7)</f>
        <v>-701.99994175818551</v>
      </c>
      <c r="K205" s="23">
        <f>$D205*COS($E205+$F205*'25SolarCoords'!G$7)</f>
        <v>-701.99994175818551</v>
      </c>
      <c r="L205" s="23">
        <f>$D205*COS($E205+$F205*'25SolarCoords'!H$7)</f>
        <v>-701.99994175818551</v>
      </c>
      <c r="M205" s="23">
        <f>$D205*COS($E205+$F205*'25SolarCoords'!I$7)</f>
        <v>-701.99994175818551</v>
      </c>
      <c r="N205" s="23">
        <f>$D205*COS($E205+$F205*'25SolarCoords'!J$7)</f>
        <v>-701.99994175818551</v>
      </c>
      <c r="O205" s="23">
        <f>$D205*COS($E205+$F205*'25SolarCoords'!K$7)</f>
        <v>-701.99994175818551</v>
      </c>
      <c r="P205" s="23">
        <f>$D205*COS($E205+$F205*'25SolarCoords'!L$7)</f>
        <v>-701.99994175818551</v>
      </c>
      <c r="Q205" s="23">
        <f>$D205*COS($E205+$F205*'25SolarCoords'!M$7)</f>
        <v>-701.99994175818551</v>
      </c>
      <c r="R205" s="23">
        <f>$D205*COS($E205+$F205*'25SolarCoords'!N$7)</f>
        <v>-701.99994175818551</v>
      </c>
      <c r="S205" s="23">
        <f>$D205*COS($E205+$F205*'25SolarCoords'!O$7)</f>
        <v>-701.99994175818551</v>
      </c>
      <c r="T205" s="23">
        <f>$D205*COS($E205+$F205*'25SolarCoords'!P$7)</f>
        <v>-701.99994175818551</v>
      </c>
      <c r="U205" s="23">
        <f>$D205*COS($E205+$F205*'25SolarCoords'!Q$7)</f>
        <v>-701.99994175818551</v>
      </c>
      <c r="V205" s="23">
        <f>$D205*COS($E205+$F205*'25SolarCoords'!R$7)</f>
        <v>-701.99994175818551</v>
      </c>
      <c r="W205" s="23">
        <f>$D205*COS($E205+$F205*'25SolarCoords'!S$7)</f>
        <v>-701.99994175818551</v>
      </c>
      <c r="X205" s="23">
        <f>$D205*COS($E205+$F205*'25SolarCoords'!T$7)</f>
        <v>-701.99994175818551</v>
      </c>
      <c r="Y205" s="23">
        <f>$D205*COS($E205+$F205*'25SolarCoords'!U$7)</f>
        <v>-701.99994175818551</v>
      </c>
      <c r="Z205" s="23">
        <f>$D205*COS($E205+$F205*'25SolarCoords'!V$7)</f>
        <v>-701.99994175818551</v>
      </c>
      <c r="AA205" s="23">
        <f>$D205*COS($E205+$F205*'25SolarCoords'!W$7)</f>
        <v>-701.99994175818551</v>
      </c>
      <c r="AB205" s="23">
        <f>$D205*COS($E205+$F205*'25SolarCoords'!X$7)</f>
        <v>-701.99994175818551</v>
      </c>
      <c r="AC205" s="23">
        <f>$D205*COS($E205+$F205*'25SolarCoords'!Y$7)</f>
        <v>-701.99994175818551</v>
      </c>
      <c r="AD205" s="23">
        <f>$D205*COS($E205+$F205*'25SolarCoords'!Z$7)</f>
        <v>-701.99994175818551</v>
      </c>
      <c r="AE205" s="23">
        <f>$D205*COS($E205+$F205*'25SolarCoords'!AA$7)</f>
        <v>-701.99994175818551</v>
      </c>
      <c r="AF205" s="23">
        <f>$D205*COS($E205+$F205*'25SolarCoords'!AB$7)</f>
        <v>-701.99994175818551</v>
      </c>
      <c r="AG205" s="23">
        <f>$D205*COS($E205+$F205*'25SolarCoords'!AC$7)</f>
        <v>-701.99994175818551</v>
      </c>
      <c r="AH205" s="23">
        <f>$D205*COS($E205+$F205*'25SolarCoords'!AD$7)</f>
        <v>-701.99994175818551</v>
      </c>
      <c r="AI205" s="23">
        <f>$D205*COS($E205+$F205*'25SolarCoords'!AE$7)</f>
        <v>-701.99994175818551</v>
      </c>
      <c r="AJ205" s="23">
        <f>$D205*COS($E205+$F205*'25SolarCoords'!AF$7)</f>
        <v>-701.99994175818551</v>
      </c>
      <c r="AK205" s="23">
        <f>$D205*COS($E205+$F205*'25SolarCoords'!AG$7)</f>
        <v>-701.99994175818551</v>
      </c>
      <c r="AL205" s="23">
        <f>$D205*COS($E205+$F205*'25SolarCoords'!AH$7)</f>
        <v>-701.99994175818551</v>
      </c>
      <c r="AM205" s="23">
        <f>$D205*COS($E205+$F205*'25SolarCoords'!AI$7)</f>
        <v>-701.99994175818551</v>
      </c>
      <c r="AN205" s="23">
        <f>$D205*COS($E205+$F205*'25SolarCoords'!AJ$7)</f>
        <v>-701.99994175818551</v>
      </c>
      <c r="AO205" s="23">
        <f>$D205*COS($E205+$F205*'25SolarCoords'!AK$7)</f>
        <v>-701.99994175818551</v>
      </c>
      <c r="AP205" s="23">
        <f>$D205*COS($E205+$F205*'25SolarCoords'!AL$7)</f>
        <v>-701.99994175818551</v>
      </c>
      <c r="AQ205" s="23">
        <f>$D205*COS($E205+$F205*'25SolarCoords'!AM$7)</f>
        <v>-701.99994175818551</v>
      </c>
      <c r="AR205" s="23">
        <f>$D205*COS($E205+$F205*'25SolarCoords'!AN$7)</f>
        <v>-701.99994175818551</v>
      </c>
      <c r="AS205" s="23">
        <f>$D205*COS($E205+$F205*'25SolarCoords'!AO$7)</f>
        <v>-701.99994175818551</v>
      </c>
      <c r="AT205" s="23">
        <f>$D205*COS($E205+$F205*'25SolarCoords'!AP$7)</f>
        <v>-701.99994175818551</v>
      </c>
      <c r="AU205" s="23">
        <f>$D205*COS($E205+$F205*'25SolarCoords'!AQ$7)</f>
        <v>-701.99994175818551</v>
      </c>
      <c r="AV205" s="23">
        <f>$D205*COS($E205+$F205*'25SolarCoords'!AR$7)</f>
        <v>-701.99994175818551</v>
      </c>
      <c r="AW205" s="23">
        <f>$D205*COS($E205+$F205*'25SolarCoords'!AS$7)</f>
        <v>-701.99994175818551</v>
      </c>
      <c r="AX205" s="23">
        <f>$D205*COS($E205+$F205*'25SolarCoords'!AT$7)</f>
        <v>-701.99994175818551</v>
      </c>
      <c r="AY205" s="23">
        <f>$D205*COS($E205+$F205*'25SolarCoords'!AU$7)</f>
        <v>-701.99994175818551</v>
      </c>
      <c r="AZ205" s="23">
        <f>$D205*COS($E205+$F205*'25SolarCoords'!AV$7)</f>
        <v>-701.99994175818551</v>
      </c>
      <c r="BA205" s="23">
        <f>$D205*COS($E205+$F205*'25SolarCoords'!AW$7)</f>
        <v>-701.99994175818551</v>
      </c>
      <c r="BB205" s="23">
        <f>$D205*COS($E205+$F205*'25SolarCoords'!AX$7)</f>
        <v>-701.99994175818551</v>
      </c>
      <c r="BC205" s="23">
        <f>$D205*COS($E205+$F205*'25SolarCoords'!AY$7)</f>
        <v>-701.99994175818551</v>
      </c>
      <c r="BD205" s="23">
        <f>$D205*COS($E205+$F205*'25SolarCoords'!AZ$7)</f>
        <v>-701.99994175818551</v>
      </c>
      <c r="BE205" s="23">
        <f>$D205*COS($E205+$F205*'25SolarCoords'!BA$7)</f>
        <v>-701.99994175818551</v>
      </c>
      <c r="BF205" s="23">
        <f>$D205*COS($E205+$F205*'25SolarCoords'!BB$7)</f>
        <v>-701.99994175818551</v>
      </c>
      <c r="BG205" s="23">
        <f>$D205*COS($E205+$F205*'25SolarCoords'!BC$7)</f>
        <v>-701.99994175818551</v>
      </c>
      <c r="BH205" s="23">
        <f>$D205*COS($E205+$F205*'25SolarCoords'!BD$7)</f>
        <v>-701.99994175818551</v>
      </c>
      <c r="BI205" s="23">
        <f>$D205*COS($E205+$F205*'25SolarCoords'!BE$7)</f>
        <v>-701.99994175818551</v>
      </c>
      <c r="BJ205" s="23">
        <f>$D205*COS($E205+$F205*'25SolarCoords'!BF$7)</f>
        <v>-701.99994175818551</v>
      </c>
      <c r="BK205" s="23">
        <f>$D205*COS($E205+$F205*'25SolarCoords'!BG$7)</f>
        <v>-701.99994175818551</v>
      </c>
    </row>
    <row r="206" spans="2:63" x14ac:dyDescent="0.25">
      <c r="C206">
        <f t="shared" si="6"/>
        <v>4</v>
      </c>
      <c r="D206">
        <v>32</v>
      </c>
      <c r="E206">
        <v>1.02</v>
      </c>
      <c r="F206">
        <v>18849.23</v>
      </c>
      <c r="H206" s="7"/>
      <c r="I206" s="23">
        <f>$D206*COS($E206+$F206*'25SolarCoords'!E$7)</f>
        <v>-29.765856787100088</v>
      </c>
      <c r="J206" s="23">
        <f>$D206*COS($E206+$F206*'25SolarCoords'!F$7)</f>
        <v>-28.485528322674107</v>
      </c>
      <c r="K206" s="23">
        <f>$D206*COS($E206+$F206*'25SolarCoords'!G$7)</f>
        <v>16.747710440052785</v>
      </c>
      <c r="L206" s="23">
        <f>$D206*COS($E206+$F206*'25SolarCoords'!H$7)</f>
        <v>17.089283740617951</v>
      </c>
      <c r="M206" s="23">
        <f>$D206*COS($E206+$F206*'25SolarCoords'!I$7)</f>
        <v>-22.557316691378158</v>
      </c>
      <c r="N206" s="23">
        <f>$D206*COS($E206+$F206*'25SolarCoords'!J$7)</f>
        <v>-30.233327141334044</v>
      </c>
      <c r="O206" s="23">
        <f>$D206*COS($E206+$F206*'25SolarCoords'!K$7)</f>
        <v>-22.255123162812353</v>
      </c>
      <c r="P206" s="23">
        <f>$D206*COS($E206+$F206*'25SolarCoords'!L$7)</f>
        <v>-29.808740793937773</v>
      </c>
      <c r="Q206" s="23">
        <f>$D206*COS($E206+$F206*'25SolarCoords'!M$7)</f>
        <v>15.127759032544031</v>
      </c>
      <c r="R206" s="23">
        <f>$D206*COS($E206+$F206*'25SolarCoords'!N$7)</f>
        <v>9.1937521036219305</v>
      </c>
      <c r="S206" s="23">
        <f>$D206*COS($E206+$F206*'25SolarCoords'!O$7)</f>
        <v>9.5983706774232544</v>
      </c>
      <c r="T206" s="23">
        <f>$D206*COS($E206+$F206*'25SolarCoords'!P$7)</f>
        <v>19.280181885674718</v>
      </c>
      <c r="U206" s="23">
        <f>$D206*COS($E206+$F206*'25SolarCoords'!Q$7)</f>
        <v>-22.047474619868396</v>
      </c>
      <c r="V206" s="23">
        <f>$D206*COS($E206+$F206*'25SolarCoords'!R$7)</f>
        <v>-23.214490966120188</v>
      </c>
      <c r="W206" s="23">
        <f>$D206*COS($E206+$F206*'25SolarCoords'!S$7)</f>
        <v>31.937903273549122</v>
      </c>
      <c r="X206" s="23">
        <f>$D206*COS($E206+$F206*'25SolarCoords'!T$7)</f>
        <v>26.490621299051337</v>
      </c>
      <c r="Y206" s="23">
        <f>$D206*COS($E206+$F206*'25SolarCoords'!U$7)</f>
        <v>-10.417956153973812</v>
      </c>
      <c r="Z206" s="23">
        <f>$D206*COS($E206+$F206*'25SolarCoords'!V$7)</f>
        <v>-23.698293325654259</v>
      </c>
      <c r="AA206" s="23">
        <f>$D206*COS($E206+$F206*'25SolarCoords'!W$7)</f>
        <v>31.576778992251132</v>
      </c>
      <c r="AB206" s="23">
        <f>$D206*COS($E206+$F206*'25SolarCoords'!X$7)</f>
        <v>31.991878407003902</v>
      </c>
      <c r="AC206" s="23">
        <f>$D206*COS($E206+$F206*'25SolarCoords'!Y$7)</f>
        <v>-31.221072539309173</v>
      </c>
      <c r="AD206" s="23">
        <f>$D206*COS($E206+$F206*'25SolarCoords'!Z$7)</f>
        <v>17.828541262806134</v>
      </c>
      <c r="AE206" s="23">
        <f>$D206*COS($E206+$F206*'25SolarCoords'!AA$7)</f>
        <v>17.445644680531444</v>
      </c>
      <c r="AF206" s="23">
        <f>$D206*COS($E206+$F206*'25SolarCoords'!AB$7)</f>
        <v>-19.907490184744631</v>
      </c>
      <c r="AG206" s="23">
        <f>$D206*COS($E206+$F206*'25SolarCoords'!AC$7)</f>
        <v>3.4376059257216123</v>
      </c>
      <c r="AH206" s="23">
        <f>$D206*COS($E206+$F206*'25SolarCoords'!AD$7)</f>
        <v>28.161475631166308</v>
      </c>
      <c r="AI206" s="23">
        <f>$D206*COS($E206+$F206*'25SolarCoords'!AE$7)</f>
        <v>-29.673003995146917</v>
      </c>
      <c r="AJ206" s="23">
        <f>$D206*COS($E206+$F206*'25SolarCoords'!AF$7)</f>
        <v>29.272014553357945</v>
      </c>
      <c r="AK206" s="23">
        <f>$D206*COS($E206+$F206*'25SolarCoords'!AG$7)</f>
        <v>-31.962734509705353</v>
      </c>
      <c r="AL206" s="23">
        <f>$D206*COS($E206+$F206*'25SolarCoords'!AH$7)</f>
        <v>-19.558527895992182</v>
      </c>
      <c r="AM206" s="23">
        <f>$D206*COS($E206+$F206*'25SolarCoords'!AI$7)</f>
        <v>26.586529483647293</v>
      </c>
      <c r="AN206" s="23">
        <f>$D206*COS($E206+$F206*'25SolarCoords'!AJ$7)</f>
        <v>18.749912149194945</v>
      </c>
      <c r="AO206" s="23">
        <f>$D206*COS($E206+$F206*'25SolarCoords'!AK$7)</f>
        <v>13.626363496033578</v>
      </c>
      <c r="AP206" s="23">
        <f>$D206*COS($E206+$F206*'25SolarCoords'!AL$7)</f>
        <v>-12.666328634929451</v>
      </c>
      <c r="AQ206" s="23">
        <f>$D206*COS($E206+$F206*'25SolarCoords'!AM$7)</f>
        <v>30.459825675222771</v>
      </c>
      <c r="AR206" s="23">
        <f>$D206*COS($E206+$F206*'25SolarCoords'!AN$7)</f>
        <v>30.223484775868354</v>
      </c>
      <c r="AS206" s="23">
        <f>$D206*COS($E206+$F206*'25SolarCoords'!AO$7)</f>
        <v>-24.82027129059113</v>
      </c>
      <c r="AT206" s="23">
        <f>$D206*COS($E206+$F206*'25SolarCoords'!AP$7)</f>
        <v>-20.232020650560273</v>
      </c>
      <c r="AU206" s="23">
        <f>$D206*COS($E206+$F206*'25SolarCoords'!AQ$7)</f>
        <v>-27.734688521642003</v>
      </c>
      <c r="AV206" s="23">
        <f>$D206*COS($E206+$F206*'25SolarCoords'!AR$7)</f>
        <v>-31.560101978562809</v>
      </c>
      <c r="AW206" s="23">
        <f>$D206*COS($E206+$F206*'25SolarCoords'!AS$7)</f>
        <v>-31.106623340907056</v>
      </c>
      <c r="AX206" s="23">
        <f>$D206*COS($E206+$F206*'25SolarCoords'!AT$7)</f>
        <v>-17.47222304054651</v>
      </c>
      <c r="AY206" s="23">
        <f>$D206*COS($E206+$F206*'25SolarCoords'!AU$7)</f>
        <v>-26.580960976710049</v>
      </c>
      <c r="AZ206" s="23">
        <f>$D206*COS($E206+$F206*'25SolarCoords'!AV$7)</f>
        <v>17.077525184742015</v>
      </c>
      <c r="BA206" s="23">
        <f>$D206*COS($E206+$F206*'25SolarCoords'!AW$7)</f>
        <v>10.553472832261468</v>
      </c>
      <c r="BB206" s="23">
        <f>$D206*COS($E206+$F206*'25SolarCoords'!AX$7)</f>
        <v>31.72667539322682</v>
      </c>
      <c r="BC206" s="23">
        <f>$D206*COS($E206+$F206*'25SolarCoords'!AY$7)</f>
        <v>26.407205953042922</v>
      </c>
      <c r="BD206" s="23">
        <f>$D206*COS($E206+$F206*'25SolarCoords'!AZ$7)</f>
        <v>27.304355145446682</v>
      </c>
      <c r="BE206" s="23">
        <f>$D206*COS($E206+$F206*'25SolarCoords'!BA$7)</f>
        <v>28.12880301466279</v>
      </c>
      <c r="BF206" s="23">
        <f>$D206*COS($E206+$F206*'25SolarCoords'!BB$7)</f>
        <v>28.878354363232003</v>
      </c>
      <c r="BG206" s="23">
        <f>$D206*COS($E206+$F206*'25SolarCoords'!BC$7)</f>
        <v>29.551013415222545</v>
      </c>
      <c r="BH206" s="23">
        <f>$D206*COS($E206+$F206*'25SolarCoords'!BD$7)</f>
        <v>30.144989130237498</v>
      </c>
      <c r="BI206" s="23">
        <f>$D206*COS($E206+$F206*'25SolarCoords'!BE$7)</f>
        <v>30.658699972281944</v>
      </c>
      <c r="BJ206" s="23">
        <f>$D206*COS($E206+$F206*'25SolarCoords'!BF$7)</f>
        <v>31.09077812081096</v>
      </c>
      <c r="BK206" s="23">
        <f>$D206*COS($E206+$F206*'25SolarCoords'!BG$7)</f>
        <v>-29.765550001142717</v>
      </c>
    </row>
    <row r="207" spans="2:63" x14ac:dyDescent="0.25">
      <c r="C207">
        <f t="shared" si="6"/>
        <v>5</v>
      </c>
      <c r="D207">
        <v>31</v>
      </c>
      <c r="E207">
        <v>2.84</v>
      </c>
      <c r="F207">
        <v>5507.55</v>
      </c>
      <c r="H207" s="7"/>
      <c r="I207" s="23">
        <f>$D207*COS($E207+$F207*'25SolarCoords'!E$7)</f>
        <v>-27.629624906909612</v>
      </c>
      <c r="J207" s="23">
        <f>$D207*COS($E207+$F207*'25SolarCoords'!F$7)</f>
        <v>-15.308270334454624</v>
      </c>
      <c r="K207" s="23">
        <f>$D207*COS($E207+$F207*'25SolarCoords'!G$7)</f>
        <v>-29.600803107768417</v>
      </c>
      <c r="L207" s="23">
        <f>$D207*COS($E207+$F207*'25SolarCoords'!H$7)</f>
        <v>-27.634783955403744</v>
      </c>
      <c r="M207" s="23">
        <f>$D207*COS($E207+$F207*'25SolarCoords'!I$7)</f>
        <v>22.784177607443091</v>
      </c>
      <c r="N207" s="23">
        <f>$D207*COS($E207+$F207*'25SolarCoords'!J$7)</f>
        <v>-30.165117695940541</v>
      </c>
      <c r="O207" s="23">
        <f>$D207*COS($E207+$F207*'25SolarCoords'!K$7)</f>
        <v>30.98183390126929</v>
      </c>
      <c r="P207" s="23">
        <f>$D207*COS($E207+$F207*'25SolarCoords'!L$7)</f>
        <v>-16.829243373691536</v>
      </c>
      <c r="Q207" s="23">
        <f>$D207*COS($E207+$F207*'25SolarCoords'!M$7)</f>
        <v>9.1746789781365194</v>
      </c>
      <c r="R207" s="23">
        <f>$D207*COS($E207+$F207*'25SolarCoords'!N$7)</f>
        <v>16.027224792186335</v>
      </c>
      <c r="S207" s="23">
        <f>$D207*COS($E207+$F207*'25SolarCoords'!O$7)</f>
        <v>-7.2499061208663687</v>
      </c>
      <c r="T207" s="23">
        <f>$D207*COS($E207+$F207*'25SolarCoords'!P$7)</f>
        <v>-7.7147567221529343</v>
      </c>
      <c r="U207" s="23">
        <f>$D207*COS($E207+$F207*'25SolarCoords'!Q$7)</f>
        <v>-28.3426084546394</v>
      </c>
      <c r="V207" s="23">
        <f>$D207*COS($E207+$F207*'25SolarCoords'!R$7)</f>
        <v>-28.528735292457114</v>
      </c>
      <c r="W207" s="23">
        <f>$D207*COS($E207+$F207*'25SolarCoords'!S$7)</f>
        <v>-6.7536026789703225</v>
      </c>
      <c r="X207" s="23">
        <f>$D207*COS($E207+$F207*'25SolarCoords'!T$7)</f>
        <v>30.128421360721333</v>
      </c>
      <c r="Y207" s="23">
        <f>$D207*COS($E207+$F207*'25SolarCoords'!U$7)</f>
        <v>-30.977643483283877</v>
      </c>
      <c r="Z207" s="23">
        <f>$D207*COS($E207+$F207*'25SolarCoords'!V$7)</f>
        <v>29.229659824077054</v>
      </c>
      <c r="AA207" s="23">
        <f>$D207*COS($E207+$F207*'25SolarCoords'!W$7)</f>
        <v>-8.4217887915089662</v>
      </c>
      <c r="AB207" s="23">
        <f>$D207*COS($E207+$F207*'25SolarCoords'!X$7)</f>
        <v>-12.640249793265211</v>
      </c>
      <c r="AC207" s="23">
        <f>$D207*COS($E207+$F207*'25SolarCoords'!Y$7)</f>
        <v>-25.06311724071324</v>
      </c>
      <c r="AD207" s="23">
        <f>$D207*COS($E207+$F207*'25SolarCoords'!Z$7)</f>
        <v>30.775455713560188</v>
      </c>
      <c r="AE207" s="23">
        <f>$D207*COS($E207+$F207*'25SolarCoords'!AA$7)</f>
        <v>-29.530537320117073</v>
      </c>
      <c r="AF207" s="23">
        <f>$D207*COS($E207+$F207*'25SolarCoords'!AB$7)</f>
        <v>-28.640104517319511</v>
      </c>
      <c r="AG207" s="23">
        <f>$D207*COS($E207+$F207*'25SolarCoords'!AC$7)</f>
        <v>27.930437897122271</v>
      </c>
      <c r="AH207" s="23">
        <f>$D207*COS($E207+$F207*'25SolarCoords'!AD$7)</f>
        <v>9.4051825585038635</v>
      </c>
      <c r="AI207" s="23">
        <f>$D207*COS($E207+$F207*'25SolarCoords'!AE$7)</f>
        <v>-25.901377626294583</v>
      </c>
      <c r="AJ207" s="23">
        <f>$D207*COS($E207+$F207*'25SolarCoords'!AF$7)</f>
        <v>-7.3172507514347052</v>
      </c>
      <c r="AK207" s="23">
        <f>$D207*COS($E207+$F207*'25SolarCoords'!AG$7)</f>
        <v>21.95698756603063</v>
      </c>
      <c r="AL207" s="23">
        <f>$D207*COS($E207+$F207*'25SolarCoords'!AH$7)</f>
        <v>-8.8340387729828667</v>
      </c>
      <c r="AM207" s="23">
        <f>$D207*COS($E207+$F207*'25SolarCoords'!AI$7)</f>
        <v>-17.140295271294274</v>
      </c>
      <c r="AN207" s="23">
        <f>$D207*COS($E207+$F207*'25SolarCoords'!AJ$7)</f>
        <v>-24.529601722901116</v>
      </c>
      <c r="AO207" s="23">
        <f>$D207*COS($E207+$F207*'25SolarCoords'!AK$7)</f>
        <v>27.314919617108661</v>
      </c>
      <c r="AP207" s="23">
        <f>$D207*COS($E207+$F207*'25SolarCoords'!AL$7)</f>
        <v>-12.352478203060327</v>
      </c>
      <c r="AQ207" s="23">
        <f>$D207*COS($E207+$F207*'25SolarCoords'!AM$7)</f>
        <v>28.645644229701659</v>
      </c>
      <c r="AR207" s="23">
        <f>$D207*COS($E207+$F207*'25SolarCoords'!AN$7)</f>
        <v>-12.98942485862135</v>
      </c>
      <c r="AS207" s="23">
        <f>$D207*COS($E207+$F207*'25SolarCoords'!AO$7)</f>
        <v>-1.4677448649053657</v>
      </c>
      <c r="AT207" s="23">
        <f>$D207*COS($E207+$F207*'25SolarCoords'!AP$7)</f>
        <v>-22.375458780338406</v>
      </c>
      <c r="AU207" s="23">
        <f>$D207*COS($E207+$F207*'25SolarCoords'!AQ$7)</f>
        <v>-24.527287616170103</v>
      </c>
      <c r="AV207" s="23">
        <f>$D207*COS($E207+$F207*'25SolarCoords'!AR$7)</f>
        <v>-26.364262528489434</v>
      </c>
      <c r="AW207" s="23">
        <f>$D207*COS($E207+$F207*'25SolarCoords'!AS$7)</f>
        <v>-28.0969109742665</v>
      </c>
      <c r="AX207" s="23">
        <f>$D207*COS($E207+$F207*'25SolarCoords'!AT$7)</f>
        <v>-30.284757070631148</v>
      </c>
      <c r="AY207" s="23">
        <f>$D207*COS($E207+$F207*'25SolarCoords'!AU$7)</f>
        <v>18.530663002179196</v>
      </c>
      <c r="AZ207" s="23">
        <f>$D207*COS($E207+$F207*'25SolarCoords'!AV$7)</f>
        <v>-25.760165627031995</v>
      </c>
      <c r="BA207" s="23">
        <f>$D207*COS($E207+$F207*'25SolarCoords'!AW$7)</f>
        <v>-30.862459768319681</v>
      </c>
      <c r="BB207" s="23">
        <f>$D207*COS($E207+$F207*'25SolarCoords'!AX$7)</f>
        <v>30.934179697370581</v>
      </c>
      <c r="BC207" s="23">
        <f>$D207*COS($E207+$F207*'25SolarCoords'!AY$7)</f>
        <v>-30.132449605958016</v>
      </c>
      <c r="BD207" s="23">
        <f>$D207*COS($E207+$F207*'25SolarCoords'!AZ$7)</f>
        <v>-30.019215774576651</v>
      </c>
      <c r="BE207" s="23">
        <f>$D207*COS($E207+$F207*'25SolarCoords'!BA$7)</f>
        <v>-29.899156551785314</v>
      </c>
      <c r="BF207" s="23">
        <f>$D207*COS($E207+$F207*'25SolarCoords'!BB$7)</f>
        <v>-29.772299235139517</v>
      </c>
      <c r="BG207" s="23">
        <f>$D207*COS($E207+$F207*'25SolarCoords'!BC$7)</f>
        <v>-29.63867266785838</v>
      </c>
      <c r="BH207" s="23">
        <f>$D207*COS($E207+$F207*'25SolarCoords'!BD$7)</f>
        <v>-29.498307232268676</v>
      </c>
      <c r="BI207" s="23">
        <f>$D207*COS($E207+$F207*'25SolarCoords'!BE$7)</f>
        <v>-29.351234842896805</v>
      </c>
      <c r="BJ207" s="23">
        <f>$D207*COS($E207+$F207*'25SolarCoords'!BF$7)</f>
        <v>-29.197488939211389</v>
      </c>
      <c r="BK207" s="23">
        <f>$D207*COS($E207+$F207*'25SolarCoords'!BG$7)</f>
        <v>-25.862487703093695</v>
      </c>
    </row>
    <row r="208" spans="2:63" x14ac:dyDescent="0.25">
      <c r="C208">
        <f t="shared" si="6"/>
        <v>6</v>
      </c>
      <c r="D208">
        <v>25</v>
      </c>
      <c r="E208">
        <v>1.32</v>
      </c>
      <c r="F208">
        <v>5223.6899999999996</v>
      </c>
      <c r="H208" s="7"/>
      <c r="I208" s="23">
        <f>$D208*COS($E208+$F208*'25SolarCoords'!E$7)</f>
        <v>20.976540426529453</v>
      </c>
      <c r="J208" s="23">
        <f>$D208*COS($E208+$F208*'25SolarCoords'!F$7)</f>
        <v>-19.909733319845895</v>
      </c>
      <c r="K208" s="23">
        <f>$D208*COS($E208+$F208*'25SolarCoords'!G$7)</f>
        <v>6.2043862913093228</v>
      </c>
      <c r="L208" s="23">
        <f>$D208*COS($E208+$F208*'25SolarCoords'!H$7)</f>
        <v>-18.022906948314805</v>
      </c>
      <c r="M208" s="23">
        <f>$D208*COS($E208+$F208*'25SolarCoords'!I$7)</f>
        <v>-24.245798231243295</v>
      </c>
      <c r="N208" s="23">
        <f>$D208*COS($E208+$F208*'25SolarCoords'!J$7)</f>
        <v>5.8268944358086179</v>
      </c>
      <c r="O208" s="23">
        <f>$D208*COS($E208+$F208*'25SolarCoords'!K$7)</f>
        <v>-6.462513976560313</v>
      </c>
      <c r="P208" s="23">
        <f>$D208*COS($E208+$F208*'25SolarCoords'!L$7)</f>
        <v>-18.167908922867614</v>
      </c>
      <c r="Q208" s="23">
        <f>$D208*COS($E208+$F208*'25SolarCoords'!M$7)</f>
        <v>22.373144285980839</v>
      </c>
      <c r="R208" s="23">
        <f>$D208*COS($E208+$F208*'25SolarCoords'!N$7)</f>
        <v>-12.679886114788941</v>
      </c>
      <c r="S208" s="23">
        <f>$D208*COS($E208+$F208*'25SolarCoords'!O$7)</f>
        <v>-24.992678719037851</v>
      </c>
      <c r="T208" s="23">
        <f>$D208*COS($E208+$F208*'25SolarCoords'!P$7)</f>
        <v>-22.211886544445189</v>
      </c>
      <c r="U208" s="23">
        <f>$D208*COS($E208+$F208*'25SolarCoords'!Q$7)</f>
        <v>23.394582953292733</v>
      </c>
      <c r="V208" s="23">
        <f>$D208*COS($E208+$F208*'25SolarCoords'!R$7)</f>
        <v>23.266134116373209</v>
      </c>
      <c r="W208" s="23">
        <f>$D208*COS($E208+$F208*'25SolarCoords'!S$7)</f>
        <v>-23.741008042317048</v>
      </c>
      <c r="X208" s="23">
        <f>$D208*COS($E208+$F208*'25SolarCoords'!T$7)</f>
        <v>0.85158100079560806</v>
      </c>
      <c r="Y208" s="23">
        <f>$D208*COS($E208+$F208*'25SolarCoords'!U$7)</f>
        <v>7.7992145053926194</v>
      </c>
      <c r="Z208" s="23">
        <f>$D208*COS($E208+$F208*'25SolarCoords'!V$7)</f>
        <v>24.076476806534838</v>
      </c>
      <c r="AA208" s="23">
        <f>$D208*COS($E208+$F208*'25SolarCoords'!W$7)</f>
        <v>-17.457670706516861</v>
      </c>
      <c r="AB208" s="23">
        <f>$D208*COS($E208+$F208*'25SolarCoords'!X$7)</f>
        <v>6.2337518693796774</v>
      </c>
      <c r="AC208" s="23">
        <f>$D208*COS($E208+$F208*'25SolarCoords'!Y$7)</f>
        <v>8.993618408984311</v>
      </c>
      <c r="AD208" s="23">
        <f>$D208*COS($E208+$F208*'25SolarCoords'!Z$7)</f>
        <v>6.1402548791568448</v>
      </c>
      <c r="AE208" s="23">
        <f>$D208*COS($E208+$F208*'25SolarCoords'!AA$7)</f>
        <v>6.3774043997860259</v>
      </c>
      <c r="AF208" s="23">
        <f>$D208*COS($E208+$F208*'25SolarCoords'!AB$7)</f>
        <v>-17.843235889015201</v>
      </c>
      <c r="AG208" s="23">
        <f>$D208*COS($E208+$F208*'25SolarCoords'!AC$7)</f>
        <v>-15.770308690718803</v>
      </c>
      <c r="AH208" s="23">
        <f>$D208*COS($E208+$F208*'25SolarCoords'!AD$7)</f>
        <v>-24.921272896889469</v>
      </c>
      <c r="AI208" s="23">
        <f>$D208*COS($E208+$F208*'25SolarCoords'!AE$7)</f>
        <v>7.9336010245128525</v>
      </c>
      <c r="AJ208" s="23">
        <f>$D208*COS($E208+$F208*'25SolarCoords'!AF$7)</f>
        <v>-16.379875365394224</v>
      </c>
      <c r="AK208" s="23">
        <f>$D208*COS($E208+$F208*'25SolarCoords'!AG$7)</f>
        <v>6.3804645485244711</v>
      </c>
      <c r="AL208" s="23">
        <f>$D208*COS($E208+$F208*'25SolarCoords'!AH$7)</f>
        <v>16.107495670650369</v>
      </c>
      <c r="AM208" s="23">
        <f>$D208*COS($E208+$F208*'25SolarCoords'!AI$7)</f>
        <v>2.3637277808876762</v>
      </c>
      <c r="AN208" s="23">
        <f>$D208*COS($E208+$F208*'25SolarCoords'!AJ$7)</f>
        <v>-12.839023057400963</v>
      </c>
      <c r="AO208" s="23">
        <f>$D208*COS($E208+$F208*'25SolarCoords'!AK$7)</f>
        <v>20.40061210401382</v>
      </c>
      <c r="AP208" s="23">
        <f>$D208*COS($E208+$F208*'25SolarCoords'!AL$7)</f>
        <v>-24.973590235977078</v>
      </c>
      <c r="AQ208" s="23">
        <f>$D208*COS($E208+$F208*'25SolarCoords'!AM$7)</f>
        <v>23.797572759182707</v>
      </c>
      <c r="AR208" s="23">
        <f>$D208*COS($E208+$F208*'25SolarCoords'!AN$7)</f>
        <v>-22.447928970905778</v>
      </c>
      <c r="AS208" s="23">
        <f>$D208*COS($E208+$F208*'25SolarCoords'!AO$7)</f>
        <v>-11.210008786319477</v>
      </c>
      <c r="AT208" s="23">
        <f>$D208*COS($E208+$F208*'25SolarCoords'!AP$7)</f>
        <v>19.321003892032635</v>
      </c>
      <c r="AU208" s="23">
        <f>$D208*COS($E208+$F208*'25SolarCoords'!AQ$7)</f>
        <v>17.624557903408522</v>
      </c>
      <c r="AV208" s="23">
        <f>$D208*COS($E208+$F208*'25SolarCoords'!AR$7)</f>
        <v>15.791194955490843</v>
      </c>
      <c r="AW208" s="23">
        <f>$D208*COS($E208+$F208*'25SolarCoords'!AS$7)</f>
        <v>13.533591251087021</v>
      </c>
      <c r="AX208" s="23">
        <f>$D208*COS($E208+$F208*'25SolarCoords'!AT$7)</f>
        <v>8.8635755134339078</v>
      </c>
      <c r="AY208" s="23">
        <f>$D208*COS($E208+$F208*'25SolarCoords'!AU$7)</f>
        <v>19.539893630065549</v>
      </c>
      <c r="AZ208" s="23">
        <f>$D208*COS($E208+$F208*'25SolarCoords'!AV$7)</f>
        <v>-3.0769002370765826</v>
      </c>
      <c r="BA208" s="23">
        <f>$D208*COS($E208+$F208*'25SolarCoords'!AW$7)</f>
        <v>10.761637117905078</v>
      </c>
      <c r="BB208" s="23">
        <f>$D208*COS($E208+$F208*'25SolarCoords'!AX$7)</f>
        <v>-7.9930811598287193</v>
      </c>
      <c r="BC208" s="23">
        <f>$D208*COS($E208+$F208*'25SolarCoords'!AY$7)</f>
        <v>-1.664398474876954</v>
      </c>
      <c r="BD208" s="23">
        <f>$D208*COS($E208+$F208*'25SolarCoords'!AZ$7)</f>
        <v>-2.0209649375630012</v>
      </c>
      <c r="BE208" s="23">
        <f>$D208*COS($E208+$F208*'25SolarCoords'!BA$7)</f>
        <v>-2.3771180428475724</v>
      </c>
      <c r="BF208" s="23">
        <f>$D208*COS($E208+$F208*'25SolarCoords'!BB$7)</f>
        <v>-2.732784945071177</v>
      </c>
      <c r="BG208" s="23">
        <f>$D208*COS($E208+$F208*'25SolarCoords'!BC$7)</f>
        <v>-3.0878928980207698</v>
      </c>
      <c r="BH208" s="23">
        <f>$D208*COS($E208+$F208*'25SolarCoords'!BD$7)</f>
        <v>-3.4423692698081618</v>
      </c>
      <c r="BI208" s="23">
        <f>$D208*COS($E208+$F208*'25SolarCoords'!BE$7)</f>
        <v>-3.7961415577232991</v>
      </c>
      <c r="BJ208" s="23">
        <f>$D208*COS($E208+$F208*'25SolarCoords'!BF$7)</f>
        <v>-4.1491374030678045</v>
      </c>
      <c r="BK208" s="23">
        <f>$D208*COS($E208+$F208*'25SolarCoords'!BG$7)</f>
        <v>7.9848340148962231</v>
      </c>
    </row>
    <row r="209" spans="2:63" x14ac:dyDescent="0.25">
      <c r="C209">
        <f t="shared" si="6"/>
        <v>7</v>
      </c>
      <c r="D209">
        <v>18</v>
      </c>
      <c r="E209">
        <v>1.42</v>
      </c>
      <c r="F209">
        <v>1577.34</v>
      </c>
      <c r="H209" s="7"/>
      <c r="I209" s="23">
        <f>$D209*COS($E209+$F209*'25SolarCoords'!E$7)</f>
        <v>-12.993414519338982</v>
      </c>
      <c r="J209" s="23">
        <f>$D209*COS($E209+$F209*'25SolarCoords'!F$7)</f>
        <v>1.9426560688908889</v>
      </c>
      <c r="K209" s="23">
        <f>$D209*COS($E209+$F209*'25SolarCoords'!G$7)</f>
        <v>2.7040584584103451</v>
      </c>
      <c r="L209" s="23">
        <f>$D209*COS($E209+$F209*'25SolarCoords'!H$7)</f>
        <v>17.774600977609552</v>
      </c>
      <c r="M209" s="23">
        <f>$D209*COS($E209+$F209*'25SolarCoords'!I$7)</f>
        <v>17.860315179158782</v>
      </c>
      <c r="N209" s="23">
        <f>$D209*COS($E209+$F209*'25SolarCoords'!J$7)</f>
        <v>15.839046036535912</v>
      </c>
      <c r="O209" s="23">
        <f>$D209*COS($E209+$F209*'25SolarCoords'!K$7)</f>
        <v>2.1404887391122771</v>
      </c>
      <c r="P209" s="23">
        <f>$D209*COS($E209+$F209*'25SolarCoords'!L$7)</f>
        <v>-8.7058283537163401</v>
      </c>
      <c r="Q209" s="23">
        <f>$D209*COS($E209+$F209*'25SolarCoords'!M$7)</f>
        <v>12.950027851277818</v>
      </c>
      <c r="R209" s="23">
        <f>$D209*COS($E209+$F209*'25SolarCoords'!N$7)</f>
        <v>6.7454372420485491</v>
      </c>
      <c r="S209" s="23">
        <f>$D209*COS($E209+$F209*'25SolarCoords'!O$7)</f>
        <v>16.651185301890568</v>
      </c>
      <c r="T209" s="23">
        <f>$D209*COS($E209+$F209*'25SolarCoords'!P$7)</f>
        <v>-9.8485103837210684</v>
      </c>
      <c r="U209" s="23">
        <f>$D209*COS($E209+$F209*'25SolarCoords'!Q$7)</f>
        <v>-17.791048946430784</v>
      </c>
      <c r="V209" s="23">
        <f>$D209*COS($E209+$F209*'25SolarCoords'!R$7)</f>
        <v>-17.779073229552612</v>
      </c>
      <c r="W209" s="23">
        <f>$D209*COS($E209+$F209*'25SolarCoords'!S$7)</f>
        <v>0.76736978952580626</v>
      </c>
      <c r="X209" s="23">
        <f>$D209*COS($E209+$F209*'25SolarCoords'!T$7)</f>
        <v>10.509634523598891</v>
      </c>
      <c r="Y209" s="23">
        <f>$D209*COS($E209+$F209*'25SolarCoords'!U$7)</f>
        <v>17.901305127006435</v>
      </c>
      <c r="Z209" s="23">
        <f>$D209*COS($E209+$F209*'25SolarCoords'!V$7)</f>
        <v>0.60276037167445828</v>
      </c>
      <c r="AA209" s="23">
        <f>$D209*COS($E209+$F209*'25SolarCoords'!W$7)</f>
        <v>17.674067727781985</v>
      </c>
      <c r="AB209" s="23">
        <f>$D209*COS($E209+$F209*'25SolarCoords'!X$7)</f>
        <v>-4.1943985911154442</v>
      </c>
      <c r="AC209" s="23">
        <f>$D209*COS($E209+$F209*'25SolarCoords'!Y$7)</f>
        <v>-17.899184385996385</v>
      </c>
      <c r="AD209" s="23">
        <f>$D209*COS($E209+$F209*'25SolarCoords'!Z$7)</f>
        <v>-2.42201976173041</v>
      </c>
      <c r="AE209" s="23">
        <f>$D209*COS($E209+$F209*'25SolarCoords'!AA$7)</f>
        <v>2.7424777504267608</v>
      </c>
      <c r="AF209" s="23">
        <f>$D209*COS($E209+$F209*'25SolarCoords'!AB$7)</f>
        <v>5.7565738218790647</v>
      </c>
      <c r="AG209" s="23">
        <f>$D209*COS($E209+$F209*'25SolarCoords'!AC$7)</f>
        <v>15.825888850844038</v>
      </c>
      <c r="AH209" s="23">
        <f>$D209*COS($E209+$F209*'25SolarCoords'!AD$7)</f>
        <v>-4.491537858165537</v>
      </c>
      <c r="AI209" s="23">
        <f>$D209*COS($E209+$F209*'25SolarCoords'!AE$7)</f>
        <v>-17.923415032664966</v>
      </c>
      <c r="AJ209" s="23">
        <f>$D209*COS($E209+$F209*'25SolarCoords'!AF$7)</f>
        <v>-17.452187008172352</v>
      </c>
      <c r="AK209" s="23">
        <f>$D209*COS($E209+$F209*'25SolarCoords'!AG$7)</f>
        <v>-15.429455779946448</v>
      </c>
      <c r="AL209" s="23">
        <f>$D209*COS($E209+$F209*'25SolarCoords'!AH$7)</f>
        <v>17.982559997100669</v>
      </c>
      <c r="AM209" s="23">
        <f>$D209*COS($E209+$F209*'25SolarCoords'!AI$7)</f>
        <v>-3.358451144715092</v>
      </c>
      <c r="AN209" s="23">
        <f>$D209*COS($E209+$F209*'25SolarCoords'!AJ$7)</f>
        <v>-17.070886311389273</v>
      </c>
      <c r="AO209" s="23">
        <f>$D209*COS($E209+$F209*'25SolarCoords'!AK$7)</f>
        <v>-17.512066506662599</v>
      </c>
      <c r="AP209" s="23">
        <f>$D209*COS($E209+$F209*'25SolarCoords'!AL$7)</f>
        <v>14.268536490468719</v>
      </c>
      <c r="AQ209" s="23">
        <f>$D209*COS($E209+$F209*'25SolarCoords'!AM$7)</f>
        <v>-16.497931108787252</v>
      </c>
      <c r="AR209" s="23">
        <f>$D209*COS($E209+$F209*'25SolarCoords'!AN$7)</f>
        <v>-4.6556669412914484</v>
      </c>
      <c r="AS209" s="23">
        <f>$D209*COS($E209+$F209*'25SolarCoords'!AO$7)</f>
        <v>-14.862431055499055</v>
      </c>
      <c r="AT209" s="23">
        <f>$D209*COS($E209+$F209*'25SolarCoords'!AP$7)</f>
        <v>16.420258698088862</v>
      </c>
      <c r="AU209" s="23">
        <f>$D209*COS($E209+$F209*'25SolarCoords'!AQ$7)</f>
        <v>16.637283289885126</v>
      </c>
      <c r="AV209" s="23">
        <f>$D209*COS($E209+$F209*'25SolarCoords'!AR$7)</f>
        <v>16.834663123949575</v>
      </c>
      <c r="AW209" s="23">
        <f>$D209*COS($E209+$F209*'25SolarCoords'!AS$7)</f>
        <v>17.0398449158109</v>
      </c>
      <c r="AX209" s="23">
        <f>$D209*COS($E209+$F209*'25SolarCoords'!AT$7)</f>
        <v>17.372601471023767</v>
      </c>
      <c r="AY209" s="23">
        <f>$D209*COS($E209+$F209*'25SolarCoords'!AU$7)</f>
        <v>-17.053680522014503</v>
      </c>
      <c r="AZ209" s="23">
        <f>$D209*COS($E209+$F209*'25SolarCoords'!AV$7)</f>
        <v>-11.467984972706702</v>
      </c>
      <c r="BA209" s="23">
        <f>$D209*COS($E209+$F209*'25SolarCoords'!AW$7)</f>
        <v>15.251159635742422</v>
      </c>
      <c r="BB209" s="23">
        <f>$D209*COS($E209+$F209*'25SolarCoords'!AX$7)</f>
        <v>-17.997073832523</v>
      </c>
      <c r="BC209" s="23">
        <f>$D209*COS($E209+$F209*'25SolarCoords'!AY$7)</f>
        <v>17.835628325346871</v>
      </c>
      <c r="BD209" s="23">
        <f>$D209*COS($E209+$F209*'25SolarCoords'!AZ$7)</f>
        <v>17.845943060507057</v>
      </c>
      <c r="BE209" s="23">
        <f>$D209*COS($E209+$F209*'25SolarCoords'!BA$7)</f>
        <v>17.85592497597673</v>
      </c>
      <c r="BF209" s="23">
        <f>$D209*COS($E209+$F209*'25SolarCoords'!BB$7)</f>
        <v>17.865573885597154</v>
      </c>
      <c r="BG209" s="23">
        <f>$D209*COS($E209+$F209*'25SolarCoords'!BC$7)</f>
        <v>17.874889609420048</v>
      </c>
      <c r="BH209" s="23">
        <f>$D209*COS($E209+$F209*'25SolarCoords'!BD$7)</f>
        <v>17.883871973710892</v>
      </c>
      <c r="BI209" s="23">
        <f>$D209*COS($E209+$F209*'25SolarCoords'!BE$7)</f>
        <v>17.892520810952163</v>
      </c>
      <c r="BJ209" s="23">
        <f>$D209*COS($E209+$F209*'25SolarCoords'!BF$7)</f>
        <v>17.90083595984655</v>
      </c>
      <c r="BK209" s="23">
        <f>$D209*COS($E209+$F209*'25SolarCoords'!BG$7)</f>
        <v>-17.922328471712291</v>
      </c>
    </row>
    <row r="210" spans="2:63" x14ac:dyDescent="0.25">
      <c r="C210">
        <f t="shared" si="6"/>
        <v>8</v>
      </c>
      <c r="D210">
        <v>10</v>
      </c>
      <c r="E210">
        <v>5.91</v>
      </c>
      <c r="F210">
        <v>10977.08</v>
      </c>
      <c r="H210" s="7"/>
      <c r="I210" s="23">
        <f>$D210*COS($E210+$F210*'25SolarCoords'!E$7)</f>
        <v>6.257217959918302</v>
      </c>
      <c r="J210" s="23">
        <f>$D210*COS($E210+$F210*'25SolarCoords'!F$7)</f>
        <v>2.3332572218980197</v>
      </c>
      <c r="K210" s="23">
        <f>$D210*COS($E210+$F210*'25SolarCoords'!G$7)</f>
        <v>9.3117076154478298</v>
      </c>
      <c r="L210" s="23">
        <f>$D210*COS($E210+$F210*'25SolarCoords'!H$7)</f>
        <v>3.5433648665236026</v>
      </c>
      <c r="M210" s="23">
        <f>$D210*COS($E210+$F210*'25SolarCoords'!I$7)</f>
        <v>-5.9809406658808895</v>
      </c>
      <c r="N210" s="23">
        <f>$D210*COS($E210+$F210*'25SolarCoords'!J$7)</f>
        <v>9.7099839268010744</v>
      </c>
      <c r="O210" s="23">
        <f>$D210*COS($E210+$F210*'25SolarCoords'!K$7)</f>
        <v>8.167081731777035</v>
      </c>
      <c r="P210" s="23">
        <f>$D210*COS($E210+$F210*'25SolarCoords'!L$7)</f>
        <v>2.4301262466980229</v>
      </c>
      <c r="Q210" s="23">
        <f>$D210*COS($E210+$F210*'25SolarCoords'!M$7)</f>
        <v>0.79441928012899343</v>
      </c>
      <c r="R210" s="23">
        <f>$D210*COS($E210+$F210*'25SolarCoords'!N$7)</f>
        <v>6.8479175354304092</v>
      </c>
      <c r="S210" s="23">
        <f>$D210*COS($E210+$F210*'25SolarCoords'!O$7)</f>
        <v>7.1068452170503926</v>
      </c>
      <c r="T210" s="23">
        <f>$D210*COS($E210+$F210*'25SolarCoords'!P$7)</f>
        <v>-5.7657998180733152</v>
      </c>
      <c r="U210" s="23">
        <f>$D210*COS($E210+$F210*'25SolarCoords'!Q$7)</f>
        <v>-0.37563141089802904</v>
      </c>
      <c r="V210" s="23">
        <f>$D210*COS($E210+$F210*'25SolarCoords'!R$7)</f>
        <v>-7.5183022909854638E-2</v>
      </c>
      <c r="W210" s="23">
        <f>$D210*COS($E210+$F210*'25SolarCoords'!S$7)</f>
        <v>0.39653307976197699</v>
      </c>
      <c r="X210" s="23">
        <f>$D210*COS($E210+$F210*'25SolarCoords'!T$7)</f>
        <v>7.5846451085076785</v>
      </c>
      <c r="Y210" s="23">
        <f>$D210*COS($E210+$F210*'25SolarCoords'!U$7)</f>
        <v>4.2704949003146702</v>
      </c>
      <c r="Z210" s="23">
        <f>$D210*COS($E210+$F210*'25SolarCoords'!V$7)</f>
        <v>0.58226947797995254</v>
      </c>
      <c r="AA210" s="23">
        <f>$D210*COS($E210+$F210*'25SolarCoords'!W$7)</f>
        <v>-3.0177939897063997</v>
      </c>
      <c r="AB210" s="23">
        <f>$D210*COS($E210+$F210*'25SolarCoords'!X$7)</f>
        <v>-9.5036713740670269</v>
      </c>
      <c r="AC210" s="23">
        <f>$D210*COS($E210+$F210*'25SolarCoords'!Y$7)</f>
        <v>9.8743557007346041</v>
      </c>
      <c r="AD210" s="23">
        <f>$D210*COS($E210+$F210*'25SolarCoords'!Z$7)</f>
        <v>3.6052955080600828</v>
      </c>
      <c r="AE210" s="23">
        <f>$D210*COS($E210+$F210*'25SolarCoords'!AA$7)</f>
        <v>9.2558731602209967</v>
      </c>
      <c r="AF210" s="23">
        <f>$D210*COS($E210+$F210*'25SolarCoords'!AB$7)</f>
        <v>-9.226174257837382</v>
      </c>
      <c r="AG210" s="23">
        <f>$D210*COS($E210+$F210*'25SolarCoords'!AC$7)</f>
        <v>9.907791869141132</v>
      </c>
      <c r="AH210" s="23">
        <f>$D210*COS($E210+$F210*'25SolarCoords'!AD$7)</f>
        <v>-9.9831088753712365</v>
      </c>
      <c r="AI210" s="23">
        <f>$D210*COS($E210+$F210*'25SolarCoords'!AE$7)</f>
        <v>9.9795374443136229</v>
      </c>
      <c r="AJ210" s="23">
        <f>$D210*COS($E210+$F210*'25SolarCoords'!AF$7)</f>
        <v>-5.6204415183941592</v>
      </c>
      <c r="AK210" s="23">
        <f>$D210*COS($E210+$F210*'25SolarCoords'!AG$7)</f>
        <v>-4.803837408254811</v>
      </c>
      <c r="AL210" s="23">
        <f>$D210*COS($E210+$F210*'25SolarCoords'!AH$7)</f>
        <v>-9.9992939052743637</v>
      </c>
      <c r="AM210" s="23">
        <f>$D210*COS($E210+$F210*'25SolarCoords'!AI$7)</f>
        <v>-7.9791252040546192</v>
      </c>
      <c r="AN210" s="23">
        <f>$D210*COS($E210+$F210*'25SolarCoords'!AJ$7)</f>
        <v>-2.2664173924023241</v>
      </c>
      <c r="AO210" s="23">
        <f>$D210*COS($E210+$F210*'25SolarCoords'!AK$7)</f>
        <v>9.9295583974098172</v>
      </c>
      <c r="AP210" s="23">
        <f>$D210*COS($E210+$F210*'25SolarCoords'!AL$7)</f>
        <v>-1.6738732017111704</v>
      </c>
      <c r="AQ210" s="23">
        <f>$D210*COS($E210+$F210*'25SolarCoords'!AM$7)</f>
        <v>-9.9974055404122328</v>
      </c>
      <c r="AR210" s="23">
        <f>$D210*COS($E210+$F210*'25SolarCoords'!AN$7)</f>
        <v>-7.9930504105031019</v>
      </c>
      <c r="AS210" s="23">
        <f>$D210*COS($E210+$F210*'25SolarCoords'!AO$7)</f>
        <v>-6.00318106078059</v>
      </c>
      <c r="AT210" s="23">
        <f>$D210*COS($E210+$F210*'25SolarCoords'!AP$7)</f>
        <v>-5.5828906471611361</v>
      </c>
      <c r="AU210" s="23">
        <f>$D210*COS($E210+$F210*'25SolarCoords'!AQ$7)</f>
        <v>-3.7117790405274933</v>
      </c>
      <c r="AV210" s="23">
        <f>$D210*COS($E210+$F210*'25SolarCoords'!AR$7)</f>
        <v>-1.7196481778552111</v>
      </c>
      <c r="AW210" s="23">
        <f>$D210*COS($E210+$F210*'25SolarCoords'!AS$7)</f>
        <v>0.61742820568126455</v>
      </c>
      <c r="AX210" s="23">
        <f>$D210*COS($E210+$F210*'25SolarCoords'!AT$7)</f>
        <v>4.8140352647907196</v>
      </c>
      <c r="AY210" s="23">
        <f>$D210*COS($E210+$F210*'25SolarCoords'!AU$7)</f>
        <v>-9.9917510309031226</v>
      </c>
      <c r="AZ210" s="23">
        <f>$D210*COS($E210+$F210*'25SolarCoords'!AV$7)</f>
        <v>6.5156995808470395</v>
      </c>
      <c r="BA210" s="23">
        <f>$D210*COS($E210+$F210*'25SolarCoords'!AW$7)</f>
        <v>-8.0852686214363398</v>
      </c>
      <c r="BB210" s="23">
        <f>$D210*COS($E210+$F210*'25SolarCoords'!AX$7)</f>
        <v>-4.0187627487892295</v>
      </c>
      <c r="BC210" s="23">
        <f>$D210*COS($E210+$F210*'25SolarCoords'!AY$7)</f>
        <v>9.8609904335621756</v>
      </c>
      <c r="BD210" s="23">
        <f>$D210*COS($E210+$F210*'25SolarCoords'!AZ$7)</f>
        <v>9.9064665828773748</v>
      </c>
      <c r="BE210" s="23">
        <f>$D210*COS($E210+$F210*'25SolarCoords'!BA$7)</f>
        <v>9.9429956938306212</v>
      </c>
      <c r="BF210" s="23">
        <f>$D210*COS($E210+$F210*'25SolarCoords'!BB$7)</f>
        <v>9.9705447751068963</v>
      </c>
      <c r="BG210" s="23">
        <f>$D210*COS($E210+$F210*'25SolarCoords'!BC$7)</f>
        <v>9.9890889457172864</v>
      </c>
      <c r="BH210" s="23">
        <f>$D210*COS($E210+$F210*'25SolarCoords'!BD$7)</f>
        <v>9.9986114574695844</v>
      </c>
      <c r="BI210" s="23">
        <f>$D210*COS($E210+$F210*'25SolarCoords'!BE$7)</f>
        <v>9.9991037100947366</v>
      </c>
      <c r="BJ210" s="23">
        <f>$D210*COS($E210+$F210*'25SolarCoords'!BF$7)</f>
        <v>9.9905652590141383</v>
      </c>
      <c r="BK210" s="23">
        <f>$D210*COS($E210+$F210*'25SolarCoords'!BG$7)</f>
        <v>9.9765297966611577</v>
      </c>
    </row>
    <row r="211" spans="2:63" x14ac:dyDescent="0.25">
      <c r="C211">
        <f t="shared" si="6"/>
        <v>9</v>
      </c>
      <c r="D211">
        <v>9</v>
      </c>
      <c r="E211">
        <v>1.42</v>
      </c>
      <c r="F211">
        <v>6275.96</v>
      </c>
      <c r="H211" s="7"/>
      <c r="I211" s="23">
        <f>$D211*COS($E211+$F211*'25SolarCoords'!E$7)</f>
        <v>8.8057792144102685</v>
      </c>
      <c r="J211" s="23">
        <f>$D211*COS($E211+$F211*'25SolarCoords'!F$7)</f>
        <v>-9.3869627758274246E-2</v>
      </c>
      <c r="K211" s="23">
        <f>$D211*COS($E211+$F211*'25SolarCoords'!G$7)</f>
        <v>1.3520292292051725</v>
      </c>
      <c r="L211" s="23">
        <f>$D211*COS($E211+$F211*'25SolarCoords'!H$7)</f>
        <v>1.3259558612491125</v>
      </c>
      <c r="M211" s="23">
        <f>$D211*COS($E211+$F211*'25SolarCoords'!I$7)</f>
        <v>-3.3849170725136264</v>
      </c>
      <c r="N211" s="23">
        <f>$D211*COS($E211+$F211*'25SolarCoords'!J$7)</f>
        <v>-2.5761384052603513</v>
      </c>
      <c r="O211" s="23">
        <f>$D211*COS($E211+$F211*'25SolarCoords'!K$7)</f>
        <v>-3.2886188469651119</v>
      </c>
      <c r="P211" s="23">
        <f>$D211*COS($E211+$F211*'25SolarCoords'!L$7)</f>
        <v>-2.5272743365408914</v>
      </c>
      <c r="Q211" s="23">
        <f>$D211*COS($E211+$F211*'25SolarCoords'!M$7)</f>
        <v>-4.9346686809136449</v>
      </c>
      <c r="R211" s="23">
        <f>$D211*COS($E211+$F211*'25SolarCoords'!N$7)</f>
        <v>-3.16465124266358</v>
      </c>
      <c r="S211" s="23">
        <f>$D211*COS($E211+$F211*'25SolarCoords'!O$7)</f>
        <v>-3.2615062034274303</v>
      </c>
      <c r="T211" s="23">
        <f>$D211*COS($E211+$F211*'25SolarCoords'!P$7)</f>
        <v>6.2091874222460124</v>
      </c>
      <c r="U211" s="23">
        <f>$D211*COS($E211+$F211*'25SolarCoords'!Q$7)</f>
        <v>-2.8350803041329518</v>
      </c>
      <c r="V211" s="23">
        <f>$D211*COS($E211+$F211*'25SolarCoords'!R$7)</f>
        <v>-2.6878983535089751</v>
      </c>
      <c r="W211" s="23">
        <f>$D211*COS($E211+$F211*'25SolarCoords'!S$7)</f>
        <v>0.61145446699653783</v>
      </c>
      <c r="X211" s="23">
        <f>$D211*COS($E211+$F211*'25SolarCoords'!T$7)</f>
        <v>6.2168137248780111</v>
      </c>
      <c r="Y211" s="23">
        <f>$D211*COS($E211+$F211*'25SolarCoords'!U$7)</f>
        <v>-4.7179479848170987</v>
      </c>
      <c r="Z211" s="23">
        <f>$D211*COS($E211+$F211*'25SolarCoords'!V$7)</f>
        <v>8.9288261727476428</v>
      </c>
      <c r="AA211" s="23">
        <f>$D211*COS($E211+$F211*'25SolarCoords'!W$7)</f>
        <v>-8.9785080810370648</v>
      </c>
      <c r="AB211" s="23">
        <f>$D211*COS($E211+$F211*'25SolarCoords'!X$7)</f>
        <v>-8.9710367332595577</v>
      </c>
      <c r="AC211" s="23">
        <f>$D211*COS($E211+$F211*'25SolarCoords'!Y$7)</f>
        <v>-6.4115247371778166</v>
      </c>
      <c r="AD211" s="23">
        <f>$D211*COS($E211+$F211*'25SolarCoords'!Z$7)</f>
        <v>4.1344527836439369</v>
      </c>
      <c r="AE211" s="23">
        <f>$D211*COS($E211+$F211*'25SolarCoords'!AA$7)</f>
        <v>1.4284228139168791</v>
      </c>
      <c r="AF211" s="23">
        <f>$D211*COS($E211+$F211*'25SolarCoords'!AB$7)</f>
        <v>1.1921424477878975</v>
      </c>
      <c r="AG211" s="23">
        <f>$D211*COS($E211+$F211*'25SolarCoords'!AC$7)</f>
        <v>6.6299964697498641</v>
      </c>
      <c r="AH211" s="23">
        <f>$D211*COS($E211+$F211*'25SolarCoords'!AD$7)</f>
        <v>-8.6470682696863186</v>
      </c>
      <c r="AI211" s="23">
        <f>$D211*COS($E211+$F211*'25SolarCoords'!AE$7)</f>
        <v>-6.7439448773638544</v>
      </c>
      <c r="AJ211" s="23">
        <f>$D211*COS($E211+$F211*'25SolarCoords'!AF$7)</f>
        <v>2.6778626210646386</v>
      </c>
      <c r="AK211" s="23">
        <f>$D211*COS($E211+$F211*'25SolarCoords'!AG$7)</f>
        <v>8.9548022696046861</v>
      </c>
      <c r="AL211" s="23">
        <f>$D211*COS($E211+$F211*'25SolarCoords'!AH$7)</f>
        <v>-7.180602580367629</v>
      </c>
      <c r="AM211" s="23">
        <f>$D211*COS($E211+$F211*'25SolarCoords'!AI$7)</f>
        <v>-8.9468220621801287</v>
      </c>
      <c r="AN211" s="23">
        <f>$D211*COS($E211+$F211*'25SolarCoords'!AJ$7)</f>
        <v>-8.3062859591569183</v>
      </c>
      <c r="AO211" s="23">
        <f>$D211*COS($E211+$F211*'25SolarCoords'!AK$7)</f>
        <v>-8.3262190324692202</v>
      </c>
      <c r="AP211" s="23">
        <f>$D211*COS($E211+$F211*'25SolarCoords'!AL$7)</f>
        <v>8.626558850909495</v>
      </c>
      <c r="AQ211" s="23">
        <f>$D211*COS($E211+$F211*'25SolarCoords'!AM$7)</f>
        <v>-6.644288149066881</v>
      </c>
      <c r="AR211" s="23">
        <f>$D211*COS($E211+$F211*'25SolarCoords'!AN$7)</f>
        <v>-8.9707457140287588</v>
      </c>
      <c r="AS211" s="23">
        <f>$D211*COS($E211+$F211*'25SolarCoords'!AO$7)</f>
        <v>-8.2270914253562815</v>
      </c>
      <c r="AT211" s="23">
        <f>$D211*COS($E211+$F211*'25SolarCoords'!AP$7)</f>
        <v>8.2014808873531244</v>
      </c>
      <c r="AU211" s="23">
        <f>$D211*COS($E211+$F211*'25SolarCoords'!AQ$7)</f>
        <v>8.5894950570674879</v>
      </c>
      <c r="AV211" s="23">
        <f>$D211*COS($E211+$F211*'25SolarCoords'!AR$7)</f>
        <v>8.8471142095798818</v>
      </c>
      <c r="AW211" s="23">
        <f>$D211*COS($E211+$F211*'25SolarCoords'!AS$7)</f>
        <v>8.9885481162468714</v>
      </c>
      <c r="AX211" s="23">
        <f>$D211*COS($E211+$F211*'25SolarCoords'!AT$7)</f>
        <v>8.8181213296734047</v>
      </c>
      <c r="AY211" s="23">
        <f>$D211*COS($E211+$F211*'25SolarCoords'!AU$7)</f>
        <v>-4.3024328313329017</v>
      </c>
      <c r="AZ211" s="23">
        <f>$D211*COS($E211+$F211*'25SolarCoords'!AV$7)</f>
        <v>7.0998106756649788</v>
      </c>
      <c r="BA211" s="23">
        <f>$D211*COS($E211+$F211*'25SolarCoords'!AW$7)</f>
        <v>-3.3657100090354346</v>
      </c>
      <c r="BB211" s="23">
        <f>$D211*COS($E211+$F211*'25SolarCoords'!AX$7)</f>
        <v>-8.356692565488828</v>
      </c>
      <c r="BC211" s="23">
        <f>$D211*COS($E211+$F211*'25SolarCoords'!AY$7)</f>
        <v>6.7848501891527766</v>
      </c>
      <c r="BD211" s="23">
        <f>$D211*COS($E211+$F211*'25SolarCoords'!AZ$7)</f>
        <v>6.6822494077001009</v>
      </c>
      <c r="BE211" s="23">
        <f>$D211*COS($E211+$F211*'25SolarCoords'!BA$7)</f>
        <v>6.5776757861755168</v>
      </c>
      <c r="BF211" s="23">
        <f>$D211*COS($E211+$F211*'25SolarCoords'!BB$7)</f>
        <v>6.471160198469045</v>
      </c>
      <c r="BG211" s="23">
        <f>$D211*COS($E211+$F211*'25SolarCoords'!BC$7)</f>
        <v>6.3627340918083668</v>
      </c>
      <c r="BH211" s="23">
        <f>$D211*COS($E211+$F211*'25SolarCoords'!BD$7)</f>
        <v>6.2524294774749771</v>
      </c>
      <c r="BI211" s="23">
        <f>$D211*COS($E211+$F211*'25SolarCoords'!BE$7)</f>
        <v>6.1402789213538682</v>
      </c>
      <c r="BJ211" s="23">
        <f>$D211*COS($E211+$F211*'25SolarCoords'!BF$7)</f>
        <v>6.0263155343178116</v>
      </c>
      <c r="BK211" s="23">
        <f>$D211*COS($E211+$F211*'25SolarCoords'!BG$7)</f>
        <v>-6.7284428587741631</v>
      </c>
    </row>
    <row r="212" spans="2:63" x14ac:dyDescent="0.25">
      <c r="C212">
        <f t="shared" si="6"/>
        <v>10</v>
      </c>
      <c r="D212">
        <v>9</v>
      </c>
      <c r="E212">
        <v>0.27</v>
      </c>
      <c r="F212">
        <v>5486.78</v>
      </c>
      <c r="H212" s="7"/>
      <c r="I212" s="23">
        <f>$D212*COS($E212+$F212*'25SolarCoords'!E$7)</f>
        <v>5.0258461840187234</v>
      </c>
      <c r="J212" s="23">
        <f>$D212*COS($E212+$F212*'25SolarCoords'!F$7)</f>
        <v>-8.2217536144193666</v>
      </c>
      <c r="K212" s="23">
        <f>$D212*COS($E212+$F212*'25SolarCoords'!G$7)</f>
        <v>8.6739380672930153</v>
      </c>
      <c r="L212" s="23">
        <f>$D212*COS($E212+$F212*'25SolarCoords'!H$7)</f>
        <v>4.3790291203966172</v>
      </c>
      <c r="M212" s="23">
        <f>$D212*COS($E212+$F212*'25SolarCoords'!I$7)</f>
        <v>0.1305927790679996</v>
      </c>
      <c r="N212" s="23">
        <f>$D212*COS($E212+$F212*'25SolarCoords'!J$7)</f>
        <v>7.4312239824430479</v>
      </c>
      <c r="O212" s="23">
        <f>$D212*COS($E212+$F212*'25SolarCoords'!K$7)</f>
        <v>-6.3655634142440487</v>
      </c>
      <c r="P212" s="23">
        <f>$D212*COS($E212+$F212*'25SolarCoords'!L$7)</f>
        <v>8.8451497347523222</v>
      </c>
      <c r="Q212" s="23">
        <f>$D212*COS($E212+$F212*'25SolarCoords'!M$7)</f>
        <v>-1.7224450845479398</v>
      </c>
      <c r="R212" s="23">
        <f>$D212*COS($E212+$F212*'25SolarCoords'!N$7)</f>
        <v>-1.7788534992026733E-2</v>
      </c>
      <c r="S212" s="23">
        <f>$D212*COS($E212+$F212*'25SolarCoords'!O$7)</f>
        <v>-6.469591756752199</v>
      </c>
      <c r="T212" s="23">
        <f>$D212*COS($E212+$F212*'25SolarCoords'!P$7)</f>
        <v>-1.4385947714969167</v>
      </c>
      <c r="U212" s="23">
        <f>$D212*COS($E212+$F212*'25SolarCoords'!Q$7)</f>
        <v>8.7301913995377092</v>
      </c>
      <c r="V212" s="23">
        <f>$D212*COS($E212+$F212*'25SolarCoords'!R$7)</f>
        <v>8.6963518350031439</v>
      </c>
      <c r="W212" s="23">
        <f>$D212*COS($E212+$F212*'25SolarCoords'!S$7)</f>
        <v>2.2932335685018947</v>
      </c>
      <c r="X212" s="23">
        <f>$D212*COS($E212+$F212*'25SolarCoords'!T$7)</f>
        <v>-8.834593640429576</v>
      </c>
      <c r="Y212" s="23">
        <f>$D212*COS($E212+$F212*'25SolarCoords'!U$7)</f>
        <v>8.9984116858006988</v>
      </c>
      <c r="Z212" s="23">
        <f>$D212*COS($E212+$F212*'25SolarCoords'!V$7)</f>
        <v>4.4547863467997262</v>
      </c>
      <c r="AA212" s="23">
        <f>$D212*COS($E212+$F212*'25SolarCoords'!W$7)</f>
        <v>8.0657482075597073</v>
      </c>
      <c r="AB212" s="23">
        <f>$D212*COS($E212+$F212*'25SolarCoords'!X$7)</f>
        <v>-2.7625982330428815</v>
      </c>
      <c r="AC212" s="23">
        <f>$D212*COS($E212+$F212*'25SolarCoords'!Y$7)</f>
        <v>8.2269093780807605</v>
      </c>
      <c r="AD212" s="23">
        <f>$D212*COS($E212+$F212*'25SolarCoords'!Z$7)</f>
        <v>-8.7794773664199433</v>
      </c>
      <c r="AE212" s="23">
        <f>$D212*COS($E212+$F212*'25SolarCoords'!AA$7)</f>
        <v>8.6917239890817353</v>
      </c>
      <c r="AF212" s="23">
        <f>$D212*COS($E212+$F212*'25SolarCoords'!AB$7)</f>
        <v>-2.9902937672052867</v>
      </c>
      <c r="AG212" s="23">
        <f>$D212*COS($E212+$F212*'25SolarCoords'!AC$7)</f>
        <v>-7.6169785035333115</v>
      </c>
      <c r="AH212" s="23">
        <f>$D212*COS($E212+$F212*'25SolarCoords'!AD$7)</f>
        <v>4.3640362241060879</v>
      </c>
      <c r="AI212" s="23">
        <f>$D212*COS($E212+$F212*'25SolarCoords'!AE$7)</f>
        <v>8.0450090483689678</v>
      </c>
      <c r="AJ212" s="23">
        <f>$D212*COS($E212+$F212*'25SolarCoords'!AF$7)</f>
        <v>7.351706192239174</v>
      </c>
      <c r="AK212" s="23">
        <f>$D212*COS($E212+$F212*'25SolarCoords'!AG$7)</f>
        <v>-0.58957367164204622</v>
      </c>
      <c r="AL212" s="23">
        <f>$D212*COS($E212+$F212*'25SolarCoords'!AH$7)</f>
        <v>-4.0455178518089463</v>
      </c>
      <c r="AM212" s="23">
        <f>$D212*COS($E212+$F212*'25SolarCoords'!AI$7)</f>
        <v>-1.3160186878783433</v>
      </c>
      <c r="AN212" s="23">
        <f>$D212*COS($E212+$F212*'25SolarCoords'!AJ$7)</f>
        <v>1.812280837132316</v>
      </c>
      <c r="AO212" s="23">
        <f>$D212*COS($E212+$F212*'25SolarCoords'!AK$7)</f>
        <v>6.7809137261349433</v>
      </c>
      <c r="AP212" s="23">
        <f>$D212*COS($E212+$F212*'25SolarCoords'!AL$7)</f>
        <v>8.3015649995034053</v>
      </c>
      <c r="AQ212" s="23">
        <f>$D212*COS($E212+$F212*'25SolarCoords'!AM$7)</f>
        <v>2.4189397171335703</v>
      </c>
      <c r="AR212" s="23">
        <f>$D212*COS($E212+$F212*'25SolarCoords'!AN$7)</f>
        <v>-1.2006390512087624</v>
      </c>
      <c r="AS212" s="23">
        <f>$D212*COS($E212+$F212*'25SolarCoords'!AO$7)</f>
        <v>-8.6638253297386179</v>
      </c>
      <c r="AT212" s="23">
        <f>$D212*COS($E212+$F212*'25SolarCoords'!AP$7)</f>
        <v>7.0823847310651979</v>
      </c>
      <c r="AU212" s="23">
        <f>$D212*COS($E212+$F212*'25SolarCoords'!AQ$7)</f>
        <v>7.6301326104957141</v>
      </c>
      <c r="AV212" s="23">
        <f>$D212*COS($E212+$F212*'25SolarCoords'!AR$7)</f>
        <v>8.0831858572862156</v>
      </c>
      <c r="AW212" s="23">
        <f>$D212*COS($E212+$F212*'25SolarCoords'!AS$7)</f>
        <v>8.4906921633913282</v>
      </c>
      <c r="AX212" s="23">
        <f>$D212*COS($E212+$F212*'25SolarCoords'!AT$7)</f>
        <v>8.937560038122669</v>
      </c>
      <c r="AY212" s="23">
        <f>$D212*COS($E212+$F212*'25SolarCoords'!AU$7)</f>
        <v>4.180529433224474</v>
      </c>
      <c r="AZ212" s="23">
        <f>$D212*COS($E212+$F212*'25SolarCoords'!AV$7)</f>
        <v>8.9959155528340435</v>
      </c>
      <c r="BA212" s="23">
        <f>$D212*COS($E212+$F212*'25SolarCoords'!AW$7)</f>
        <v>-2.2823870444686132</v>
      </c>
      <c r="BB212" s="23">
        <f>$D212*COS($E212+$F212*'25SolarCoords'!AX$7)</f>
        <v>-0.42145421077444312</v>
      </c>
      <c r="BC212" s="23">
        <f>$D212*COS($E212+$F212*'25SolarCoords'!AY$7)</f>
        <v>8.5061911710901494</v>
      </c>
      <c r="BD212" s="23">
        <f>$D212*COS($E212+$F212*'25SolarCoords'!AZ$7)</f>
        <v>8.4610656206551802</v>
      </c>
      <c r="BE212" s="23">
        <f>$D212*COS($E212+$F212*'25SolarCoords'!BA$7)</f>
        <v>8.4140307817894424</v>
      </c>
      <c r="BF212" s="23">
        <f>$D212*COS($E212+$F212*'25SolarCoords'!BB$7)</f>
        <v>8.3650972681767435</v>
      </c>
      <c r="BG212" s="23">
        <f>$D212*COS($E212+$F212*'25SolarCoords'!BC$7)</f>
        <v>8.3142761219475734</v>
      </c>
      <c r="BH212" s="23">
        <f>$D212*COS($E212+$F212*'25SolarCoords'!BD$7)</f>
        <v>8.2615788111876363</v>
      </c>
      <c r="BI212" s="23">
        <f>$D212*COS($E212+$F212*'25SolarCoords'!BE$7)</f>
        <v>8.2070172273503204</v>
      </c>
      <c r="BJ212" s="23">
        <f>$D212*COS($E212+$F212*'25SolarCoords'!BF$7)</f>
        <v>8.1506036825727293</v>
      </c>
      <c r="BK212" s="23">
        <f>$D212*COS($E212+$F212*'25SolarCoords'!BG$7)</f>
        <v>8.0541495561156609</v>
      </c>
    </row>
    <row r="213" spans="2:63" x14ac:dyDescent="0.25">
      <c r="B213">
        <v>421</v>
      </c>
      <c r="C213" s="342" t="s">
        <v>810</v>
      </c>
      <c r="D213" s="342"/>
      <c r="E213" s="342"/>
      <c r="F213" s="342"/>
      <c r="H213" s="7"/>
    </row>
    <row r="214" spans="2:63" x14ac:dyDescent="0.25">
      <c r="C214" s="19"/>
      <c r="D214" s="19" t="s">
        <v>783</v>
      </c>
      <c r="E214" s="19" t="s">
        <v>781</v>
      </c>
      <c r="F214" s="19" t="s">
        <v>782</v>
      </c>
      <c r="H214" s="7"/>
    </row>
    <row r="215" spans="2:63" x14ac:dyDescent="0.25">
      <c r="C215">
        <f t="shared" ref="C215:C220" si="7">C214+1</f>
        <v>1</v>
      </c>
      <c r="D215">
        <v>4359</v>
      </c>
      <c r="E215">
        <v>5.7846000000000002</v>
      </c>
      <c r="F215">
        <v>6283.0757999999996</v>
      </c>
      <c r="H215" s="7"/>
      <c r="I215" s="23">
        <f>$D215*COS($E215+$F215*'25SolarCoords'!E$7)</f>
        <v>-1857.6362930427722</v>
      </c>
      <c r="J215" s="23">
        <f>$D215*COS($E215+$F215*'25SolarCoords'!F$7)</f>
        <v>4067.5550181676645</v>
      </c>
      <c r="K215" s="23">
        <f>$D215*COS($E215+$F215*'25SolarCoords'!G$7)</f>
        <v>3828.3350059009913</v>
      </c>
      <c r="L215" s="23">
        <f>$D215*COS($E215+$F215*'25SolarCoords'!H$7)</f>
        <v>3819.565630949488</v>
      </c>
      <c r="M215" s="23">
        <f>$D215*COS($E215+$F215*'25SolarCoords'!I$7)</f>
        <v>4352.5973229662131</v>
      </c>
      <c r="N215" s="23">
        <f>$D215*COS($E215+$F215*'25SolarCoords'!J$7)</f>
        <v>-3256.0668084192212</v>
      </c>
      <c r="O215" s="23">
        <f>$D215*COS($E215+$F215*'25SolarCoords'!K$7)</f>
        <v>4351.5134701795259</v>
      </c>
      <c r="P215" s="23">
        <f>$D215*COS($E215+$F215*'25SolarCoords'!L$7)</f>
        <v>-3292.8719751112058</v>
      </c>
      <c r="Q215" s="23">
        <f>$D215*COS($E215+$F215*'25SolarCoords'!M$7)</f>
        <v>3868.3548710231648</v>
      </c>
      <c r="R215" s="23">
        <f>$D215*COS($E215+$F215*'25SolarCoords'!N$7)</f>
        <v>3994.6355327033184</v>
      </c>
      <c r="S215" s="23">
        <f>$D215*COS($E215+$F215*'25SolarCoords'!O$7)</f>
        <v>3986.9027849480831</v>
      </c>
      <c r="T215" s="23">
        <f>$D215*COS($E215+$F215*'25SolarCoords'!P$7)</f>
        <v>25.830084722732717</v>
      </c>
      <c r="U215" s="23">
        <f>$D215*COS($E215+$F215*'25SolarCoords'!Q$7)</f>
        <v>4351.2120983286277</v>
      </c>
      <c r="V215" s="23">
        <f>$D215*COS($E215+$F215*'25SolarCoords'!R$7)</f>
        <v>4355.0483985850542</v>
      </c>
      <c r="W215" s="23">
        <f>$D215*COS($E215+$F215*'25SolarCoords'!S$7)</f>
        <v>-4242.2347351425742</v>
      </c>
      <c r="X215" s="23">
        <f>$D215*COS($E215+$F215*'25SolarCoords'!T$7)</f>
        <v>2131.4189046483211</v>
      </c>
      <c r="Y215" s="23">
        <f>$D215*COS($E215+$F215*'25SolarCoords'!U$7)</f>
        <v>-2892.0752265408705</v>
      </c>
      <c r="Z215" s="23">
        <f>$D215*COS($E215+$F215*'25SolarCoords'!V$7)</f>
        <v>3905.7873747464923</v>
      </c>
      <c r="AA215" s="23">
        <f>$D215*COS($E215+$F215*'25SolarCoords'!W$7)</f>
        <v>1573.2262752651952</v>
      </c>
      <c r="AB215" s="23">
        <f>$D215*COS($E215+$F215*'25SolarCoords'!X$7)</f>
        <v>1381.4942426434807</v>
      </c>
      <c r="AC215" s="23">
        <f>$D215*COS($E215+$F215*'25SolarCoords'!Y$7)</f>
        <v>4186.4231323502554</v>
      </c>
      <c r="AD215" s="23">
        <f>$D215*COS($E215+$F215*'25SolarCoords'!Z$7)</f>
        <v>3800.0197684603859</v>
      </c>
      <c r="AE215" s="23">
        <f>$D215*COS($E215+$F215*'25SolarCoords'!AA$7)</f>
        <v>3810.26554937016</v>
      </c>
      <c r="AF215" s="23">
        <f>$D215*COS($E215+$F215*'25SolarCoords'!AB$7)</f>
        <v>-3741.5320427272563</v>
      </c>
      <c r="AG215" s="23">
        <f>$D215*COS($E215+$F215*'25SolarCoords'!AC$7)</f>
        <v>1055.2230956938192</v>
      </c>
      <c r="AH215" s="23">
        <f>$D215*COS($E215+$F215*'25SolarCoords'!AD$7)</f>
        <v>651.53321997750265</v>
      </c>
      <c r="AI215" s="23">
        <f>$D215*COS($E215+$F215*'25SolarCoords'!AE$7)</f>
        <v>4114.4783336855298</v>
      </c>
      <c r="AJ215" s="23">
        <f>$D215*COS($E215+$F215*'25SolarCoords'!AF$7)</f>
        <v>3334.1051477402912</v>
      </c>
      <c r="AK215" s="23">
        <f>$D215*COS($E215+$F215*'25SolarCoords'!AG$7)</f>
        <v>-1283.5569883528403</v>
      </c>
      <c r="AL215" s="23">
        <f>$D215*COS($E215+$F215*'25SolarCoords'!AH$7)</f>
        <v>3797.8387259657457</v>
      </c>
      <c r="AM215" s="23">
        <f>$D215*COS($E215+$F215*'25SolarCoords'!AI$7)</f>
        <v>2134.4795872934997</v>
      </c>
      <c r="AN215" s="23">
        <f>$D215*COS($E215+$F215*'25SolarCoords'!AJ$7)</f>
        <v>0.26010045901249507</v>
      </c>
      <c r="AO215" s="23">
        <f>$D215*COS($E215+$F215*'25SolarCoords'!AK$7)</f>
        <v>3903.0771526612293</v>
      </c>
      <c r="AP215" s="23">
        <f>$D215*COS($E215+$F215*'25SolarCoords'!AL$7)</f>
        <v>-2817.8770890244332</v>
      </c>
      <c r="AQ215" s="23">
        <f>$D215*COS($E215+$F215*'25SolarCoords'!AM$7)</f>
        <v>-4334.5493434158752</v>
      </c>
      <c r="AR215" s="23">
        <f>$D215*COS($E215+$F215*'25SolarCoords'!AN$7)</f>
        <v>1803.5737625584636</v>
      </c>
      <c r="AS215" s="23">
        <f>$D215*COS($E215+$F215*'25SolarCoords'!AO$7)</f>
        <v>4358.3440843349654</v>
      </c>
      <c r="AT215" s="23">
        <f>$D215*COS($E215+$F215*'25SolarCoords'!AP$7)</f>
        <v>-2498.7490519156222</v>
      </c>
      <c r="AU215" s="23">
        <f>$D215*COS($E215+$F215*'25SolarCoords'!AQ$7)</f>
        <v>-2047.9301068315103</v>
      </c>
      <c r="AV215" s="23">
        <f>$D215*COS($E215+$F215*'25SolarCoords'!AR$7)</f>
        <v>-1577.6651823216791</v>
      </c>
      <c r="AW215" s="23">
        <f>$D215*COS($E215+$F215*'25SolarCoords'!AS$7)</f>
        <v>-1019.4401694439354</v>
      </c>
      <c r="AX215" s="23">
        <f>$D215*COS($E215+$F215*'25SolarCoords'!AT$7)</f>
        <v>70.012371938007774</v>
      </c>
      <c r="AY215" s="23">
        <f>$D215*COS($E215+$F215*'25SolarCoords'!AU$7)</f>
        <v>-2223.8830757612081</v>
      </c>
      <c r="AZ215" s="23">
        <f>$D215*COS($E215+$F215*'25SolarCoords'!AV$7)</f>
        <v>-3728.4774788742552</v>
      </c>
      <c r="BA215" s="23">
        <f>$D215*COS($E215+$F215*'25SolarCoords'!AW$7)</f>
        <v>3967.6886183965321</v>
      </c>
      <c r="BB215" s="23">
        <f>$D215*COS($E215+$F215*'25SolarCoords'!AX$7)</f>
        <v>1168.3585868920259</v>
      </c>
      <c r="BC215" s="23">
        <f>$D215*COS($E215+$F215*'25SolarCoords'!AY$7)</f>
        <v>2211.6106033123874</v>
      </c>
      <c r="BD215" s="23">
        <f>$D215*COS($E215+$F215*'25SolarCoords'!AZ$7)</f>
        <v>2275.8962428553345</v>
      </c>
      <c r="BE215" s="23">
        <f>$D215*COS($E215+$F215*'25SolarCoords'!BA$7)</f>
        <v>2339.5084315590288</v>
      </c>
      <c r="BF215" s="23">
        <f>$D215*COS($E215+$F215*'25SolarCoords'!BB$7)</f>
        <v>2402.4283462095373</v>
      </c>
      <c r="BG215" s="23">
        <f>$D215*COS($E215+$F215*'25SolarCoords'!BC$7)</f>
        <v>2464.6373684408159</v>
      </c>
      <c r="BH215" s="23">
        <f>$D215*COS($E215+$F215*'25SolarCoords'!BD$7)</f>
        <v>2526.1170902440931</v>
      </c>
      <c r="BI215" s="23">
        <f>$D215*COS($E215+$F215*'25SolarCoords'!BE$7)</f>
        <v>2586.8493194145026</v>
      </c>
      <c r="BJ215" s="23">
        <f>$D215*COS($E215+$F215*'25SolarCoords'!BF$7)</f>
        <v>2646.8160849348665</v>
      </c>
      <c r="BK215" s="23">
        <f>$D215*COS($E215+$F215*'25SolarCoords'!BG$7)</f>
        <v>4118.2072582180881</v>
      </c>
    </row>
    <row r="216" spans="2:63" x14ac:dyDescent="0.25">
      <c r="C216">
        <f t="shared" si="7"/>
        <v>2</v>
      </c>
      <c r="D216">
        <v>124</v>
      </c>
      <c r="E216">
        <v>5.5789999999999997</v>
      </c>
      <c r="F216">
        <v>12566.152</v>
      </c>
      <c r="H216" s="7"/>
      <c r="I216" s="23">
        <f>$D216*COS($E216+$F216*'25SolarCoords'!E$7)</f>
        <v>-103.20731054315399</v>
      </c>
      <c r="J216" s="23">
        <f>$D216*COS($E216+$F216*'25SolarCoords'!F$7)</f>
        <v>64.069795298098299</v>
      </c>
      <c r="K216" s="23">
        <f>$D216*COS($E216+$F216*'25SolarCoords'!G$7)</f>
        <v>94.505266685275515</v>
      </c>
      <c r="L216" s="23">
        <f>$D216*COS($E216+$F216*'25SolarCoords'!H$7)</f>
        <v>93.829017904016823</v>
      </c>
      <c r="M216" s="23">
        <f>$D216*COS($E216+$F216*'25SolarCoords'!I$7)</f>
        <v>121.89398070476507</v>
      </c>
      <c r="N216" s="23">
        <f>$D216*COS($E216+$F216*'25SolarCoords'!J$7)</f>
        <v>49.335068407386167</v>
      </c>
      <c r="O216" s="23">
        <f>$D216*COS($E216+$F216*'25SolarCoords'!K$7)</f>
        <v>122.0899420803016</v>
      </c>
      <c r="P216" s="23">
        <f>$D216*COS($E216+$F216*'25SolarCoords'!L$7)</f>
        <v>52.229186322900226</v>
      </c>
      <c r="Q216" s="23">
        <f>$D216*COS($E216+$F216*'25SolarCoords'!M$7)</f>
        <v>97.56839561707335</v>
      </c>
      <c r="R216" s="23">
        <f>$D216*COS($E216+$F216*'25SolarCoords'!N$7)</f>
        <v>106.9423538521269</v>
      </c>
      <c r="S216" s="23">
        <f>$D216*COS($E216+$F216*'25SolarCoords'!O$7)</f>
        <v>106.38464259308984</v>
      </c>
      <c r="T216" s="23">
        <f>$D216*COS($E216+$F216*'25SolarCoords'!P$7)</f>
        <v>-119.14792987621459</v>
      </c>
      <c r="U216" s="23">
        <f>$D216*COS($E216+$F216*'25SolarCoords'!Q$7)</f>
        <v>122.15829147614551</v>
      </c>
      <c r="V216" s="23">
        <f>$D216*COS($E216+$F216*'25SolarCoords'!R$7)</f>
        <v>121.35360929444265</v>
      </c>
      <c r="W216" s="23">
        <f>$D216*COS($E216+$F216*'25SolarCoords'!S$7)</f>
        <v>90.242102324814596</v>
      </c>
      <c r="X216" s="23">
        <f>$D216*COS($E216+$F216*'25SolarCoords'!T$7)</f>
        <v>-92.399056658398663</v>
      </c>
      <c r="Y216" s="23">
        <f>$D216*COS($E216+$F216*'25SolarCoords'!U$7)</f>
        <v>-49.618718313853222</v>
      </c>
      <c r="Z216" s="23">
        <f>$D216*COS($E216+$F216*'25SolarCoords'!V$7)</f>
        <v>43.726892159468022</v>
      </c>
      <c r="AA216" s="23">
        <f>$D216*COS($E216+$F216*'25SolarCoords'!W$7)</f>
        <v>-111.89614536420466</v>
      </c>
      <c r="AB216" s="23">
        <f>$D216*COS($E216+$F216*'25SolarCoords'!X$7)</f>
        <v>-116.39704069055453</v>
      </c>
      <c r="AC216" s="23">
        <f>$D216*COS($E216+$F216*'25SolarCoords'!Y$7)</f>
        <v>81.124255418806996</v>
      </c>
      <c r="AD216" s="23">
        <f>$D216*COS($E216+$F216*'25SolarCoords'!Z$7)</f>
        <v>92.318352786834652</v>
      </c>
      <c r="AE216" s="23">
        <f>$D216*COS($E216+$F216*'25SolarCoords'!AA$7)</f>
        <v>93.110379170824075</v>
      </c>
      <c r="AF216" s="23">
        <f>$D216*COS($E216+$F216*'25SolarCoords'!AB$7)</f>
        <v>87.755620455702754</v>
      </c>
      <c r="AG216" s="23">
        <f>$D216*COS($E216+$F216*'25SolarCoords'!AC$7)</f>
        <v>-87.97928109208739</v>
      </c>
      <c r="AH216" s="23">
        <f>$D216*COS($E216+$F216*'25SolarCoords'!AD$7)</f>
        <v>-123.99689146603629</v>
      </c>
      <c r="AI216" s="23">
        <f>$D216*COS($E216+$F216*'25SolarCoords'!AE$7)</f>
        <v>70.50079626100846</v>
      </c>
      <c r="AJ216" s="23">
        <f>$D216*COS($E216+$F216*'25SolarCoords'!AF$7)</f>
        <v>55.481521991339818</v>
      </c>
      <c r="AK216" s="23">
        <f>$D216*COS($E216+$F216*'25SolarCoords'!AG$7)</f>
        <v>-118.28442153677675</v>
      </c>
      <c r="AL216" s="23">
        <f>$D216*COS($E216+$F216*'25SolarCoords'!AH$7)</f>
        <v>30.89003527801232</v>
      </c>
      <c r="AM216" s="23">
        <f>$D216*COS($E216+$F216*'25SolarCoords'!AI$7)</f>
        <v>-92.364860381571276</v>
      </c>
      <c r="AN216" s="23">
        <f>$D216*COS($E216+$F216*'25SolarCoords'!AJ$7)</f>
        <v>-118.72022653543897</v>
      </c>
      <c r="AO216" s="23">
        <f>$D216*COS($E216+$F216*'25SolarCoords'!AK$7)</f>
        <v>100.19590453228291</v>
      </c>
      <c r="AP216" s="23">
        <f>$D216*COS($E216+$F216*'25SolarCoords'!AL$7)</f>
        <v>-54.819724376184496</v>
      </c>
      <c r="AQ216" s="23">
        <f>$D216*COS($E216+$F216*'25SolarCoords'!AM$7)</f>
        <v>108.55952555209929</v>
      </c>
      <c r="AR216" s="23">
        <f>$D216*COS($E216+$F216*'25SolarCoords'!AN$7)</f>
        <v>-105.0482920381906</v>
      </c>
      <c r="AS216" s="23">
        <f>$D216*COS($E216+$F216*'25SolarCoords'!AO$7)</f>
        <v>119.91200622679681</v>
      </c>
      <c r="AT216" s="23">
        <f>$D216*COS($E216+$F216*'25SolarCoords'!AP$7)</f>
        <v>-74.338754631320484</v>
      </c>
      <c r="AU216" s="23">
        <f>$D216*COS($E216+$F216*'25SolarCoords'!AQ$7)</f>
        <v>-96.014515669286254</v>
      </c>
      <c r="AV216" s="23">
        <f>$D216*COS($E216+$F216*'25SolarCoords'!AR$7)</f>
        <v>-111.77992259545756</v>
      </c>
      <c r="AW216" s="23">
        <f>$D216*COS($E216+$F216*'25SolarCoords'!AS$7)</f>
        <v>-122.01614347769147</v>
      </c>
      <c r="AX216" s="23">
        <f>$D216*COS($E216+$F216*'25SolarCoords'!AT$7)</f>
        <v>-117.5039792636335</v>
      </c>
      <c r="AY216" s="23">
        <f>$D216*COS($E216+$F216*'25SolarCoords'!AU$7)</f>
        <v>-25.488605562749321</v>
      </c>
      <c r="AZ216" s="23">
        <f>$D216*COS($E216+$F216*'25SolarCoords'!AV$7)</f>
        <v>23.257442902136354</v>
      </c>
      <c r="BA216" s="23">
        <f>$D216*COS($E216+$F216*'25SolarCoords'!AW$7)</f>
        <v>104.99638993114874</v>
      </c>
      <c r="BB216" s="23">
        <f>$D216*COS($E216+$F216*'25SolarCoords'!AX$7)</f>
        <v>-120.15327894482186</v>
      </c>
      <c r="BC216" s="23">
        <f>$D216*COS($E216+$F216*'25SolarCoords'!AY$7)</f>
        <v>-26.279380450752083</v>
      </c>
      <c r="BD216" s="23">
        <f>$D216*COS($E216+$F216*'25SolarCoords'!AZ$7)</f>
        <v>-22.095430871266309</v>
      </c>
      <c r="BE216" s="23">
        <f>$D216*COS($E216+$F216*'25SolarCoords'!BA$7)</f>
        <v>-17.885330562502787</v>
      </c>
      <c r="BF216" s="23">
        <f>$D216*COS($E216+$F216*'25SolarCoords'!BB$7)</f>
        <v>-13.654062328103048</v>
      </c>
      <c r="BG216" s="23">
        <f>$D216*COS($E216+$F216*'25SolarCoords'!BC$7)</f>
        <v>-9.4066340247024343</v>
      </c>
      <c r="BH216" s="23">
        <f>$D216*COS($E216+$F216*'25SolarCoords'!BD$7)</f>
        <v>-5.1480726349463799</v>
      </c>
      <c r="BI216" s="23">
        <f>$D216*COS($E216+$F216*'25SolarCoords'!BE$7)</f>
        <v>-0.88341831791264447</v>
      </c>
      <c r="BJ216" s="23">
        <f>$D216*COS($E216+$F216*'25SolarCoords'!BF$7)</f>
        <v>3.3822815561668418</v>
      </c>
      <c r="BK216" s="23">
        <f>$D216*COS($E216+$F216*'25SolarCoords'!BG$7)</f>
        <v>71.030328906825559</v>
      </c>
    </row>
    <row r="217" spans="2:63" x14ac:dyDescent="0.25">
      <c r="C217">
        <f t="shared" si="7"/>
        <v>3</v>
      </c>
      <c r="D217">
        <v>12</v>
      </c>
      <c r="E217">
        <v>3.14</v>
      </c>
      <c r="F217">
        <v>0</v>
      </c>
      <c r="H217" s="7"/>
      <c r="I217" s="23">
        <f>$D217*COS($E217+$F217*'25SolarCoords'!E$7)</f>
        <v>-11.999984780730474</v>
      </c>
      <c r="J217" s="23">
        <f>$D217*COS($E217+$F217*'25SolarCoords'!F$7)</f>
        <v>-11.999984780730474</v>
      </c>
      <c r="K217" s="23">
        <f>$D217*COS($E217+$F217*'25SolarCoords'!G$7)</f>
        <v>-11.999984780730474</v>
      </c>
      <c r="L217" s="23">
        <f>$D217*COS($E217+$F217*'25SolarCoords'!H$7)</f>
        <v>-11.999984780730474</v>
      </c>
      <c r="M217" s="23">
        <f>$D217*COS($E217+$F217*'25SolarCoords'!I$7)</f>
        <v>-11.999984780730474</v>
      </c>
      <c r="N217" s="23">
        <f>$D217*COS($E217+$F217*'25SolarCoords'!J$7)</f>
        <v>-11.999984780730474</v>
      </c>
      <c r="O217" s="23">
        <f>$D217*COS($E217+$F217*'25SolarCoords'!K$7)</f>
        <v>-11.999984780730474</v>
      </c>
      <c r="P217" s="23">
        <f>$D217*COS($E217+$F217*'25SolarCoords'!L$7)</f>
        <v>-11.999984780730474</v>
      </c>
      <c r="Q217" s="23">
        <f>$D217*COS($E217+$F217*'25SolarCoords'!M$7)</f>
        <v>-11.999984780730474</v>
      </c>
      <c r="R217" s="23">
        <f>$D217*COS($E217+$F217*'25SolarCoords'!N$7)</f>
        <v>-11.999984780730474</v>
      </c>
      <c r="S217" s="23">
        <f>$D217*COS($E217+$F217*'25SolarCoords'!O$7)</f>
        <v>-11.999984780730474</v>
      </c>
      <c r="T217" s="23">
        <f>$D217*COS($E217+$F217*'25SolarCoords'!P$7)</f>
        <v>-11.999984780730474</v>
      </c>
      <c r="U217" s="23">
        <f>$D217*COS($E217+$F217*'25SolarCoords'!Q$7)</f>
        <v>-11.999984780730474</v>
      </c>
      <c r="V217" s="23">
        <f>$D217*COS($E217+$F217*'25SolarCoords'!R$7)</f>
        <v>-11.999984780730474</v>
      </c>
      <c r="W217" s="23">
        <f>$D217*COS($E217+$F217*'25SolarCoords'!S$7)</f>
        <v>-11.999984780730474</v>
      </c>
      <c r="X217" s="23">
        <f>$D217*COS($E217+$F217*'25SolarCoords'!T$7)</f>
        <v>-11.999984780730474</v>
      </c>
      <c r="Y217" s="23">
        <f>$D217*COS($E217+$F217*'25SolarCoords'!U$7)</f>
        <v>-11.999984780730474</v>
      </c>
      <c r="Z217" s="23">
        <f>$D217*COS($E217+$F217*'25SolarCoords'!V$7)</f>
        <v>-11.999984780730474</v>
      </c>
      <c r="AA217" s="23">
        <f>$D217*COS($E217+$F217*'25SolarCoords'!W$7)</f>
        <v>-11.999984780730474</v>
      </c>
      <c r="AB217" s="23">
        <f>$D217*COS($E217+$F217*'25SolarCoords'!X$7)</f>
        <v>-11.999984780730474</v>
      </c>
      <c r="AC217" s="23">
        <f>$D217*COS($E217+$F217*'25SolarCoords'!Y$7)</f>
        <v>-11.999984780730474</v>
      </c>
      <c r="AD217" s="23">
        <f>$D217*COS($E217+$F217*'25SolarCoords'!Z$7)</f>
        <v>-11.999984780730474</v>
      </c>
      <c r="AE217" s="23">
        <f>$D217*COS($E217+$F217*'25SolarCoords'!AA$7)</f>
        <v>-11.999984780730474</v>
      </c>
      <c r="AF217" s="23">
        <f>$D217*COS($E217+$F217*'25SolarCoords'!AB$7)</f>
        <v>-11.999984780730474</v>
      </c>
      <c r="AG217" s="23">
        <f>$D217*COS($E217+$F217*'25SolarCoords'!AC$7)</f>
        <v>-11.999984780730474</v>
      </c>
      <c r="AH217" s="23">
        <f>$D217*COS($E217+$F217*'25SolarCoords'!AD$7)</f>
        <v>-11.999984780730474</v>
      </c>
      <c r="AI217" s="23">
        <f>$D217*COS($E217+$F217*'25SolarCoords'!AE$7)</f>
        <v>-11.999984780730474</v>
      </c>
      <c r="AJ217" s="23">
        <f>$D217*COS($E217+$F217*'25SolarCoords'!AF$7)</f>
        <v>-11.999984780730474</v>
      </c>
      <c r="AK217" s="23">
        <f>$D217*COS($E217+$F217*'25SolarCoords'!AG$7)</f>
        <v>-11.999984780730474</v>
      </c>
      <c r="AL217" s="23">
        <f>$D217*COS($E217+$F217*'25SolarCoords'!AH$7)</f>
        <v>-11.999984780730474</v>
      </c>
      <c r="AM217" s="23">
        <f>$D217*COS($E217+$F217*'25SolarCoords'!AI$7)</f>
        <v>-11.999984780730474</v>
      </c>
      <c r="AN217" s="23">
        <f>$D217*COS($E217+$F217*'25SolarCoords'!AJ$7)</f>
        <v>-11.999984780730474</v>
      </c>
      <c r="AO217" s="23">
        <f>$D217*COS($E217+$F217*'25SolarCoords'!AK$7)</f>
        <v>-11.999984780730474</v>
      </c>
      <c r="AP217" s="23">
        <f>$D217*COS($E217+$F217*'25SolarCoords'!AL$7)</f>
        <v>-11.999984780730474</v>
      </c>
      <c r="AQ217" s="23">
        <f>$D217*COS($E217+$F217*'25SolarCoords'!AM$7)</f>
        <v>-11.999984780730474</v>
      </c>
      <c r="AR217" s="23">
        <f>$D217*COS($E217+$F217*'25SolarCoords'!AN$7)</f>
        <v>-11.999984780730474</v>
      </c>
      <c r="AS217" s="23">
        <f>$D217*COS($E217+$F217*'25SolarCoords'!AO$7)</f>
        <v>-11.999984780730474</v>
      </c>
      <c r="AT217" s="23">
        <f>$D217*COS($E217+$F217*'25SolarCoords'!AP$7)</f>
        <v>-11.999984780730474</v>
      </c>
      <c r="AU217" s="23">
        <f>$D217*COS($E217+$F217*'25SolarCoords'!AQ$7)</f>
        <v>-11.999984780730474</v>
      </c>
      <c r="AV217" s="23">
        <f>$D217*COS($E217+$F217*'25SolarCoords'!AR$7)</f>
        <v>-11.999984780730474</v>
      </c>
      <c r="AW217" s="23">
        <f>$D217*COS($E217+$F217*'25SolarCoords'!AS$7)</f>
        <v>-11.999984780730474</v>
      </c>
      <c r="AX217" s="23">
        <f>$D217*COS($E217+$F217*'25SolarCoords'!AT$7)</f>
        <v>-11.999984780730474</v>
      </c>
      <c r="AY217" s="23">
        <f>$D217*COS($E217+$F217*'25SolarCoords'!AU$7)</f>
        <v>-11.999984780730474</v>
      </c>
      <c r="AZ217" s="23">
        <f>$D217*COS($E217+$F217*'25SolarCoords'!AV$7)</f>
        <v>-11.999984780730474</v>
      </c>
      <c r="BA217" s="23">
        <f>$D217*COS($E217+$F217*'25SolarCoords'!AW$7)</f>
        <v>-11.999984780730474</v>
      </c>
      <c r="BB217" s="23">
        <f>$D217*COS($E217+$F217*'25SolarCoords'!AX$7)</f>
        <v>-11.999984780730474</v>
      </c>
      <c r="BC217" s="23">
        <f>$D217*COS($E217+$F217*'25SolarCoords'!AY$7)</f>
        <v>-11.999984780730474</v>
      </c>
      <c r="BD217" s="23">
        <f>$D217*COS($E217+$F217*'25SolarCoords'!AZ$7)</f>
        <v>-11.999984780730474</v>
      </c>
      <c r="BE217" s="23">
        <f>$D217*COS($E217+$F217*'25SolarCoords'!BA$7)</f>
        <v>-11.999984780730474</v>
      </c>
      <c r="BF217" s="23">
        <f>$D217*COS($E217+$F217*'25SolarCoords'!BB$7)</f>
        <v>-11.999984780730474</v>
      </c>
      <c r="BG217" s="23">
        <f>$D217*COS($E217+$F217*'25SolarCoords'!BC$7)</f>
        <v>-11.999984780730474</v>
      </c>
      <c r="BH217" s="23">
        <f>$D217*COS($E217+$F217*'25SolarCoords'!BD$7)</f>
        <v>-11.999984780730474</v>
      </c>
      <c r="BI217" s="23">
        <f>$D217*COS($E217+$F217*'25SolarCoords'!BE$7)</f>
        <v>-11.999984780730474</v>
      </c>
      <c r="BJ217" s="23">
        <f>$D217*COS($E217+$F217*'25SolarCoords'!BF$7)</f>
        <v>-11.999984780730474</v>
      </c>
      <c r="BK217" s="23">
        <f>$D217*COS($E217+$F217*'25SolarCoords'!BG$7)</f>
        <v>-11.999984780730474</v>
      </c>
    </row>
    <row r="218" spans="2:63" x14ac:dyDescent="0.25">
      <c r="C218">
        <f t="shared" si="7"/>
        <v>4</v>
      </c>
      <c r="D218">
        <v>9</v>
      </c>
      <c r="E218">
        <v>3.63</v>
      </c>
      <c r="F218">
        <v>77713.77</v>
      </c>
      <c r="H218" s="7"/>
      <c r="I218" s="23">
        <f>$D218*COS($E218+$F218*'25SolarCoords'!E$7)</f>
        <v>6.823390207817984</v>
      </c>
      <c r="J218" s="23">
        <f>$D218*COS($E218+$F218*'25SolarCoords'!F$7)</f>
        <v>-7.7975889911218275</v>
      </c>
      <c r="K218" s="23">
        <f>$D218*COS($E218+$F218*'25SolarCoords'!G$7)</f>
        <v>-7.9477315493852352</v>
      </c>
      <c r="L218" s="23">
        <f>$D218*COS($E218+$F218*'25SolarCoords'!H$7)</f>
        <v>2.7415403485741514</v>
      </c>
      <c r="M218" s="23">
        <f>$D218*COS($E218+$F218*'25SolarCoords'!I$7)</f>
        <v>-4.8790624189662219</v>
      </c>
      <c r="N218" s="23">
        <f>$D218*COS($E218+$F218*'25SolarCoords'!J$7)</f>
        <v>-8.9413522587092711</v>
      </c>
      <c r="O218" s="23">
        <f>$D218*COS($E218+$F218*'25SolarCoords'!K$7)</f>
        <v>8.936775031008839</v>
      </c>
      <c r="P218" s="23">
        <f>$D218*COS($E218+$F218*'25SolarCoords'!L$7)</f>
        <v>7.6621343465056198</v>
      </c>
      <c r="Q218" s="23">
        <f>$D218*COS($E218+$F218*'25SolarCoords'!M$7)</f>
        <v>-0.47477417109707359</v>
      </c>
      <c r="R218" s="23">
        <f>$D218*COS($E218+$F218*'25SolarCoords'!N$7)</f>
        <v>-7.5605079256659199E-3</v>
      </c>
      <c r="S218" s="23">
        <f>$D218*COS($E218+$F218*'25SolarCoords'!O$7)</f>
        <v>-6.9274572094770512</v>
      </c>
      <c r="T218" s="23">
        <f>$D218*COS($E218+$F218*'25SolarCoords'!P$7)</f>
        <v>2.1228976911024109</v>
      </c>
      <c r="U218" s="23">
        <f>$D218*COS($E218+$F218*'25SolarCoords'!Q$7)</f>
        <v>8.7456052365675152</v>
      </c>
      <c r="V218" s="23">
        <f>$D218*COS($E218+$F218*'25SolarCoords'!R$7)</f>
        <v>8.9970602743781303</v>
      </c>
      <c r="W218" s="23">
        <f>$D218*COS($E218+$F218*'25SolarCoords'!S$7)</f>
        <v>8.7396386574803309</v>
      </c>
      <c r="X218" s="23">
        <f>$D218*COS($E218+$F218*'25SolarCoords'!T$7)</f>
        <v>-7.5074920823042115</v>
      </c>
      <c r="Y218" s="23">
        <f>$D218*COS($E218+$F218*'25SolarCoords'!U$7)</f>
        <v>2.7981729999849239</v>
      </c>
      <c r="Z218" s="23">
        <f>$D218*COS($E218+$F218*'25SolarCoords'!V$7)</f>
        <v>-8.3739310942265188</v>
      </c>
      <c r="AA218" s="23">
        <f>$D218*COS($E218+$F218*'25SolarCoords'!W$7)</f>
        <v>6.1268642440068435</v>
      </c>
      <c r="AB218" s="23">
        <f>$D218*COS($E218+$F218*'25SolarCoords'!X$7)</f>
        <v>8.2234134636546798</v>
      </c>
      <c r="AC218" s="23">
        <f>$D218*COS($E218+$F218*'25SolarCoords'!Y$7)</f>
        <v>-6.0009755059213097</v>
      </c>
      <c r="AD218" s="23">
        <f>$D218*COS($E218+$F218*'25SolarCoords'!Z$7)</f>
        <v>1.4720522814859605</v>
      </c>
      <c r="AE218" s="23">
        <f>$D218*COS($E218+$F218*'25SolarCoords'!AA$7)</f>
        <v>-8.3512112958960607</v>
      </c>
      <c r="AF218" s="23">
        <f>$D218*COS($E218+$F218*'25SolarCoords'!AB$7)</f>
        <v>-1.6476792680627681</v>
      </c>
      <c r="AG218" s="23">
        <f>$D218*COS($E218+$F218*'25SolarCoords'!AC$7)</f>
        <v>2.527750152213196</v>
      </c>
      <c r="AH218" s="23">
        <f>$D218*COS($E218+$F218*'25SolarCoords'!AD$7)</f>
        <v>8.1699846531297151</v>
      </c>
      <c r="AI218" s="23">
        <f>$D218*COS($E218+$F218*'25SolarCoords'!AE$7)</f>
        <v>-0.53433419612213184</v>
      </c>
      <c r="AJ218" s="23">
        <f>$D218*COS($E218+$F218*'25SolarCoords'!AF$7)</f>
        <v>-7.2769808424472204</v>
      </c>
      <c r="AK218" s="23">
        <f>$D218*COS($E218+$F218*'25SolarCoords'!AG$7)</f>
        <v>-2.6424949448783752</v>
      </c>
      <c r="AL218" s="23">
        <f>$D218*COS($E218+$F218*'25SolarCoords'!AH$7)</f>
        <v>-2.3702865378334229E-2</v>
      </c>
      <c r="AM218" s="23">
        <f>$D218*COS($E218+$F218*'25SolarCoords'!AI$7)</f>
        <v>-3.0961519872461039</v>
      </c>
      <c r="AN218" s="23">
        <f>$D218*COS($E218+$F218*'25SolarCoords'!AJ$7)</f>
        <v>8.1418365389455829</v>
      </c>
      <c r="AO218" s="23">
        <f>$D218*COS($E218+$F218*'25SolarCoords'!AK$7)</f>
        <v>-8.730881040217696</v>
      </c>
      <c r="AP218" s="23">
        <f>$D218*COS($E218+$F218*'25SolarCoords'!AL$7)</f>
        <v>0.82344849200703629</v>
      </c>
      <c r="AQ218" s="23">
        <f>$D218*COS($E218+$F218*'25SolarCoords'!AM$7)</f>
        <v>3.8276652702389158</v>
      </c>
      <c r="AR218" s="23">
        <f>$D218*COS($E218+$F218*'25SolarCoords'!AN$7)</f>
        <v>3.4005959299494637</v>
      </c>
      <c r="AS218" s="23">
        <f>$D218*COS($E218+$F218*'25SolarCoords'!AO$7)</f>
        <v>-7.3271792631720976</v>
      </c>
      <c r="AT218" s="23">
        <f>$D218*COS($E218+$F218*'25SolarCoords'!AP$7)</f>
        <v>-0.19840832798320054</v>
      </c>
      <c r="AU218" s="23">
        <f>$D218*COS($E218+$F218*'25SolarCoords'!AQ$7)</f>
        <v>8.9622342440720288</v>
      </c>
      <c r="AV218" s="23">
        <f>$D218*COS($E218+$F218*'25SolarCoords'!AR$7)</f>
        <v>1.7328013472805228</v>
      </c>
      <c r="AW218" s="23">
        <f>$D218*COS($E218+$F218*'25SolarCoords'!AS$7)</f>
        <v>-8.9517319290752742</v>
      </c>
      <c r="AX218" s="23">
        <f>$D218*COS($E218+$F218*'25SolarCoords'!AT$7)</f>
        <v>8.9277275121549238</v>
      </c>
      <c r="AY218" s="23">
        <f>$D218*COS($E218+$F218*'25SolarCoords'!AU$7)</f>
        <v>-4.4514543166654409E-2</v>
      </c>
      <c r="AZ218" s="23">
        <f>$D218*COS($E218+$F218*'25SolarCoords'!AV$7)</f>
        <v>-2.2731456378401016</v>
      </c>
      <c r="BA218" s="23">
        <f>$D218*COS($E218+$F218*'25SolarCoords'!AW$7)</f>
        <v>1.2875763469455419E-2</v>
      </c>
      <c r="BB218" s="23">
        <f>$D218*COS($E218+$F218*'25SolarCoords'!AX$7)</f>
        <v>-0.63014552793971934</v>
      </c>
      <c r="BC218" s="23">
        <f>$D218*COS($E218+$F218*'25SolarCoords'!AY$7)</f>
        <v>8.9967344278861408</v>
      </c>
      <c r="BD218" s="23">
        <f>$D218*COS($E218+$F218*'25SolarCoords'!AZ$7)</f>
        <v>8.845050136694466</v>
      </c>
      <c r="BE218" s="23">
        <f>$D218*COS($E218+$F218*'25SolarCoords'!BA$7)</f>
        <v>8.2944541294363372</v>
      </c>
      <c r="BF218" s="23">
        <f>$D218*COS($E218+$F218*'25SolarCoords'!BB$7)</f>
        <v>7.3697782832340009</v>
      </c>
      <c r="BG218" s="23">
        <f>$D218*COS($E218+$F218*'25SolarCoords'!BC$7)</f>
        <v>6.1127254740340966</v>
      </c>
      <c r="BH218" s="23">
        <f>$D218*COS($E218+$F218*'25SolarCoords'!BD$7)</f>
        <v>4.5799887771210992</v>
      </c>
      <c r="BI218" s="23">
        <f>$D218*COS($E218+$F218*'25SolarCoords'!BE$7)</f>
        <v>2.8406946097158636</v>
      </c>
      <c r="BJ218" s="23">
        <f>$D218*COS($E218+$F218*'25SolarCoords'!BF$7)</f>
        <v>0.97328512989483507</v>
      </c>
      <c r="BK218" s="23">
        <f>$D218*COS($E218+$F218*'25SolarCoords'!BG$7)</f>
        <v>-0.82295156439803119</v>
      </c>
    </row>
    <row r="219" spans="2:63" x14ac:dyDescent="0.25">
      <c r="C219">
        <f t="shared" si="7"/>
        <v>5</v>
      </c>
      <c r="D219">
        <v>6</v>
      </c>
      <c r="E219">
        <v>1.87</v>
      </c>
      <c r="F219">
        <v>5573.14</v>
      </c>
      <c r="H219" s="7"/>
      <c r="I219" s="23">
        <f>$D219*COS($E219+$F219*'25SolarCoords'!E$7)</f>
        <v>2.882512595324513</v>
      </c>
      <c r="J219" s="23">
        <f>$D219*COS($E219+$F219*'25SolarCoords'!F$7)</f>
        <v>1.0199591558446173</v>
      </c>
      <c r="K219" s="23">
        <f>$D219*COS($E219+$F219*'25SolarCoords'!G$7)</f>
        <v>-1.7685561179835663</v>
      </c>
      <c r="L219" s="23">
        <f>$D219*COS($E219+$F219*'25SolarCoords'!H$7)</f>
        <v>-5.0663684989527393</v>
      </c>
      <c r="M219" s="23">
        <f>$D219*COS($E219+$F219*'25SolarCoords'!I$7)</f>
        <v>2.8655904031931145</v>
      </c>
      <c r="N219" s="23">
        <f>$D219*COS($E219+$F219*'25SolarCoords'!J$7)</f>
        <v>2.6318650084204704</v>
      </c>
      <c r="O219" s="23">
        <f>$D219*COS($E219+$F219*'25SolarCoords'!K$7)</f>
        <v>-1.2855985173590145</v>
      </c>
      <c r="P219" s="23">
        <f>$D219*COS($E219+$F219*'25SolarCoords'!L$7)</f>
        <v>5.4831589499950679</v>
      </c>
      <c r="Q219" s="23">
        <f>$D219*COS($E219+$F219*'25SolarCoords'!M$7)</f>
        <v>-4.8639206745478845</v>
      </c>
      <c r="R219" s="23">
        <f>$D219*COS($E219+$F219*'25SolarCoords'!N$7)</f>
        <v>-5.9948743732710099</v>
      </c>
      <c r="S219" s="23">
        <f>$D219*COS($E219+$F219*'25SolarCoords'!O$7)</f>
        <v>-4.6935165914832488</v>
      </c>
      <c r="T219" s="23">
        <f>$D219*COS($E219+$F219*'25SolarCoords'!P$7)</f>
        <v>5.9996734929642068</v>
      </c>
      <c r="U219" s="23">
        <f>$D219*COS($E219+$F219*'25SolarCoords'!Q$7)</f>
        <v>4.1596654156414052</v>
      </c>
      <c r="V219" s="23">
        <f>$D219*COS($E219+$F219*'25SolarCoords'!R$7)</f>
        <v>4.0932059602204749</v>
      </c>
      <c r="W219" s="23">
        <f>$D219*COS($E219+$F219*'25SolarCoords'!S$7)</f>
        <v>2.5390632227960532</v>
      </c>
      <c r="X219" s="23">
        <f>$D219*COS($E219+$F219*'25SolarCoords'!T$7)</f>
        <v>-5.9940568110231132</v>
      </c>
      <c r="Y219" s="23">
        <f>$D219*COS($E219+$F219*'25SolarCoords'!U$7)</f>
        <v>5.9567361074862024</v>
      </c>
      <c r="Z219" s="23">
        <f>$D219*COS($E219+$F219*'25SolarCoords'!V$7)</f>
        <v>3.0104419663707773</v>
      </c>
      <c r="AA219" s="23">
        <f>$D219*COS($E219+$F219*'25SolarCoords'!W$7)</f>
        <v>5.994960676715996</v>
      </c>
      <c r="AB219" s="23">
        <f>$D219*COS($E219+$F219*'25SolarCoords'!X$7)</f>
        <v>-5.6845901065642828</v>
      </c>
      <c r="AC219" s="23">
        <f>$D219*COS($E219+$F219*'25SolarCoords'!Y$7)</f>
        <v>5.9947264211097142</v>
      </c>
      <c r="AD219" s="23">
        <f>$D219*COS($E219+$F219*'25SolarCoords'!Z$7)</f>
        <v>-2.69325804329798</v>
      </c>
      <c r="AE219" s="23">
        <f>$D219*COS($E219+$F219*'25SolarCoords'!AA$7)</f>
        <v>-1.7247635221789788</v>
      </c>
      <c r="AF219" s="23">
        <f>$D219*COS($E219+$F219*'25SolarCoords'!AB$7)</f>
        <v>5.4772825362364976</v>
      </c>
      <c r="AG219" s="23">
        <f>$D219*COS($E219+$F219*'25SolarCoords'!AC$7)</f>
        <v>-5.6629631577560247</v>
      </c>
      <c r="AH219" s="23">
        <f>$D219*COS($E219+$F219*'25SolarCoords'!AD$7)</f>
        <v>5.3370935239292958</v>
      </c>
      <c r="AI219" s="23">
        <f>$D219*COS($E219+$F219*'25SolarCoords'!AE$7)</f>
        <v>5.9757101370414745</v>
      </c>
      <c r="AJ219" s="23">
        <f>$D219*COS($E219+$F219*'25SolarCoords'!AF$7)</f>
        <v>5.5767701190929877</v>
      </c>
      <c r="AK219" s="23">
        <f>$D219*COS($E219+$F219*'25SolarCoords'!AG$7)</f>
        <v>4.7409552569058757</v>
      </c>
      <c r="AL219" s="23">
        <f>$D219*COS($E219+$F219*'25SolarCoords'!AH$7)</f>
        <v>-5.7859135854609205</v>
      </c>
      <c r="AM219" s="23">
        <f>$D219*COS($E219+$F219*'25SolarCoords'!AI$7)</f>
        <v>-5.2840020901527947</v>
      </c>
      <c r="AN219" s="23">
        <f>$D219*COS($E219+$F219*'25SolarCoords'!AJ$7)</f>
        <v>-4.3916252363104036</v>
      </c>
      <c r="AO219" s="23">
        <f>$D219*COS($E219+$F219*'25SolarCoords'!AK$7)</f>
        <v>4.0342345961130901</v>
      </c>
      <c r="AP219" s="23">
        <f>$D219*COS($E219+$F219*'25SolarCoords'!AL$7)</f>
        <v>5.5221747592362487</v>
      </c>
      <c r="AQ219" s="23">
        <f>$D219*COS($E219+$F219*'25SolarCoords'!AM$7)</f>
        <v>-5.8998745305519709</v>
      </c>
      <c r="AR219" s="23">
        <f>$D219*COS($E219+$F219*'25SolarCoords'!AN$7)</f>
        <v>-5.8969686234328691</v>
      </c>
      <c r="AS219" s="23">
        <f>$D219*COS($E219+$F219*'25SolarCoords'!AO$7)</f>
        <v>0.52382649709048046</v>
      </c>
      <c r="AT219" s="23">
        <f>$D219*COS($E219+$F219*'25SolarCoords'!AP$7)</f>
        <v>-5.8231711326653395</v>
      </c>
      <c r="AU219" s="23">
        <f>$D219*COS($E219+$F219*'25SolarCoords'!AQ$7)</f>
        <v>-5.9448207265884427</v>
      </c>
      <c r="AV219" s="23">
        <f>$D219*COS($E219+$F219*'25SolarCoords'!AR$7)</f>
        <v>-5.9972277769908215</v>
      </c>
      <c r="AW219" s="23">
        <f>$D219*COS($E219+$F219*'25SolarCoords'!AS$7)</f>
        <v>-5.9764063817970108</v>
      </c>
      <c r="AX219" s="23">
        <f>$D219*COS($E219+$F219*'25SolarCoords'!AT$7)</f>
        <v>-5.7096979136358472</v>
      </c>
      <c r="AY219" s="23">
        <f>$D219*COS($E219+$F219*'25SolarCoords'!AU$7)</f>
        <v>-1.2676822172946174</v>
      </c>
      <c r="AZ219" s="23">
        <f>$D219*COS($E219+$F219*'25SolarCoords'!AV$7)</f>
        <v>0.85052737705310033</v>
      </c>
      <c r="BA219" s="23">
        <f>$D219*COS($E219+$F219*'25SolarCoords'!AW$7)</f>
        <v>-3.4594085627844686</v>
      </c>
      <c r="BB219" s="23">
        <f>$D219*COS($E219+$F219*'25SolarCoords'!AX$7)</f>
        <v>-5.0679167512901433</v>
      </c>
      <c r="BC219" s="23">
        <f>$D219*COS($E219+$F219*'25SolarCoords'!AY$7)</f>
        <v>-4.3070655362075563</v>
      </c>
      <c r="BD219" s="23">
        <f>$D219*COS($E219+$F219*'25SolarCoords'!AZ$7)</f>
        <v>-4.2428287977626837</v>
      </c>
      <c r="BE219" s="23">
        <f>$D219*COS($E219+$F219*'25SolarCoords'!BA$7)</f>
        <v>-4.1776042649661296</v>
      </c>
      <c r="BF219" s="23">
        <f>$D219*COS($E219+$F219*'25SolarCoords'!BB$7)</f>
        <v>-4.1114071230702773</v>
      </c>
      <c r="BG219" s="23">
        <f>$D219*COS($E219+$F219*'25SolarCoords'!BC$7)</f>
        <v>-4.0442527837652964</v>
      </c>
      <c r="BH219" s="23">
        <f>$D219*COS($E219+$F219*'25SolarCoords'!BD$7)</f>
        <v>-3.9761568815909265</v>
      </c>
      <c r="BI219" s="23">
        <f>$D219*COS($E219+$F219*'25SolarCoords'!BE$7)</f>
        <v>-3.9071352702976578</v>
      </c>
      <c r="BJ219" s="23">
        <f>$D219*COS($E219+$F219*'25SolarCoords'!BF$7)</f>
        <v>-3.8372040191544823</v>
      </c>
      <c r="BK219" s="23">
        <f>$D219*COS($E219+$F219*'25SolarCoords'!BG$7)</f>
        <v>5.9769381900824037</v>
      </c>
    </row>
    <row r="220" spans="2:63" x14ac:dyDescent="0.25">
      <c r="C220">
        <f t="shared" si="7"/>
        <v>6</v>
      </c>
      <c r="D220">
        <v>3</v>
      </c>
      <c r="E220">
        <v>5.47</v>
      </c>
      <c r="F220">
        <v>18849.23</v>
      </c>
      <c r="H220" s="7"/>
      <c r="I220" s="23">
        <f>$D220*COS($E220+$F220*'25SolarCoords'!E$7)</f>
        <v>1.7874308951106255</v>
      </c>
      <c r="J220" s="23">
        <f>$D220*COS($E220+$F220*'25SolarCoords'!F$7)</f>
        <v>-0.62738396140768615</v>
      </c>
      <c r="K220" s="23">
        <f>$D220*COS($E220+$F220*'25SolarCoords'!G$7)</f>
        <v>2.0615635854936016</v>
      </c>
      <c r="L220" s="23">
        <f>$D220*COS($E220+$F220*'25SolarCoords'!H$7)</f>
        <v>2.0339933781326125</v>
      </c>
      <c r="M220" s="23">
        <f>$D220*COS($E220+$F220*'25SolarCoords'!I$7)</f>
        <v>2.6035828374990273</v>
      </c>
      <c r="N220" s="23">
        <f>$D220*COS($E220+$F220*'25SolarCoords'!J$7)</f>
        <v>-0.2141668203829567</v>
      </c>
      <c r="O220" s="23">
        <f>$D220*COS($E220+$F220*'25SolarCoords'!K$7)</f>
        <v>2.6230690705927202</v>
      </c>
      <c r="P220" s="23">
        <f>$D220*COS($E220+$F220*'25SolarCoords'!L$7)</f>
        <v>-0.32882374583572305</v>
      </c>
      <c r="Q220" s="23">
        <f>$D220*COS($E220+$F220*'25SolarCoords'!M$7)</f>
        <v>2.1852476155062619</v>
      </c>
      <c r="R220" s="23">
        <f>$D220*COS($E220+$F220*'25SolarCoords'!N$7)</f>
        <v>2.5515953070716857</v>
      </c>
      <c r="S220" s="23">
        <f>$D220*COS($E220+$F220*'25SolarCoords'!O$7)</f>
        <v>2.5305027042549142</v>
      </c>
      <c r="T220" s="23">
        <f>$D220*COS($E220+$F220*'25SolarCoords'!P$7)</f>
        <v>1.8435435728511993</v>
      </c>
      <c r="U220" s="23">
        <f>$D220*COS($E220+$F220*'25SolarCoords'!Q$7)</f>
        <v>2.6360534123707327</v>
      </c>
      <c r="V220" s="23">
        <f>$D220*COS($E220+$F220*'25SolarCoords'!R$7)</f>
        <v>2.5586656840348279</v>
      </c>
      <c r="W220" s="23">
        <f>$D220*COS($E220+$F220*'25SolarCoords'!S$7)</f>
        <v>-0.59624574920812001</v>
      </c>
      <c r="X220" s="23">
        <f>$D220*COS($E220+$F220*'25SolarCoords'!T$7)</f>
        <v>-2.2695174065092383</v>
      </c>
      <c r="Y220" s="23">
        <f>$D220*COS($E220+$F220*'25SolarCoords'!U$7)</f>
        <v>2.992816555866221</v>
      </c>
      <c r="Z220" s="23">
        <f>$D220*COS($E220+$F220*'25SolarCoords'!V$7)</f>
        <v>-1.3706456420563413</v>
      </c>
      <c r="AA220" s="23">
        <f>$D220*COS($E220+$F220*'25SolarCoords'!W$7)</f>
        <v>-1.2375290639408214</v>
      </c>
      <c r="AB220" s="23">
        <f>$D220*COS($E220+$F220*'25SolarCoords'!X$7)</f>
        <v>-0.84324038336200235</v>
      </c>
      <c r="AC220" s="23">
        <f>$D220*COS($E220+$F220*'25SolarCoords'!Y$7)</f>
        <v>0.12385512913130747</v>
      </c>
      <c r="AD220" s="23">
        <f>$D220*COS($E220+$F220*'25SolarCoords'!Z$7)</f>
        <v>1.9724353424328056</v>
      </c>
      <c r="AE220" s="23">
        <f>$D220*COS($E220+$F220*'25SolarCoords'!AA$7)</f>
        <v>2.0046470795283384</v>
      </c>
      <c r="AF220" s="23">
        <f>$D220*COS($E220+$F220*'25SolarCoords'!AB$7)</f>
        <v>-1.7842959941660061</v>
      </c>
      <c r="AG220" s="23">
        <f>$D220*COS($E220+$F220*'25SolarCoords'!AC$7)</f>
        <v>-2.9641474653249453</v>
      </c>
      <c r="AH220" s="23">
        <f>$D220*COS($E220+$F220*'25SolarCoords'!AD$7)</f>
        <v>0.69108126860263641</v>
      </c>
      <c r="AI220" s="23">
        <f>$D220*COS($E220+$F220*'25SolarCoords'!AE$7)</f>
        <v>-0.36307689473793364</v>
      </c>
      <c r="AJ220" s="23">
        <f>$D220*COS($E220+$F220*'25SolarCoords'!AF$7)</f>
        <v>0.4587456533588754</v>
      </c>
      <c r="AK220" s="23">
        <f>$D220*COS($E220+$F220*'25SolarCoords'!AG$7)</f>
        <v>0.63747342179316824</v>
      </c>
      <c r="AL220" s="23">
        <f>$D220*COS($E220+$F220*'25SolarCoords'!AH$7)</f>
        <v>-1.8175323373022663</v>
      </c>
      <c r="AM220" s="23">
        <f>$D220*COS($E220+$F220*'25SolarCoords'!AI$7)</f>
        <v>-2.2589609263356496</v>
      </c>
      <c r="AN220" s="23">
        <f>$D220*COS($E220+$F220*'25SolarCoords'!AJ$7)</f>
        <v>1.891912231926991</v>
      </c>
      <c r="AO220" s="23">
        <f>$D220*COS($E220+$F220*'25SolarCoords'!AK$7)</f>
        <v>2.2901505691177451</v>
      </c>
      <c r="AP220" s="23">
        <f>$D220*COS($E220+$F220*'25SolarCoords'!AL$7)</f>
        <v>2.9687018319943865</v>
      </c>
      <c r="AQ220" s="23">
        <f>$D220*COS($E220+$F220*'25SolarCoords'!AM$7)</f>
        <v>-1.6287503339386262</v>
      </c>
      <c r="AR220" s="23">
        <f>$D220*COS($E220+$F220*'25SolarCoords'!AN$7)</f>
        <v>-1.6869013282565135</v>
      </c>
      <c r="AS220" s="23">
        <f>$D220*COS($E220+$F220*'25SolarCoords'!AO$7)</f>
        <v>2.4323115049385984</v>
      </c>
      <c r="AT220" s="23">
        <f>$D220*COS($E220+$F220*'25SolarCoords'!AP$7)</f>
        <v>2.7367339924972844</v>
      </c>
      <c r="AU220" s="23">
        <f>$D220*COS($E220+$F220*'25SolarCoords'!AQ$7)</f>
        <v>2.1196666489239417</v>
      </c>
      <c r="AV220" s="23">
        <f>$D220*COS($E220+$F220*'25SolarCoords'!AR$7)</f>
        <v>1.246224687145904</v>
      </c>
      <c r="AW220" s="23">
        <f>$D220*COS($E220+$F220*'25SolarCoords'!AS$7)</f>
        <v>7.6609399512222398E-2</v>
      </c>
      <c r="AX220" s="23">
        <f>$D220*COS($E220+$F220*'25SolarCoords'!AT$7)</f>
        <v>-2.0024341062042081</v>
      </c>
      <c r="AY220" s="23">
        <f>$D220*COS($E220+$F220*'25SolarCoords'!AU$7)</f>
        <v>2.2595779381857479</v>
      </c>
      <c r="AZ220" s="23">
        <f>$D220*COS($E220+$F220*'25SolarCoords'!AV$7)</f>
        <v>2.0349514787277179</v>
      </c>
      <c r="BA220" s="23">
        <f>$D220*COS($E220+$F220*'25SolarCoords'!AW$7)</f>
        <v>2.4785846937184055</v>
      </c>
      <c r="BB220" s="23">
        <f>$D220*COS($E220+$F220*'25SolarCoords'!AX$7)</f>
        <v>-0.39364545619216429</v>
      </c>
      <c r="BC220" s="23">
        <f>$D220*COS($E220+$F220*'25SolarCoords'!AY$7)</f>
        <v>-2.2785788136270586</v>
      </c>
      <c r="BD220" s="23">
        <f>$D220*COS($E220+$F220*'25SolarCoords'!AZ$7)</f>
        <v>-2.1748837744378675</v>
      </c>
      <c r="BE220" s="23">
        <f>$D220*COS($E220+$F220*'25SolarCoords'!BA$7)</f>
        <v>-2.0653978301954714</v>
      </c>
      <c r="BF220" s="23">
        <f>$D220*COS($E220+$F220*'25SolarCoords'!BB$7)</f>
        <v>-1.9504125011713134</v>
      </c>
      <c r="BG220" s="23">
        <f>$D220*COS($E220+$F220*'25SolarCoords'!BC$7)</f>
        <v>-1.8302339504490215</v>
      </c>
      <c r="BH220" s="23">
        <f>$D220*COS($E220+$F220*'25SolarCoords'!BD$7)</f>
        <v>-1.7051821687260049</v>
      </c>
      <c r="BI220" s="23">
        <f>$D220*COS($E220+$F220*'25SolarCoords'!BE$7)</f>
        <v>-1.5755901222987028</v>
      </c>
      <c r="BJ220" s="23">
        <f>$D220*COS($E220+$F220*'25SolarCoords'!BF$7)</f>
        <v>-1.4418028664960574</v>
      </c>
      <c r="BK220" s="23">
        <f>$D220*COS($E220+$F220*'25SolarCoords'!BG$7)</f>
        <v>-0.33983604375666254</v>
      </c>
    </row>
    <row r="221" spans="2:63" x14ac:dyDescent="0.25">
      <c r="B221">
        <v>421</v>
      </c>
      <c r="C221" s="342" t="s">
        <v>811</v>
      </c>
      <c r="D221" s="342"/>
      <c r="E221" s="342"/>
      <c r="F221" s="342"/>
      <c r="H221" s="7"/>
    </row>
    <row r="222" spans="2:63" x14ac:dyDescent="0.25">
      <c r="C222" s="19"/>
      <c r="D222" s="19" t="s">
        <v>783</v>
      </c>
      <c r="E222" s="19" t="s">
        <v>781</v>
      </c>
      <c r="F222" s="19" t="s">
        <v>782</v>
      </c>
      <c r="H222" s="7"/>
    </row>
    <row r="223" spans="2:63" x14ac:dyDescent="0.25">
      <c r="C223">
        <v>1</v>
      </c>
      <c r="D223">
        <v>145</v>
      </c>
      <c r="E223">
        <v>4.2729999999999997</v>
      </c>
      <c r="F223">
        <v>6283.076</v>
      </c>
      <c r="H223" s="7"/>
      <c r="I223" s="23">
        <f>$D223*COS($E223+$F223*'25SolarCoords'!E$7)</f>
        <v>-134.59944145410518</v>
      </c>
      <c r="J223" s="23">
        <f>$D223*COS($E223+$F223*'25SolarCoords'!F$7)</f>
        <v>59.999189013426822</v>
      </c>
      <c r="K223" s="23">
        <f>$D223*COS($E223+$F223*'25SolarCoords'!G$7)</f>
        <v>-61.681051863521567</v>
      </c>
      <c r="L223" s="23">
        <f>$D223*COS($E223+$F223*'25SolarCoords'!H$7)</f>
        <v>-62.230509004760385</v>
      </c>
      <c r="M223" s="23">
        <f>$D223*COS($E223+$F223*'25SolarCoords'!I$7)</f>
        <v>0.72307150240623241</v>
      </c>
      <c r="N223" s="23">
        <f>$D223*COS($E223+$F223*'25SolarCoords'!J$7)</f>
        <v>89.826983143220417</v>
      </c>
      <c r="O223" s="23">
        <f>$D223*COS($E223+$F223*'25SolarCoords'!K$7)</f>
        <v>8.3647937811032455E-2</v>
      </c>
      <c r="P223" s="23">
        <f>$D223*COS($E223+$F223*'25SolarCoords'!L$7)</f>
        <v>88.363592198414878</v>
      </c>
      <c r="Q223" s="23">
        <f>$D223*COS($E223+$F223*'25SolarCoords'!M$7)</f>
        <v>-59.106332328010573</v>
      </c>
      <c r="R223" s="23">
        <f>$D223*COS($E223+$F223*'25SolarCoords'!N$7)</f>
        <v>-50.082430278202068</v>
      </c>
      <c r="S223" s="23">
        <f>$D223*COS($E223+$F223*'25SolarCoords'!O$7)</f>
        <v>-50.682015698479788</v>
      </c>
      <c r="T223" s="23">
        <f>$D223*COS($E223+$F223*'25SolarCoords'!P$7)</f>
        <v>144.79610268290782</v>
      </c>
      <c r="U223" s="23">
        <f>$D223*COS($E223+$F223*'25SolarCoords'!Q$7)</f>
        <v>-0.14697928815125652</v>
      </c>
      <c r="V223" s="23">
        <f>$D223*COS($E223+$F223*'25SolarCoords'!R$7)</f>
        <v>2.3472262246677404</v>
      </c>
      <c r="W223" s="23">
        <f>$D223*COS($E223+$F223*'25SolarCoords'!S$7)</f>
        <v>-41.543315928859919</v>
      </c>
      <c r="X223" s="23">
        <f>$D223*COS($E223+$F223*'25SolarCoords'!T$7)</f>
        <v>130.41867194522032</v>
      </c>
      <c r="Y223" s="23">
        <f>$D223*COS($E223+$F223*'25SolarCoords'!U$7)</f>
        <v>-113.9368796610818</v>
      </c>
      <c r="Z223" s="23">
        <f>$D223*COS($E223+$F223*'25SolarCoords'!V$7)</f>
        <v>71.784272228724305</v>
      </c>
      <c r="AA223" s="23">
        <f>$D223*COS($E223+$F223*'25SolarCoords'!W$7)</f>
        <v>138.0859561565801</v>
      </c>
      <c r="AB223" s="23">
        <f>$D223*COS($E223+$F223*'25SolarCoords'!X$7)</f>
        <v>140.00295195168451</v>
      </c>
      <c r="AC223" s="23">
        <f>$D223*COS($E223+$F223*'25SolarCoords'!Y$7)</f>
        <v>48.563522455519561</v>
      </c>
      <c r="AD223" s="23">
        <f>$D223*COS($E223+$F223*'25SolarCoords'!Z$7)</f>
        <v>-63.435278701018319</v>
      </c>
      <c r="AE223" s="23">
        <f>$D223*COS($E223+$F223*'25SolarCoords'!AA$7)</f>
        <v>-62.807445487046216</v>
      </c>
      <c r="AF223" s="23">
        <f>$D223*COS($E223+$F223*'25SolarCoords'!AB$7)</f>
        <v>66.902809158013454</v>
      </c>
      <c r="AG223" s="23">
        <f>$D223*COS($E223+$F223*'25SolarCoords'!AC$7)</f>
        <v>-138.36428407327313</v>
      </c>
      <c r="AH223" s="23">
        <f>$D223*COS($E223+$F223*'25SolarCoords'!AD$7)</f>
        <v>144.40219112749315</v>
      </c>
      <c r="AI223" s="23">
        <f>$D223*COS($E223+$F223*'25SolarCoords'!AE$7)</f>
        <v>55.894580540321122</v>
      </c>
      <c r="AJ223" s="23">
        <f>$D223*COS($E223+$F223*'25SolarCoords'!AF$7)</f>
        <v>-86.680402347166805</v>
      </c>
      <c r="AK223" s="23">
        <f>$D223*COS($E223+$F223*'25SolarCoords'!AG$7)</f>
        <v>-140.85444548835645</v>
      </c>
      <c r="AL223" s="23">
        <f>$D223*COS($E223+$F223*'25SolarCoords'!AH$7)</f>
        <v>78.517413539050295</v>
      </c>
      <c r="AM223" s="23">
        <f>$D223*COS($E223+$F223*'25SolarCoords'!AI$7)</f>
        <v>130.40556931643312</v>
      </c>
      <c r="AN223" s="23">
        <f>$D223*COS($E223+$F223*'25SolarCoords'!AJ$7)</f>
        <v>144.74654235948105</v>
      </c>
      <c r="AO223" s="23">
        <f>$D223*COS($E223+$F223*'25SolarCoords'!AK$7)</f>
        <v>-56.771743099530568</v>
      </c>
      <c r="AP223" s="23">
        <f>$D223*COS($E223+$F223*'25SolarCoords'!AL$7)</f>
        <v>-115.98023563103362</v>
      </c>
      <c r="AQ223" s="23">
        <f>$D223*COS($E223+$F223*'25SolarCoords'!AM$7)</f>
        <v>-23.800524797428132</v>
      </c>
      <c r="AR223" s="23">
        <f>$D223*COS($E223+$F223*'25SolarCoords'!AN$7)</f>
        <v>135.32425312750232</v>
      </c>
      <c r="AS223" s="23">
        <f>$D223*COS($E223+$F223*'25SolarCoords'!AO$7)</f>
        <v>6.0083076441124401</v>
      </c>
      <c r="AT223" s="23">
        <f>$D223*COS($E223+$F223*'25SolarCoords'!AP$7)</f>
        <v>-123.52102761047828</v>
      </c>
      <c r="AU223" s="23">
        <f>$D223*COS($E223+$F223*'25SolarCoords'!AQ$7)</f>
        <v>-131.80716452606896</v>
      </c>
      <c r="AV223" s="23">
        <f>$D223*COS($E223+$F223*'25SolarCoords'!AR$7)</f>
        <v>-138.03787072256142</v>
      </c>
      <c r="AW223" s="23">
        <f>$D223*COS($E223+$F223*'25SolarCoords'!AS$7)</f>
        <v>-142.73825934346877</v>
      </c>
      <c r="AX223" s="23">
        <f>$D223*COS($E223+$F223*'25SolarCoords'!AT$7)</f>
        <v>-144.58951453240422</v>
      </c>
      <c r="AY223" s="23">
        <f>$D223*COS($E223+$F223*'25SolarCoords'!AU$7)</f>
        <v>120.11506149736755</v>
      </c>
      <c r="AZ223" s="23">
        <f>$D223*COS($E223+$F223*'25SolarCoords'!AV$7)</f>
        <v>-82.322920623056504</v>
      </c>
      <c r="BA223" s="23">
        <f>$D223*COS($E223+$F223*'25SolarCoords'!AW$7)</f>
        <v>-52.13345758644207</v>
      </c>
      <c r="BB223" s="23">
        <f>$D223*COS($E223+$F223*'25SolarCoords'!AX$7)</f>
        <v>141.7487519405328</v>
      </c>
      <c r="BC223" s="23">
        <f>$D223*COS($E223+$F223*'25SolarCoords'!AY$7)</f>
        <v>-120.37924923175694</v>
      </c>
      <c r="BD223" s="23">
        <f>$D223*COS($E223+$F223*'25SolarCoords'!AZ$7)</f>
        <v>-118.97102264820144</v>
      </c>
      <c r="BE223" s="23">
        <f>$D223*COS($E223+$F223*'25SolarCoords'!BA$7)</f>
        <v>-117.52759184986624</v>
      </c>
      <c r="BF223" s="23">
        <f>$D223*COS($E223+$F223*'25SolarCoords'!BB$7)</f>
        <v>-116.04938395628606</v>
      </c>
      <c r="BG223" s="23">
        <f>$D223*COS($E223+$F223*'25SolarCoords'!BC$7)</f>
        <v>-114.53683637773966</v>
      </c>
      <c r="BH223" s="23">
        <f>$D223*COS($E223+$F223*'25SolarCoords'!BD$7)</f>
        <v>-112.99039668581483</v>
      </c>
      <c r="BI223" s="23">
        <f>$D223*COS($E223+$F223*'25SolarCoords'!BE$7)</f>
        <v>-111.41052248098244</v>
      </c>
      <c r="BJ223" s="23">
        <f>$D223*COS($E223+$F223*'25SolarCoords'!BF$7)</f>
        <v>-109.79768125716386</v>
      </c>
      <c r="BK223" s="23">
        <f>$D223*COS($E223+$F223*'25SolarCoords'!BG$7)</f>
        <v>55.546497371095924</v>
      </c>
    </row>
    <row r="224" spans="2:63" x14ac:dyDescent="0.25">
      <c r="C224">
        <v>2</v>
      </c>
      <c r="D224">
        <v>7</v>
      </c>
      <c r="E224">
        <v>3.92</v>
      </c>
      <c r="F224">
        <v>12566.15</v>
      </c>
      <c r="H224" s="7"/>
      <c r="I224" s="23">
        <f>$D224*COS($E224+$F224*'25SolarCoords'!E$7)</f>
        <v>4.3777821095753318</v>
      </c>
      <c r="J224" s="23">
        <f>$D224*COS($E224+$F224*'25SolarCoords'!F$7)</f>
        <v>5.6650358907624412</v>
      </c>
      <c r="K224" s="23">
        <f>$D224*COS($E224+$F224*'25SolarCoords'!G$7)</f>
        <v>-4.9842290147881707</v>
      </c>
      <c r="L224" s="23">
        <f>$D224*COS($E224+$F224*'25SolarCoords'!H$7)</f>
        <v>-5.0252436039132222</v>
      </c>
      <c r="M224" s="23">
        <f>$D224*COS($E224+$F224*'25SolarCoords'!I$7)</f>
        <v>0.67367368339378797</v>
      </c>
      <c r="N224" s="23">
        <f>$D224*COS($E224+$F224*'25SolarCoords'!J$7)</f>
        <v>-6.6424243802684622</v>
      </c>
      <c r="O224" s="23">
        <f>$D224*COS($E224+$F224*'25SolarCoords'!K$7)</f>
        <v>0.61218317692824198</v>
      </c>
      <c r="P224" s="23">
        <f>$D224*COS($E224+$F224*'25SolarCoords'!L$7)</f>
        <v>-6.5837537278147789</v>
      </c>
      <c r="Q224" s="23">
        <f>$D224*COS($E224+$F224*'25SolarCoords'!M$7)</f>
        <v>-4.7874538147393375</v>
      </c>
      <c r="R224" s="23">
        <f>$D224*COS($E224+$F224*'25SolarCoords'!N$7)</f>
        <v>-4.0566003390480763</v>
      </c>
      <c r="S224" s="23">
        <f>$D224*COS($E224+$F224*'25SolarCoords'!O$7)</f>
        <v>-4.1067671547834408</v>
      </c>
      <c r="T224" s="23">
        <f>$D224*COS($E224+$F224*'25SolarCoords'!P$7)</f>
        <v>-1.3549269444289682</v>
      </c>
      <c r="U224" s="23">
        <f>$D224*COS($E224+$F224*'25SolarCoords'!Q$7)</f>
        <v>0.61942803671388424</v>
      </c>
      <c r="V224" s="23">
        <f>$D224*COS($E224+$F224*'25SolarCoords'!R$7)</f>
        <v>0.85889911111991746</v>
      </c>
      <c r="W224" s="23">
        <f>$D224*COS($E224+$F224*'25SolarCoords'!S$7)</f>
        <v>4.3663140685798654</v>
      </c>
      <c r="X224" s="23">
        <f>$D224*COS($E224+$F224*'25SolarCoords'!T$7)</f>
        <v>5.0807853975848811</v>
      </c>
      <c r="Y224" s="23">
        <f>$D224*COS($E224+$F224*'25SolarCoords'!U$7)</f>
        <v>6.6234782871833673</v>
      </c>
      <c r="Z224" s="23">
        <f>$D224*COS($E224+$F224*'25SolarCoords'!V$7)</f>
        <v>6.347598875129262</v>
      </c>
      <c r="AA224" s="23">
        <f>$D224*COS($E224+$F224*'25SolarCoords'!W$7)</f>
        <v>3.5610231844552866</v>
      </c>
      <c r="AB224" s="23">
        <f>$D224*COS($E224+$F224*'25SolarCoords'!X$7)</f>
        <v>2.9827541064850704</v>
      </c>
      <c r="AC224" s="23">
        <f>$D224*COS($E224+$F224*'25SolarCoords'!Y$7)</f>
        <v>4.8703186174442621</v>
      </c>
      <c r="AD224" s="23">
        <f>$D224*COS($E224+$F224*'25SolarCoords'!Z$7)</f>
        <v>-5.1146677527738369</v>
      </c>
      <c r="AE224" s="23">
        <f>$D224*COS($E224+$F224*'25SolarCoords'!AA$7)</f>
        <v>-5.06803625614533</v>
      </c>
      <c r="AF224" s="23">
        <f>$D224*COS($E224+$F224*'25SolarCoords'!AB$7)</f>
        <v>-5.362300036053945</v>
      </c>
      <c r="AG224" s="23">
        <f>$D224*COS($E224+$F224*'25SolarCoords'!AC$7)</f>
        <v>-4.4764144324832138</v>
      </c>
      <c r="AH224" s="23">
        <f>$D224*COS($E224+$F224*'25SolarCoords'!AD$7)</f>
        <v>0.66581956494204797</v>
      </c>
      <c r="AI224" s="23">
        <f>$D224*COS($E224+$F224*'25SolarCoords'!AE$7)</f>
        <v>5.3857510508643678</v>
      </c>
      <c r="AJ224" s="23">
        <f>$D224*COS($E224+$F224*'25SolarCoords'!AF$7)</f>
        <v>-6.5117524406351741</v>
      </c>
      <c r="AK224" s="23">
        <f>$D224*COS($E224+$F224*'25SolarCoords'!AG$7)</f>
        <v>2.6806682945896889</v>
      </c>
      <c r="AL224" s="23">
        <f>$D224*COS($E224+$F224*'25SolarCoords'!AH$7)</f>
        <v>6.5993982916296838</v>
      </c>
      <c r="AM224" s="23">
        <f>$D224*COS($E224+$F224*'25SolarCoords'!AI$7)</f>
        <v>5.1114862612007332</v>
      </c>
      <c r="AN224" s="23">
        <f>$D224*COS($E224+$F224*'25SolarCoords'!AJ$7)</f>
        <v>-1.4227287512364479</v>
      </c>
      <c r="AO224" s="23">
        <f>$D224*COS($E224+$F224*'25SolarCoords'!AK$7)</f>
        <v>-4.6042773300683661</v>
      </c>
      <c r="AP224" s="23">
        <f>$D224*COS($E224+$F224*'25SolarCoords'!AL$7)</f>
        <v>6.5269306942152632</v>
      </c>
      <c r="AQ224" s="23">
        <f>$D224*COS($E224+$F224*'25SolarCoords'!AM$7)</f>
        <v>2.8474136071172302</v>
      </c>
      <c r="AR224" s="23">
        <f>$D224*COS($E224+$F224*'25SolarCoords'!AN$7)</f>
        <v>4.2272514059016215</v>
      </c>
      <c r="AS224" s="23">
        <f>$D224*COS($E224+$F224*'25SolarCoords'!AO$7)</f>
        <v>1.2069255330417095</v>
      </c>
      <c r="AT224" s="23">
        <f>$D224*COS($E224+$F224*'25SolarCoords'!AP$7)</f>
        <v>5.9506500563822815</v>
      </c>
      <c r="AU224" s="23">
        <f>$D224*COS($E224+$F224*'25SolarCoords'!AQ$7)</f>
        <v>4.8901076943617348</v>
      </c>
      <c r="AV224" s="23">
        <f>$D224*COS($E224+$F224*'25SolarCoords'!AR$7)</f>
        <v>3.5745204174501466</v>
      </c>
      <c r="AW224" s="23">
        <f>$D224*COS($E224+$F224*'25SolarCoords'!AS$7)</f>
        <v>1.8493542463565151</v>
      </c>
      <c r="AX224" s="23">
        <f>$D224*COS($E224+$F224*'25SolarCoords'!AT$7)</f>
        <v>-1.6426256563608459</v>
      </c>
      <c r="AY224" s="23">
        <f>$D224*COS($E224+$F224*'25SolarCoords'!AU$7)</f>
        <v>-6.6972495367111318</v>
      </c>
      <c r="AZ224" s="23">
        <f>$D224*COS($E224+$F224*'25SolarCoords'!AV$7)</f>
        <v>6.7333976215782974</v>
      </c>
      <c r="BA224" s="23">
        <f>$D224*COS($E224+$F224*'25SolarCoords'!AW$7)</f>
        <v>-4.2309149123625742</v>
      </c>
      <c r="BB224" s="23">
        <f>$D224*COS($E224+$F224*'25SolarCoords'!AX$7)</f>
        <v>2.3202343876869955</v>
      </c>
      <c r="BC224" s="23">
        <f>$D224*COS($E224+$F224*'25SolarCoords'!AY$7)</f>
        <v>-6.6836222893017405</v>
      </c>
      <c r="BD224" s="23">
        <f>$D224*COS($E224+$F224*'25SolarCoords'!AZ$7)</f>
        <v>-6.7512369398508723</v>
      </c>
      <c r="BE224" s="23">
        <f>$D224*COS($E224+$F224*'25SolarCoords'!BA$7)</f>
        <v>-6.8108612636061991</v>
      </c>
      <c r="BF224" s="23">
        <f>$D224*COS($E224+$F224*'25SolarCoords'!BB$7)</f>
        <v>-6.862424693079654</v>
      </c>
      <c r="BG224" s="23">
        <f>$D224*COS($E224+$F224*'25SolarCoords'!BC$7)</f>
        <v>-6.9058662011357539</v>
      </c>
      <c r="BH224" s="23">
        <f>$D224*COS($E224+$F224*'25SolarCoords'!BD$7)</f>
        <v>-6.9411343732191346</v>
      </c>
      <c r="BI224" s="23">
        <f>$D224*COS($E224+$F224*'25SolarCoords'!BE$7)</f>
        <v>-6.9681874682054046</v>
      </c>
      <c r="BJ224" s="23">
        <f>$D224*COS($E224+$F224*'25SolarCoords'!BF$7)</f>
        <v>-6.9869934678034253</v>
      </c>
      <c r="BK224" s="23">
        <f>$D224*COS($E224+$F224*'25SolarCoords'!BG$7)</f>
        <v>5.3624248518412392</v>
      </c>
    </row>
    <row r="225" spans="2:63" x14ac:dyDescent="0.25">
      <c r="B225">
        <v>421</v>
      </c>
      <c r="C225" s="342" t="s">
        <v>812</v>
      </c>
      <c r="D225" s="342"/>
      <c r="E225" s="342"/>
      <c r="F225" s="342"/>
      <c r="H225" s="7"/>
    </row>
    <row r="226" spans="2:63" x14ac:dyDescent="0.25">
      <c r="C226" s="19"/>
      <c r="D226" s="19" t="s">
        <v>783</v>
      </c>
      <c r="E226" s="19" t="s">
        <v>781</v>
      </c>
      <c r="F226" s="19" t="s">
        <v>782</v>
      </c>
      <c r="H226" s="7"/>
    </row>
    <row r="227" spans="2:63" ht="15.75" thickBot="1" x14ac:dyDescent="0.3">
      <c r="B227" s="213"/>
      <c r="C227" s="213">
        <v>1</v>
      </c>
      <c r="D227" s="213">
        <v>4</v>
      </c>
      <c r="E227" s="213">
        <v>2.56</v>
      </c>
      <c r="F227" s="213">
        <v>6283.08</v>
      </c>
      <c r="H227" s="7"/>
      <c r="I227" s="23">
        <f>$D227*COS($E227+$F227*'25SolarCoords'!E$7)</f>
        <v>1.9994144741092306</v>
      </c>
      <c r="J227" s="23">
        <f>$D227*COS($E227+$F227*'25SolarCoords'!F$7)</f>
        <v>-3.8467109544992963</v>
      </c>
      <c r="K227" s="23">
        <f>$D227*COS($E227+$F227*'25SolarCoords'!G$7)</f>
        <v>-3.3423551085256307</v>
      </c>
      <c r="L227" s="23">
        <f>$D227*COS($E227+$F227*'25SolarCoords'!H$7)</f>
        <v>-3.3331070406253667</v>
      </c>
      <c r="M227" s="23">
        <f>$D227*COS($E227+$F227*'25SolarCoords'!I$7)</f>
        <v>-3.9623737615130743</v>
      </c>
      <c r="N227" s="23">
        <f>$D227*COS($E227+$F227*'25SolarCoords'!J$7)</f>
        <v>2.7569654282490399</v>
      </c>
      <c r="O227" s="23">
        <f>$D227*COS($E227+$F227*'25SolarCoords'!K$7)</f>
        <v>-3.9599237659320754</v>
      </c>
      <c r="P227" s="23">
        <f>$D227*COS($E227+$F227*'25SolarCoords'!L$7)</f>
        <v>2.7938239892240952</v>
      </c>
      <c r="Q227" s="23">
        <f>$D227*COS($E227+$F227*'25SolarCoords'!M$7)</f>
        <v>-3.3837818961038915</v>
      </c>
      <c r="R227" s="23">
        <f>$D227*COS($E227+$F227*'25SolarCoords'!N$7)</f>
        <v>-3.5170884389867156</v>
      </c>
      <c r="S227" s="23">
        <f>$D227*COS($E227+$F227*'25SolarCoords'!O$7)</f>
        <v>-3.5086599729055066</v>
      </c>
      <c r="T227" s="23">
        <f>$D227*COS($E227+$F227*'25SolarCoords'!P$7)</f>
        <v>-0.37471526754928658</v>
      </c>
      <c r="U227" s="23">
        <f>$D227*COS($E227+$F227*'25SolarCoords'!Q$7)</f>
        <v>-3.9540592792125606</v>
      </c>
      <c r="V227" s="23">
        <f>$D227*COS($E227+$F227*'25SolarCoords'!R$7)</f>
        <v>-3.9638723704081227</v>
      </c>
      <c r="W227" s="23">
        <f>$D227*COS($E227+$F227*'25SolarCoords'!S$7)</f>
        <v>3.9628607064108849</v>
      </c>
      <c r="X227" s="23">
        <f>$D227*COS($E227+$F227*'25SolarCoords'!T$7)</f>
        <v>-2.280029238865485</v>
      </c>
      <c r="Y227" s="23">
        <f>$D227*COS($E227+$F227*'25SolarCoords'!U$7)</f>
        <v>2.9274708553748927</v>
      </c>
      <c r="Z227" s="23">
        <f>$D227*COS($E227+$F227*'25SolarCoords'!V$7)</f>
        <v>-3.7590562653470561</v>
      </c>
      <c r="AA227" s="23">
        <f>$D227*COS($E227+$F227*'25SolarCoords'!W$7)</f>
        <v>-1.7481743949758726</v>
      </c>
      <c r="AB227" s="23">
        <f>$D227*COS($E227+$F227*'25SolarCoords'!X$7)</f>
        <v>-1.5780224618124208</v>
      </c>
      <c r="AC227" s="23">
        <f>$D227*COS($E227+$F227*'25SolarCoords'!Y$7)</f>
        <v>-3.9208801824632222</v>
      </c>
      <c r="AD227" s="23">
        <f>$D227*COS($E227+$F227*'25SolarCoords'!Z$7)</f>
        <v>-3.3129812860486627</v>
      </c>
      <c r="AE227" s="23">
        <f>$D227*COS($E227+$F227*'25SolarCoords'!AA$7)</f>
        <v>-3.323331537998985</v>
      </c>
      <c r="AF227" s="23">
        <f>$D227*COS($E227+$F227*'25SolarCoords'!AB$7)</f>
        <v>3.2509597587489432</v>
      </c>
      <c r="AG227" s="23">
        <f>$D227*COS($E227+$F227*'25SolarCoords'!AC$7)</f>
        <v>-0.6428483844519578</v>
      </c>
      <c r="AH227" s="23">
        <f>$D227*COS($E227+$F227*'25SolarCoords'!AD$7)</f>
        <v>-0.92392927619377219</v>
      </c>
      <c r="AI227" s="23">
        <f>$D227*COS($E227+$F227*'25SolarCoords'!AE$7)</f>
        <v>-3.8722298243215549</v>
      </c>
      <c r="AJ227" s="23">
        <f>$D227*COS($E227+$F227*'25SolarCoords'!AF$7)</f>
        <v>-2.8352567664815012</v>
      </c>
      <c r="AK227" s="23">
        <f>$D227*COS($E227+$F227*'25SolarCoords'!AG$7)</f>
        <v>1.490846487649091</v>
      </c>
      <c r="AL227" s="23">
        <f>$D227*COS($E227+$F227*'25SolarCoords'!AH$7)</f>
        <v>-3.6358953921450508</v>
      </c>
      <c r="AM227" s="23">
        <f>$D227*COS($E227+$F227*'25SolarCoords'!AI$7)</f>
        <v>-2.2412175938881935</v>
      </c>
      <c r="AN227" s="23">
        <f>$D227*COS($E227+$F227*'25SolarCoords'!AJ$7)</f>
        <v>-0.33199776348159432</v>
      </c>
      <c r="AO227" s="23">
        <f>$D227*COS($E227+$F227*'25SolarCoords'!AK$7)</f>
        <v>-3.4200433064292901</v>
      </c>
      <c r="AP227" s="23">
        <f>$D227*COS($E227+$F227*'25SolarCoords'!AL$7)</f>
        <v>2.8300413890125795</v>
      </c>
      <c r="AQ227" s="23">
        <f>$D227*COS($E227+$F227*'25SolarCoords'!AM$7)</f>
        <v>3.9994101006019886</v>
      </c>
      <c r="AR227" s="23">
        <f>$D227*COS($E227+$F227*'25SolarCoords'!AN$7)</f>
        <v>-1.9512601958052549</v>
      </c>
      <c r="AS227" s="23">
        <f>$D227*COS($E227+$F227*'25SolarCoords'!AO$7)</f>
        <v>-3.9763697277960928</v>
      </c>
      <c r="AT227" s="23">
        <f>$D227*COS($E227+$F227*'25SolarCoords'!AP$7)</f>
        <v>2.5565161994540575</v>
      </c>
      <c r="AU227" s="23">
        <f>$D227*COS($E227+$F227*'25SolarCoords'!AQ$7)</f>
        <v>2.1652411911030192</v>
      </c>
      <c r="AV227" s="23">
        <f>$D227*COS($E227+$F227*'25SolarCoords'!AR$7)</f>
        <v>1.7515665141255747</v>
      </c>
      <c r="AW227" s="23">
        <f>$D227*COS($E227+$F227*'25SolarCoords'!AS$7)</f>
        <v>1.2543470970831645</v>
      </c>
      <c r="AX227" s="23">
        <f>$D227*COS($E227+$F227*'25SolarCoords'!AT$7)</f>
        <v>0.2671976577178149</v>
      </c>
      <c r="AY227" s="23">
        <f>$D227*COS($E227+$F227*'25SolarCoords'!AU$7)</f>
        <v>1.7480600116103553</v>
      </c>
      <c r="AZ227" s="23">
        <f>$D227*COS($E227+$F227*'25SolarCoords'!AV$7)</f>
        <v>3.5814530640500215</v>
      </c>
      <c r="BA227" s="23">
        <f>$D227*COS($E227+$F227*'25SolarCoords'!AW$7)</f>
        <v>-3.4905099075587187</v>
      </c>
      <c r="BB227" s="23">
        <f>$D227*COS($E227+$F227*'25SolarCoords'!AX$7)</f>
        <v>-1.3886290795587308</v>
      </c>
      <c r="BC227" s="23">
        <f>$D227*COS($E227+$F227*'25SolarCoords'!AY$7)</f>
        <v>-1.7370337390221673</v>
      </c>
      <c r="BD227" s="23">
        <f>$D227*COS($E227+$F227*'25SolarCoords'!AZ$7)</f>
        <v>-1.7987556142706336</v>
      </c>
      <c r="BE227" s="23">
        <f>$D227*COS($E227+$F227*'25SolarCoords'!BA$7)</f>
        <v>-1.859945226635372</v>
      </c>
      <c r="BF227" s="23">
        <f>$D227*COS($E227+$F227*'25SolarCoords'!BB$7)</f>
        <v>-1.9205844697323677</v>
      </c>
      <c r="BG227" s="23">
        <f>$D227*COS($E227+$F227*'25SolarCoords'!BC$7)</f>
        <v>-1.9806554000355714</v>
      </c>
      <c r="BH227" s="23">
        <f>$D227*COS($E227+$F227*'25SolarCoords'!BD$7)</f>
        <v>-2.0401402421861912</v>
      </c>
      <c r="BI227" s="23">
        <f>$D227*COS($E227+$F227*'25SolarCoords'!BE$7)</f>
        <v>-2.099021394252242</v>
      </c>
      <c r="BJ227" s="23">
        <f>$D227*COS($E227+$F227*'25SolarCoords'!BF$7)</f>
        <v>-2.1572814329376548</v>
      </c>
      <c r="BK227" s="23">
        <f>$D227*COS($E227+$F227*'25SolarCoords'!BG$7)</f>
        <v>-3.8748245378228821</v>
      </c>
    </row>
  </sheetData>
  <mergeCells count="16">
    <mergeCell ref="A1:D1"/>
    <mergeCell ref="C109:F109"/>
    <mergeCell ref="C131:F131"/>
    <mergeCell ref="C140:F140"/>
    <mergeCell ref="C145:F145"/>
    <mergeCell ref="C7:F7"/>
    <mergeCell ref="C6:F6"/>
    <mergeCell ref="C73:F73"/>
    <mergeCell ref="C5:F5"/>
    <mergeCell ref="C225:F225"/>
    <mergeCell ref="C148:F148"/>
    <mergeCell ref="C155:F155"/>
    <mergeCell ref="C159:F159"/>
    <mergeCell ref="C201:F201"/>
    <mergeCell ref="C213:F213"/>
    <mergeCell ref="C221:F22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42BD-BAC7-4DEC-8A82-A3C1F51B4D9C}">
  <dimension ref="A1:BG89"/>
  <sheetViews>
    <sheetView workbookViewId="0">
      <selection activeCell="D55" sqref="D55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0" bestFit="1" customWidth="1"/>
    <col min="4" max="4" width="11.140625" style="7" bestFit="1" customWidth="1"/>
    <col min="5" max="5" width="16.42578125" bestFit="1" customWidth="1"/>
    <col min="6" max="6" width="17.5703125" customWidth="1"/>
    <col min="7" max="7" width="15.7109375" customWidth="1"/>
    <col min="8" max="9" width="16.42578125" customWidth="1"/>
    <col min="10" max="15" width="16.42578125" bestFit="1" customWidth="1"/>
    <col min="16" max="22" width="17.5703125" customWidth="1"/>
    <col min="23" max="23" width="16.42578125" bestFit="1" customWidth="1"/>
    <col min="24" max="24" width="33.140625" bestFit="1" customWidth="1"/>
    <col min="25" max="25" width="28.28515625" bestFit="1" customWidth="1"/>
    <col min="26" max="26" width="15.7109375" bestFit="1" customWidth="1"/>
    <col min="27" max="38" width="16.42578125" bestFit="1" customWidth="1"/>
    <col min="39" max="39" width="17.5703125" bestFit="1" customWidth="1"/>
    <col min="40" max="40" width="15.7109375" bestFit="1" customWidth="1"/>
    <col min="41" max="41" width="17.5703125" bestFit="1" customWidth="1"/>
    <col min="42" max="58" width="15.7109375" bestFit="1" customWidth="1"/>
    <col min="59" max="59" width="16.42578125" bestFit="1" customWidth="1"/>
  </cols>
  <sheetData>
    <row r="1" spans="1:59" ht="15.75" x14ac:dyDescent="0.25">
      <c r="A1" s="338" t="s">
        <v>332</v>
      </c>
      <c r="B1" s="338"/>
      <c r="C1" s="338"/>
      <c r="D1" s="338"/>
      <c r="X1" s="142">
        <v>-7.7221081450999998E-2</v>
      </c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67" t="s">
        <v>291</v>
      </c>
      <c r="D3" s="68" t="s">
        <v>2</v>
      </c>
      <c r="E3" s="210">
        <f>Examples!E10</f>
        <v>-0.42241451060917029</v>
      </c>
      <c r="F3" s="210">
        <f>Examples!F10</f>
        <v>-16.668911704312116</v>
      </c>
      <c r="G3" s="210">
        <f>Examples!G10</f>
        <v>0</v>
      </c>
      <c r="H3" s="210">
        <f>Examples!H10</f>
        <v>-1.0006844626967831E-2</v>
      </c>
      <c r="I3" s="210">
        <f>Examples!I10</f>
        <v>-0.12929500342231348</v>
      </c>
      <c r="J3" s="210">
        <f>Examples!J10</f>
        <v>-0.12536618754277892</v>
      </c>
      <c r="K3" s="210">
        <f>Examples!K10</f>
        <v>-0.11930184804928132</v>
      </c>
      <c r="L3" s="210">
        <f>Examples!L10</f>
        <v>-0.11534565366187542</v>
      </c>
      <c r="M3" s="210">
        <f>Examples!M10</f>
        <v>-0.99998631042918518</v>
      </c>
      <c r="N3" s="210">
        <f>Examples!N10</f>
        <v>-3.9999315537303217</v>
      </c>
      <c r="O3" s="210">
        <f>Examples!O10</f>
        <v>-3.9899383983572894</v>
      </c>
      <c r="P3" s="210">
        <f>Examples!P10</f>
        <v>-11.626918548939081</v>
      </c>
      <c r="Q3" s="210">
        <f>Examples!Q10</f>
        <v>-21.219671457905545</v>
      </c>
      <c r="R3" s="210">
        <f>Examples!R10</f>
        <v>-21.219644079397671</v>
      </c>
      <c r="S3" s="210">
        <f>Examples!S10</f>
        <v>-29.994360027378509</v>
      </c>
      <c r="T3" s="210">
        <f>Examples!T10</f>
        <v>-29.9980424366872</v>
      </c>
      <c r="U3" s="210">
        <f>Examples!U10</f>
        <v>-30.003383983572899</v>
      </c>
      <c r="V3" s="210">
        <f>Examples!V10</f>
        <v>-67.119644079397673</v>
      </c>
      <c r="W3" s="210">
        <f>Examples!W10</f>
        <v>-0.12729637234770705</v>
      </c>
      <c r="X3" s="246">
        <f>Examples!X10</f>
        <v>-7.7221081451060922E-2</v>
      </c>
      <c r="Y3" s="210">
        <f>Examples!Y10</f>
        <v>-0.22876112251882272</v>
      </c>
      <c r="Z3" s="210">
        <f>Examples!Z10</f>
        <v>0.43998631074606431</v>
      </c>
      <c r="AA3" s="210">
        <f>Examples!AA10</f>
        <v>-1.3689253935660506E-5</v>
      </c>
      <c r="AB3" s="210">
        <f>Examples!AB10</f>
        <v>-0.45507186858316223</v>
      </c>
      <c r="AC3" s="210">
        <f>Examples!AC10</f>
        <v>-0.21132101300479125</v>
      </c>
      <c r="AD3" s="210">
        <f>Examples!AD10</f>
        <v>-0.1169472963723477</v>
      </c>
      <c r="AE3" s="210">
        <f>Examples!AE10</f>
        <v>-0.2286748485309362</v>
      </c>
      <c r="AF3" s="210">
        <f>Examples!AF10</f>
        <v>-7.0321697467488023E-2</v>
      </c>
      <c r="AG3" s="210">
        <f>Examples!AG10</f>
        <v>-7.2183436002737855E-2</v>
      </c>
      <c r="AH3" s="210">
        <f>Examples!AH10</f>
        <v>-8.8391512662559887E-2</v>
      </c>
      <c r="AI3" s="210">
        <f>Examples!AI10</f>
        <v>-7.7522245037645446E-2</v>
      </c>
      <c r="AJ3" s="210">
        <f>Examples!AJ10</f>
        <v>-6.670773442847365E-2</v>
      </c>
      <c r="AK3" s="210">
        <f>Examples!AK10</f>
        <v>-1.8199726214921286</v>
      </c>
      <c r="AL3" s="210">
        <f>Examples!AL10</f>
        <v>-9.2826830937713892E-2</v>
      </c>
      <c r="AM3" s="210">
        <f>Examples!AM10</f>
        <v>-13.774277891854894</v>
      </c>
      <c r="AN3" s="210">
        <f>Examples!AN10</f>
        <v>2.6146475017111569E-3</v>
      </c>
      <c r="AO3" s="210">
        <f>Examples!AO10</f>
        <v>-19.989582477754961</v>
      </c>
      <c r="AP3" s="210">
        <f>Examples!AP10</f>
        <v>0.22732591832078314</v>
      </c>
      <c r="AQ3" s="210">
        <f>Examples!AQ10</f>
        <v>0.22751908890409606</v>
      </c>
      <c r="AR3" s="210">
        <f>Examples!AR10</f>
        <v>0.22770807665982459</v>
      </c>
      <c r="AS3" s="210">
        <f>Examples!AS10</f>
        <v>0.22792180013689253</v>
      </c>
      <c r="AT3" s="210">
        <f>Examples!AT10</f>
        <v>0.22832306639288158</v>
      </c>
      <c r="AU3" s="210">
        <f>Examples!AU10</f>
        <v>-0.26585900068446272</v>
      </c>
      <c r="AV3" s="210">
        <f>Examples!AV10</f>
        <v>-2.3340177960301165E-2</v>
      </c>
      <c r="AW3" s="210">
        <f>Examples!AW10</f>
        <v>-0.64989733059548249</v>
      </c>
      <c r="AX3" s="210">
        <f>Examples!AX10</f>
        <v>-0.42714579055441476</v>
      </c>
      <c r="AY3" s="210">
        <f>Examples!AY10</f>
        <v>0.22914442162902121</v>
      </c>
      <c r="AZ3" s="210">
        <f>Examples!AZ10</f>
        <v>0.22917180013689253</v>
      </c>
      <c r="BA3" s="210">
        <f>Examples!BA10</f>
        <v>0.22919917864476386</v>
      </c>
      <c r="BB3" s="210">
        <f>Examples!BB10</f>
        <v>0.22922655715263518</v>
      </c>
      <c r="BC3" s="210">
        <f>Examples!BC10</f>
        <v>0.2292539356605065</v>
      </c>
      <c r="BD3" s="210">
        <f>Examples!BD10</f>
        <v>0.22928131416837783</v>
      </c>
      <c r="BE3" s="210">
        <f>Examples!BE10</f>
        <v>0.22930869267624915</v>
      </c>
      <c r="BF3" s="210">
        <f>Examples!BF10</f>
        <v>0.22933607118412047</v>
      </c>
      <c r="BG3" s="210">
        <f>Examples!BG10</f>
        <v>-0.22867898699520875</v>
      </c>
    </row>
    <row r="4" spans="1:59" x14ac:dyDescent="0.25">
      <c r="A4" s="7">
        <v>22</v>
      </c>
      <c r="B4" s="7">
        <v>147</v>
      </c>
      <c r="C4" s="67" t="s">
        <v>762</v>
      </c>
      <c r="D4" s="68" t="s">
        <v>346</v>
      </c>
      <c r="E4" s="224">
        <f>'22Nutation'!E43</f>
        <v>23.443043119473113</v>
      </c>
      <c r="F4" s="224">
        <f>'22Nutation'!F43</f>
        <v>23.655717030923601</v>
      </c>
      <c r="G4" s="224">
        <f>'22Nutation'!G43</f>
        <v>23.437687247318291</v>
      </c>
      <c r="H4" s="224">
        <f>'22Nutation'!H43</f>
        <v>23.437158333391135</v>
      </c>
      <c r="I4" s="224">
        <f>'22Nutation'!I43</f>
        <v>23.443337644201826</v>
      </c>
      <c r="J4" s="224">
        <f>'22Nutation'!J43</f>
        <v>23.443308308838667</v>
      </c>
      <c r="K4" s="224">
        <f>'22Nutation'!K43</f>
        <v>23.443315172361388</v>
      </c>
      <c r="L4" s="224">
        <f>'22Nutation'!L43</f>
        <v>23.443126572341065</v>
      </c>
      <c r="M4" s="224">
        <f>'22Nutation'!M43</f>
        <v>23.45165761740795</v>
      </c>
      <c r="N4" s="224">
        <f>'22Nutation'!N43</f>
        <v>23.49244046236787</v>
      </c>
      <c r="O4" s="224">
        <f>'22Nutation'!O43</f>
        <v>23.491541691654835</v>
      </c>
      <c r="P4" s="224">
        <f>'22Nutation'!P43</f>
        <v>23.590811213098522</v>
      </c>
      <c r="Q4" s="224">
        <f>'22Nutation'!Q43</f>
        <v>23.708655145231432</v>
      </c>
      <c r="R4" s="224">
        <f>'22Nutation'!R43</f>
        <v>23.708662142657886</v>
      </c>
      <c r="S4" s="224">
        <f>'22Nutation'!S43</f>
        <v>23.812899068141359</v>
      </c>
      <c r="T4" s="224">
        <f>'22Nutation'!T43</f>
        <v>23.813188782024959</v>
      </c>
      <c r="U4" s="224">
        <f>'22Nutation'!U43</f>
        <v>23.813268661988246</v>
      </c>
      <c r="V4" s="224">
        <f>'22Nutation'!V43</f>
        <v>24.161474221642671</v>
      </c>
      <c r="W4" s="224">
        <f>'22Nutation'!W43</f>
        <v>23.443569413074961</v>
      </c>
      <c r="X4" s="224">
        <f>'22Nutation'!X43</f>
        <v>23.440635013964791</v>
      </c>
      <c r="Y4" s="224">
        <f>'22Nutation'!Y43</f>
        <v>23.440026762552865</v>
      </c>
      <c r="Z4" s="224">
        <f>'22Nutation'!Z43</f>
        <v>23.43591441649545</v>
      </c>
      <c r="AA4" s="224">
        <f>'22Nutation'!AA43</f>
        <v>23.437690141391833</v>
      </c>
      <c r="AB4" s="224">
        <f>'22Nutation'!AB43</f>
        <v>23.445717858790978</v>
      </c>
      <c r="AC4" s="224">
        <f>'22Nutation'!AC43</f>
        <v>23.43944105464222</v>
      </c>
      <c r="AD4" s="224">
        <f>'22Nutation'!AD43</f>
        <v>23.443353796383867</v>
      </c>
      <c r="AE4" s="224">
        <f>'22Nutation'!AE43</f>
        <v>23.440069236114311</v>
      </c>
      <c r="AF4" s="224">
        <f>'22Nutation'!AF43</f>
        <v>23.439668707560312</v>
      </c>
      <c r="AG4" s="224">
        <f>'22Nutation'!AG43</f>
        <v>23.440144328354034</v>
      </c>
      <c r="AH4" s="224">
        <f>'22Nutation'!AH43</f>
        <v>23.441725592332503</v>
      </c>
      <c r="AI4" s="224">
        <f>'22Nutation'!AI43</f>
        <v>23.440720169380132</v>
      </c>
      <c r="AJ4" s="224">
        <f>'22Nutation'!AJ43</f>
        <v>23.43952478757906</v>
      </c>
      <c r="AK4" s="224">
        <f>'22Nutation'!AK43</f>
        <v>23.464635053498736</v>
      </c>
      <c r="AL4" s="224">
        <f>'22Nutation'!AL43</f>
        <v>23.44214134975962</v>
      </c>
      <c r="AM4" s="224">
        <f>'22Nutation'!AM43</f>
        <v>23.615440758222871</v>
      </c>
      <c r="AN4" s="224">
        <f>'22Nutation'!AN43</f>
        <v>23.438139860602295</v>
      </c>
      <c r="AO4" s="224">
        <f>'22Nutation'!AO43</f>
        <v>23.694977970087983</v>
      </c>
      <c r="AP4" s="224">
        <f>'22Nutation'!AP43</f>
        <v>23.438318064424823</v>
      </c>
      <c r="AQ4" s="224">
        <f>'22Nutation'!AQ43</f>
        <v>23.438255471534546</v>
      </c>
      <c r="AR4" s="224">
        <f>'22Nutation'!AR43</f>
        <v>23.438313915068321</v>
      </c>
      <c r="AS4" s="224">
        <f>'22Nutation'!AS43</f>
        <v>23.438239250597245</v>
      </c>
      <c r="AT4" s="224">
        <f>'22Nutation'!AT43</f>
        <v>23.438195562079979</v>
      </c>
      <c r="AU4" s="224">
        <f>'22Nutation'!AU43</f>
        <v>23.443036350590067</v>
      </c>
      <c r="AV4" s="224">
        <f>'22Nutation'!AV43</f>
        <v>23.437178550742651</v>
      </c>
      <c r="AW4" s="224">
        <f>'22Nutation'!AW43</f>
        <v>23.448937361252447</v>
      </c>
      <c r="AX4" s="224">
        <f>'22Nutation'!AX43</f>
        <v>23.443362294195751</v>
      </c>
      <c r="AY4" s="224">
        <f>'22Nutation'!AY43</f>
        <v>23.438120178554648</v>
      </c>
      <c r="AZ4" s="224">
        <f>'22Nutation'!AZ43</f>
        <v>23.438124485965716</v>
      </c>
      <c r="BA4" s="224">
        <f>'22Nutation'!BA43</f>
        <v>23.438121872273811</v>
      </c>
      <c r="BB4" s="224">
        <f>'22Nutation'!BB43</f>
        <v>23.438112991814261</v>
      </c>
      <c r="BC4" s="224">
        <f>'22Nutation'!BC43</f>
        <v>23.438099685238441</v>
      </c>
      <c r="BD4" s="224">
        <f>'22Nutation'!BD43</f>
        <v>23.438084437844793</v>
      </c>
      <c r="BE4" s="224">
        <f>'22Nutation'!BE43</f>
        <v>23.438069837320658</v>
      </c>
      <c r="BF4" s="224">
        <f>'22Nutation'!BF43</f>
        <v>23.438058122225598</v>
      </c>
      <c r="BG4" s="224">
        <f>'22Nutation'!BG43</f>
        <v>23.440067370916868</v>
      </c>
    </row>
    <row r="5" spans="1:59" x14ac:dyDescent="0.25">
      <c r="A5">
        <v>22</v>
      </c>
      <c r="C5" s="202" t="s">
        <v>345</v>
      </c>
      <c r="D5" s="203" t="s">
        <v>343</v>
      </c>
      <c r="E5" s="202">
        <f>'22Nutation'!E21</f>
        <v>11.259614617650428</v>
      </c>
      <c r="F5" s="202">
        <f>'22Nutation'!F21</f>
        <v>10.467451038082624</v>
      </c>
      <c r="G5" s="202">
        <f>'22Nutation'!G21</f>
        <v>-13.924401472956106</v>
      </c>
      <c r="H5" s="202">
        <f>'22Nutation'!H21</f>
        <v>-9.7765225209920441</v>
      </c>
      <c r="I5" s="202">
        <f>'22Nutation'!I21</f>
        <v>-3.078495589539314</v>
      </c>
      <c r="J5" s="202">
        <f>'22Nutation'!J21</f>
        <v>-2.2601184140617816</v>
      </c>
      <c r="K5" s="202">
        <f>'22Nutation'!K21</f>
        <v>2.389749691379369</v>
      </c>
      <c r="L5" s="202">
        <f>'22Nutation'!L21</f>
        <v>3.6326988521229171</v>
      </c>
      <c r="M5" s="202">
        <f>'22Nutation'!M21</f>
        <v>17.424516297550877</v>
      </c>
      <c r="N5" s="202">
        <f>'22Nutation'!N21</f>
        <v>15.09574660883542</v>
      </c>
      <c r="O5" s="202">
        <f>'22Nutation'!O21</f>
        <v>16.916366672843161</v>
      </c>
      <c r="P5" s="202">
        <f>'22Nutation'!P21</f>
        <v>14.43700362685388</v>
      </c>
      <c r="Q5" s="202">
        <f>'22Nutation'!Q21</f>
        <v>-13.050344270400224</v>
      </c>
      <c r="R5" s="202">
        <f>'22Nutation'!R21</f>
        <v>-13.098867157865884</v>
      </c>
      <c r="S5" s="202">
        <f>'22Nutation'!S21</f>
        <v>0.37932330786311713</v>
      </c>
      <c r="T5" s="202">
        <f>'22Nutation'!T21</f>
        <v>3.3076161310027823</v>
      </c>
      <c r="U5" s="202">
        <f>'22Nutation'!U21</f>
        <v>6.4671376488589036</v>
      </c>
      <c r="V5" s="202">
        <f>'22Nutation'!V21</f>
        <v>1.4362502705658975</v>
      </c>
      <c r="W5" s="202">
        <f>'22Nutation'!W21</f>
        <v>-3.7821802025769422</v>
      </c>
      <c r="X5" s="216">
        <f>'22Nutation'!X21</f>
        <v>16.588333246930265</v>
      </c>
      <c r="Y5" s="202">
        <f>'22Nutation'!Y21</f>
        <v>9.6126883794207583</v>
      </c>
      <c r="Z5" s="202">
        <f>'22Nutation'!Z21</f>
        <v>2.3113576253118198</v>
      </c>
      <c r="AA5" s="202">
        <f>'22Nutation'!AA21</f>
        <v>-13.925231493587223</v>
      </c>
      <c r="AB5" s="202">
        <f>'22Nutation'!AB21</f>
        <v>16.917691273951629</v>
      </c>
      <c r="AC5" s="202">
        <f>'22Nutation'!AC21</f>
        <v>-3.48021220327775</v>
      </c>
      <c r="AD5" s="202">
        <f>'22Nutation'!AD21</f>
        <v>1.6904612853027707</v>
      </c>
      <c r="AE5" s="202">
        <f>'22Nutation'!AE21</f>
        <v>9.5697001401415331</v>
      </c>
      <c r="AF5" s="202">
        <f>'22Nutation'!AF21</f>
        <v>16.754828335774228</v>
      </c>
      <c r="AG5" s="202">
        <f>'22Nutation'!AG21</f>
        <v>15.910522713112291</v>
      </c>
      <c r="AH5" s="202">
        <f>'22Nutation'!AH21</f>
        <v>16.467532958429334</v>
      </c>
      <c r="AI5" s="202">
        <f>'22Nutation'!AI21</f>
        <v>16.785384307925618</v>
      </c>
      <c r="AJ5" s="202">
        <f>'22Nutation'!AJ21</f>
        <v>15.62481509273834</v>
      </c>
      <c r="AK5" s="202">
        <f>'22Nutation'!AK21</f>
        <v>-11.693850325886723</v>
      </c>
      <c r="AL5" s="202">
        <f>'22Nutation'!AL21</f>
        <v>13.924064628425876</v>
      </c>
      <c r="AM5" s="202">
        <f>'22Nutation'!AM21</f>
        <v>-12.693698671657693</v>
      </c>
      <c r="AN5" s="202">
        <f>'22Nutation'!AN21</f>
        <v>-15.875235473074611</v>
      </c>
      <c r="AO5" s="202">
        <f>'22Nutation'!AO21</f>
        <v>17.63431857497104</v>
      </c>
      <c r="AP5" s="202">
        <f>'22Nutation'!AP21</f>
        <v>-12.333012950702944</v>
      </c>
      <c r="AQ5" s="202">
        <f>'22Nutation'!AQ21</f>
        <v>-12.546170429905317</v>
      </c>
      <c r="AR5" s="202">
        <f>'22Nutation'!AR21</f>
        <v>-12.757464471895197</v>
      </c>
      <c r="AS5" s="202">
        <f>'22Nutation'!AS21</f>
        <v>-12.793145985155183</v>
      </c>
      <c r="AT5" s="202">
        <f>'22Nutation'!AT21</f>
        <v>-12.781652178942119</v>
      </c>
      <c r="AU5" s="202">
        <f>'22Nutation'!AU21</f>
        <v>15.975331180806034</v>
      </c>
      <c r="AV5" s="202">
        <f>'22Nutation'!AV21</f>
        <v>-2.0521732410281621</v>
      </c>
      <c r="AW5" s="202">
        <f>'22Nutation'!AW21</f>
        <v>15.094466116773198</v>
      </c>
      <c r="AX5" s="202">
        <f>'22Nutation'!AX21</f>
        <v>12.604208061826506</v>
      </c>
      <c r="AY5" s="202">
        <f>'22Nutation'!AY21</f>
        <v>-12.004966537636584</v>
      </c>
      <c r="AZ5" s="202">
        <f>'22Nutation'!AZ21</f>
        <v>-12.063107633428542</v>
      </c>
      <c r="BA5" s="202">
        <f>'22Nutation'!BA21</f>
        <v>-12.131294342760018</v>
      </c>
      <c r="BB5" s="202">
        <f>'22Nutation'!BB21</f>
        <v>-12.184376290479923</v>
      </c>
      <c r="BC5" s="202">
        <f>'22Nutation'!BC21</f>
        <v>-12.203303998852519</v>
      </c>
      <c r="BD5" s="202">
        <f>'22Nutation'!BD21</f>
        <v>-12.177509271061377</v>
      </c>
      <c r="BE5" s="202">
        <f>'22Nutation'!BE21</f>
        <v>-12.105781174228065</v>
      </c>
      <c r="BF5" s="202">
        <f>'22Nutation'!BF21</f>
        <v>-11.995522645818578</v>
      </c>
      <c r="BG5" s="202">
        <f>'22Nutation'!BG21</f>
        <v>9.5820608532544309</v>
      </c>
    </row>
    <row r="6" spans="1:59" x14ac:dyDescent="0.25">
      <c r="A6" s="7">
        <v>13.3</v>
      </c>
      <c r="C6" t="s">
        <v>349</v>
      </c>
      <c r="F6" s="38"/>
      <c r="G6" s="38"/>
      <c r="H6" s="38"/>
      <c r="X6" s="14">
        <f>X5/3600</f>
        <v>4.6078703463695182E-3</v>
      </c>
    </row>
    <row r="7" spans="1:59" x14ac:dyDescent="0.25">
      <c r="C7" t="s">
        <v>693</v>
      </c>
      <c r="X7" s="211" t="s">
        <v>691</v>
      </c>
      <c r="Y7" s="142">
        <v>23.440636000000001</v>
      </c>
    </row>
    <row r="9" spans="1:59" x14ac:dyDescent="0.25">
      <c r="A9">
        <v>47.1</v>
      </c>
      <c r="B9">
        <v>338</v>
      </c>
      <c r="C9" t="s">
        <v>198</v>
      </c>
    </row>
    <row r="10" spans="1:59" x14ac:dyDescent="0.25">
      <c r="C10" t="s">
        <v>199</v>
      </c>
    </row>
    <row r="11" spans="1:59" s="13" customFormat="1" x14ac:dyDescent="0.25">
      <c r="C11" s="13" t="s">
        <v>200</v>
      </c>
      <c r="D11" s="288" t="s">
        <v>202</v>
      </c>
      <c r="E11" s="13">
        <f xml:space="preserve"> 218.3164477 + 481267.88123421 *E3     - 0.0015786 *E3^2 + E3^3 / 538841    - E3^4 / 65194000</f>
        <v>-203076.22035757743</v>
      </c>
      <c r="F11" s="13">
        <f t="shared" ref="F11:Y11" si="0" xml:space="preserve"> 218.3164477 + 481267.88123421 *F3     - 0.0015786 *F3^2 + F3^3 / 538841    - F3^4 / 65194000</f>
        <v>-8021993.9503643485</v>
      </c>
      <c r="G11" s="13">
        <f t="shared" si="0"/>
        <v>218.3164477</v>
      </c>
      <c r="H11" s="13">
        <f t="shared" si="0"/>
        <v>-4597.6564639188246</v>
      </c>
      <c r="I11" s="13">
        <f t="shared" si="0"/>
        <v>-62007.215929920516</v>
      </c>
      <c r="J11" s="13">
        <f t="shared" si="0"/>
        <v>-60116.403034237839</v>
      </c>
      <c r="K11" s="13">
        <f t="shared" si="0"/>
        <v>-57197.831212774538</v>
      </c>
      <c r="L11" s="13">
        <f t="shared" si="0"/>
        <v>-55293.841920731291</v>
      </c>
      <c r="M11" s="13">
        <f t="shared" si="0"/>
        <v>-481042.97801619681</v>
      </c>
      <c r="N11" s="13">
        <f t="shared" si="0"/>
        <v>-1924820.2928773828</v>
      </c>
      <c r="O11" s="13">
        <f t="shared" si="0"/>
        <v>-1920010.9080371906</v>
      </c>
      <c r="P11" s="13">
        <f t="shared" si="0"/>
        <v>-5595444.3554836549</v>
      </c>
      <c r="Q11" s="13">
        <f t="shared" si="0"/>
        <v>-10212128.738229606</v>
      </c>
      <c r="R11" s="13">
        <f t="shared" si="0"/>
        <v>-10212115.56183121</v>
      </c>
      <c r="S11" s="13">
        <f t="shared" si="0"/>
        <v>-14435105.265605096</v>
      </c>
      <c r="T11" s="13">
        <f t="shared" si="0"/>
        <v>-14436877.491304211</v>
      </c>
      <c r="U11" s="13">
        <f t="shared" si="0"/>
        <v>-14439448.206797963</v>
      </c>
      <c r="V11" s="13">
        <f t="shared" si="0"/>
        <v>-32302318.562975444</v>
      </c>
      <c r="W11" s="13">
        <f t="shared" si="0"/>
        <v>-61045.338986466093</v>
      </c>
      <c r="X11" s="13">
        <f t="shared" si="0"/>
        <v>-36945.709818280637</v>
      </c>
      <c r="Y11" s="13">
        <f t="shared" si="0"/>
        <v>-109877.06437832634</v>
      </c>
      <c r="Z11" s="13">
        <f t="shared" ref="Z11:AA11" si="1" xml:space="preserve"> 218.3164477 + 481267.88123421 *Z3     - 0.0015786 *Z3^2 + Z3^3 / 538841    - Z3^4 / 65194000</f>
        <v>211969.59568707464</v>
      </c>
      <c r="AA11" s="13">
        <f t="shared" si="1"/>
        <v>211.72824946270731</v>
      </c>
      <c r="AB11" s="13">
        <f t="shared" ref="AB11:AP11" si="2" xml:space="preserve"> 218.3164477 + 481267.88123421 *AB3     - 0.0015786 *AB3^2 + AB3^3 / 538841    - AB3^4 / 65194000</f>
        <v>-218793.15788169979</v>
      </c>
      <c r="AC11" s="13">
        <f t="shared" si="2"/>
        <v>-101483.69981189523</v>
      </c>
      <c r="AD11" s="13">
        <f t="shared" si="2"/>
        <v>-56064.661115081944</v>
      </c>
      <c r="AE11" s="13">
        <f t="shared" si="2"/>
        <v>-109835.54347890825</v>
      </c>
      <c r="AF11" s="13">
        <f t="shared" si="2"/>
        <v>-33625.257905078113</v>
      </c>
      <c r="AG11" s="13">
        <f t="shared" si="2"/>
        <v>-34521.252865768751</v>
      </c>
      <c r="AH11" s="13">
        <f t="shared" si="2"/>
        <v>-42321.67958283201</v>
      </c>
      <c r="AI11" s="13">
        <f t="shared" si="2"/>
        <v>-37090.650179574644</v>
      </c>
      <c r="AJ11" s="13">
        <f t="shared" si="2"/>
        <v>-31885.973569651072</v>
      </c>
      <c r="AK11" s="13">
        <f t="shared" si="2"/>
        <v>-875676.05624224071</v>
      </c>
      <c r="AL11" s="13">
        <f t="shared" si="2"/>
        <v>-44456.255812983771</v>
      </c>
      <c r="AM11" s="13">
        <f t="shared" si="2"/>
        <v>-6628899.525007668</v>
      </c>
      <c r="AN11" s="13">
        <f t="shared" si="2"/>
        <v>1476.662311012057</v>
      </c>
      <c r="AO11" s="13">
        <f t="shared" si="2"/>
        <v>-9620126.3374328855</v>
      </c>
      <c r="AP11" s="13">
        <f t="shared" si="2"/>
        <v>109622.97942600871</v>
      </c>
      <c r="AQ11" s="13">
        <f t="shared" ref="AQ11:BG11" si="3" xml:space="preserve"> 218.3164477 + 481267.88123421 *AQ3     - 0.0015786 *AQ3^2 + AQ3^3 / 538841    - AQ3^4 / 65194000</f>
        <v>109715.94622321783</v>
      </c>
      <c r="AR11" s="13">
        <f t="shared" si="3"/>
        <v>109806.89995986078</v>
      </c>
      <c r="AS11" s="13">
        <f t="shared" si="3"/>
        <v>109909.75820468561</v>
      </c>
      <c r="AT11" s="13">
        <f t="shared" si="3"/>
        <v>110102.87476522736</v>
      </c>
      <c r="AU11" s="13">
        <f t="shared" si="3"/>
        <v>-127731.08163036774</v>
      </c>
      <c r="AV11" s="13">
        <f t="shared" si="3"/>
        <v>-11014.561547743535</v>
      </c>
      <c r="AW11" s="13">
        <f t="shared" si="3"/>
        <v>-312556.39553501672</v>
      </c>
      <c r="AX11" s="13">
        <f t="shared" si="3"/>
        <v>-205353.23343870114</v>
      </c>
      <c r="AY11" s="13">
        <f t="shared" si="3"/>
        <v>110498.16665887198</v>
      </c>
      <c r="AZ11" s="13">
        <f t="shared" si="3"/>
        <v>110511.34305532678</v>
      </c>
      <c r="BA11" s="13">
        <f t="shared" si="3"/>
        <v>110524.51945178155</v>
      </c>
      <c r="BB11" s="13">
        <f t="shared" si="3"/>
        <v>110537.69584823634</v>
      </c>
      <c r="BC11" s="13">
        <f t="shared" si="3"/>
        <v>110550.87224469111</v>
      </c>
      <c r="BD11" s="13">
        <f t="shared" si="3"/>
        <v>110564.04864114588</v>
      </c>
      <c r="BE11" s="13">
        <f t="shared" si="3"/>
        <v>110577.22503760067</v>
      </c>
      <c r="BF11" s="13">
        <f t="shared" si="3"/>
        <v>110590.40143405543</v>
      </c>
      <c r="BG11" s="13">
        <f t="shared" si="3"/>
        <v>-109837.53518884325</v>
      </c>
    </row>
    <row r="12" spans="1:59" s="13" customFormat="1" x14ac:dyDescent="0.25">
      <c r="C12" s="13" t="s">
        <v>201</v>
      </c>
      <c r="D12" s="288" t="s">
        <v>205</v>
      </c>
      <c r="E12" s="13">
        <f>MOD(E11,360)</f>
        <v>323.77964242256712</v>
      </c>
      <c r="F12" s="13">
        <f t="shared" ref="F12:AA12" si="4">MOD(F11,360)</f>
        <v>246.04963565152138</v>
      </c>
      <c r="G12" s="13">
        <f t="shared" si="4"/>
        <v>218.3164477</v>
      </c>
      <c r="H12" s="13">
        <f t="shared" si="4"/>
        <v>82.343536081175444</v>
      </c>
      <c r="I12" s="13">
        <f t="shared" si="4"/>
        <v>272.78407007948408</v>
      </c>
      <c r="J12" s="13">
        <f t="shared" si="4"/>
        <v>3.5969657621608349</v>
      </c>
      <c r="K12" s="13">
        <f t="shared" si="4"/>
        <v>42.168787225462438</v>
      </c>
      <c r="L12" s="13">
        <f t="shared" si="4"/>
        <v>146.15807926870912</v>
      </c>
      <c r="M12" s="13">
        <f t="shared" si="4"/>
        <v>277.02198380319169</v>
      </c>
      <c r="N12" s="13">
        <f t="shared" si="4"/>
        <v>99.707122617168352</v>
      </c>
      <c r="O12" s="13">
        <f t="shared" si="4"/>
        <v>229.09196280944161</v>
      </c>
      <c r="P12" s="13">
        <f t="shared" si="4"/>
        <v>35.644516345113516</v>
      </c>
      <c r="Q12" s="13">
        <f t="shared" si="4"/>
        <v>351.26177039369941</v>
      </c>
      <c r="R12" s="13">
        <f t="shared" si="4"/>
        <v>4.438168790191412</v>
      </c>
      <c r="S12" s="13">
        <f t="shared" si="4"/>
        <v>174.73439490422606</v>
      </c>
      <c r="T12" s="13">
        <f t="shared" si="4"/>
        <v>202.50869578868151</v>
      </c>
      <c r="U12" s="13">
        <f t="shared" si="4"/>
        <v>151.79320203699172</v>
      </c>
      <c r="V12" s="13">
        <f t="shared" si="4"/>
        <v>121.43702455610037</v>
      </c>
      <c r="W12" s="13">
        <f t="shared" si="4"/>
        <v>154.66101353390695</v>
      </c>
      <c r="X12" s="14">
        <f t="shared" si="4"/>
        <v>134.29018171936332</v>
      </c>
      <c r="Y12" s="13">
        <f t="shared" si="4"/>
        <v>282.93562167366326</v>
      </c>
      <c r="Z12" s="13">
        <f t="shared" si="4"/>
        <v>289.59568707464496</v>
      </c>
      <c r="AA12" s="13">
        <f t="shared" si="4"/>
        <v>211.72824946270731</v>
      </c>
      <c r="AB12" s="13">
        <f t="shared" ref="AB12" si="5">MOD(AB11,360)</f>
        <v>86.842118300206494</v>
      </c>
      <c r="AC12" s="13">
        <f t="shared" ref="AC12" si="6">MOD(AC11,360)</f>
        <v>36.300188104767585</v>
      </c>
      <c r="AD12" s="13">
        <f t="shared" ref="AD12" si="7">MOD(AD11,360)</f>
        <v>95.338884918055555</v>
      </c>
      <c r="AE12" s="13">
        <f t="shared" ref="AE12" si="8">MOD(AE11,360)</f>
        <v>324.45652109174989</v>
      </c>
      <c r="AF12" s="13">
        <f t="shared" ref="AF12" si="9">MOD(AF11,360)</f>
        <v>214.74209492188675</v>
      </c>
      <c r="AG12" s="13">
        <f t="shared" ref="AG12" si="10">MOD(AG11,360)</f>
        <v>38.74713423124922</v>
      </c>
      <c r="AH12" s="13">
        <f t="shared" ref="AH12" si="11">MOD(AH11,360)</f>
        <v>158.32041716798994</v>
      </c>
      <c r="AI12" s="13">
        <f t="shared" ref="AI12" si="12">MOD(AI11,360)</f>
        <v>349.34982042535557</v>
      </c>
      <c r="AJ12" s="13">
        <f t="shared" ref="AJ12" si="13">MOD(AJ11,360)</f>
        <v>154.02643034892753</v>
      </c>
      <c r="AK12" s="13">
        <f t="shared" ref="AK12" si="14">MOD(AK11,360)</f>
        <v>203.94375775929075</v>
      </c>
      <c r="AL12" s="13">
        <f t="shared" ref="AL12" si="15">MOD(AL11,360)</f>
        <v>183.74418701622926</v>
      </c>
      <c r="AM12" s="13">
        <f t="shared" ref="AM12" si="16">MOD(AM11,360)</f>
        <v>140.47499233204871</v>
      </c>
      <c r="AN12" s="13">
        <f t="shared" ref="AN12" si="17">MOD(AN11,360)</f>
        <v>36.662311012056989</v>
      </c>
      <c r="AO12" s="13">
        <f t="shared" ref="AO12" si="18">MOD(AO11,360)</f>
        <v>153.66256711445749</v>
      </c>
      <c r="AP12" s="13">
        <f t="shared" ref="AP12" si="19">MOD(AP11,360)</f>
        <v>182.97942600870738</v>
      </c>
      <c r="AQ12" s="13">
        <f t="shared" ref="AQ12" si="20">MOD(AQ11,360)</f>
        <v>275.9462232178339</v>
      </c>
      <c r="AR12" s="13">
        <f t="shared" ref="AR12" si="21">MOD(AR11,360)</f>
        <v>6.8999598607770167</v>
      </c>
      <c r="AS12" s="13">
        <f t="shared" ref="AS12" si="22">MOD(AS11,360)</f>
        <v>109.75820468561142</v>
      </c>
      <c r="AT12" s="13">
        <f t="shared" ref="AT12" si="23">MOD(AT11,360)</f>
        <v>302.8747652273596</v>
      </c>
      <c r="AU12" s="13">
        <f t="shared" ref="AU12" si="24">MOD(AU11,360)</f>
        <v>68.918369632257964</v>
      </c>
      <c r="AV12" s="13">
        <f t="shared" ref="AV12" si="25">MOD(AV11,360)</f>
        <v>145.4384522564651</v>
      </c>
      <c r="AW12" s="13">
        <f t="shared" ref="AW12" si="26">MOD(AW11,360)</f>
        <v>283.60446498327656</v>
      </c>
      <c r="AX12" s="13">
        <f t="shared" ref="AX12" si="27">MOD(AX11,360)</f>
        <v>206.76656129886396</v>
      </c>
      <c r="AY12" s="13">
        <f t="shared" ref="AY12" si="28">MOD(AY11,360)</f>
        <v>338.16665887198178</v>
      </c>
      <c r="AZ12" s="13">
        <f t="shared" ref="AZ12" si="29">MOD(AZ11,360)</f>
        <v>351.34305532678263</v>
      </c>
      <c r="BA12" s="13">
        <f t="shared" ref="BA12" si="30">MOD(BA11,360)</f>
        <v>4.5194517815543804</v>
      </c>
      <c r="BB12" s="13">
        <f t="shared" ref="BB12" si="31">MOD(BB11,360)</f>
        <v>17.69584823634068</v>
      </c>
      <c r="BC12" s="13">
        <f t="shared" ref="BC12" si="32">MOD(BC11,360)</f>
        <v>30.872244691112428</v>
      </c>
      <c r="BD12" s="13">
        <f t="shared" ref="BD12" si="33">MOD(BD11,360)</f>
        <v>44.048641145884176</v>
      </c>
      <c r="BE12" s="13">
        <f t="shared" ref="BE12" si="34">MOD(BE11,360)</f>
        <v>57.225037600670476</v>
      </c>
      <c r="BF12" s="13">
        <f t="shared" ref="BF12" si="35">MOD(BF11,360)</f>
        <v>70.401434055427671</v>
      </c>
      <c r="BG12" s="13">
        <f t="shared" ref="BG12" si="36">MOD(BG11,360)</f>
        <v>322.46481115675124</v>
      </c>
    </row>
    <row r="13" spans="1:59" x14ac:dyDescent="0.25">
      <c r="C13" s="41" t="s">
        <v>333</v>
      </c>
      <c r="W13" s="144" t="s">
        <v>333</v>
      </c>
      <c r="X13" s="142">
        <v>134.29018199999999</v>
      </c>
    </row>
    <row r="15" spans="1:59" x14ac:dyDescent="0.25">
      <c r="A15">
        <v>47.2</v>
      </c>
      <c r="B15">
        <v>338</v>
      </c>
      <c r="C15" t="s">
        <v>172</v>
      </c>
    </row>
    <row r="16" spans="1:59" x14ac:dyDescent="0.25">
      <c r="C16" t="s">
        <v>203</v>
      </c>
    </row>
    <row r="17" spans="1:59" x14ac:dyDescent="0.25">
      <c r="C17" t="s">
        <v>204</v>
      </c>
      <c r="D17" s="7" t="s">
        <v>162</v>
      </c>
      <c r="E17" s="13">
        <f xml:space="preserve"> 297.8501921 + 445267.1114034 * E3   - 0.0018819 *E3^2 + E3^3 / 545868    - E3^4 / 113065000</f>
        <v>-187789.43909765946</v>
      </c>
      <c r="F17" s="13">
        <f t="shared" ref="F17:Y17" si="37" xml:space="preserve"> 297.8501921 + 445267.1114034 * F3   - 0.0018819 *F3^2 + F3^3 / 545868    - F3^4 / 113065000</f>
        <v>-7421820.8466835869</v>
      </c>
      <c r="G17" s="13">
        <f t="shared" si="37"/>
        <v>297.85019210000002</v>
      </c>
      <c r="H17" s="13">
        <f t="shared" si="37"/>
        <v>-4157.8686094010491</v>
      </c>
      <c r="I17" s="13">
        <f t="shared" si="37"/>
        <v>-57272.962532110294</v>
      </c>
      <c r="J17" s="13">
        <f t="shared" si="37"/>
        <v>-55523.590032310909</v>
      </c>
      <c r="K17" s="13">
        <f t="shared" si="37"/>
        <v>-52823.339100678917</v>
      </c>
      <c r="L17" s="13">
        <f t="shared" si="37"/>
        <v>-51061.775851901053</v>
      </c>
      <c r="M17" s="13">
        <f t="shared" si="37"/>
        <v>-444963.16757933615</v>
      </c>
      <c r="N17" s="13">
        <f t="shared" si="37"/>
        <v>-1780740.1487775859</v>
      </c>
      <c r="O17" s="13">
        <f t="shared" si="37"/>
        <v>-1776290.5251996731</v>
      </c>
      <c r="P17" s="13">
        <f t="shared" si="37"/>
        <v>-5176786.8440627698</v>
      </c>
      <c r="Q17" s="13">
        <f t="shared" si="37"/>
        <v>-9448124.8314670045</v>
      </c>
      <c r="R17" s="13">
        <f t="shared" si="37"/>
        <v>-9448112.640715627</v>
      </c>
      <c r="S17" s="13">
        <f t="shared" si="37"/>
        <v>-13355205.947258813</v>
      </c>
      <c r="T17" s="13">
        <f t="shared" si="37"/>
        <v>-13356845.60345217</v>
      </c>
      <c r="U17" s="13">
        <f t="shared" si="37"/>
        <v>-13359224.019239064</v>
      </c>
      <c r="V17" s="13">
        <f t="shared" si="37"/>
        <v>-29885881.398953494</v>
      </c>
      <c r="W17" s="13">
        <f t="shared" si="37"/>
        <v>-56383.037845793937</v>
      </c>
      <c r="X17" s="13">
        <f t="shared" si="37"/>
        <v>-34086.157696283364</v>
      </c>
      <c r="Y17" s="13">
        <f t="shared" si="37"/>
        <v>-101561.95413176037</v>
      </c>
      <c r="Z17" s="13">
        <f t="shared" ref="Z17:AA17" si="38" xml:space="preserve"> 297.8501921 + 445267.1114034 * Z3   - 0.0018819 *Z3^2 + Z3^3 / 545868    - Z3^4 / 113065000</f>
        <v>196209.28347088135</v>
      </c>
      <c r="AA17" s="13">
        <f t="shared" si="38"/>
        <v>291.75481754280048</v>
      </c>
      <c r="AB17" s="13">
        <f t="shared" ref="AB17:AP17" si="39" xml:space="preserve"> 297.8501921 + 445267.1114034 * AB3   - 0.0018819 *AB3^2 + AB3^3 / 545868    - AB3^4 / 113065000</f>
        <v>-202330.68660276875</v>
      </c>
      <c r="AC17" s="13">
        <f t="shared" si="39"/>
        <v>-93796.446931440238</v>
      </c>
      <c r="AD17" s="13">
        <f t="shared" si="39"/>
        <v>-51774.934675793644</v>
      </c>
      <c r="AE17" s="13">
        <f t="shared" si="39"/>
        <v>-101523.5391623106</v>
      </c>
      <c r="AF17" s="13">
        <f t="shared" si="39"/>
        <v>-31014.088917539084</v>
      </c>
      <c r="AG17" s="13">
        <f t="shared" si="39"/>
        <v>-31843.059857817505</v>
      </c>
      <c r="AH17" s="13">
        <f t="shared" si="39"/>
        <v>-39059.983338439757</v>
      </c>
      <c r="AI17" s="13">
        <f t="shared" si="39"/>
        <v>-34220.255936629459</v>
      </c>
      <c r="AJ17" s="13">
        <f t="shared" si="39"/>
        <v>-29404.91003350645</v>
      </c>
      <c r="AK17" s="13">
        <f t="shared" si="39"/>
        <v>-810076.10805753211</v>
      </c>
      <c r="AL17" s="13">
        <f t="shared" si="39"/>
        <v>-41034.884696485089</v>
      </c>
      <c r="AM17" s="13">
        <f t="shared" si="39"/>
        <v>-6132935.4405420991</v>
      </c>
      <c r="AN17" s="13">
        <f t="shared" si="39"/>
        <v>1462.0667325121776</v>
      </c>
      <c r="AO17" s="13">
        <f t="shared" si="39"/>
        <v>-8900406.5658587255</v>
      </c>
      <c r="AP17" s="13">
        <f t="shared" si="39"/>
        <v>101518.60509269076</v>
      </c>
      <c r="AQ17" s="13">
        <f t="shared" ref="AQ17:BG17" si="40" xml:space="preserve"> 297.8501921 + 445267.1114034 * AQ3   - 0.0018819 *AQ3^2 + AQ3^3 / 545868    - AQ3^4 / 113065000</f>
        <v>101604.61760016534</v>
      </c>
      <c r="AR17" s="13">
        <f t="shared" si="40"/>
        <v>101688.76763208733</v>
      </c>
      <c r="AS17" s="13">
        <f t="shared" si="40"/>
        <v>101783.93166717727</v>
      </c>
      <c r="AT17" s="13">
        <f t="shared" si="40"/>
        <v>101962.60233354074</v>
      </c>
      <c r="AU17" s="13">
        <f t="shared" si="40"/>
        <v>-118080.41921631433</v>
      </c>
      <c r="AV17" s="13">
        <f t="shared" si="40"/>
        <v>-10094.763428949815</v>
      </c>
      <c r="AW17" s="13">
        <f t="shared" si="40"/>
        <v>-289080.05770628701</v>
      </c>
      <c r="AX17" s="13">
        <f t="shared" si="40"/>
        <v>-189896.12245968831</v>
      </c>
      <c r="AY17" s="13">
        <f t="shared" si="40"/>
        <v>102328.32480626582</v>
      </c>
      <c r="AZ17" s="13">
        <f t="shared" si="40"/>
        <v>102340.51555535661</v>
      </c>
      <c r="BA17" s="13">
        <f t="shared" si="40"/>
        <v>102352.70630444741</v>
      </c>
      <c r="BB17" s="13">
        <f t="shared" si="40"/>
        <v>102364.8970535382</v>
      </c>
      <c r="BC17" s="13">
        <f t="shared" si="40"/>
        <v>102377.08780262899</v>
      </c>
      <c r="BD17" s="13">
        <f t="shared" si="40"/>
        <v>102389.27855171975</v>
      </c>
      <c r="BE17" s="13">
        <f t="shared" si="40"/>
        <v>102401.46930081055</v>
      </c>
      <c r="BF17" s="13">
        <f t="shared" si="40"/>
        <v>102413.66004990131</v>
      </c>
      <c r="BG17" s="13">
        <f t="shared" si="40"/>
        <v>-101525.38188434644</v>
      </c>
    </row>
    <row r="18" spans="1:59" x14ac:dyDescent="0.25">
      <c r="C18" t="s">
        <v>173</v>
      </c>
      <c r="D18" s="289" t="s">
        <v>206</v>
      </c>
      <c r="E18" s="238">
        <f>MOD(E17,360)</f>
        <v>130.56090234054136</v>
      </c>
      <c r="F18" s="238">
        <f t="shared" ref="F18:AA18" si="41">MOD(F17,360)</f>
        <v>299.15331641305238</v>
      </c>
      <c r="G18" s="238">
        <f t="shared" si="41"/>
        <v>297.85019210000002</v>
      </c>
      <c r="H18" s="238">
        <f t="shared" si="41"/>
        <v>162.13139059895093</v>
      </c>
      <c r="I18" s="238">
        <f t="shared" si="41"/>
        <v>327.03746788970602</v>
      </c>
      <c r="J18" s="238">
        <f t="shared" si="41"/>
        <v>276.40996768909099</v>
      </c>
      <c r="K18" s="238">
        <f t="shared" si="41"/>
        <v>96.660899321082979</v>
      </c>
      <c r="L18" s="238">
        <f t="shared" si="41"/>
        <v>58.224148098946898</v>
      </c>
      <c r="M18" s="238">
        <f t="shared" si="41"/>
        <v>356.83242066384992</v>
      </c>
      <c r="N18" s="238">
        <f t="shared" si="41"/>
        <v>179.8512224140577</v>
      </c>
      <c r="O18" s="238">
        <f t="shared" si="41"/>
        <v>309.47480032686144</v>
      </c>
      <c r="P18" s="238">
        <f t="shared" si="41"/>
        <v>13.155937230214477</v>
      </c>
      <c r="Q18" s="238">
        <f t="shared" si="41"/>
        <v>75.168532995507121</v>
      </c>
      <c r="R18" s="238">
        <f t="shared" si="41"/>
        <v>87.359284373000264</v>
      </c>
      <c r="S18" s="238">
        <f t="shared" si="41"/>
        <v>74.052741186693311</v>
      </c>
      <c r="T18" s="238">
        <f t="shared" si="41"/>
        <v>234.3965478297323</v>
      </c>
      <c r="U18" s="238">
        <f t="shared" si="41"/>
        <v>15.980760935693979</v>
      </c>
      <c r="V18" s="238">
        <f t="shared" si="41"/>
        <v>238.60104650631547</v>
      </c>
      <c r="W18" s="238">
        <f t="shared" si="41"/>
        <v>136.96215420606313</v>
      </c>
      <c r="X18" s="239">
        <f t="shared" si="41"/>
        <v>113.8423037166358</v>
      </c>
      <c r="Y18" s="238">
        <f t="shared" si="41"/>
        <v>318.04586823962745</v>
      </c>
      <c r="Z18" s="238">
        <f t="shared" si="41"/>
        <v>9.2834708813461475</v>
      </c>
      <c r="AA18" s="238">
        <f t="shared" si="41"/>
        <v>291.75481754280048</v>
      </c>
      <c r="AB18" s="238">
        <f t="shared" ref="AB18" si="42">MOD(AB17,360)</f>
        <v>349.31339723124984</v>
      </c>
      <c r="AC18" s="238">
        <f t="shared" ref="AC18" si="43">MOD(AC17,360)</f>
        <v>163.55306855976232</v>
      </c>
      <c r="AD18" s="238">
        <f t="shared" ref="AD18" si="44">MOD(AD17,360)</f>
        <v>65.065324206356308</v>
      </c>
      <c r="AE18" s="238">
        <f t="shared" ref="AE18" si="45">MOD(AE17,360)</f>
        <v>356.46083768940298</v>
      </c>
      <c r="AF18" s="238">
        <f t="shared" ref="AF18" si="46">MOD(AF17,360)</f>
        <v>305.91108246091608</v>
      </c>
      <c r="AG18" s="238">
        <f t="shared" ref="AG18" si="47">MOD(AG17,360)</f>
        <v>196.94014218249504</v>
      </c>
      <c r="AH18" s="238">
        <f t="shared" ref="AH18" si="48">MOD(AH17,360)</f>
        <v>180.01666156024294</v>
      </c>
      <c r="AI18" s="238">
        <f t="shared" ref="AI18" si="49">MOD(AI17,360)</f>
        <v>339.74406337054097</v>
      </c>
      <c r="AJ18" s="238">
        <f t="shared" ref="AJ18" si="50">MOD(AJ17,360)</f>
        <v>115.08996649354958</v>
      </c>
      <c r="AK18" s="238">
        <f t="shared" ref="AK18" si="51">MOD(AK17,360)</f>
        <v>283.89194246788975</v>
      </c>
      <c r="AL18" s="238">
        <f t="shared" ref="AL18" si="52">MOD(AL17,360)</f>
        <v>5.1153035149109201</v>
      </c>
      <c r="AM18" s="238">
        <f t="shared" ref="AM18" si="53">MOD(AM17,360)</f>
        <v>24.559457900933921</v>
      </c>
      <c r="AN18" s="238">
        <f t="shared" ref="AN18" si="54">MOD(AN17,360)</f>
        <v>22.066732512177623</v>
      </c>
      <c r="AO18" s="238">
        <f t="shared" ref="AO18" si="55">MOD(AO17,360)</f>
        <v>233.43414127454162</v>
      </c>
      <c r="AP18" s="238">
        <f t="shared" ref="AP18" si="56">MOD(AP17,360)</f>
        <v>358.60509269076283</v>
      </c>
      <c r="AQ18" s="238">
        <f t="shared" ref="AQ18" si="57">MOD(AQ17,360)</f>
        <v>84.617600165336626</v>
      </c>
      <c r="AR18" s="238">
        <f t="shared" ref="AR18" si="58">MOD(AR17,360)</f>
        <v>168.76763208732882</v>
      </c>
      <c r="AS18" s="238">
        <f t="shared" ref="AS18" si="59">MOD(AS17,360)</f>
        <v>263.93166717726854</v>
      </c>
      <c r="AT18" s="238">
        <f t="shared" ref="AT18" si="60">MOD(AT17,360)</f>
        <v>82.602333540737163</v>
      </c>
      <c r="AU18" s="238">
        <f t="shared" ref="AU18" si="61">MOD(AU17,360)</f>
        <v>359.5807836856693</v>
      </c>
      <c r="AV18" s="238">
        <f t="shared" ref="AV18" si="62">MOD(AV17,360)</f>
        <v>345.23657105018538</v>
      </c>
      <c r="AW18" s="238">
        <f t="shared" ref="AW18" si="63">MOD(AW17,360)</f>
        <v>359.9422937129857</v>
      </c>
      <c r="AX18" s="238">
        <f t="shared" ref="AX18" si="64">MOD(AX17,360)</f>
        <v>183.87754031168879</v>
      </c>
      <c r="AY18" s="238">
        <f t="shared" ref="AY18" si="65">MOD(AY17,360)</f>
        <v>88.324806265824009</v>
      </c>
      <c r="AZ18" s="238">
        <f t="shared" ref="AZ18" si="66">MOD(AZ17,360)</f>
        <v>100.51555535661464</v>
      </c>
      <c r="BA18" s="238">
        <f t="shared" ref="BA18" si="67">MOD(BA17,360)</f>
        <v>112.70630444740527</v>
      </c>
      <c r="BB18" s="238">
        <f t="shared" ref="BB18" si="68">MOD(BB17,360)</f>
        <v>124.89705353819591</v>
      </c>
      <c r="BC18" s="238">
        <f t="shared" ref="BC18" si="69">MOD(BC17,360)</f>
        <v>137.08780262898654</v>
      </c>
      <c r="BD18" s="238">
        <f t="shared" ref="BD18" si="70">MOD(BD17,360)</f>
        <v>149.27855171974807</v>
      </c>
      <c r="BE18" s="238">
        <f t="shared" ref="BE18" si="71">MOD(BE17,360)</f>
        <v>161.46930081055325</v>
      </c>
      <c r="BF18" s="238">
        <f t="shared" ref="BF18" si="72">MOD(BF17,360)</f>
        <v>173.66004990131478</v>
      </c>
      <c r="BG18" s="238">
        <f t="shared" ref="BG18" si="73">MOD(BG17,360)</f>
        <v>354.61811565356038</v>
      </c>
    </row>
    <row r="19" spans="1:59" x14ac:dyDescent="0.25">
      <c r="C19" s="41" t="s">
        <v>333</v>
      </c>
      <c r="W19" s="144" t="s">
        <v>333</v>
      </c>
      <c r="X19" s="142">
        <v>113.842304</v>
      </c>
    </row>
    <row r="21" spans="1:59" x14ac:dyDescent="0.25">
      <c r="A21">
        <v>47.3</v>
      </c>
      <c r="B21">
        <v>338</v>
      </c>
      <c r="C21" t="s">
        <v>208</v>
      </c>
    </row>
    <row r="22" spans="1:59" x14ac:dyDescent="0.25">
      <c r="C22" t="s">
        <v>243</v>
      </c>
      <c r="D22" s="7" t="s">
        <v>5</v>
      </c>
      <c r="E22" s="13">
        <f xml:space="preserve"> 357.5291092 + 35999.0502909 *E3   - 0.0001536 *E3^2 + E3^3 / 24490000</f>
        <v>-14848.992129235974</v>
      </c>
      <c r="F22" s="13">
        <f t="shared" ref="F22:Y22" si="74" xml:space="preserve"> 357.5291092 + 35999.0502909 *F3   - 0.0001536 *F3^2 + F3^3 / 24490000</f>
        <v>-599707.5044961836</v>
      </c>
      <c r="G22" s="13">
        <f t="shared" si="74"/>
        <v>357.52910919999999</v>
      </c>
      <c r="H22" s="13">
        <f t="shared" si="74"/>
        <v>-2.7077937948184698</v>
      </c>
      <c r="I22" s="13">
        <f t="shared" si="74"/>
        <v>-4296.9682239298008</v>
      </c>
      <c r="J22" s="13">
        <f t="shared" si="74"/>
        <v>-4155.534583345061</v>
      </c>
      <c r="K22" s="13">
        <f t="shared" si="74"/>
        <v>-3937.2241207096354</v>
      </c>
      <c r="L22" s="13">
        <f t="shared" si="74"/>
        <v>-3794.8048798542391</v>
      </c>
      <c r="M22" s="13">
        <f t="shared" si="74"/>
        <v>-35641.028523788402</v>
      </c>
      <c r="N22" s="13">
        <f t="shared" si="74"/>
        <v>-143636.21051382468</v>
      </c>
      <c r="O22" s="13">
        <f t="shared" si="74"/>
        <v>-143276.46639870256</v>
      </c>
      <c r="P22" s="13">
        <f t="shared" si="74"/>
        <v>-418200.51729088894</v>
      </c>
      <c r="Q22" s="13">
        <f t="shared" si="74"/>
        <v>-763530.56041261961</v>
      </c>
      <c r="R22" s="13">
        <f t="shared" si="74"/>
        <v>-763529.57481215778</v>
      </c>
      <c r="S22" s="13">
        <f t="shared" si="74"/>
        <v>-1079411.0852496556</v>
      </c>
      <c r="T22" s="13">
        <f t="shared" si="74"/>
        <v>-1079543.6485218895</v>
      </c>
      <c r="U22" s="13">
        <f t="shared" si="74"/>
        <v>-1079735.9391866769</v>
      </c>
      <c r="V22" s="13">
        <f t="shared" si="74"/>
        <v>-2415886.6179344691</v>
      </c>
      <c r="W22" s="13">
        <f t="shared" si="74"/>
        <v>-4225.0194032833133</v>
      </c>
      <c r="X22" s="13">
        <f t="shared" si="74"/>
        <v>-2422.3564863903775</v>
      </c>
      <c r="Y22" s="13">
        <f t="shared" si="74"/>
        <v>-7877.6540529964659</v>
      </c>
      <c r="Z22" s="13">
        <f t="shared" ref="Z22:AA22" si="75" xml:space="preserve"> 357.5291092 + 35999.0502909 *Z3   - 0.0001536 *Z3^2 + Z3^3 / 24490000</f>
        <v>16196.618407323493</v>
      </c>
      <c r="AA22" s="13">
        <f t="shared" si="75"/>
        <v>357.03630905912519</v>
      </c>
      <c r="AB22" s="13">
        <f t="shared" ref="AB22:AP22" si="76" xml:space="preserve"> 357.5291092 + 35999.0502909 *AB3   - 0.0001536 *AB3^2 + AB3^3 / 24490000</f>
        <v>-16024.626005712027</v>
      </c>
      <c r="AC22" s="13">
        <f t="shared" si="76"/>
        <v>-7249.8266723430479</v>
      </c>
      <c r="AD22" s="13">
        <f t="shared" si="76"/>
        <v>-3852.462496393734</v>
      </c>
      <c r="AE22" s="13">
        <f t="shared" si="76"/>
        <v>-7874.5482713616793</v>
      </c>
      <c r="AF22" s="13">
        <f t="shared" si="76"/>
        <v>-2173.9852152331446</v>
      </c>
      <c r="AG22" s="13">
        <f t="shared" si="76"/>
        <v>-2241.0060344328617</v>
      </c>
      <c r="AH22" s="13">
        <f t="shared" si="76"/>
        <v>-2824.4814016283312</v>
      </c>
      <c r="AI22" s="13">
        <f t="shared" si="76"/>
        <v>-2433.1980894967801</v>
      </c>
      <c r="AJ22" s="13">
        <f t="shared" si="76"/>
        <v>-2043.8859779661443</v>
      </c>
      <c r="AK22" s="13">
        <f t="shared" si="76"/>
        <v>-65159.757328971733</v>
      </c>
      <c r="AL22" s="13">
        <f t="shared" si="76"/>
        <v>-2984.1486473952104</v>
      </c>
      <c r="AM22" s="13">
        <f t="shared" si="76"/>
        <v>-495503.42268986977</v>
      </c>
      <c r="AN22" s="13">
        <f t="shared" si="76"/>
        <v>451.65393610602592</v>
      </c>
      <c r="AO22" s="13">
        <f t="shared" si="76"/>
        <v>-719248.51750375947</v>
      </c>
      <c r="AP22" s="13">
        <f t="shared" si="76"/>
        <v>8541.046267317779</v>
      </c>
      <c r="AQ22" s="13">
        <f t="shared" ref="AQ22:BG22" si="77" xml:space="preserve"> 357.5291092 + 35999.0502909 *AQ3   - 0.0001536 *AQ3^2 + AQ3^3 / 24490000</f>
        <v>8548.0002248476885</v>
      </c>
      <c r="AR22" s="13">
        <f t="shared" si="77"/>
        <v>8554.8036045573117</v>
      </c>
      <c r="AS22" s="13">
        <f t="shared" si="77"/>
        <v>8562.4974467416705</v>
      </c>
      <c r="AT22" s="13">
        <f t="shared" si="77"/>
        <v>8576.9426508429442</v>
      </c>
      <c r="AU22" s="13">
        <f t="shared" si="77"/>
        <v>-9213.1424375857605</v>
      </c>
      <c r="AV22" s="13">
        <f t="shared" si="77"/>
        <v>-482.69513107511364</v>
      </c>
      <c r="AW22" s="13">
        <f t="shared" si="77"/>
        <v>-23038.157643715145</v>
      </c>
      <c r="AX22" s="13">
        <f t="shared" si="77"/>
        <v>-15019.313714542657</v>
      </c>
      <c r="AY22" s="13">
        <f t="shared" si="77"/>
        <v>8606.5106592377197</v>
      </c>
      <c r="AZ22" s="13">
        <f t="shared" si="77"/>
        <v>8607.4962595175402</v>
      </c>
      <c r="BA22" s="13">
        <f t="shared" si="77"/>
        <v>8608.4818597973645</v>
      </c>
      <c r="BB22" s="13">
        <f t="shared" si="77"/>
        <v>8609.467460077185</v>
      </c>
      <c r="BC22" s="13">
        <f t="shared" si="77"/>
        <v>8610.4530603570074</v>
      </c>
      <c r="BD22" s="13">
        <f t="shared" si="77"/>
        <v>8611.4386606368298</v>
      </c>
      <c r="BE22" s="13">
        <f t="shared" si="77"/>
        <v>8612.4242609166522</v>
      </c>
      <c r="BF22" s="13">
        <f t="shared" si="77"/>
        <v>8613.409861196471</v>
      </c>
      <c r="BG22" s="13">
        <f t="shared" si="77"/>
        <v>-7874.6972521454454</v>
      </c>
    </row>
    <row r="23" spans="1:59" x14ac:dyDescent="0.25">
      <c r="C23" t="s">
        <v>175</v>
      </c>
      <c r="D23" s="289" t="s">
        <v>207</v>
      </c>
      <c r="E23" s="238">
        <f>MOD(E22,360)</f>
        <v>271.00787076402594</v>
      </c>
      <c r="F23" s="238">
        <f t="shared" ref="F23:AA23" si="78">MOD(F22,360)</f>
        <v>52.49550381640438</v>
      </c>
      <c r="G23" s="238">
        <f t="shared" si="78"/>
        <v>357.52910919999999</v>
      </c>
      <c r="H23" s="238">
        <f t="shared" si="78"/>
        <v>357.29220620518151</v>
      </c>
      <c r="I23" s="238">
        <f t="shared" si="78"/>
        <v>23.031776070199157</v>
      </c>
      <c r="J23" s="238">
        <f t="shared" si="78"/>
        <v>164.46541665493896</v>
      </c>
      <c r="K23" s="238">
        <f t="shared" si="78"/>
        <v>22.775879290364628</v>
      </c>
      <c r="L23" s="238">
        <f t="shared" si="78"/>
        <v>165.19512014576094</v>
      </c>
      <c r="M23" s="238">
        <f t="shared" si="78"/>
        <v>358.9714762115982</v>
      </c>
      <c r="N23" s="238">
        <f t="shared" si="78"/>
        <v>3.7894861753156874</v>
      </c>
      <c r="O23" s="238">
        <f t="shared" si="78"/>
        <v>3.5336012974439654</v>
      </c>
      <c r="P23" s="238">
        <f t="shared" si="78"/>
        <v>119.48270911106374</v>
      </c>
      <c r="Q23" s="238">
        <f t="shared" si="78"/>
        <v>29.43958738038782</v>
      </c>
      <c r="R23" s="238">
        <f t="shared" si="78"/>
        <v>30.425187842221931</v>
      </c>
      <c r="S23" s="238">
        <f t="shared" si="78"/>
        <v>228.9147503443528</v>
      </c>
      <c r="T23" s="238">
        <f t="shared" si="78"/>
        <v>96.351478110533208</v>
      </c>
      <c r="U23" s="238">
        <f t="shared" si="78"/>
        <v>264.06081332312897</v>
      </c>
      <c r="V23" s="238">
        <f t="shared" si="78"/>
        <v>73.382065530866385</v>
      </c>
      <c r="W23" s="238">
        <f t="shared" si="78"/>
        <v>94.980596716686705</v>
      </c>
      <c r="X23" s="239">
        <f t="shared" si="78"/>
        <v>97.64351360962246</v>
      </c>
      <c r="Y23" s="238">
        <f t="shared" si="78"/>
        <v>42.345947003534093</v>
      </c>
      <c r="Z23" s="238">
        <f t="shared" si="78"/>
        <v>356.61840732349265</v>
      </c>
      <c r="AA23" s="238">
        <f t="shared" si="78"/>
        <v>357.03630905912519</v>
      </c>
      <c r="AB23" s="238">
        <f t="shared" ref="AB23" si="79">MOD(AB22,360)</f>
        <v>175.37399428797289</v>
      </c>
      <c r="AC23" s="238">
        <f t="shared" ref="AC23" si="80">MOD(AC22,360)</f>
        <v>310.1733276569521</v>
      </c>
      <c r="AD23" s="238">
        <f t="shared" ref="AD23" si="81">MOD(AD22,360)</f>
        <v>107.537503606266</v>
      </c>
      <c r="AE23" s="238">
        <f t="shared" ref="AE23" si="82">MOD(AE22,360)</f>
        <v>45.451728638320674</v>
      </c>
      <c r="AF23" s="238">
        <f t="shared" ref="AF23" si="83">MOD(AF22,360)</f>
        <v>346.01478476685543</v>
      </c>
      <c r="AG23" s="238">
        <f t="shared" ref="AG23" si="84">MOD(AG22,360)</f>
        <v>278.99396556713828</v>
      </c>
      <c r="AH23" s="238">
        <f t="shared" ref="AH23" si="85">MOD(AH22,360)</f>
        <v>55.518598371668759</v>
      </c>
      <c r="AI23" s="238">
        <f t="shared" ref="AI23" si="86">MOD(AI22,360)</f>
        <v>86.801910503219915</v>
      </c>
      <c r="AJ23" s="238">
        <f t="shared" ref="AJ23" si="87">MOD(AJ22,360)</f>
        <v>116.11402203385569</v>
      </c>
      <c r="AK23" s="238">
        <f t="shared" ref="AK23" si="88">MOD(AK22,360)</f>
        <v>0.24267102826706832</v>
      </c>
      <c r="AL23" s="238">
        <f t="shared" ref="AL23" si="89">MOD(AL22,360)</f>
        <v>255.85135260478955</v>
      </c>
      <c r="AM23" s="238">
        <f t="shared" ref="AM23" si="90">MOD(AM22,360)</f>
        <v>216.57731013023295</v>
      </c>
      <c r="AN23" s="238">
        <f t="shared" ref="AN23" si="91">MOD(AN22,360)</f>
        <v>91.653936106025924</v>
      </c>
      <c r="AO23" s="238">
        <f t="shared" ref="AO23" si="92">MOD(AO22,360)</f>
        <v>31.482496240525506</v>
      </c>
      <c r="AP23" s="238">
        <f t="shared" ref="AP23" si="93">MOD(AP22,360)</f>
        <v>261.04626731777898</v>
      </c>
      <c r="AQ23" s="238">
        <f t="shared" ref="AQ23" si="94">MOD(AQ22,360)</f>
        <v>268.00022484768851</v>
      </c>
      <c r="AR23" s="238">
        <f t="shared" ref="AR23" si="95">MOD(AR22,360)</f>
        <v>274.8036045573117</v>
      </c>
      <c r="AS23" s="238">
        <f t="shared" ref="AS23" si="96">MOD(AS22,360)</f>
        <v>282.4974467416705</v>
      </c>
      <c r="AT23" s="238">
        <f t="shared" ref="AT23" si="97">MOD(AT22,360)</f>
        <v>296.9426508429442</v>
      </c>
      <c r="AU23" s="238">
        <f t="shared" ref="AU23" si="98">MOD(AU22,360)</f>
        <v>146.85756241423951</v>
      </c>
      <c r="AV23" s="238">
        <f t="shared" ref="AV23" si="99">MOD(AV22,360)</f>
        <v>237.30486892488636</v>
      </c>
      <c r="AW23" s="238">
        <f t="shared" ref="AW23" si="100">MOD(AW22,360)</f>
        <v>1.842356284854759</v>
      </c>
      <c r="AX23" s="238">
        <f t="shared" ref="AX23" si="101">MOD(AX22,360)</f>
        <v>100.68628545734282</v>
      </c>
      <c r="AY23" s="238">
        <f t="shared" ref="AY23" si="102">MOD(AY22,360)</f>
        <v>326.51065923771966</v>
      </c>
      <c r="AZ23" s="238">
        <f t="shared" ref="AZ23" si="103">MOD(AZ22,360)</f>
        <v>327.49625951754024</v>
      </c>
      <c r="BA23" s="238">
        <f t="shared" ref="BA23" si="104">MOD(BA22,360)</f>
        <v>328.48185979736445</v>
      </c>
      <c r="BB23" s="238">
        <f t="shared" ref="BB23" si="105">MOD(BB22,360)</f>
        <v>329.46746007718502</v>
      </c>
      <c r="BC23" s="238">
        <f t="shared" ref="BC23" si="106">MOD(BC22,360)</f>
        <v>330.45306035700742</v>
      </c>
      <c r="BD23" s="238">
        <f t="shared" ref="BD23" si="107">MOD(BD22,360)</f>
        <v>331.43866063682981</v>
      </c>
      <c r="BE23" s="238">
        <f t="shared" ref="BE23" si="108">MOD(BE22,360)</f>
        <v>332.4242609166522</v>
      </c>
      <c r="BF23" s="238">
        <f t="shared" ref="BF23" si="109">MOD(BF22,360)</f>
        <v>333.40986119647096</v>
      </c>
      <c r="BG23" s="238">
        <f t="shared" ref="BG23" si="110">MOD(BG22,360)</f>
        <v>45.302747854554582</v>
      </c>
    </row>
    <row r="24" spans="1:59" x14ac:dyDescent="0.25">
      <c r="N24" s="23"/>
      <c r="O24" s="23"/>
      <c r="P24" s="23"/>
      <c r="X24" s="142">
        <v>97.643513999999996</v>
      </c>
    </row>
    <row r="25" spans="1:59" x14ac:dyDescent="0.25">
      <c r="A25">
        <v>47.4</v>
      </c>
      <c r="B25">
        <v>338</v>
      </c>
      <c r="C25" t="s">
        <v>129</v>
      </c>
      <c r="N25" s="23"/>
      <c r="O25" s="23"/>
      <c r="P25" s="23"/>
    </row>
    <row r="26" spans="1:59" x14ac:dyDescent="0.25">
      <c r="C26" t="s">
        <v>209</v>
      </c>
      <c r="N26" s="23"/>
      <c r="O26" s="23"/>
      <c r="P26" s="23"/>
    </row>
    <row r="27" spans="1:59" x14ac:dyDescent="0.25">
      <c r="C27" t="s">
        <v>210</v>
      </c>
      <c r="D27" s="7" t="s">
        <v>6</v>
      </c>
      <c r="E27" s="15">
        <f xml:space="preserve"> 134.9633964 + 477198.8675055 *  E3  + 0.0087414 *E3^2 + E3^3 / 69699    - E3^4 / 14712000</f>
        <v>-201440.76112550648</v>
      </c>
      <c r="F27" s="15">
        <f t="shared" ref="F27:Y27" si="111" xml:space="preserve"> 134.9633964 + 477198.8675055 *  F3  + 0.0087414 *F3^2 + F3^3 / 69699    - F3^4 / 14712000</f>
        <v>-7954248.4673272353</v>
      </c>
      <c r="G27" s="15">
        <f t="shared" si="111"/>
        <v>134.96339639999999</v>
      </c>
      <c r="H27" s="15">
        <f t="shared" si="111"/>
        <v>-4640.291526017224</v>
      </c>
      <c r="I27" s="15">
        <f t="shared" si="111"/>
        <v>-61564.465664747055</v>
      </c>
      <c r="J27" s="15">
        <f t="shared" si="111"/>
        <v>-59689.639185138702</v>
      </c>
      <c r="K27" s="15">
        <f t="shared" si="111"/>
        <v>-56795.743259638919</v>
      </c>
      <c r="L27" s="15">
        <f t="shared" si="111"/>
        <v>-54907.851786449603</v>
      </c>
      <c r="M27" s="15">
        <f t="shared" si="111"/>
        <v>-477057.36273466464</v>
      </c>
      <c r="N27" s="15">
        <f t="shared" si="111"/>
        <v>-1908627.7052211976</v>
      </c>
      <c r="O27" s="15">
        <f t="shared" si="111"/>
        <v>-1903858.9834852908</v>
      </c>
      <c r="P27" s="15">
        <f t="shared" si="111"/>
        <v>-5548216.2428210741</v>
      </c>
      <c r="Q27" s="15">
        <f t="shared" si="111"/>
        <v>-10125864.439991675</v>
      </c>
      <c r="R27" s="15">
        <f t="shared" si="111"/>
        <v>-10125851.375008279</v>
      </c>
      <c r="S27" s="15">
        <f t="shared" si="111"/>
        <v>-14313132.251095943</v>
      </c>
      <c r="T27" s="15">
        <f t="shared" si="111"/>
        <v>-14314889.490886258</v>
      </c>
      <c r="U27" s="15">
        <f t="shared" si="111"/>
        <v>-14317438.468455361</v>
      </c>
      <c r="V27" s="15">
        <f t="shared" si="111"/>
        <v>-32029249.516094293</v>
      </c>
      <c r="W27" s="15">
        <f t="shared" si="111"/>
        <v>-60610.721183865004</v>
      </c>
      <c r="X27" s="15">
        <f t="shared" si="111"/>
        <v>-36714.849167477041</v>
      </c>
      <c r="Y27" s="15">
        <f t="shared" si="111"/>
        <v>-109029.58474158918</v>
      </c>
      <c r="Z27" s="15">
        <f t="shared" ref="Z27:AA27" si="112" xml:space="preserve"> 134.9633964 + 477198.8675055 *  Z3  + 0.0087414 *Z3^2 + Z3^3 / 69699    - Z3^4 / 14712000</f>
        <v>210095.93429579414</v>
      </c>
      <c r="AA27" s="15">
        <f t="shared" si="112"/>
        <v>128.43089992490923</v>
      </c>
      <c r="AB27" s="15">
        <f t="shared" ref="AB27:AP27" si="113" xml:space="preserve"> 134.9633964 + 477198.8675055 *  AB3  + 0.0087414 *AB3^2 + AB3^3 / 69699    - AB3^4 / 14712000</f>
        <v>-217024.81511619169</v>
      </c>
      <c r="AC27" s="15">
        <f t="shared" si="113"/>
        <v>-100707.18429937599</v>
      </c>
      <c r="AD27" s="15">
        <f t="shared" si="113"/>
        <v>-55672.153870784103</v>
      </c>
      <c r="AE27" s="15">
        <f t="shared" si="113"/>
        <v>-108988.41489261934</v>
      </c>
      <c r="AF27" s="15">
        <f t="shared" si="113"/>
        <v>-33422.470952927208</v>
      </c>
      <c r="AG27" s="15">
        <f t="shared" si="113"/>
        <v>-34310.890471221021</v>
      </c>
      <c r="AH27" s="15">
        <f t="shared" si="113"/>
        <v>-42045.366274984473</v>
      </c>
      <c r="AI27" s="15">
        <f t="shared" si="113"/>
        <v>-36858.56408952178</v>
      </c>
      <c r="AJ27" s="15">
        <f t="shared" si="113"/>
        <v>-31697.891887830992</v>
      </c>
      <c r="AK27" s="15">
        <f t="shared" si="113"/>
        <v>-868353.88160375366</v>
      </c>
      <c r="AL27" s="15">
        <f t="shared" si="113"/>
        <v>-44161.895125889976</v>
      </c>
      <c r="AM27" s="15">
        <f t="shared" si="113"/>
        <v>-6572933.2287329854</v>
      </c>
      <c r="AN27" s="15">
        <f t="shared" si="113"/>
        <v>1382.6702232024086</v>
      </c>
      <c r="AO27" s="15">
        <f t="shared" si="113"/>
        <v>-9538867.7894304879</v>
      </c>
      <c r="AP27" s="15">
        <f t="shared" si="113"/>
        <v>108614.63462562383</v>
      </c>
      <c r="AQ27" s="15">
        <f t="shared" ref="AQ27:BG27" si="114" xml:space="preserve"> 134.9633964 + 477198.8675055 *  AQ3  + 0.0087414 *AQ3^2 + AQ3^3 / 69699    - AQ3^4 / 14712000</f>
        <v>108706.81540998459</v>
      </c>
      <c r="AR27" s="15">
        <f t="shared" si="114"/>
        <v>108797.00015374312</v>
      </c>
      <c r="AS27" s="15">
        <f t="shared" si="114"/>
        <v>108898.98875581099</v>
      </c>
      <c r="AT27" s="15">
        <f t="shared" si="114"/>
        <v>109090.47256033838</v>
      </c>
      <c r="AU27" s="15">
        <f t="shared" si="114"/>
        <v>-126732.65002878853</v>
      </c>
      <c r="AV27" s="15">
        <f t="shared" si="114"/>
        <v>-11002.943088870728</v>
      </c>
      <c r="AW27" s="15">
        <f t="shared" si="114"/>
        <v>-309995.30307048734</v>
      </c>
      <c r="AX27" s="15">
        <f t="shared" si="114"/>
        <v>-203698.52252212935</v>
      </c>
      <c r="AY27" s="15">
        <f t="shared" si="114"/>
        <v>109482.42235213029</v>
      </c>
      <c r="AZ27" s="15">
        <f t="shared" si="114"/>
        <v>109495.48734519022</v>
      </c>
      <c r="BA27" s="15">
        <f t="shared" si="114"/>
        <v>109508.55233825017</v>
      </c>
      <c r="BB27" s="15">
        <f t="shared" si="114"/>
        <v>109521.61733131012</v>
      </c>
      <c r="BC27" s="15">
        <f t="shared" si="114"/>
        <v>109534.68232437011</v>
      </c>
      <c r="BD27" s="15">
        <f t="shared" si="114"/>
        <v>109547.7473174301</v>
      </c>
      <c r="BE27" s="15">
        <f t="shared" si="114"/>
        <v>109560.81231049009</v>
      </c>
      <c r="BF27" s="15">
        <f t="shared" si="114"/>
        <v>109573.87730355011</v>
      </c>
      <c r="BG27" s="15">
        <f t="shared" si="114"/>
        <v>-108990.38976306688</v>
      </c>
    </row>
    <row r="28" spans="1:59" x14ac:dyDescent="0.25">
      <c r="C28" t="s">
        <v>176</v>
      </c>
      <c r="D28" s="289" t="s">
        <v>334</v>
      </c>
      <c r="E28" s="240">
        <f>MOD(E27,360)</f>
        <v>159.23887449351605</v>
      </c>
      <c r="F28" s="240">
        <f t="shared" ref="F28:AA28" si="115">MOD(F27,360)</f>
        <v>311.53267276473343</v>
      </c>
      <c r="G28" s="240">
        <f t="shared" si="115"/>
        <v>134.96339639999999</v>
      </c>
      <c r="H28" s="240">
        <f t="shared" si="115"/>
        <v>39.708473982776013</v>
      </c>
      <c r="I28" s="240">
        <f t="shared" si="115"/>
        <v>355.53433525294531</v>
      </c>
      <c r="J28" s="240">
        <f t="shared" si="115"/>
        <v>70.360814861298422</v>
      </c>
      <c r="K28" s="240">
        <f t="shared" si="115"/>
        <v>84.256740361081029</v>
      </c>
      <c r="L28" s="240">
        <f t="shared" si="115"/>
        <v>172.14821355039749</v>
      </c>
      <c r="M28" s="240">
        <f t="shared" si="115"/>
        <v>302.63726533536101</v>
      </c>
      <c r="N28" s="240">
        <f t="shared" si="115"/>
        <v>92.29477880243212</v>
      </c>
      <c r="O28" s="240">
        <f t="shared" si="115"/>
        <v>181.01651470921934</v>
      </c>
      <c r="P28" s="240">
        <f t="shared" si="115"/>
        <v>103.7571789259091</v>
      </c>
      <c r="Q28" s="240">
        <f t="shared" si="115"/>
        <v>215.56000832468271</v>
      </c>
      <c r="R28" s="240">
        <f t="shared" si="115"/>
        <v>228.62499172054231</v>
      </c>
      <c r="S28" s="240">
        <f t="shared" si="115"/>
        <v>107.7489040568471</v>
      </c>
      <c r="T28" s="240">
        <f t="shared" si="115"/>
        <v>150.50911374203861</v>
      </c>
      <c r="U28" s="240">
        <f t="shared" si="115"/>
        <v>121.53154463879764</v>
      </c>
      <c r="V28" s="240">
        <f t="shared" si="115"/>
        <v>310.48390570655465</v>
      </c>
      <c r="W28" s="240">
        <f t="shared" si="115"/>
        <v>229.2788161349963</v>
      </c>
      <c r="X28" s="241">
        <f t="shared" si="115"/>
        <v>5.1508325229588081</v>
      </c>
      <c r="Y28" s="240">
        <f t="shared" si="115"/>
        <v>50.415258410823299</v>
      </c>
      <c r="Z28" s="240">
        <f t="shared" si="115"/>
        <v>215.93429579414078</v>
      </c>
      <c r="AA28" s="240">
        <f t="shared" si="115"/>
        <v>128.43089992490923</v>
      </c>
      <c r="AB28" s="240">
        <f t="shared" ref="AB28" si="116">MOD(AB27,360)</f>
        <v>55.184883808309678</v>
      </c>
      <c r="AC28" s="240">
        <f t="shared" ref="AC28" si="117">MOD(AC27,360)</f>
        <v>92.81570062400715</v>
      </c>
      <c r="AD28" s="240">
        <f t="shared" ref="AD28" si="118">MOD(AD27,360)</f>
        <v>127.84612921589724</v>
      </c>
      <c r="AE28" s="240">
        <f t="shared" ref="AE28" si="119">MOD(AE27,360)</f>
        <v>91.585107380655245</v>
      </c>
      <c r="AF28" s="240">
        <f t="shared" ref="AF28" si="120">MOD(AF27,360)</f>
        <v>57.529047072792309</v>
      </c>
      <c r="AG28" s="240">
        <f t="shared" ref="AG28" si="121">MOD(AG27,360)</f>
        <v>249.10952877897944</v>
      </c>
      <c r="AH28" s="240">
        <f t="shared" ref="AH28" si="122">MOD(AH27,360)</f>
        <v>74.633725015526579</v>
      </c>
      <c r="AI28" s="240">
        <f t="shared" ref="AI28" si="123">MOD(AI27,360)</f>
        <v>221.43591047821974</v>
      </c>
      <c r="AJ28" s="240">
        <f t="shared" ref="AJ28" si="124">MOD(AJ27,360)</f>
        <v>342.10811216900765</v>
      </c>
      <c r="AK28" s="240">
        <f t="shared" ref="AK28" si="125">MOD(AK27,360)</f>
        <v>326.11839624634013</v>
      </c>
      <c r="AL28" s="240">
        <f t="shared" ref="AL28" si="126">MOD(AL27,360)</f>
        <v>118.10487411002396</v>
      </c>
      <c r="AM28" s="240">
        <f t="shared" ref="AM28" si="127">MOD(AM27,360)</f>
        <v>306.77126701455563</v>
      </c>
      <c r="AN28" s="240">
        <f t="shared" ref="AN28" si="128">MOD(AN27,360)</f>
        <v>302.67022320240858</v>
      </c>
      <c r="AO28" s="240">
        <f t="shared" ref="AO28" si="129">MOD(AO27,360)</f>
        <v>52.210569512099028</v>
      </c>
      <c r="AP28" s="240">
        <f t="shared" ref="AP28" si="130">MOD(AP27,360)</f>
        <v>254.63462562383211</v>
      </c>
      <c r="AQ28" s="240">
        <f t="shared" ref="AQ28" si="131">MOD(AQ27,360)</f>
        <v>346.81540998458513</v>
      </c>
      <c r="AR28" s="240">
        <f t="shared" ref="AR28" si="132">MOD(AR27,360)</f>
        <v>77.000153743123519</v>
      </c>
      <c r="AS28" s="240">
        <f t="shared" ref="AS28" si="133">MOD(AS27,360)</f>
        <v>178.98875581099128</v>
      </c>
      <c r="AT28" s="240">
        <f t="shared" ref="AT28" si="134">MOD(AT27,360)</f>
        <v>10.472560338384937</v>
      </c>
      <c r="AU28" s="240">
        <f t="shared" ref="AU28" si="135">MOD(AU27,360)</f>
        <v>347.34997121147171</v>
      </c>
      <c r="AV28" s="240">
        <f t="shared" ref="AV28" si="136">MOD(AV27,360)</f>
        <v>157.05691112927161</v>
      </c>
      <c r="AW28" s="240">
        <f t="shared" ref="AW28" si="137">MOD(AW27,360)</f>
        <v>324.69692951266188</v>
      </c>
      <c r="AX28" s="240">
        <f t="shared" ref="AX28" si="138">MOD(AX27,360)</f>
        <v>61.477477870648727</v>
      </c>
      <c r="AY28" s="240">
        <f t="shared" ref="AY28" si="139">MOD(AY27,360)</f>
        <v>42.422352130291983</v>
      </c>
      <c r="AZ28" s="240">
        <f t="shared" ref="AZ28" si="140">MOD(AZ27,360)</f>
        <v>55.487345190224005</v>
      </c>
      <c r="BA28" s="240">
        <f t="shared" ref="BA28" si="141">MOD(BA27,360)</f>
        <v>68.552338250170578</v>
      </c>
      <c r="BB28" s="240">
        <f t="shared" ref="BB28" si="142">MOD(BB27,360)</f>
        <v>81.617331310117152</v>
      </c>
      <c r="BC28" s="240">
        <f t="shared" ref="BC28" si="143">MOD(BC27,360)</f>
        <v>94.682324370107381</v>
      </c>
      <c r="BD28" s="240">
        <f t="shared" ref="BD28" si="144">MOD(BD27,360)</f>
        <v>107.74731743009761</v>
      </c>
      <c r="BE28" s="240">
        <f t="shared" ref="BE28" si="145">MOD(BE27,360)</f>
        <v>120.81231049008784</v>
      </c>
      <c r="BF28" s="240">
        <f t="shared" ref="BF28" si="146">MOD(BF27,360)</f>
        <v>133.87730355010717</v>
      </c>
      <c r="BG28" s="240">
        <f t="shared" ref="BG28" si="147">MOD(BG27,360)</f>
        <v>89.610236933120177</v>
      </c>
    </row>
    <row r="29" spans="1:59" x14ac:dyDescent="0.25">
      <c r="C29" s="41" t="s">
        <v>333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X29" s="143">
        <v>5.1508330000000004</v>
      </c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</row>
    <row r="30" spans="1:59" x14ac:dyDescent="0.25">
      <c r="N30" s="10"/>
      <c r="O30" s="10"/>
      <c r="P30" s="10"/>
    </row>
    <row r="31" spans="1:59" x14ac:dyDescent="0.25">
      <c r="A31">
        <v>47.5</v>
      </c>
      <c r="B31">
        <v>338</v>
      </c>
      <c r="C31" t="s">
        <v>135</v>
      </c>
      <c r="N31" s="23"/>
      <c r="O31" s="23"/>
      <c r="P31" s="23"/>
    </row>
    <row r="32" spans="1:59" x14ac:dyDescent="0.25">
      <c r="C32" t="s">
        <v>211</v>
      </c>
      <c r="N32" s="23"/>
      <c r="O32" s="23"/>
      <c r="P32" s="23"/>
    </row>
    <row r="33" spans="1:59" x14ac:dyDescent="0.25">
      <c r="C33" t="s">
        <v>212</v>
      </c>
      <c r="D33" s="7" t="s">
        <v>7</v>
      </c>
      <c r="E33" s="15">
        <f xml:space="preserve"> 93.272095 + 483202.0175233 *E3    - 0.0036539 *E3^2 - E3^3 / 3526000   + E3^4 / 863310000</f>
        <v>-204018.27231442716</v>
      </c>
      <c r="F33" s="15">
        <f t="shared" ref="F33:Y33" si="148" xml:space="preserve"> 93.272095 + 483202.0175233 *F3    - 0.0036539 *F3^2 - F3^3 / 3526000   + F3^4 / 863310000</f>
        <v>-8054359.5071890885</v>
      </c>
      <c r="G33" s="15">
        <f t="shared" si="148"/>
        <v>93.272094999999993</v>
      </c>
      <c r="H33" s="15">
        <f t="shared" si="148"/>
        <v>-4742.0554181589405</v>
      </c>
      <c r="I33" s="15">
        <f t="shared" si="148"/>
        <v>-62382.334475426207</v>
      </c>
      <c r="J33" s="15">
        <f t="shared" si="148"/>
        <v>-60483.922712301799</v>
      </c>
      <c r="K33" s="15">
        <f t="shared" si="148"/>
        <v>-57553.621628676134</v>
      </c>
      <c r="L33" s="15">
        <f t="shared" si="148"/>
        <v>-55641.980515575335</v>
      </c>
      <c r="M33" s="15">
        <f t="shared" si="148"/>
        <v>-483102.13425357844</v>
      </c>
      <c r="N33" s="15">
        <f t="shared" si="148"/>
        <v>-1932681.7830645526</v>
      </c>
      <c r="O33" s="15">
        <f t="shared" si="148"/>
        <v>-1927853.0699352759</v>
      </c>
      <c r="P33" s="15">
        <f t="shared" si="148"/>
        <v>-5618057.7218178324</v>
      </c>
      <c r="Q33" s="15">
        <f t="shared" si="148"/>
        <v>-10253296.429859756</v>
      </c>
      <c r="R33" s="15">
        <f t="shared" si="148"/>
        <v>-10253283.200505279</v>
      </c>
      <c r="S33" s="15">
        <f t="shared" si="148"/>
        <v>-14493245.286137534</v>
      </c>
      <c r="T33" s="15">
        <f t="shared" si="148"/>
        <v>-14495024.634548767</v>
      </c>
      <c r="U33" s="15">
        <f t="shared" si="148"/>
        <v>-14497605.68194695</v>
      </c>
      <c r="V33" s="15">
        <f t="shared" si="148"/>
        <v>-32432270.514240339</v>
      </c>
      <c r="W33" s="15">
        <f t="shared" si="148"/>
        <v>-61416.591906017813</v>
      </c>
      <c r="X33" s="15">
        <f t="shared" si="148"/>
        <v>-37220.110279272143</v>
      </c>
      <c r="Y33" s="15">
        <f t="shared" si="148"/>
        <v>-110444.5640282012</v>
      </c>
      <c r="Z33" s="15">
        <f t="shared" ref="Z33:AA33" si="149" xml:space="preserve"> 93.272095 + 483202.0175233 *Z3    - 0.0036539 *Z3^2 - Z3^3 / 3526000   + Z3^4 / 863310000</f>
        <v>212695.54442275674</v>
      </c>
      <c r="AA33" s="15">
        <f t="shared" si="149"/>
        <v>86.657419879899379</v>
      </c>
      <c r="AB33" s="15">
        <f t="shared" ref="AB33:AP33" si="150" xml:space="preserve"> 93.272095 + 483202.0175233 *AB3    - 0.0036539 *AB3^2 - AB3^3 / 3526000   + AB3^4 / 863310000</f>
        <v>-219798.37367914291</v>
      </c>
      <c r="AC33" s="15">
        <f t="shared" si="150"/>
        <v>-102017.46789715062</v>
      </c>
      <c r="AD33" s="15">
        <f t="shared" si="150"/>
        <v>-56415.897505986446</v>
      </c>
      <c r="AE33" s="15">
        <f t="shared" si="150"/>
        <v>-110402.87626305045</v>
      </c>
      <c r="AF33" s="15">
        <f t="shared" si="150"/>
        <v>-33886.314015022297</v>
      </c>
      <c r="AG33" s="15">
        <f t="shared" si="150"/>
        <v>-34785.909832325291</v>
      </c>
      <c r="AH33" s="15">
        <f t="shared" si="150"/>
        <v>-42617.685184033195</v>
      </c>
      <c r="AI33" s="15">
        <f t="shared" si="150"/>
        <v>-37365.633132084622</v>
      </c>
      <c r="AJ33" s="15">
        <f t="shared" si="150"/>
        <v>-32140.039781506453</v>
      </c>
      <c r="AK33" s="15">
        <f t="shared" si="150"/>
        <v>-879321.18254825764</v>
      </c>
      <c r="AL33" s="15">
        <f t="shared" si="150"/>
        <v>-44760.839925882414</v>
      </c>
      <c r="AM33" s="15">
        <f t="shared" si="150"/>
        <v>-6655666.287650113</v>
      </c>
      <c r="AN33" s="15">
        <f t="shared" si="150"/>
        <v>1356.6750429141075</v>
      </c>
      <c r="AO33" s="15">
        <f t="shared" si="150"/>
        <v>-9658914.7681921534</v>
      </c>
      <c r="AP33" s="15">
        <f t="shared" si="150"/>
        <v>109937.61427411312</v>
      </c>
      <c r="AQ33" s="15">
        <f t="shared" ref="AQ33:BG33" si="151" xml:space="preserve"> 93.272095 + 483202.0175233 *AQ3    - 0.0036539 *AQ3^2 - AQ3^3 / 3526000   + AQ3^4 / 863310000</f>
        <v>110030.95468937502</v>
      </c>
      <c r="AR33" s="15">
        <f t="shared" si="151"/>
        <v>110122.27395391589</v>
      </c>
      <c r="AS33" s="15">
        <f t="shared" si="151"/>
        <v>110225.5455688714</v>
      </c>
      <c r="AT33" s="15">
        <f t="shared" si="151"/>
        <v>110419.43823266038</v>
      </c>
      <c r="AU33" s="15">
        <f t="shared" si="151"/>
        <v>-128370.33367071681</v>
      </c>
      <c r="AV33" s="15">
        <f t="shared" si="151"/>
        <v>-11184.748986760893</v>
      </c>
      <c r="AW33" s="15">
        <f t="shared" si="151"/>
        <v>-313938.43077495124</v>
      </c>
      <c r="AX33" s="15">
        <f t="shared" si="151"/>
        <v>-206304.43634412301</v>
      </c>
      <c r="AY33" s="15">
        <f t="shared" si="151"/>
        <v>110816.31873849341</v>
      </c>
      <c r="AZ33" s="15">
        <f t="shared" si="151"/>
        <v>110829.54808868775</v>
      </c>
      <c r="BA33" s="15">
        <f t="shared" si="151"/>
        <v>110842.7774388821</v>
      </c>
      <c r="BB33" s="15">
        <f t="shared" si="151"/>
        <v>110856.00678907643</v>
      </c>
      <c r="BC33" s="15">
        <f t="shared" si="151"/>
        <v>110869.23613927077</v>
      </c>
      <c r="BD33" s="15">
        <f t="shared" si="151"/>
        <v>110882.46548946509</v>
      </c>
      <c r="BE33" s="15">
        <f t="shared" si="151"/>
        <v>110895.69483965942</v>
      </c>
      <c r="BF33" s="15">
        <f t="shared" si="151"/>
        <v>110908.92418985374</v>
      </c>
      <c r="BG33" s="15">
        <f t="shared" si="151"/>
        <v>-110404.87597734331</v>
      </c>
    </row>
    <row r="34" spans="1:59" x14ac:dyDescent="0.25">
      <c r="C34" t="s">
        <v>213</v>
      </c>
      <c r="D34" s="7" t="s">
        <v>335</v>
      </c>
      <c r="E34" s="15">
        <f>MOD(E33,360)</f>
        <v>101.72768557284144</v>
      </c>
      <c r="F34" s="15">
        <f t="shared" ref="F34:AA34" si="152">MOD(F33,360)</f>
        <v>280.49281091149896</v>
      </c>
      <c r="G34" s="15">
        <f t="shared" si="152"/>
        <v>93.272094999999993</v>
      </c>
      <c r="H34" s="15">
        <f t="shared" si="152"/>
        <v>297.94458184105952</v>
      </c>
      <c r="I34" s="15">
        <f t="shared" si="152"/>
        <v>257.66552457379294</v>
      </c>
      <c r="J34" s="15">
        <f t="shared" si="152"/>
        <v>356.07728769820096</v>
      </c>
      <c r="K34" s="15">
        <f t="shared" si="152"/>
        <v>46.378371323866304</v>
      </c>
      <c r="L34" s="15">
        <f t="shared" si="152"/>
        <v>158.01948442466528</v>
      </c>
      <c r="M34" s="15">
        <f t="shared" si="152"/>
        <v>17.865746421564836</v>
      </c>
      <c r="N34" s="15">
        <f t="shared" si="152"/>
        <v>158.2169354474172</v>
      </c>
      <c r="O34" s="15">
        <f t="shared" si="152"/>
        <v>306.93006472405978</v>
      </c>
      <c r="P34" s="15">
        <f t="shared" si="152"/>
        <v>102.27818216755986</v>
      </c>
      <c r="Q34" s="15">
        <f t="shared" si="152"/>
        <v>223.57014024443924</v>
      </c>
      <c r="R34" s="15">
        <f t="shared" si="152"/>
        <v>236.79949472099543</v>
      </c>
      <c r="S34" s="15">
        <f t="shared" si="152"/>
        <v>354.71386246569455</v>
      </c>
      <c r="T34" s="15">
        <f t="shared" si="152"/>
        <v>15.365451233461499</v>
      </c>
      <c r="U34" s="15">
        <f t="shared" si="152"/>
        <v>314.31805304996669</v>
      </c>
      <c r="V34" s="15">
        <f t="shared" si="152"/>
        <v>129.48575966060162</v>
      </c>
      <c r="W34" s="15">
        <f t="shared" si="152"/>
        <v>143.40809398218698</v>
      </c>
      <c r="X34" s="85">
        <f t="shared" si="152"/>
        <v>219.88972072785691</v>
      </c>
      <c r="Y34" s="15">
        <f t="shared" si="152"/>
        <v>75.435971798797254</v>
      </c>
      <c r="Z34" s="15">
        <f t="shared" si="152"/>
        <v>295.544422756735</v>
      </c>
      <c r="AA34" s="15">
        <f t="shared" si="152"/>
        <v>86.657419879899379</v>
      </c>
      <c r="AB34" s="15">
        <f t="shared" ref="AB34" si="153">MOD(AB33,360)</f>
        <v>161.62632085708901</v>
      </c>
      <c r="AC34" s="15">
        <f t="shared" ref="AC34" si="154">MOD(AC33,360)</f>
        <v>222.53210284937813</v>
      </c>
      <c r="AD34" s="15">
        <f t="shared" ref="AD34" si="155">MOD(AD33,360)</f>
        <v>104.10249401355395</v>
      </c>
      <c r="AE34" s="15">
        <f t="shared" ref="AE34" si="156">MOD(AE33,360)</f>
        <v>117.12373694955022</v>
      </c>
      <c r="AF34" s="15">
        <f t="shared" ref="AF34" si="157">MOD(AF33,360)</f>
        <v>313.6859849777029</v>
      </c>
      <c r="AG34" s="15">
        <f t="shared" ref="AG34" si="158">MOD(AG33,360)</f>
        <v>134.09016767470894</v>
      </c>
      <c r="AH34" s="15">
        <f t="shared" ref="AH34" si="159">MOD(AH33,360)</f>
        <v>222.31481596680533</v>
      </c>
      <c r="AI34" s="15">
        <f t="shared" ref="AI34" si="160">MOD(AI33,360)</f>
        <v>74.366867915377952</v>
      </c>
      <c r="AJ34" s="15">
        <f t="shared" ref="AJ34" si="161">MOD(AJ33,360)</f>
        <v>259.96021849354656</v>
      </c>
      <c r="AK34" s="15">
        <f t="shared" ref="AK34" si="162">MOD(AK33,360)</f>
        <v>158.8174517423613</v>
      </c>
      <c r="AL34" s="15">
        <f t="shared" ref="AL34" si="163">MOD(AL33,360)</f>
        <v>239.16007411758619</v>
      </c>
      <c r="AM34" s="15">
        <f t="shared" ref="AM34" si="164">MOD(AM33,360)</f>
        <v>13.712349887005985</v>
      </c>
      <c r="AN34" s="15">
        <f t="shared" ref="AN34" si="165">MOD(AN33,360)</f>
        <v>276.67504291410751</v>
      </c>
      <c r="AO34" s="15">
        <f t="shared" ref="AO34" si="166">MOD(AO33,360)</f>
        <v>245.23180784657598</v>
      </c>
      <c r="AP34" s="15">
        <f t="shared" ref="AP34" si="167">MOD(AP33,360)</f>
        <v>137.61427411311888</v>
      </c>
      <c r="AQ34" s="15">
        <f t="shared" ref="AQ34" si="168">MOD(AQ33,360)</f>
        <v>230.95468937502301</v>
      </c>
      <c r="AR34" s="15">
        <f t="shared" ref="AR34" si="169">MOD(AR33,360)</f>
        <v>322.2739539158938</v>
      </c>
      <c r="AS34" s="15">
        <f t="shared" ref="AS34" si="170">MOD(AS33,360)</f>
        <v>65.545568871399155</v>
      </c>
      <c r="AT34" s="15">
        <f t="shared" ref="AT34" si="171">MOD(AT33,360)</f>
        <v>259.43823266038089</v>
      </c>
      <c r="AU34" s="15">
        <f t="shared" ref="AU34" si="172">MOD(AU33,360)</f>
        <v>149.6663292831945</v>
      </c>
      <c r="AV34" s="15">
        <f t="shared" ref="AV34" si="173">MOD(AV33,360)</f>
        <v>335.25101323910712</v>
      </c>
      <c r="AW34" s="15">
        <f t="shared" ref="AW34" si="174">MOD(AW33,360)</f>
        <v>341.56922504876275</v>
      </c>
      <c r="AX34" s="15">
        <f t="shared" ref="AX34" si="175">MOD(AX33,360)</f>
        <v>335.56365587699111</v>
      </c>
      <c r="AY34" s="15">
        <f t="shared" ref="AY34" si="176">MOD(AY33,360)</f>
        <v>296.31873849341355</v>
      </c>
      <c r="AZ34" s="15">
        <f t="shared" ref="AZ34" si="177">MOD(AZ33,360)</f>
        <v>309.54808868774853</v>
      </c>
      <c r="BA34" s="15">
        <f t="shared" ref="BA34" si="178">MOD(BA33,360)</f>
        <v>322.77743888209807</v>
      </c>
      <c r="BB34" s="15">
        <f t="shared" ref="BB34" si="179">MOD(BB33,360)</f>
        <v>336.00678907643305</v>
      </c>
      <c r="BC34" s="15">
        <f t="shared" ref="BC34" si="180">MOD(BC33,360)</f>
        <v>349.23613927076804</v>
      </c>
      <c r="BD34" s="15">
        <f t="shared" ref="BD34" si="181">MOD(BD33,360)</f>
        <v>2.4654894650884671</v>
      </c>
      <c r="BE34" s="15">
        <f t="shared" ref="BE34" si="182">MOD(BE33,360)</f>
        <v>15.694839659423451</v>
      </c>
      <c r="BF34" s="15">
        <f t="shared" ref="BF34" si="183">MOD(BF33,360)</f>
        <v>28.924189853743883</v>
      </c>
      <c r="BG34" s="15">
        <f t="shared" ref="BG34" si="184">MOD(BG33,360)</f>
        <v>115.12402265668788</v>
      </c>
    </row>
    <row r="35" spans="1:59" x14ac:dyDescent="0.25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43">
        <v>219.88972100000001</v>
      </c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</row>
    <row r="36" spans="1:59" x14ac:dyDescent="0.25">
      <c r="A36">
        <v>47.6</v>
      </c>
      <c r="B36">
        <v>338</v>
      </c>
      <c r="C36" t="s">
        <v>125</v>
      </c>
      <c r="D36" s="7" t="s">
        <v>4</v>
      </c>
      <c r="E36" s="15">
        <f>1-0.002516*E3-0.0000074*E3^2</f>
        <v>1.0010614744969539</v>
      </c>
      <c r="F36" s="15">
        <f t="shared" ref="F36:Y36" si="185">1-0.002516*F3-0.0000074*F3^2</f>
        <v>1.0398828724792437</v>
      </c>
      <c r="G36" s="15">
        <f t="shared" si="185"/>
        <v>1</v>
      </c>
      <c r="H36" s="15">
        <f t="shared" si="185"/>
        <v>1.0000251764800683</v>
      </c>
      <c r="I36" s="15">
        <f t="shared" si="185"/>
        <v>1.0003251825213462</v>
      </c>
      <c r="J36" s="15">
        <f t="shared" si="185"/>
        <v>1.0003153050244182</v>
      </c>
      <c r="K36" s="15">
        <f t="shared" si="185"/>
        <v>1.0003000581260029</v>
      </c>
      <c r="L36" s="15">
        <f t="shared" si="185"/>
        <v>1.0002901112104268</v>
      </c>
      <c r="M36" s="15">
        <f t="shared" si="185"/>
        <v>1.0025085657596442</v>
      </c>
      <c r="N36" s="15">
        <f t="shared" si="185"/>
        <v>1.00994543184117</v>
      </c>
      <c r="O36" s="15">
        <f t="shared" si="185"/>
        <v>1.0099208799079391</v>
      </c>
      <c r="P36" s="15">
        <f t="shared" si="185"/>
        <v>1.0282529563305476</v>
      </c>
      <c r="Q36" s="15">
        <f t="shared" si="185"/>
        <v>1.0500566624079075</v>
      </c>
      <c r="R36" s="15">
        <f t="shared" si="185"/>
        <v>1.0500566021218278</v>
      </c>
      <c r="S36" s="15">
        <f t="shared" si="185"/>
        <v>1.0688083137413396</v>
      </c>
      <c r="T36" s="15">
        <f t="shared" si="185"/>
        <v>1.0688159439004585</v>
      </c>
      <c r="U36" s="15">
        <f t="shared" si="185"/>
        <v>1.0688270115292231</v>
      </c>
      <c r="V36" s="15">
        <f t="shared" si="185"/>
        <v>1.1355356795058114</v>
      </c>
      <c r="W36" s="15">
        <f t="shared" si="185"/>
        <v>1.0003201577605154</v>
      </c>
      <c r="X36" s="85">
        <f t="shared" si="185"/>
        <v>1.0001942441140248</v>
      </c>
      <c r="Y36" s="15">
        <f t="shared" si="185"/>
        <v>1.0005751757300387</v>
      </c>
      <c r="Z36" s="15">
        <f t="shared" ref="Z36:AA36" si="186">1-0.002516*Z3-0.0000074*Z3^2</f>
        <v>0.99889156189130601</v>
      </c>
      <c r="AA36" s="15">
        <f t="shared" si="186"/>
        <v>1.0000000344421616</v>
      </c>
      <c r="AB36" s="15">
        <f t="shared" ref="AB36:AP36" si="187">1-0.002516*AB3-0.0000074*AB3^2</f>
        <v>1.0011434283523539</v>
      </c>
      <c r="AC36" s="15">
        <f t="shared" si="187"/>
        <v>1.0005313532100981</v>
      </c>
      <c r="AD36" s="15">
        <f t="shared" si="187"/>
        <v>1.0002941381903139</v>
      </c>
      <c r="AE36" s="15">
        <f t="shared" si="187"/>
        <v>1.0005749589567248</v>
      </c>
      <c r="AF36" s="15">
        <f t="shared" si="187"/>
        <v>1.0001768927967838</v>
      </c>
      <c r="AG36" s="15">
        <f t="shared" si="187"/>
        <v>1.0001815749676644</v>
      </c>
      <c r="AH36" s="15">
        <f t="shared" si="187"/>
        <v>1.0002223352292186</v>
      </c>
      <c r="AI36" s="15">
        <f t="shared" si="187"/>
        <v>1.000195001496746</v>
      </c>
      <c r="AJ36" s="15">
        <f t="shared" si="187"/>
        <v>1.0001678037304005</v>
      </c>
      <c r="AK36" s="15">
        <f t="shared" si="187"/>
        <v>1.0045545400931362</v>
      </c>
      <c r="AL36" s="15">
        <f t="shared" si="187"/>
        <v>1.0002334885421673</v>
      </c>
      <c r="AM36" s="15">
        <f t="shared" si="187"/>
        <v>1.0332520757632357</v>
      </c>
      <c r="AN36" s="15">
        <f t="shared" si="187"/>
        <v>0.99999342149629644</v>
      </c>
      <c r="AO36" s="15">
        <f t="shared" si="187"/>
        <v>1.0473368722975327</v>
      </c>
      <c r="AP36" s="15">
        <f t="shared" si="187"/>
        <v>0.99942766557916363</v>
      </c>
      <c r="AQ36" s="15">
        <f t="shared" ref="AQ36:BG36" si="188">1-0.002516*AQ3-0.0000074*AQ3^2</f>
        <v>0.99942717891179222</v>
      </c>
      <c r="AR36" s="15">
        <f t="shared" si="188"/>
        <v>0.99942670278195944</v>
      </c>
      <c r="AS36" s="15">
        <f t="shared" si="188"/>
        <v>0.99942616433308795</v>
      </c>
      <c r="AT36" s="15">
        <f t="shared" si="188"/>
        <v>0.99942515339242788</v>
      </c>
      <c r="AU36" s="15">
        <f t="shared" si="188"/>
        <v>1.0006683782062611</v>
      </c>
      <c r="AV36" s="15">
        <f t="shared" si="188"/>
        <v>1.0000587198564952</v>
      </c>
      <c r="AW36" s="15">
        <f t="shared" si="188"/>
        <v>1.0016320161713801</v>
      </c>
      <c r="AX36" s="15">
        <f t="shared" si="188"/>
        <v>1.0010733486529395</v>
      </c>
      <c r="AY36" s="15">
        <f t="shared" si="188"/>
        <v>0.9994230840821533</v>
      </c>
      <c r="AZ36" s="15">
        <f t="shared" si="188"/>
        <v>0.99942301510497211</v>
      </c>
      <c r="BA36" s="15">
        <f t="shared" si="188"/>
        <v>0.99942294612777993</v>
      </c>
      <c r="BB36" s="15">
        <f t="shared" si="188"/>
        <v>0.99942287715057665</v>
      </c>
      <c r="BC36" s="15">
        <f t="shared" si="188"/>
        <v>0.99942280817336226</v>
      </c>
      <c r="BD36" s="15">
        <f t="shared" si="188"/>
        <v>0.99942273919613678</v>
      </c>
      <c r="BE36" s="15">
        <f t="shared" si="188"/>
        <v>0.99942267021890019</v>
      </c>
      <c r="BF36" s="15">
        <f t="shared" si="188"/>
        <v>0.9994226012416525</v>
      </c>
      <c r="BG36" s="15">
        <f t="shared" si="188"/>
        <v>1.0005749693550947</v>
      </c>
    </row>
    <row r="37" spans="1:59" x14ac:dyDescent="0.25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43">
        <v>1.000194</v>
      </c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</row>
    <row r="38" spans="1:59" x14ac:dyDescent="0.25">
      <c r="B38">
        <v>338</v>
      </c>
      <c r="C38" t="s">
        <v>235</v>
      </c>
      <c r="D38" s="7" t="s">
        <v>217</v>
      </c>
      <c r="E38" s="15">
        <f t="shared" ref="E38:AA38" si="189" xml:space="preserve"> 119.75 + 131.849 * E3</f>
        <v>64.055069190691512</v>
      </c>
      <c r="F38" s="15">
        <f t="shared" si="189"/>
        <v>-2078.0293393018478</v>
      </c>
      <c r="G38" s="15">
        <f t="shared" si="189"/>
        <v>119.75</v>
      </c>
      <c r="H38" s="15">
        <f t="shared" si="189"/>
        <v>118.43060754277892</v>
      </c>
      <c r="I38" s="15">
        <f t="shared" si="189"/>
        <v>102.70258309377139</v>
      </c>
      <c r="J38" s="15">
        <f t="shared" si="189"/>
        <v>103.22059353867215</v>
      </c>
      <c r="K38" s="15">
        <f t="shared" si="189"/>
        <v>104.0201706365503</v>
      </c>
      <c r="L38" s="15">
        <f t="shared" si="189"/>
        <v>104.54179091033539</v>
      </c>
      <c r="M38" s="15">
        <f t="shared" si="189"/>
        <v>-12.097195043777617</v>
      </c>
      <c r="N38" s="15">
        <f t="shared" si="189"/>
        <v>-407.63697542778914</v>
      </c>
      <c r="O38" s="15">
        <f t="shared" si="189"/>
        <v>-406.3193878850102</v>
      </c>
      <c r="P38" s="15">
        <f t="shared" si="189"/>
        <v>-1413.2475837590687</v>
      </c>
      <c r="Q38" s="15">
        <f t="shared" si="189"/>
        <v>-2678.0424620533881</v>
      </c>
      <c r="R38" s="15">
        <f t="shared" si="189"/>
        <v>-2678.0388522245034</v>
      </c>
      <c r="S38" s="15">
        <f t="shared" si="189"/>
        <v>-3834.9763752498288</v>
      </c>
      <c r="T38" s="15">
        <f t="shared" si="189"/>
        <v>-3835.4618972347703</v>
      </c>
      <c r="U38" s="15">
        <f t="shared" si="189"/>
        <v>-3836.1661748501028</v>
      </c>
      <c r="V38" s="15">
        <f t="shared" si="189"/>
        <v>-8729.9079522245029</v>
      </c>
      <c r="W38" s="15">
        <f t="shared" si="189"/>
        <v>102.96610060232717</v>
      </c>
      <c r="X38" s="15">
        <f t="shared" si="189"/>
        <v>109.56847763175907</v>
      </c>
      <c r="Y38" s="15">
        <f t="shared" si="189"/>
        <v>89.588074757015747</v>
      </c>
      <c r="Z38" s="15">
        <f t="shared" si="189"/>
        <v>177.76175508555784</v>
      </c>
      <c r="AA38" s="15">
        <f t="shared" si="189"/>
        <v>119.74819508555784</v>
      </c>
      <c r="AB38" s="15">
        <f t="shared" ref="AB38:AP38" si="190" xml:space="preserve"> 119.75 + 131.849 * AB3</f>
        <v>59.74922919917865</v>
      </c>
      <c r="AC38" s="15">
        <f t="shared" si="190"/>
        <v>91.887535756331289</v>
      </c>
      <c r="AD38" s="15">
        <f t="shared" si="190"/>
        <v>104.33061592060233</v>
      </c>
      <c r="AE38" s="15">
        <f t="shared" si="190"/>
        <v>89.599449896044604</v>
      </c>
      <c r="AF38" s="15">
        <f t="shared" si="190"/>
        <v>110.47815451060917</v>
      </c>
      <c r="AG38" s="15">
        <f t="shared" si="190"/>
        <v>110.23268614647502</v>
      </c>
      <c r="AH38" s="15">
        <f t="shared" si="190"/>
        <v>108.09566744695414</v>
      </c>
      <c r="AI38" s="15">
        <f t="shared" si="190"/>
        <v>109.52876951403148</v>
      </c>
      <c r="AJ38" s="15">
        <f t="shared" si="190"/>
        <v>110.95465192334018</v>
      </c>
      <c r="AK38" s="15">
        <f t="shared" si="190"/>
        <v>-120.21157017111565</v>
      </c>
      <c r="AL38" s="15">
        <f t="shared" si="190"/>
        <v>107.51087516769336</v>
      </c>
      <c r="AM38" s="15">
        <f t="shared" si="190"/>
        <v>-1696.3747657631757</v>
      </c>
      <c r="AN38" s="15">
        <f t="shared" si="190"/>
        <v>120.09473865845311</v>
      </c>
      <c r="AO38" s="15">
        <f t="shared" si="190"/>
        <v>-2515.8564601095136</v>
      </c>
      <c r="AP38" s="15">
        <f t="shared" si="190"/>
        <v>149.72269500467692</v>
      </c>
      <c r="AQ38" s="15">
        <f t="shared" ref="AQ38:BG38" si="191" xml:space="preserve"> 119.75 + 131.849 * AQ3</f>
        <v>149.74816435291615</v>
      </c>
      <c r="AR38" s="15">
        <f t="shared" si="191"/>
        <v>149.77308219952121</v>
      </c>
      <c r="AS38" s="15">
        <f t="shared" si="191"/>
        <v>149.80126142624914</v>
      </c>
      <c r="AT38" s="15">
        <f t="shared" si="191"/>
        <v>149.85416798083503</v>
      </c>
      <c r="AU38" s="15">
        <f t="shared" si="191"/>
        <v>84.696756618754279</v>
      </c>
      <c r="AV38" s="15">
        <f t="shared" si="191"/>
        <v>116.67262087611225</v>
      </c>
      <c r="AW38" s="15">
        <f t="shared" si="191"/>
        <v>34.061686858316236</v>
      </c>
      <c r="AX38" s="15">
        <f t="shared" si="191"/>
        <v>63.43125466119097</v>
      </c>
      <c r="AY38" s="15">
        <f t="shared" si="191"/>
        <v>149.9624628473648</v>
      </c>
      <c r="AZ38" s="15">
        <f t="shared" si="191"/>
        <v>149.96607267624915</v>
      </c>
      <c r="BA38" s="15">
        <f t="shared" si="191"/>
        <v>149.96968250513348</v>
      </c>
      <c r="BB38" s="15">
        <f t="shared" si="191"/>
        <v>149.9732923340178</v>
      </c>
      <c r="BC38" s="15">
        <f t="shared" si="191"/>
        <v>149.97690216290212</v>
      </c>
      <c r="BD38" s="15">
        <f t="shared" si="191"/>
        <v>149.98051199178644</v>
      </c>
      <c r="BE38" s="15">
        <f t="shared" si="191"/>
        <v>149.98412182067077</v>
      </c>
      <c r="BF38" s="15">
        <f t="shared" si="191"/>
        <v>149.98773164955509</v>
      </c>
      <c r="BG38" s="15">
        <f t="shared" si="191"/>
        <v>89.598904243668727</v>
      </c>
    </row>
    <row r="39" spans="1:59" x14ac:dyDescent="0.25">
      <c r="C39" t="s">
        <v>214</v>
      </c>
      <c r="D39" s="7" t="s">
        <v>336</v>
      </c>
      <c r="E39" s="15">
        <f>MOD(E38,360)</f>
        <v>64.055069190691512</v>
      </c>
      <c r="F39" s="15">
        <f t="shared" ref="F39:AA39" si="192">MOD(F38,360)</f>
        <v>81.970660698152187</v>
      </c>
      <c r="G39" s="15">
        <f t="shared" si="192"/>
        <v>119.75</v>
      </c>
      <c r="H39" s="15">
        <f t="shared" si="192"/>
        <v>118.43060754277892</v>
      </c>
      <c r="I39" s="15">
        <f t="shared" si="192"/>
        <v>102.70258309377139</v>
      </c>
      <c r="J39" s="15">
        <f t="shared" si="192"/>
        <v>103.22059353867215</v>
      </c>
      <c r="K39" s="15">
        <f t="shared" si="192"/>
        <v>104.0201706365503</v>
      </c>
      <c r="L39" s="15">
        <f t="shared" si="192"/>
        <v>104.54179091033539</v>
      </c>
      <c r="M39" s="15">
        <f t="shared" si="192"/>
        <v>347.90280495622238</v>
      </c>
      <c r="N39" s="15">
        <f t="shared" si="192"/>
        <v>312.36302457221086</v>
      </c>
      <c r="O39" s="15">
        <f t="shared" si="192"/>
        <v>313.6806121149898</v>
      </c>
      <c r="P39" s="15">
        <f t="shared" si="192"/>
        <v>26.752416240931325</v>
      </c>
      <c r="Q39" s="15">
        <f t="shared" si="192"/>
        <v>201.95753794661186</v>
      </c>
      <c r="R39" s="15">
        <f t="shared" si="192"/>
        <v>201.96114777549656</v>
      </c>
      <c r="S39" s="15">
        <f t="shared" si="192"/>
        <v>125.02362475017117</v>
      </c>
      <c r="T39" s="15">
        <f t="shared" si="192"/>
        <v>124.53810276522972</v>
      </c>
      <c r="U39" s="15">
        <f t="shared" si="192"/>
        <v>123.83382514989717</v>
      </c>
      <c r="V39" s="15">
        <f t="shared" si="192"/>
        <v>270.09204777549712</v>
      </c>
      <c r="W39" s="15">
        <f t="shared" si="192"/>
        <v>102.96610060232717</v>
      </c>
      <c r="X39" s="85">
        <f t="shared" si="192"/>
        <v>109.56847763175907</v>
      </c>
      <c r="Y39" s="15">
        <f t="shared" si="192"/>
        <v>89.588074757015747</v>
      </c>
      <c r="Z39" s="15">
        <f t="shared" si="192"/>
        <v>177.76175508555784</v>
      </c>
      <c r="AA39" s="15">
        <f t="shared" si="192"/>
        <v>119.74819508555784</v>
      </c>
      <c r="AB39" s="15">
        <f t="shared" ref="AB39" si="193">MOD(AB38,360)</f>
        <v>59.74922919917865</v>
      </c>
      <c r="AC39" s="15">
        <f t="shared" ref="AC39" si="194">MOD(AC38,360)</f>
        <v>91.887535756331289</v>
      </c>
      <c r="AD39" s="15">
        <f t="shared" ref="AD39" si="195">MOD(AD38,360)</f>
        <v>104.33061592060233</v>
      </c>
      <c r="AE39" s="15">
        <f t="shared" ref="AE39" si="196">MOD(AE38,360)</f>
        <v>89.599449896044604</v>
      </c>
      <c r="AF39" s="15">
        <f t="shared" ref="AF39" si="197">MOD(AF38,360)</f>
        <v>110.47815451060917</v>
      </c>
      <c r="AG39" s="15">
        <f t="shared" ref="AG39" si="198">MOD(AG38,360)</f>
        <v>110.23268614647502</v>
      </c>
      <c r="AH39" s="15">
        <f t="shared" ref="AH39" si="199">MOD(AH38,360)</f>
        <v>108.09566744695414</v>
      </c>
      <c r="AI39" s="15">
        <f t="shared" ref="AI39" si="200">MOD(AI38,360)</f>
        <v>109.52876951403148</v>
      </c>
      <c r="AJ39" s="15">
        <f t="shared" ref="AJ39" si="201">MOD(AJ38,360)</f>
        <v>110.95465192334018</v>
      </c>
      <c r="AK39" s="15">
        <f t="shared" ref="AK39" si="202">MOD(AK38,360)</f>
        <v>239.78842982888435</v>
      </c>
      <c r="AL39" s="15">
        <f t="shared" ref="AL39" si="203">MOD(AL38,360)</f>
        <v>107.51087516769336</v>
      </c>
      <c r="AM39" s="15">
        <f t="shared" ref="AM39" si="204">MOD(AM38,360)</f>
        <v>103.62523423682433</v>
      </c>
      <c r="AN39" s="15">
        <f t="shared" ref="AN39" si="205">MOD(AN38,360)</f>
        <v>120.09473865845311</v>
      </c>
      <c r="AO39" s="15">
        <f t="shared" ref="AO39" si="206">MOD(AO38,360)</f>
        <v>4.1435398904864087</v>
      </c>
      <c r="AP39" s="15">
        <f t="shared" ref="AP39" si="207">MOD(AP38,360)</f>
        <v>149.72269500467692</v>
      </c>
      <c r="AQ39" s="15">
        <f t="shared" ref="AQ39" si="208">MOD(AQ38,360)</f>
        <v>149.74816435291615</v>
      </c>
      <c r="AR39" s="15">
        <f t="shared" ref="AR39" si="209">MOD(AR38,360)</f>
        <v>149.77308219952121</v>
      </c>
      <c r="AS39" s="15">
        <f t="shared" ref="AS39" si="210">MOD(AS38,360)</f>
        <v>149.80126142624914</v>
      </c>
      <c r="AT39" s="15">
        <f t="shared" ref="AT39" si="211">MOD(AT38,360)</f>
        <v>149.85416798083503</v>
      </c>
      <c r="AU39" s="15">
        <f t="shared" ref="AU39" si="212">MOD(AU38,360)</f>
        <v>84.696756618754279</v>
      </c>
      <c r="AV39" s="15">
        <f t="shared" ref="AV39" si="213">MOD(AV38,360)</f>
        <v>116.67262087611225</v>
      </c>
      <c r="AW39" s="15">
        <f t="shared" ref="AW39" si="214">MOD(AW38,360)</f>
        <v>34.061686858316236</v>
      </c>
      <c r="AX39" s="15">
        <f t="shared" ref="AX39" si="215">MOD(AX38,360)</f>
        <v>63.43125466119097</v>
      </c>
      <c r="AY39" s="15">
        <f t="shared" ref="AY39" si="216">MOD(AY38,360)</f>
        <v>149.9624628473648</v>
      </c>
      <c r="AZ39" s="15">
        <f t="shared" ref="AZ39" si="217">MOD(AZ38,360)</f>
        <v>149.96607267624915</v>
      </c>
      <c r="BA39" s="15">
        <f t="shared" ref="BA39" si="218">MOD(BA38,360)</f>
        <v>149.96968250513348</v>
      </c>
      <c r="BB39" s="15">
        <f t="shared" ref="BB39" si="219">MOD(BB38,360)</f>
        <v>149.9732923340178</v>
      </c>
      <c r="BC39" s="15">
        <f t="shared" ref="BC39" si="220">MOD(BC38,360)</f>
        <v>149.97690216290212</v>
      </c>
      <c r="BD39" s="15">
        <f t="shared" ref="BD39" si="221">MOD(BD38,360)</f>
        <v>149.98051199178644</v>
      </c>
      <c r="BE39" s="15">
        <f t="shared" ref="BE39" si="222">MOD(BE38,360)</f>
        <v>149.98412182067077</v>
      </c>
      <c r="BF39" s="15">
        <f t="shared" ref="BF39" si="223">MOD(BF38,360)</f>
        <v>149.98773164955509</v>
      </c>
      <c r="BG39" s="15">
        <f t="shared" ref="BG39" si="224">MOD(BG38,360)</f>
        <v>89.598904243668727</v>
      </c>
    </row>
    <row r="40" spans="1:59" x14ac:dyDescent="0.25">
      <c r="E40" s="15"/>
      <c r="F40" s="15"/>
      <c r="G40" s="15"/>
      <c r="H40" s="15"/>
      <c r="I40" s="15"/>
      <c r="J40" s="15"/>
      <c r="K40" s="15"/>
      <c r="L40" s="15"/>
      <c r="M40" s="15"/>
      <c r="N40" s="15"/>
      <c r="P40" s="15"/>
      <c r="Q40" s="15"/>
      <c r="R40" s="15"/>
      <c r="S40" s="15"/>
      <c r="T40" s="15"/>
      <c r="U40" s="15"/>
      <c r="V40" s="15"/>
      <c r="W40" s="15"/>
      <c r="X40" s="143">
        <v>109.57</v>
      </c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</row>
    <row r="41" spans="1:59" x14ac:dyDescent="0.25">
      <c r="C41" t="s">
        <v>236</v>
      </c>
      <c r="D41" s="7" t="s">
        <v>218</v>
      </c>
      <c r="E41" s="15">
        <f t="shared" ref="E41:AA41" si="225" xml:space="preserve"> 53.09 + 479264.29 * E3</f>
        <v>-202395.10051280147</v>
      </c>
      <c r="F41" s="15">
        <f t="shared" si="225"/>
        <v>-7988761.043039836</v>
      </c>
      <c r="G41" s="15">
        <f t="shared" si="225"/>
        <v>53.09</v>
      </c>
      <c r="H41" s="15">
        <f t="shared" si="225"/>
        <v>-4742.8332852840522</v>
      </c>
      <c r="I41" s="15">
        <f t="shared" si="225"/>
        <v>-61913.388015742639</v>
      </c>
      <c r="J41" s="15">
        <f t="shared" si="225"/>
        <v>-60030.446862696786</v>
      </c>
      <c r="K41" s="15">
        <f t="shared" si="225"/>
        <v>-57124.025501026699</v>
      </c>
      <c r="L41" s="15">
        <f t="shared" si="225"/>
        <v>-55227.962806844625</v>
      </c>
      <c r="M41" s="15">
        <f t="shared" si="225"/>
        <v>-479204.63907756296</v>
      </c>
      <c r="N41" s="15">
        <f t="shared" si="225"/>
        <v>-1916971.2661471593</v>
      </c>
      <c r="O41" s="15">
        <f t="shared" si="225"/>
        <v>-1912181.9036324434</v>
      </c>
      <c r="P41" s="15">
        <f t="shared" si="225"/>
        <v>-5572313.7732451186</v>
      </c>
      <c r="Q41" s="15">
        <f t="shared" si="225"/>
        <v>-10169777.685306365</v>
      </c>
      <c r="R41" s="15">
        <f t="shared" si="225"/>
        <v>-10169764.563765228</v>
      </c>
      <c r="S41" s="15">
        <f t="shared" si="225"/>
        <v>-14375172.572525941</v>
      </c>
      <c r="T41" s="15">
        <f t="shared" si="225"/>
        <v>-14376937.41980876</v>
      </c>
      <c r="U41" s="15">
        <f t="shared" si="225"/>
        <v>-14379497.432484437</v>
      </c>
      <c r="V41" s="15">
        <f t="shared" si="225"/>
        <v>-32167995.47476523</v>
      </c>
      <c r="W41" s="15">
        <f t="shared" si="225"/>
        <v>-60955.515512799451</v>
      </c>
      <c r="X41" s="15">
        <f t="shared" si="225"/>
        <v>-36956.216774674882</v>
      </c>
      <c r="Y41" s="15">
        <f t="shared" si="225"/>
        <v>-109583.94696358658</v>
      </c>
      <c r="Z41" s="15">
        <f t="shared" si="225"/>
        <v>210922.81682943186</v>
      </c>
      <c r="AA41" s="15">
        <f t="shared" si="225"/>
        <v>46.529229431895963</v>
      </c>
      <c r="AB41" s="15">
        <f t="shared" ref="AB41:AP41" si="226" xml:space="preserve"> 53.09 + 479264.29 * AB3</f>
        <v>-218046.60599548253</v>
      </c>
      <c r="AC41" s="15">
        <f t="shared" si="226"/>
        <v>-101225.52525982204</v>
      </c>
      <c r="AD41" s="15">
        <f t="shared" si="226"/>
        <v>-55995.572963312799</v>
      </c>
      <c r="AE41" s="15">
        <f t="shared" si="226"/>
        <v>-109542.59892203668</v>
      </c>
      <c r="AF41" s="15">
        <f t="shared" si="226"/>
        <v>-33649.58840835045</v>
      </c>
      <c r="AG41" s="15">
        <f t="shared" si="226"/>
        <v>-34541.853205612599</v>
      </c>
      <c r="AH41" s="15">
        <f t="shared" si="226"/>
        <v>-42309.805558247775</v>
      </c>
      <c r="AI41" s="15">
        <f t="shared" si="226"/>
        <v>-37100.553727173166</v>
      </c>
      <c r="AJ41" s="15">
        <f t="shared" si="226"/>
        <v>-31917.544978370977</v>
      </c>
      <c r="AK41" s="15">
        <f t="shared" si="226"/>
        <v>-872194.79625886376</v>
      </c>
      <c r="AL41" s="15">
        <f t="shared" si="226"/>
        <v>-44435.495222313482</v>
      </c>
      <c r="AM41" s="15">
        <f t="shared" si="226"/>
        <v>-6601466.4241025327</v>
      </c>
      <c r="AN41" s="15">
        <f t="shared" si="226"/>
        <v>1306.1971785078713</v>
      </c>
      <c r="AO41" s="15">
        <f t="shared" si="226"/>
        <v>-9580239.9635976721</v>
      </c>
      <c r="AP41" s="15">
        <f t="shared" si="226"/>
        <v>109002.28484260812</v>
      </c>
      <c r="AQ41" s="15">
        <f t="shared" ref="AQ41:BG41" si="227" xml:space="preserve"> 53.09 + 479264.29 * AQ3</f>
        <v>109094.86460506846</v>
      </c>
      <c r="AR41" s="15">
        <f t="shared" si="227"/>
        <v>109185.43968763639</v>
      </c>
      <c r="AS41" s="15">
        <f t="shared" si="227"/>
        <v>109287.86971812969</v>
      </c>
      <c r="AT41" s="15">
        <f t="shared" si="227"/>
        <v>109480.18230540724</v>
      </c>
      <c r="AU41" s="15">
        <f t="shared" si="227"/>
        <v>-127363.63520314854</v>
      </c>
      <c r="AV41" s="15">
        <f t="shared" si="227"/>
        <v>-11133.023818617385</v>
      </c>
      <c r="AW41" s="15">
        <f t="shared" si="227"/>
        <v>-311419.49272073916</v>
      </c>
      <c r="AX41" s="15">
        <f t="shared" si="227"/>
        <v>-204662.6340365503</v>
      </c>
      <c r="AY41" s="15">
        <f t="shared" si="227"/>
        <v>109873.82853949348</v>
      </c>
      <c r="AZ41" s="15">
        <f t="shared" si="227"/>
        <v>109886.9500806297</v>
      </c>
      <c r="BA41" s="15">
        <f t="shared" si="227"/>
        <v>109900.07162176591</v>
      </c>
      <c r="BB41" s="15">
        <f t="shared" si="227"/>
        <v>109913.19316290211</v>
      </c>
      <c r="BC41" s="15">
        <f t="shared" si="227"/>
        <v>109926.31470403832</v>
      </c>
      <c r="BD41" s="15">
        <f t="shared" si="227"/>
        <v>109939.43624517453</v>
      </c>
      <c r="BE41" s="15">
        <f t="shared" si="227"/>
        <v>109952.55778631075</v>
      </c>
      <c r="BF41" s="15">
        <f t="shared" si="227"/>
        <v>109965.67932744695</v>
      </c>
      <c r="BG41" s="15">
        <f t="shared" si="227"/>
        <v>-109544.58234017795</v>
      </c>
    </row>
    <row r="42" spans="1:59" x14ac:dyDescent="0.25">
      <c r="C42" t="s">
        <v>215</v>
      </c>
      <c r="D42" s="7" t="s">
        <v>337</v>
      </c>
      <c r="E42" s="15">
        <f>MOD(E41,360)</f>
        <v>284.89948719853419</v>
      </c>
      <c r="F42" s="15">
        <f t="shared" ref="F42:AA42" si="228">MOD(F41,360)</f>
        <v>358.95696016401052</v>
      </c>
      <c r="G42" s="15">
        <f t="shared" si="228"/>
        <v>53.09</v>
      </c>
      <c r="H42" s="15">
        <f t="shared" si="228"/>
        <v>297.16671471594782</v>
      </c>
      <c r="I42" s="15">
        <f t="shared" si="228"/>
        <v>6.6119842573607457</v>
      </c>
      <c r="J42" s="15">
        <f t="shared" si="228"/>
        <v>89.553137303213589</v>
      </c>
      <c r="K42" s="15">
        <f t="shared" si="228"/>
        <v>115.9744989733008</v>
      </c>
      <c r="L42" s="15">
        <f t="shared" si="228"/>
        <v>212.03719315537455</v>
      </c>
      <c r="M42" s="15">
        <f t="shared" si="228"/>
        <v>315.36092243704479</v>
      </c>
      <c r="N42" s="15">
        <f t="shared" si="228"/>
        <v>28.733852840727195</v>
      </c>
      <c r="O42" s="15">
        <f t="shared" si="228"/>
        <v>138.09636755660176</v>
      </c>
      <c r="P42" s="15">
        <f t="shared" si="228"/>
        <v>126.22675488144159</v>
      </c>
      <c r="Q42" s="15">
        <f t="shared" si="228"/>
        <v>222.3146936353296</v>
      </c>
      <c r="R42" s="15">
        <f t="shared" si="228"/>
        <v>235.43623477220535</v>
      </c>
      <c r="S42" s="15">
        <f t="shared" si="228"/>
        <v>347.42747405916452</v>
      </c>
      <c r="T42" s="15">
        <f t="shared" si="228"/>
        <v>22.580191239714622</v>
      </c>
      <c r="U42" s="15">
        <f t="shared" si="228"/>
        <v>342.56751556321979</v>
      </c>
      <c r="V42" s="15">
        <f t="shared" si="228"/>
        <v>164.52523477002978</v>
      </c>
      <c r="W42" s="15">
        <f t="shared" si="228"/>
        <v>244.48448720054876</v>
      </c>
      <c r="X42" s="85">
        <f t="shared" si="228"/>
        <v>123.78322532511811</v>
      </c>
      <c r="Y42" s="15">
        <f t="shared" si="228"/>
        <v>216.05303641341743</v>
      </c>
      <c r="Z42" s="15">
        <f t="shared" si="228"/>
        <v>322.81682943186024</v>
      </c>
      <c r="AA42" s="15">
        <f t="shared" si="228"/>
        <v>46.529229431895963</v>
      </c>
      <c r="AB42" s="15">
        <f t="shared" ref="AB42" si="229">MOD(AB41,360)</f>
        <v>113.39400451746769</v>
      </c>
      <c r="AC42" s="15">
        <f t="shared" ref="AC42" si="230">MOD(AC41,360)</f>
        <v>294.47474017796048</v>
      </c>
      <c r="AD42" s="15">
        <f t="shared" ref="AD42" si="231">MOD(AD41,360)</f>
        <v>164.4270366872006</v>
      </c>
      <c r="AE42" s="15">
        <f t="shared" ref="AE42" si="232">MOD(AE41,360)</f>
        <v>257.4010779633245</v>
      </c>
      <c r="AF42" s="15">
        <f t="shared" ref="AF42" si="233">MOD(AF41,360)</f>
        <v>190.41159164955025</v>
      </c>
      <c r="AG42" s="15">
        <f t="shared" ref="AG42" si="234">MOD(AG41,360)</f>
        <v>18.146794387401314</v>
      </c>
      <c r="AH42" s="15">
        <f t="shared" ref="AH42" si="235">MOD(AH41,360)</f>
        <v>170.19444175222452</v>
      </c>
      <c r="AI42" s="15">
        <f t="shared" ref="AI42" si="236">MOD(AI41,360)</f>
        <v>339.44627282683359</v>
      </c>
      <c r="AJ42" s="15">
        <f t="shared" ref="AJ42" si="237">MOD(AJ41,360)</f>
        <v>122.45502162902267</v>
      </c>
      <c r="AK42" s="15">
        <f t="shared" ref="AK42" si="238">MOD(AK41,360)</f>
        <v>85.203741136239842</v>
      </c>
      <c r="AL42" s="15">
        <f t="shared" ref="AL42" si="239">MOD(AL41,360)</f>
        <v>204.50477768651763</v>
      </c>
      <c r="AM42" s="15">
        <f t="shared" ref="AM42" si="240">MOD(AM41,360)</f>
        <v>213.57589746732265</v>
      </c>
      <c r="AN42" s="15">
        <f t="shared" ref="AN42" si="241">MOD(AN41,360)</f>
        <v>226.19717850787129</v>
      </c>
      <c r="AO42" s="15">
        <f t="shared" ref="AO42" si="242">MOD(AO41,360)</f>
        <v>80.036402327939868</v>
      </c>
      <c r="AP42" s="15">
        <f t="shared" ref="AP42" si="243">MOD(AP41,360)</f>
        <v>282.2848426081182</v>
      </c>
      <c r="AQ42" s="15">
        <f t="shared" ref="AQ42" si="244">MOD(AQ41,360)</f>
        <v>14.864605068461969</v>
      </c>
      <c r="AR42" s="15">
        <f t="shared" ref="AR42" si="245">MOD(AR41,360)</f>
        <v>105.43968763638986</v>
      </c>
      <c r="AS42" s="15">
        <f t="shared" ref="AS42" si="246">MOD(AS41,360)</f>
        <v>207.86971812968841</v>
      </c>
      <c r="AT42" s="15">
        <f t="shared" ref="AT42" si="247">MOD(AT41,360)</f>
        <v>40.182305407244712</v>
      </c>
      <c r="AU42" s="15">
        <f t="shared" ref="AU42" si="248">MOD(AU41,360)</f>
        <v>76.364796851456049</v>
      </c>
      <c r="AV42" s="15">
        <f t="shared" ref="AV42" si="249">MOD(AV41,360)</f>
        <v>26.976181382615323</v>
      </c>
      <c r="AW42" s="15">
        <f t="shared" ref="AW42" si="250">MOD(AW41,360)</f>
        <v>340.50727926084073</v>
      </c>
      <c r="AX42" s="15">
        <f t="shared" ref="AX42" si="251">MOD(AX41,360)</f>
        <v>177.36596344970167</v>
      </c>
      <c r="AY42" s="15">
        <f t="shared" ref="AY42" si="252">MOD(AY41,360)</f>
        <v>73.828539493479184</v>
      </c>
      <c r="AZ42" s="15">
        <f t="shared" ref="AZ42" si="253">MOD(AZ41,360)</f>
        <v>86.950080629700096</v>
      </c>
      <c r="BA42" s="15">
        <f t="shared" ref="BA42" si="254">MOD(BA41,360)</f>
        <v>100.07162176590646</v>
      </c>
      <c r="BB42" s="15">
        <f t="shared" ref="BB42" si="255">MOD(BB41,360)</f>
        <v>113.19316290211282</v>
      </c>
      <c r="BC42" s="15">
        <f t="shared" ref="BC42" si="256">MOD(BC41,360)</f>
        <v>126.31470403831918</v>
      </c>
      <c r="BD42" s="15">
        <f t="shared" ref="BD42" si="257">MOD(BD41,360)</f>
        <v>139.43624517452554</v>
      </c>
      <c r="BE42" s="15">
        <f t="shared" ref="BE42" si="258">MOD(BE41,360)</f>
        <v>152.55778631074645</v>
      </c>
      <c r="BF42" s="15">
        <f t="shared" ref="BF42" si="259">MOD(BF41,360)</f>
        <v>165.67932744695281</v>
      </c>
      <c r="BG42" s="15">
        <f t="shared" ref="BG42" si="260">MOD(BG41,360)</f>
        <v>255.41765982205106</v>
      </c>
    </row>
    <row r="43" spans="1:59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43">
        <v>123.78</v>
      </c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</row>
    <row r="44" spans="1:59" x14ac:dyDescent="0.25">
      <c r="C44" t="s">
        <v>216</v>
      </c>
      <c r="D44" s="7" t="s">
        <v>219</v>
      </c>
      <c r="E44" s="15">
        <f t="shared" ref="E44:AA44" si="261" xml:space="preserve"> 313.45 + 481266.484 * E3</f>
        <v>-202980.49631145608</v>
      </c>
      <c r="F44" s="15">
        <f t="shared" si="261"/>
        <v>-8021875.0780407395</v>
      </c>
      <c r="G44" s="15">
        <f t="shared" si="261"/>
        <v>313.45</v>
      </c>
      <c r="H44" s="15">
        <f t="shared" si="261"/>
        <v>-4502.5089295550997</v>
      </c>
      <c r="I44" s="15">
        <f t="shared" si="261"/>
        <v>-61911.901695824781</v>
      </c>
      <c r="J44" s="15">
        <f t="shared" si="261"/>
        <v>-60021.094291197813</v>
      </c>
      <c r="K44" s="15">
        <f t="shared" si="261"/>
        <v>-57102.530945379884</v>
      </c>
      <c r="L44" s="15">
        <f t="shared" si="261"/>
        <v>-55198.547182532515</v>
      </c>
      <c r="M44" s="15">
        <f t="shared" si="261"/>
        <v>-480946.44566838647</v>
      </c>
      <c r="N44" s="15">
        <f t="shared" si="261"/>
        <v>-1924719.5451044491</v>
      </c>
      <c r="O44" s="15">
        <f t="shared" si="261"/>
        <v>-1919910.174354004</v>
      </c>
      <c r="P44" s="15">
        <f t="shared" si="261"/>
        <v>-5595332.759802293</v>
      </c>
      <c r="Q44" s="15">
        <f t="shared" si="261"/>
        <v>-10212003.224181356</v>
      </c>
      <c r="R44" s="15">
        <f t="shared" si="261"/>
        <v>-10211990.047823135</v>
      </c>
      <c r="S44" s="15">
        <f t="shared" si="261"/>
        <v>-14434966.740206599</v>
      </c>
      <c r="T44" s="15">
        <f t="shared" si="261"/>
        <v>-14436738.960387241</v>
      </c>
      <c r="U44" s="15">
        <f t="shared" si="261"/>
        <v>-14439309.667876044</v>
      </c>
      <c r="V44" s="15">
        <f t="shared" si="261"/>
        <v>-32302121.663423136</v>
      </c>
      <c r="W44" s="15">
        <f t="shared" si="261"/>
        <v>-60950.0275457358</v>
      </c>
      <c r="X44" s="15">
        <f t="shared" si="261"/>
        <v>-36850.468360629711</v>
      </c>
      <c r="Y44" s="15">
        <f t="shared" si="261"/>
        <v>-109781.61111052704</v>
      </c>
      <c r="Z44" s="15">
        <f t="shared" si="261"/>
        <v>212064.11478088979</v>
      </c>
      <c r="AA44" s="15">
        <f t="shared" si="261"/>
        <v>306.86182088980149</v>
      </c>
      <c r="AB44" s="15">
        <f t="shared" ref="AB44:AP44" si="262" xml:space="preserve"> 313.45 + 481266.484 * AB3</f>
        <v>-218697.38816032853</v>
      </c>
      <c r="AC44" s="15">
        <f t="shared" si="262"/>
        <v>-101388.27092413417</v>
      </c>
      <c r="AD44" s="15">
        <f t="shared" si="262"/>
        <v>-55969.364138425735</v>
      </c>
      <c r="AE44" s="15">
        <f t="shared" si="262"/>
        <v>-109740.09033171623</v>
      </c>
      <c r="AF44" s="15">
        <f t="shared" si="262"/>
        <v>-33530.026089089668</v>
      </c>
      <c r="AG44" s="15">
        <f t="shared" si="262"/>
        <v>-34426.018448076662</v>
      </c>
      <c r="AH44" s="15">
        <f t="shared" si="262"/>
        <v>-42226.422514551676</v>
      </c>
      <c r="AI44" s="15">
        <f t="shared" si="262"/>
        <v>-36995.408301054071</v>
      </c>
      <c r="AJ44" s="15">
        <f t="shared" si="262"/>
        <v>-31790.746803997263</v>
      </c>
      <c r="AK44" s="15">
        <f t="shared" si="262"/>
        <v>-875578.37452177959</v>
      </c>
      <c r="AL44" s="15">
        <f t="shared" si="262"/>
        <v>-44360.992546255991</v>
      </c>
      <c r="AM44" s="15">
        <f t="shared" si="262"/>
        <v>-6628784.8406519368</v>
      </c>
      <c r="AN44" s="15">
        <f t="shared" si="262"/>
        <v>1571.7922100479125</v>
      </c>
      <c r="AO44" s="15">
        <f t="shared" si="262"/>
        <v>-9620002.6256971397</v>
      </c>
      <c r="AP44" s="15">
        <f t="shared" si="262"/>
        <v>109717.79543231448</v>
      </c>
      <c r="AQ44" s="15">
        <f t="shared" ref="AQ44:BG44" si="263" xml:space="preserve"> 313.45 + 481266.484 * AQ3</f>
        <v>109810.76195975771</v>
      </c>
      <c r="AR44" s="15">
        <f t="shared" si="263"/>
        <v>109901.71543247624</v>
      </c>
      <c r="AS44" s="15">
        <f t="shared" si="263"/>
        <v>110004.57337883298</v>
      </c>
      <c r="AT44" s="15">
        <f t="shared" si="263"/>
        <v>110197.68937900067</v>
      </c>
      <c r="AU44" s="15">
        <f t="shared" si="263"/>
        <v>-127635.57649916496</v>
      </c>
      <c r="AV44" s="15">
        <f t="shared" si="263"/>
        <v>-10919.395382888433</v>
      </c>
      <c r="AW44" s="15">
        <f t="shared" si="263"/>
        <v>-312460.35325667349</v>
      </c>
      <c r="AX44" s="15">
        <f t="shared" si="263"/>
        <v>-205257.50277552358</v>
      </c>
      <c r="AY44" s="15">
        <f t="shared" si="263"/>
        <v>110592.98012561259</v>
      </c>
      <c r="AZ44" s="15">
        <f t="shared" si="263"/>
        <v>110606.15648383298</v>
      </c>
      <c r="BA44" s="15">
        <f t="shared" si="263"/>
        <v>110619.33284205338</v>
      </c>
      <c r="BB44" s="15">
        <f t="shared" si="263"/>
        <v>110632.50920027378</v>
      </c>
      <c r="BC44" s="15">
        <f t="shared" si="263"/>
        <v>110645.68555849418</v>
      </c>
      <c r="BD44" s="15">
        <f t="shared" si="263"/>
        <v>110658.86191671458</v>
      </c>
      <c r="BE44" s="15">
        <f t="shared" si="263"/>
        <v>110672.03827493498</v>
      </c>
      <c r="BF44" s="15">
        <f t="shared" si="263"/>
        <v>110685.21463315537</v>
      </c>
      <c r="BG44" s="15">
        <f t="shared" si="263"/>
        <v>-109742.08203586584</v>
      </c>
    </row>
    <row r="45" spans="1:59" x14ac:dyDescent="0.25">
      <c r="A45" s="7"/>
      <c r="D45" s="7" t="s">
        <v>338</v>
      </c>
      <c r="E45" s="15">
        <f>MOD(E44,360)</f>
        <v>59.503688543918543</v>
      </c>
      <c r="F45" s="15">
        <f t="shared" ref="F45:AA45" si="264">MOD(F44,360)</f>
        <v>4.9219592604786158</v>
      </c>
      <c r="G45" s="15">
        <f t="shared" si="264"/>
        <v>313.45</v>
      </c>
      <c r="H45" s="15">
        <f t="shared" si="264"/>
        <v>177.49107044490029</v>
      </c>
      <c r="I45" s="15">
        <f t="shared" si="264"/>
        <v>8.0983041752188001</v>
      </c>
      <c r="J45" s="15">
        <f t="shared" si="264"/>
        <v>98.905708802187291</v>
      </c>
      <c r="K45" s="15">
        <f t="shared" si="264"/>
        <v>137.46905462011637</v>
      </c>
      <c r="L45" s="15">
        <f t="shared" si="264"/>
        <v>241.45281746748515</v>
      </c>
      <c r="M45" s="15">
        <f t="shared" si="264"/>
        <v>13.554331613529939</v>
      </c>
      <c r="N45" s="15">
        <f t="shared" si="264"/>
        <v>200.45489555085078</v>
      </c>
      <c r="O45" s="15">
        <f t="shared" si="264"/>
        <v>329.82564599602483</v>
      </c>
      <c r="P45" s="15">
        <f t="shared" si="264"/>
        <v>147.24019770696759</v>
      </c>
      <c r="Q45" s="15">
        <f t="shared" si="264"/>
        <v>116.77581864409149</v>
      </c>
      <c r="R45" s="15">
        <f t="shared" si="264"/>
        <v>129.95217686519027</v>
      </c>
      <c r="S45" s="15">
        <f t="shared" si="264"/>
        <v>313.25979340076447</v>
      </c>
      <c r="T45" s="15">
        <f t="shared" si="264"/>
        <v>341.0396127589047</v>
      </c>
      <c r="U45" s="15">
        <f t="shared" si="264"/>
        <v>290.33212395571172</v>
      </c>
      <c r="V45" s="15">
        <f t="shared" si="264"/>
        <v>318.33657686412334</v>
      </c>
      <c r="W45" s="15">
        <f t="shared" si="264"/>
        <v>249.97245426419977</v>
      </c>
      <c r="X45" s="85">
        <f t="shared" si="264"/>
        <v>229.53163937028876</v>
      </c>
      <c r="Y45" s="15">
        <f t="shared" si="264"/>
        <v>18.388889472960727</v>
      </c>
      <c r="Z45" s="15">
        <f t="shared" si="264"/>
        <v>24.114780889794929</v>
      </c>
      <c r="AA45" s="15">
        <f t="shared" si="264"/>
        <v>306.86182088980149</v>
      </c>
      <c r="AB45" s="15">
        <f t="shared" ref="AB45" si="265">MOD(AB44,360)</f>
        <v>182.61183967147372</v>
      </c>
      <c r="AC45" s="15">
        <f t="shared" ref="AC45" si="266">MOD(AC44,360)</f>
        <v>131.7290758658346</v>
      </c>
      <c r="AD45" s="15">
        <f t="shared" ref="AD45" si="267">MOD(AD44,360)</f>
        <v>190.63586157426471</v>
      </c>
      <c r="AE45" s="15">
        <f t="shared" ref="AE45" si="268">MOD(AE44,360)</f>
        <v>59.909668283769861</v>
      </c>
      <c r="AF45" s="15">
        <f t="shared" ref="AF45" si="269">MOD(AF44,360)</f>
        <v>309.97391091033205</v>
      </c>
      <c r="AG45" s="15">
        <f t="shared" ref="AG45" si="270">MOD(AG44,360)</f>
        <v>133.98155192333797</v>
      </c>
      <c r="AH45" s="15">
        <f t="shared" ref="AH45" si="271">MOD(AH44,360)</f>
        <v>253.5774854483243</v>
      </c>
      <c r="AI45" s="15">
        <f t="shared" ref="AI45" si="272">MOD(AI44,360)</f>
        <v>84.591698945929238</v>
      </c>
      <c r="AJ45" s="15">
        <f t="shared" ref="AJ45" si="273">MOD(AJ44,360)</f>
        <v>249.25319600273724</v>
      </c>
      <c r="AK45" s="15">
        <f t="shared" ref="AK45" si="274">MOD(AK44,360)</f>
        <v>301.62547822040506</v>
      </c>
      <c r="AL45" s="15">
        <f t="shared" ref="AL45" si="275">MOD(AL44,360)</f>
        <v>279.00745374400867</v>
      </c>
      <c r="AM45" s="15">
        <f t="shared" ref="AM45" si="276">MOD(AM44,360)</f>
        <v>255.15934806317091</v>
      </c>
      <c r="AN45" s="15">
        <f t="shared" ref="AN45" si="277">MOD(AN44,360)</f>
        <v>131.79221004791248</v>
      </c>
      <c r="AO45" s="15">
        <f t="shared" ref="AO45" si="278">MOD(AO44,360)</f>
        <v>277.37430286034942</v>
      </c>
      <c r="AP45" s="15">
        <f t="shared" ref="AP45" si="279">MOD(AP44,360)</f>
        <v>277.79543231448042</v>
      </c>
      <c r="AQ45" s="15">
        <f t="shared" ref="AQ45" si="280">MOD(AQ44,360)</f>
        <v>10.761959757714067</v>
      </c>
      <c r="AR45" s="15">
        <f t="shared" ref="AR45" si="281">MOD(AR44,360)</f>
        <v>101.71543247623777</v>
      </c>
      <c r="AS45" s="15">
        <f t="shared" ref="AS45" si="282">MOD(AS44,360)</f>
        <v>204.57337883298169</v>
      </c>
      <c r="AT45" s="15">
        <f t="shared" ref="AT45" si="283">MOD(AT44,360)</f>
        <v>37.689379000672488</v>
      </c>
      <c r="AU45" s="15">
        <f t="shared" ref="AU45" si="284">MOD(AU44,360)</f>
        <v>164.42350083503698</v>
      </c>
      <c r="AV45" s="15">
        <f t="shared" ref="AV45" si="285">MOD(AV44,360)</f>
        <v>240.60461711156677</v>
      </c>
      <c r="AW45" s="15">
        <f t="shared" ref="AW45" si="286">MOD(AW44,360)</f>
        <v>19.646743326506112</v>
      </c>
      <c r="AX45" s="15">
        <f t="shared" ref="AX45" si="287">MOD(AX44,360)</f>
        <v>302.49722447642125</v>
      </c>
      <c r="AY45" s="15">
        <f t="shared" ref="AY45" si="288">MOD(AY44,360)</f>
        <v>72.980125612593838</v>
      </c>
      <c r="AZ45" s="15">
        <f t="shared" ref="AZ45" si="289">MOD(AZ44,360)</f>
        <v>86.156483832979575</v>
      </c>
      <c r="BA45" s="15">
        <f t="shared" ref="BA45" si="290">MOD(BA44,360)</f>
        <v>99.332842053379864</v>
      </c>
      <c r="BB45" s="15">
        <f t="shared" ref="BB45" si="291">MOD(BB44,360)</f>
        <v>112.50920027378015</v>
      </c>
      <c r="BC45" s="15">
        <f t="shared" ref="BC45" si="292">MOD(BC44,360)</f>
        <v>125.68555849418044</v>
      </c>
      <c r="BD45" s="15">
        <f t="shared" ref="BD45" si="293">MOD(BD44,360)</f>
        <v>138.86191671458073</v>
      </c>
      <c r="BE45" s="15">
        <f t="shared" ref="BE45" si="294">MOD(BE44,360)</f>
        <v>152.03827493498102</v>
      </c>
      <c r="BF45" s="15">
        <f t="shared" ref="BF45" si="295">MOD(BF44,360)</f>
        <v>165.21463315536676</v>
      </c>
      <c r="BG45" s="15">
        <f t="shared" ref="BG45" si="296">MOD(BG44,360)</f>
        <v>57.917964134161593</v>
      </c>
    </row>
    <row r="46" spans="1:59" x14ac:dyDescent="0.25">
      <c r="E46" s="15"/>
      <c r="X46" s="142">
        <v>229.53</v>
      </c>
    </row>
    <row r="47" spans="1:59" x14ac:dyDescent="0.25">
      <c r="B47">
        <v>339</v>
      </c>
      <c r="C47" s="8" t="s">
        <v>227</v>
      </c>
      <c r="D47" s="7" t="s">
        <v>220</v>
      </c>
      <c r="E47" s="11">
        <f>'47a47b'!I8</f>
        <v>2824964.9201563871</v>
      </c>
      <c r="F47" s="11">
        <f>'47a47b'!J8</f>
        <v>-6887945.587245469</v>
      </c>
      <c r="G47" s="11">
        <f>'47a47b'!K8</f>
        <v>4996966.4253232656</v>
      </c>
      <c r="H47" s="11">
        <f>'47a47b'!L8</f>
        <v>2609250.0809298903</v>
      </c>
      <c r="I47" s="11">
        <f>'47a47b'!M8</f>
        <v>-2611069.1077065091</v>
      </c>
      <c r="J47" s="11">
        <f>'47a47b'!N8</f>
        <v>6937907.4697694154</v>
      </c>
      <c r="K47" s="11">
        <f>'47a47b'!O8</f>
        <v>7168380.0268534673</v>
      </c>
      <c r="L47" s="11">
        <f>'47a47b'!P8</f>
        <v>352333.56531967869</v>
      </c>
      <c r="M47" s="11">
        <f>'47a47b'!Q8</f>
        <v>-4606567.9715785505</v>
      </c>
      <c r="N47" s="11">
        <f>'47a47b'!R8</f>
        <v>5064348.0783590544</v>
      </c>
      <c r="O47" s="11">
        <f>'47a47b'!S8</f>
        <v>599645.85104204004</v>
      </c>
      <c r="P47" s="11">
        <f>'47a47b'!T8</f>
        <v>4947644.5824608095</v>
      </c>
      <c r="Q47" s="11">
        <f>'47a47b'!U8</f>
        <v>-4424630.8609916847</v>
      </c>
      <c r="R47" s="11">
        <f>'47a47b'!V8</f>
        <v>-5599034.7349573979</v>
      </c>
      <c r="S47" s="11">
        <f>'47a47b'!W8</f>
        <v>7007881.1136927381</v>
      </c>
      <c r="T47" s="11">
        <f>'47a47b'!X8</f>
        <v>2483001.8477035915</v>
      </c>
      <c r="U47" s="11">
        <f>'47a47b'!Y8</f>
        <v>4596032.2365424689</v>
      </c>
      <c r="V47" s="11">
        <f>'47a47b'!Z8</f>
        <v>-4129158.2510046507</v>
      </c>
      <c r="W47" s="11">
        <f>'47a47b'!AA8</f>
        <v>-4394979.5042125992</v>
      </c>
      <c r="X47" s="11">
        <f>'47a47b'!AB8</f>
        <v>-1129564.5160605123</v>
      </c>
      <c r="Y47" s="11">
        <f>'47a47b'!AC8</f>
        <v>3288974.3426709985</v>
      </c>
      <c r="Z47" s="11">
        <f>'47a47b'!AD8</f>
        <v>-2891212.2039373694</v>
      </c>
      <c r="AA47" s="11">
        <f>'47a47b'!AE8</f>
        <v>5554792.9659512825</v>
      </c>
      <c r="AB47" s="11">
        <f>'47a47b'!AF8</f>
        <v>3983046.7295776424</v>
      </c>
      <c r="AC47" s="11">
        <f>'47a47b'!AG8</f>
        <v>4926083.5868228134</v>
      </c>
      <c r="AD47" s="11">
        <f>'47a47b'!AH8</f>
        <v>5061397.6212546527</v>
      </c>
      <c r="AE47" s="11">
        <f>'47a47b'!AI8</f>
        <v>4911060.6948561715</v>
      </c>
      <c r="AF47" s="11">
        <f>'47a47b'!AJ8</f>
        <v>4721093.1062198197</v>
      </c>
      <c r="AG47" s="11">
        <f>'47a47b'!AK8</f>
        <v>-4458762.0387823014</v>
      </c>
      <c r="AH47" s="11">
        <f>'47a47b'!AL8</f>
        <v>4556978.1582966484</v>
      </c>
      <c r="AI47" s="11">
        <f>'47a47b'!AM8</f>
        <v>-3358386.5560700875</v>
      </c>
      <c r="AJ47" s="11">
        <f>'47a47b'!AN8</f>
        <v>-4040810.966158581</v>
      </c>
      <c r="AK47" s="11">
        <f>'47a47b'!AO8</f>
        <v>-5132225.5648360113</v>
      </c>
      <c r="AL47" s="11">
        <f>'47a47b'!AP8</f>
        <v>4415771.3813983798</v>
      </c>
      <c r="AM47" s="11">
        <f>'47a47b'!AQ8</f>
        <v>-3468092.3802478863</v>
      </c>
      <c r="AN47" s="11">
        <f>'47a47b'!AR8</f>
        <v>-4014928.0235950202</v>
      </c>
      <c r="AO47" s="11">
        <f>'47a47b'!AS8</f>
        <v>6741418.3130790098</v>
      </c>
      <c r="AP47" s="11">
        <f>'47a47b'!AT8</f>
        <v>-4505593.454216931</v>
      </c>
      <c r="AQ47" s="11">
        <f>'47a47b'!AU8</f>
        <v>-1484404.5169236497</v>
      </c>
      <c r="AR47" s="11">
        <f>'47a47b'!AV8</f>
        <v>5096644.0971701667</v>
      </c>
      <c r="AS47" s="11">
        <f>'47a47b'!AW8</f>
        <v>94229.927939222325</v>
      </c>
      <c r="AT47" s="11">
        <f>'47a47b'!AX8</f>
        <v>2021083.2371237464</v>
      </c>
      <c r="AU47" s="11">
        <f>'47a47b'!AY8</f>
        <v>-1277751.9864346061</v>
      </c>
      <c r="AV47" s="11">
        <f>'47a47b'!AZ8</f>
        <v>2354187.2897166261</v>
      </c>
      <c r="AW47" s="11">
        <f>'47a47b'!BA8</f>
        <v>-2972805.7452555681</v>
      </c>
      <c r="AX47" s="11">
        <f>'47a47b'!BB8</f>
        <v>4554341.6724195201</v>
      </c>
      <c r="AY47" s="11">
        <f>'47a47b'!BC8</f>
        <v>5591016.7396190912</v>
      </c>
      <c r="AZ47" s="11">
        <f>'47a47b'!BD8</f>
        <v>6025888.1587147564</v>
      </c>
      <c r="BA47" s="11">
        <f>'47a47b'!BE8</f>
        <v>6170571.3919316037</v>
      </c>
      <c r="BB47" s="11">
        <f>'47a47b'!BF8</f>
        <v>6051932.1770983953</v>
      </c>
      <c r="BC47" s="11">
        <f>'47a47b'!BG8</f>
        <v>5700377.4420279255</v>
      </c>
      <c r="BD47" s="11">
        <f>'47a47b'!BH8</f>
        <v>5144755.2571655987</v>
      </c>
      <c r="BE47" s="11">
        <f>'47a47b'!BI8</f>
        <v>4409982.8705342701</v>
      </c>
      <c r="BF47" s="11">
        <f>'47a47b'!BJ8</f>
        <v>3517188.8450759919</v>
      </c>
      <c r="BG47" s="11">
        <f>'47a47b'!BK8</f>
        <v>4887337.3613231201</v>
      </c>
    </row>
    <row r="48" spans="1:59" x14ac:dyDescent="0.25">
      <c r="B48">
        <v>342</v>
      </c>
      <c r="C48" s="6" t="s">
        <v>339</v>
      </c>
      <c r="E48" s="73">
        <f t="shared" ref="E48:AJ48" si="297">3958*SIN(E39*Deg2Rad)</f>
        <v>3559.0928376382935</v>
      </c>
      <c r="F48" s="73">
        <f t="shared" si="297"/>
        <v>3919.1984313528283</v>
      </c>
      <c r="G48" s="73">
        <f t="shared" si="297"/>
        <v>3436.3309077480253</v>
      </c>
      <c r="H48" s="73">
        <f t="shared" si="297"/>
        <v>3480.6429076428212</v>
      </c>
      <c r="I48" s="73">
        <f t="shared" si="297"/>
        <v>3861.1264915563329</v>
      </c>
      <c r="J48" s="73">
        <f t="shared" si="297"/>
        <v>3853.1001957292506</v>
      </c>
      <c r="K48" s="73">
        <f t="shared" si="297"/>
        <v>3840.0931550194418</v>
      </c>
      <c r="L48" s="73">
        <f t="shared" si="297"/>
        <v>3831.2045139315137</v>
      </c>
      <c r="M48" s="73">
        <f t="shared" si="297"/>
        <v>-829.48080910357305</v>
      </c>
      <c r="N48" s="73">
        <f t="shared" si="297"/>
        <v>-2924.527978073846</v>
      </c>
      <c r="O48" s="73">
        <f t="shared" si="297"/>
        <v>-2862.4291106759079</v>
      </c>
      <c r="P48" s="73">
        <f t="shared" si="297"/>
        <v>1781.6386789454473</v>
      </c>
      <c r="Q48" s="73">
        <f t="shared" si="297"/>
        <v>-1479.9727960249677</v>
      </c>
      <c r="R48" s="73">
        <f t="shared" si="297"/>
        <v>-1480.2040717320986</v>
      </c>
      <c r="S48" s="73">
        <f t="shared" si="297"/>
        <v>3241.2674384747102</v>
      </c>
      <c r="T48" s="73">
        <f t="shared" si="297"/>
        <v>3260.3998705874169</v>
      </c>
      <c r="U48" s="73">
        <f t="shared" si="297"/>
        <v>3287.7360904865805</v>
      </c>
      <c r="V48" s="73">
        <f t="shared" si="297"/>
        <v>-3957.9948922805975</v>
      </c>
      <c r="W48" s="73">
        <f t="shared" si="297"/>
        <v>3857.0828261055772</v>
      </c>
      <c r="X48" s="73">
        <f t="shared" si="297"/>
        <v>3729.393302845629</v>
      </c>
      <c r="Y48" s="73">
        <f t="shared" si="297"/>
        <v>3957.8977094598713</v>
      </c>
      <c r="Z48" s="73">
        <f t="shared" si="297"/>
        <v>154.57893070572126</v>
      </c>
      <c r="AA48" s="73">
        <f t="shared" si="297"/>
        <v>3436.3927761663276</v>
      </c>
      <c r="AB48" s="73">
        <f t="shared" si="297"/>
        <v>3419.0341048253995</v>
      </c>
      <c r="AC48" s="73">
        <f t="shared" si="297"/>
        <v>3955.8524087495753</v>
      </c>
      <c r="AD48" s="73">
        <f t="shared" si="297"/>
        <v>3834.8413263664479</v>
      </c>
      <c r="AE48" s="73">
        <f t="shared" si="297"/>
        <v>3957.9032808528855</v>
      </c>
      <c r="AF48" s="73">
        <f t="shared" si="297"/>
        <v>3707.8767497685703</v>
      </c>
      <c r="AG48" s="73">
        <f t="shared" si="297"/>
        <v>3713.7751090134402</v>
      </c>
      <c r="AH48" s="73">
        <f t="shared" si="297"/>
        <v>3762.2342384116164</v>
      </c>
      <c r="AI48" s="73">
        <f t="shared" si="297"/>
        <v>3730.3111430706085</v>
      </c>
      <c r="AJ48" s="73">
        <f t="shared" si="297"/>
        <v>3696.2328123504062</v>
      </c>
      <c r="AK48" s="73">
        <f t="shared" ref="AK48:BG48" si="298">3958*SIN(AK39*Deg2Rad)</f>
        <v>-3420.3975481651341</v>
      </c>
      <c r="AL48" s="73">
        <f t="shared" si="298"/>
        <v>3774.585715422696</v>
      </c>
      <c r="AM48" s="73">
        <f t="shared" si="298"/>
        <v>3846.611371134657</v>
      </c>
      <c r="AN48" s="73">
        <f t="shared" si="298"/>
        <v>3424.451584344798</v>
      </c>
      <c r="AO48" s="73">
        <f t="shared" si="298"/>
        <v>285.9868465818559</v>
      </c>
      <c r="AP48" s="73">
        <f t="shared" si="298"/>
        <v>1995.5665694177744</v>
      </c>
      <c r="AQ48" s="73">
        <f t="shared" si="298"/>
        <v>1994.0469402893007</v>
      </c>
      <c r="AR48" s="73">
        <f t="shared" si="298"/>
        <v>1992.5598351927499</v>
      </c>
      <c r="AS48" s="73">
        <f t="shared" si="298"/>
        <v>1990.8776358131704</v>
      </c>
      <c r="AT48" s="73">
        <f t="shared" si="298"/>
        <v>1987.7180025936659</v>
      </c>
      <c r="AU48" s="73">
        <f t="shared" si="298"/>
        <v>3941.0576531740685</v>
      </c>
      <c r="AV48" s="73">
        <f t="shared" si="298"/>
        <v>3536.8133723118563</v>
      </c>
      <c r="AW48" s="73">
        <f t="shared" si="298"/>
        <v>2216.817036392712</v>
      </c>
      <c r="AX48" s="73">
        <f t="shared" si="298"/>
        <v>3540.0286887602101</v>
      </c>
      <c r="AY48" s="73">
        <f t="shared" si="298"/>
        <v>1981.2452408792594</v>
      </c>
      <c r="AZ48" s="73">
        <f t="shared" si="298"/>
        <v>1981.0293601287153</v>
      </c>
      <c r="BA48" s="73">
        <f t="shared" si="298"/>
        <v>1980.8134715146189</v>
      </c>
      <c r="BB48" s="73">
        <f t="shared" si="298"/>
        <v>1980.5975750378254</v>
      </c>
      <c r="BC48" s="73">
        <f t="shared" si="298"/>
        <v>1980.3816706991915</v>
      </c>
      <c r="BD48" s="73">
        <f t="shared" si="298"/>
        <v>1980.1657584995744</v>
      </c>
      <c r="BE48" s="73">
        <f t="shared" si="298"/>
        <v>1979.9498384398332</v>
      </c>
      <c r="BF48" s="73">
        <f t="shared" si="298"/>
        <v>1979.7339105208207</v>
      </c>
      <c r="BG48" s="73">
        <f t="shared" si="298"/>
        <v>3957.9030171617128</v>
      </c>
    </row>
    <row r="49" spans="2:59" x14ac:dyDescent="0.25">
      <c r="C49" t="s">
        <v>237</v>
      </c>
      <c r="E49" s="74">
        <f t="shared" ref="E49:AJ49" si="299">1962*SIN((E12-E34)*Deg2Rad)</f>
        <v>-1314.1558959702879</v>
      </c>
      <c r="F49" s="74">
        <f t="shared" si="299"/>
        <v>-1109.6848481161012</v>
      </c>
      <c r="G49" s="74">
        <f t="shared" si="299"/>
        <v>1606.3046898891459</v>
      </c>
      <c r="H49" s="74">
        <f t="shared" si="299"/>
        <v>1142.1543846666477</v>
      </c>
      <c r="I49" s="74">
        <f t="shared" si="299"/>
        <v>511.72295263258172</v>
      </c>
      <c r="J49" s="74">
        <f t="shared" si="299"/>
        <v>256.76045222509219</v>
      </c>
      <c r="K49" s="74">
        <f t="shared" si="299"/>
        <v>-144.02065111739589</v>
      </c>
      <c r="L49" s="74">
        <f t="shared" si="299"/>
        <v>-403.27930581702691</v>
      </c>
      <c r="M49" s="74">
        <f t="shared" si="299"/>
        <v>-1926.9662180651869</v>
      </c>
      <c r="N49" s="74">
        <f t="shared" si="299"/>
        <v>-1673.0555501303299</v>
      </c>
      <c r="O49" s="74">
        <f t="shared" si="299"/>
        <v>-1917.9652839415528</v>
      </c>
      <c r="P49" s="74">
        <f t="shared" si="299"/>
        <v>-1801.0921090817785</v>
      </c>
      <c r="Q49" s="74">
        <f t="shared" si="299"/>
        <v>1552.5558259905586</v>
      </c>
      <c r="R49" s="74">
        <f t="shared" si="299"/>
        <v>1553.6638926183398</v>
      </c>
      <c r="S49" s="74">
        <f t="shared" si="299"/>
        <v>-0.70309966770604293</v>
      </c>
      <c r="T49" s="74">
        <f t="shared" si="299"/>
        <v>-243.9755118567482</v>
      </c>
      <c r="U49" s="74">
        <f t="shared" si="299"/>
        <v>-589.17312702629715</v>
      </c>
      <c r="V49" s="74">
        <f t="shared" si="299"/>
        <v>-274.71013766043092</v>
      </c>
      <c r="W49" s="74">
        <f t="shared" si="299"/>
        <v>382.86526556244462</v>
      </c>
      <c r="X49" s="74">
        <f t="shared" si="299"/>
        <v>-1956.2162887271409</v>
      </c>
      <c r="Y49" s="74">
        <f t="shared" si="299"/>
        <v>-905.94014436844679</v>
      </c>
      <c r="Z49" s="74">
        <f t="shared" si="299"/>
        <v>-203.33891719211687</v>
      </c>
      <c r="AA49" s="74">
        <f t="shared" si="299"/>
        <v>1605.7839063013807</v>
      </c>
      <c r="AB49" s="74">
        <f t="shared" si="299"/>
        <v>-1893.2204569790761</v>
      </c>
      <c r="AC49" s="74">
        <f t="shared" si="299"/>
        <v>212.98117882869258</v>
      </c>
      <c r="AD49" s="74">
        <f t="shared" si="299"/>
        <v>-298.92667265399632</v>
      </c>
      <c r="AE49" s="74">
        <f t="shared" si="299"/>
        <v>-900.86787505616769</v>
      </c>
      <c r="AF49" s="74">
        <f t="shared" si="299"/>
        <v>-1938.1441670577121</v>
      </c>
      <c r="AG49" s="74">
        <f t="shared" si="299"/>
        <v>-1953.4751886279794</v>
      </c>
      <c r="AH49" s="74">
        <f t="shared" si="299"/>
        <v>-1763.3498290958989</v>
      </c>
      <c r="AI49" s="74">
        <f t="shared" si="299"/>
        <v>-1954.5847894679571</v>
      </c>
      <c r="AJ49" s="74">
        <f t="shared" si="299"/>
        <v>-1886.619145065652</v>
      </c>
      <c r="AK49" s="74">
        <f t="shared" ref="AK49:BG49" si="300">1962*SIN((AK12-AK34)*Deg2Rad)</f>
        <v>1390.3984687467093</v>
      </c>
      <c r="AL49" s="74">
        <f t="shared" si="300"/>
        <v>-1615.3024157194454</v>
      </c>
      <c r="AM49" s="74">
        <f t="shared" si="300"/>
        <v>1571.8009156682072</v>
      </c>
      <c r="AN49" s="74">
        <f t="shared" si="300"/>
        <v>1699.3597918246237</v>
      </c>
      <c r="AO49" s="74">
        <f t="shared" si="300"/>
        <v>-1961.2641729665881</v>
      </c>
      <c r="AP49" s="74">
        <f t="shared" si="300"/>
        <v>1396.1569532942642</v>
      </c>
      <c r="AQ49" s="74">
        <f t="shared" si="300"/>
        <v>1387.1384924512961</v>
      </c>
      <c r="AR49" s="74">
        <f t="shared" si="300"/>
        <v>1378.2582292662166</v>
      </c>
      <c r="AS49" s="74">
        <f t="shared" si="300"/>
        <v>1368.1481005456633</v>
      </c>
      <c r="AT49" s="74">
        <f t="shared" si="300"/>
        <v>1348.9743654519064</v>
      </c>
      <c r="AU49" s="74">
        <f t="shared" si="300"/>
        <v>-1936.4756391362669</v>
      </c>
      <c r="AV49" s="74">
        <f t="shared" si="300"/>
        <v>334.37488308052497</v>
      </c>
      <c r="AW49" s="74">
        <f t="shared" si="300"/>
        <v>-1663.2305785195401</v>
      </c>
      <c r="AX49" s="74">
        <f t="shared" si="300"/>
        <v>-1529.1234269243723</v>
      </c>
      <c r="AY49" s="74">
        <f t="shared" si="300"/>
        <v>1308.9595414963808</v>
      </c>
      <c r="AZ49" s="74">
        <f t="shared" si="300"/>
        <v>1307.6082119430769</v>
      </c>
      <c r="BA49" s="74">
        <f t="shared" si="300"/>
        <v>1306.2557654595385</v>
      </c>
      <c r="BB49" s="74">
        <f t="shared" si="300"/>
        <v>1304.9022032028527</v>
      </c>
      <c r="BC49" s="74">
        <f t="shared" si="300"/>
        <v>1303.5475263280853</v>
      </c>
      <c r="BD49" s="74">
        <f t="shared" si="300"/>
        <v>1302.1917359931151</v>
      </c>
      <c r="BE49" s="74">
        <f t="shared" si="300"/>
        <v>1300.8348333556557</v>
      </c>
      <c r="BF49" s="74">
        <f t="shared" si="300"/>
        <v>1299.4768195743688</v>
      </c>
      <c r="BG49" s="74">
        <f t="shared" si="300"/>
        <v>-901.1113608163555</v>
      </c>
    </row>
    <row r="50" spans="2:59" x14ac:dyDescent="0.25">
      <c r="C50" t="s">
        <v>238</v>
      </c>
      <c r="E50" s="74">
        <f t="shared" ref="E50:AJ50" si="301" xml:space="preserve">  318* SIN(E42*Deg2Rad)</f>
        <v>-307.30832504356687</v>
      </c>
      <c r="F50" s="74">
        <f t="shared" si="301"/>
        <v>-5.7887046940787297</v>
      </c>
      <c r="G50" s="74">
        <f t="shared" si="301"/>
        <v>254.26639332060631</v>
      </c>
      <c r="H50" s="74">
        <f t="shared" si="301"/>
        <v>-282.91880243264535</v>
      </c>
      <c r="I50" s="74">
        <f t="shared" si="301"/>
        <v>36.616086640558528</v>
      </c>
      <c r="J50" s="74">
        <f t="shared" si="301"/>
        <v>317.99032841033892</v>
      </c>
      <c r="K50" s="74">
        <f t="shared" si="301"/>
        <v>285.87852302990757</v>
      </c>
      <c r="L50" s="74">
        <f t="shared" si="301"/>
        <v>-168.68935094086746</v>
      </c>
      <c r="M50" s="74">
        <f t="shared" si="301"/>
        <v>-223.43904754546568</v>
      </c>
      <c r="N50" s="74">
        <f t="shared" si="301"/>
        <v>152.87585097359113</v>
      </c>
      <c r="O50" s="74">
        <f t="shared" si="301"/>
        <v>212.38575797655798</v>
      </c>
      <c r="P50" s="74">
        <f t="shared" si="301"/>
        <v>256.52565016955145</v>
      </c>
      <c r="Q50" s="74">
        <f t="shared" si="301"/>
        <v>-214.07829053172446</v>
      </c>
      <c r="R50" s="74">
        <f t="shared" si="301"/>
        <v>-261.87151093902946</v>
      </c>
      <c r="S50" s="74">
        <f t="shared" si="301"/>
        <v>-69.220730061194345</v>
      </c>
      <c r="T50" s="74">
        <f t="shared" si="301"/>
        <v>122.10440615880103</v>
      </c>
      <c r="U50" s="74">
        <f t="shared" si="301"/>
        <v>-95.26699987764097</v>
      </c>
      <c r="V50" s="74">
        <f t="shared" si="301"/>
        <v>84.846832469327467</v>
      </c>
      <c r="W50" s="74">
        <f t="shared" si="301"/>
        <v>-286.98504362242193</v>
      </c>
      <c r="X50" s="74">
        <f t="shared" si="301"/>
        <v>264.30484208845672</v>
      </c>
      <c r="Y50" s="74">
        <f t="shared" si="301"/>
        <v>-187.15377227101817</v>
      </c>
      <c r="Z50" s="74">
        <f t="shared" si="301"/>
        <v>-192.1881097023832</v>
      </c>
      <c r="AA50" s="74">
        <f t="shared" si="301"/>
        <v>230.78069010223436</v>
      </c>
      <c r="AB50" s="74">
        <f t="shared" si="301"/>
        <v>291.85918478722533</v>
      </c>
      <c r="AC50" s="74">
        <f t="shared" si="301"/>
        <v>-289.4257942358044</v>
      </c>
      <c r="AD50" s="74">
        <f t="shared" si="301"/>
        <v>85.371963587514486</v>
      </c>
      <c r="AE50" s="74">
        <f t="shared" si="301"/>
        <v>-310.3428353609645</v>
      </c>
      <c r="AF50" s="74">
        <f t="shared" si="301"/>
        <v>-57.468365438338857</v>
      </c>
      <c r="AG50" s="74">
        <f t="shared" si="301"/>
        <v>99.0419355326908</v>
      </c>
      <c r="AH50" s="74">
        <f t="shared" si="301"/>
        <v>54.157019419308902</v>
      </c>
      <c r="AI50" s="74">
        <f t="shared" si="301"/>
        <v>-111.64520799217907</v>
      </c>
      <c r="AJ50" s="74">
        <f t="shared" si="301"/>
        <v>268.3325267472764</v>
      </c>
      <c r="AK50" s="74">
        <f t="shared" ref="AK50:BG50" si="302" xml:space="preserve">  318* SIN(AK42*Deg2Rad)</f>
        <v>316.88646604053167</v>
      </c>
      <c r="AL50" s="74">
        <f t="shared" si="302"/>
        <v>-131.89658002416897</v>
      </c>
      <c r="AM50" s="74">
        <f t="shared" si="302"/>
        <v>-175.86707505199223</v>
      </c>
      <c r="AN50" s="74">
        <f t="shared" si="302"/>
        <v>-229.50891350520644</v>
      </c>
      <c r="AO50" s="74">
        <f t="shared" si="302"/>
        <v>313.20388582678896</v>
      </c>
      <c r="AP50" s="74">
        <f t="shared" si="302"/>
        <v>-310.71840313979311</v>
      </c>
      <c r="AQ50" s="74">
        <f t="shared" si="302"/>
        <v>81.578370879848165</v>
      </c>
      <c r="AR50" s="74">
        <f t="shared" si="302"/>
        <v>306.5237703664759</v>
      </c>
      <c r="AS50" s="74">
        <f t="shared" si="302"/>
        <v>-148.65312670178412</v>
      </c>
      <c r="AT50" s="74">
        <f t="shared" si="302"/>
        <v>205.18052434105766</v>
      </c>
      <c r="AU50" s="74">
        <f t="shared" si="302"/>
        <v>309.03759715804171</v>
      </c>
      <c r="AV50" s="74">
        <f t="shared" si="302"/>
        <v>144.25117820930336</v>
      </c>
      <c r="AW50" s="74">
        <f t="shared" si="302"/>
        <v>-106.11249675115845</v>
      </c>
      <c r="AX50" s="74">
        <f t="shared" si="302"/>
        <v>14.614141059469501</v>
      </c>
      <c r="AY50" s="74">
        <f t="shared" si="302"/>
        <v>305.41754590063346</v>
      </c>
      <c r="AZ50" s="74">
        <f t="shared" si="302"/>
        <v>317.54957133209723</v>
      </c>
      <c r="BA50" s="74">
        <f t="shared" si="302"/>
        <v>313.09959368058674</v>
      </c>
      <c r="BB50" s="74">
        <f t="shared" si="302"/>
        <v>292.29998467576303</v>
      </c>
      <c r="BC50" s="74">
        <f t="shared" si="302"/>
        <v>256.23687137235765</v>
      </c>
      <c r="BD50" s="74">
        <f t="shared" si="302"/>
        <v>206.79342008506376</v>
      </c>
      <c r="BE50" s="74">
        <f t="shared" si="302"/>
        <v>146.55150002635006</v>
      </c>
      <c r="BF50" s="74">
        <f t="shared" si="302"/>
        <v>78.65686163759888</v>
      </c>
      <c r="BG50" s="74">
        <f t="shared" si="302"/>
        <v>-307.75620807502878</v>
      </c>
    </row>
    <row r="51" spans="2:59" x14ac:dyDescent="0.25">
      <c r="D51" s="19" t="s">
        <v>220</v>
      </c>
      <c r="E51" s="11">
        <f>E47+E48+E49+E50</f>
        <v>2826902.5487730117</v>
      </c>
      <c r="F51" s="11">
        <f t="shared" ref="F51:AA51" si="303">F47+F48+F49+F50</f>
        <v>-6885141.8623669259</v>
      </c>
      <c r="G51" s="11">
        <f t="shared" si="303"/>
        <v>5002263.3273142232</v>
      </c>
      <c r="H51" s="11">
        <f t="shared" si="303"/>
        <v>2613589.9594197669</v>
      </c>
      <c r="I51" s="11">
        <f t="shared" si="303"/>
        <v>-2606659.6421756796</v>
      </c>
      <c r="J51" s="11">
        <f t="shared" si="303"/>
        <v>6942335.3207457801</v>
      </c>
      <c r="K51" s="11">
        <f t="shared" si="303"/>
        <v>7172361.9778803997</v>
      </c>
      <c r="L51" s="11">
        <f t="shared" si="303"/>
        <v>355592.80117685231</v>
      </c>
      <c r="M51" s="11">
        <f t="shared" si="303"/>
        <v>-4609547.8576532649</v>
      </c>
      <c r="N51" s="11">
        <f t="shared" si="303"/>
        <v>5059903.3706818242</v>
      </c>
      <c r="O51" s="11">
        <f t="shared" si="303"/>
        <v>595077.84240539907</v>
      </c>
      <c r="P51" s="11">
        <f t="shared" si="303"/>
        <v>4947881.6546808435</v>
      </c>
      <c r="Q51" s="11">
        <f t="shared" si="303"/>
        <v>-4424772.3562522503</v>
      </c>
      <c r="R51" s="11">
        <f t="shared" si="303"/>
        <v>-5599223.1466474505</v>
      </c>
      <c r="S51" s="11">
        <f t="shared" si="303"/>
        <v>7011052.4573014835</v>
      </c>
      <c r="T51" s="11">
        <f t="shared" si="303"/>
        <v>2486140.376468481</v>
      </c>
      <c r="U51" s="11">
        <f t="shared" si="303"/>
        <v>4598635.5325060515</v>
      </c>
      <c r="V51" s="11">
        <f t="shared" si="303"/>
        <v>-4133306.1092021228</v>
      </c>
      <c r="W51" s="11">
        <f t="shared" si="303"/>
        <v>-4391026.5411645537</v>
      </c>
      <c r="X51" s="79">
        <f t="shared" si="303"/>
        <v>-1127527.0342043056</v>
      </c>
      <c r="Y51" s="11">
        <f t="shared" si="303"/>
        <v>3291839.1464638188</v>
      </c>
      <c r="Z51" s="11">
        <f t="shared" si="303"/>
        <v>-2891453.1520335581</v>
      </c>
      <c r="AA51" s="11">
        <f t="shared" si="303"/>
        <v>5560065.923323852</v>
      </c>
      <c r="AB51" s="11">
        <f t="shared" ref="AB51" si="304">AB47+AB48+AB49+AB50</f>
        <v>3984864.4024102758</v>
      </c>
      <c r="AC51" s="11">
        <f t="shared" ref="AC51" si="305">AC47+AC48+AC49+AC50</f>
        <v>4929962.9946161564</v>
      </c>
      <c r="AD51" s="11">
        <f t="shared" ref="AD51" si="306">AD47+AD48+AD49+AD50</f>
        <v>5065018.9078719523</v>
      </c>
      <c r="AE51" s="11">
        <f t="shared" ref="AE51" si="307">AE47+AE48+AE49+AE50</f>
        <v>4913807.3874266073</v>
      </c>
      <c r="AF51" s="11">
        <f t="shared" ref="AF51" si="308">AF47+AF48+AF49+AF50</f>
        <v>4722805.3704370921</v>
      </c>
      <c r="AG51" s="11">
        <f t="shared" ref="AG51" si="309">AG47+AG48+AG49+AG50</f>
        <v>-4456902.6969263833</v>
      </c>
      <c r="AH51" s="11">
        <f t="shared" ref="AH51" si="310">AH47+AH48+AH49+AH50</f>
        <v>4559031.199725383</v>
      </c>
      <c r="AI51" s="11">
        <f t="shared" ref="AI51" si="311">AI47+AI48+AI49+AI50</f>
        <v>-3356722.4749244773</v>
      </c>
      <c r="AJ51" s="11">
        <f t="shared" ref="AJ51" si="312">AJ47+AJ48+AJ49+AJ50</f>
        <v>-4038733.0199645488</v>
      </c>
      <c r="AK51" s="11">
        <f t="shared" ref="AK51" si="313">AK47+AK48+AK49+AK50</f>
        <v>-5133938.6774493894</v>
      </c>
      <c r="AL51" s="11">
        <f t="shared" ref="AL51" si="314">AL47+AL48+AL49+AL50</f>
        <v>4417798.7681180583</v>
      </c>
      <c r="AM51" s="11">
        <f t="shared" ref="AM51" si="315">AM47+AM48+AM49+AM50</f>
        <v>-3462849.8350361353</v>
      </c>
      <c r="AN51" s="11">
        <f t="shared" ref="AN51" si="316">AN47+AN48+AN49+AN50</f>
        <v>-4010033.7211323562</v>
      </c>
      <c r="AO51" s="11">
        <f t="shared" ref="AO51" si="317">AO47+AO48+AO49+AO50</f>
        <v>6740056.2396384524</v>
      </c>
      <c r="AP51" s="11">
        <f t="shared" ref="AP51" si="318">AP47+AP48+AP49+AP50</f>
        <v>-4502512.4490973596</v>
      </c>
      <c r="AQ51" s="11">
        <f t="shared" ref="AQ51" si="319">AQ47+AQ48+AQ49+AQ50</f>
        <v>-1480941.7531200293</v>
      </c>
      <c r="AR51" s="11">
        <f t="shared" ref="AR51" si="320">AR47+AR48+AR49+AR50</f>
        <v>5100321.4390049921</v>
      </c>
      <c r="AS51" s="11">
        <f t="shared" ref="AS51" si="321">AS47+AS48+AS49+AS50</f>
        <v>97440.300548879371</v>
      </c>
      <c r="AT51" s="11">
        <f t="shared" ref="AT51" si="322">AT47+AT48+AT49+AT50</f>
        <v>2024625.1100161329</v>
      </c>
      <c r="AU51" s="11">
        <f t="shared" ref="AU51" si="323">AU47+AU48+AU49+AU50</f>
        <v>-1275438.3668234104</v>
      </c>
      <c r="AV51" s="11">
        <f t="shared" ref="AV51" si="324">AV47+AV48+AV49+AV50</f>
        <v>2358202.7291502273</v>
      </c>
      <c r="AW51" s="11">
        <f t="shared" ref="AW51" si="325">AW47+AW48+AW49+AW50</f>
        <v>-2972358.2712944462</v>
      </c>
      <c r="AX51" s="11">
        <f t="shared" ref="AX51" si="326">AX47+AX48+AX49+AX50</f>
        <v>4556367.1918224152</v>
      </c>
      <c r="AY51" s="11">
        <f t="shared" ref="AY51" si="327">AY47+AY48+AY49+AY50</f>
        <v>5594612.3619473679</v>
      </c>
      <c r="AZ51" s="11">
        <f t="shared" ref="AZ51" si="328">AZ47+AZ48+AZ49+AZ50</f>
        <v>6029494.3458581604</v>
      </c>
      <c r="BA51" s="11">
        <f t="shared" ref="BA51" si="329">BA47+BA48+BA49+BA50</f>
        <v>6174171.5607622582</v>
      </c>
      <c r="BB51" s="11">
        <f t="shared" ref="BB51" si="330">BB47+BB48+BB49+BB50</f>
        <v>6055509.9768613121</v>
      </c>
      <c r="BC51" s="11">
        <f t="shared" ref="BC51" si="331">BC47+BC48+BC49+BC50</f>
        <v>5703917.6080963248</v>
      </c>
      <c r="BD51" s="11">
        <f t="shared" ref="BD51" si="332">BD47+BD48+BD49+BD50</f>
        <v>5148244.4080801765</v>
      </c>
      <c r="BE51" s="11">
        <f t="shared" ref="BE51" si="333">BE47+BE48+BE49+BE50</f>
        <v>4413410.2067060918</v>
      </c>
      <c r="BF51" s="11">
        <f t="shared" ref="BF51" si="334">BF47+BF48+BF49+BF50</f>
        <v>3520546.712667725</v>
      </c>
      <c r="BG51" s="11">
        <f t="shared" ref="BG51" si="335">BG47+BG48+BG49+BG50</f>
        <v>4890086.39677139</v>
      </c>
    </row>
    <row r="52" spans="2:59" x14ac:dyDescent="0.25">
      <c r="C52" t="s">
        <v>662</v>
      </c>
      <c r="X52" s="139">
        <v>-1127527</v>
      </c>
    </row>
    <row r="53" spans="2:59" x14ac:dyDescent="0.25">
      <c r="B53">
        <v>340</v>
      </c>
      <c r="C53" s="8" t="s">
        <v>227</v>
      </c>
      <c r="D53" s="7" t="s">
        <v>222</v>
      </c>
      <c r="E53" s="39">
        <f>'47a47b'!I10</f>
        <v>5013585.2351369523</v>
      </c>
      <c r="F53" s="39">
        <f>'47a47b'!J10</f>
        <v>-5258279.5815699967</v>
      </c>
      <c r="G53" s="39">
        <f>'47a47b'!K10</f>
        <v>5170096.3223674735</v>
      </c>
      <c r="H53" s="39">
        <f>'47a47b'!L10</f>
        <v>-4358603.9031576775</v>
      </c>
      <c r="I53" s="39">
        <f>'47a47b'!M10</f>
        <v>-4893543.7277366435</v>
      </c>
      <c r="J53" s="39">
        <f>'47a47b'!N10</f>
        <v>213303.6859229338</v>
      </c>
      <c r="K53" s="39">
        <f>'47a47b'!O10</f>
        <v>4212391.6208650898</v>
      </c>
      <c r="L53" s="39">
        <f>'47a47b'!P10</f>
        <v>1798044.6586311923</v>
      </c>
      <c r="M53" s="39">
        <f>'47a47b'!Q10</f>
        <v>1106174.0741261942</v>
      </c>
      <c r="N53" s="39">
        <f>'47a47b'!R10</f>
        <v>1418954.8580590312</v>
      </c>
      <c r="O53" s="39">
        <f>'47a47b'!S10</f>
        <v>-4187729.885988168</v>
      </c>
      <c r="P53" s="39">
        <f>'47a47b'!T10</f>
        <v>4778399.7063779263</v>
      </c>
      <c r="Q53" s="39">
        <f>'47a47b'!U10</f>
        <v>-3411703.4661149029</v>
      </c>
      <c r="R53" s="39">
        <f>'47a47b'!V10</f>
        <v>-4166187.655769207</v>
      </c>
      <c r="S53" s="39">
        <f>'47a47b'!W10</f>
        <v>174836.63514601911</v>
      </c>
      <c r="T53" s="39">
        <f>'47a47b'!X10</f>
        <v>1733729.3650180229</v>
      </c>
      <c r="U53" s="39">
        <f>'47a47b'!Y10</f>
        <v>-3256859.8518290585</v>
      </c>
      <c r="V53" s="39">
        <f>'47a47b'!Z10</f>
        <v>4141072.0628282512</v>
      </c>
      <c r="W53" s="39">
        <f>'47a47b'!AA10</f>
        <v>3487357.1567780674</v>
      </c>
      <c r="X53" s="39">
        <f>'47a47b'!AB10</f>
        <v>-3227044.8970912579</v>
      </c>
      <c r="Y53" s="39">
        <f>'47a47b'!AC10</f>
        <v>4994092.5605378607</v>
      </c>
      <c r="Z53" s="39">
        <f>'47a47b'!AD10</f>
        <v>-4590590.5007783975</v>
      </c>
      <c r="AA53" s="39">
        <f>'47a47b'!AE10</f>
        <v>5230761.3869415512</v>
      </c>
      <c r="AB53" s="39">
        <f>'47a47b'!AF10</f>
        <v>1273798.2849323475</v>
      </c>
      <c r="AC53" s="39">
        <f>'47a47b'!AG10</f>
        <v>-3651635.0447201394</v>
      </c>
      <c r="AD53" s="39">
        <f>'47a47b'!AH10</f>
        <v>4929229.9593216917</v>
      </c>
      <c r="AE53" s="39">
        <f>'47a47b'!AI10</f>
        <v>4238433.4053578256</v>
      </c>
      <c r="AF53" s="39">
        <f>'47a47b'!AJ10</f>
        <v>-3546664.7452011793</v>
      </c>
      <c r="AG53" s="39">
        <f>'47a47b'!AK10</f>
        <v>3825530.0751567492</v>
      </c>
      <c r="AH53" s="39">
        <f>'47a47b'!AL10</f>
        <v>-3679517.0105392262</v>
      </c>
      <c r="AI53" s="39">
        <f>'47a47b'!AM10</f>
        <v>4743207.3844234534</v>
      </c>
      <c r="AJ53" s="39">
        <f>'47a47b'!AN10</f>
        <v>-5078923.6760442453</v>
      </c>
      <c r="AK53" s="39">
        <f>'47a47b'!AO10</f>
        <v>2387589.9016705742</v>
      </c>
      <c r="AL53" s="39">
        <f>'47a47b'!AP10</f>
        <v>-4505243.7601545304</v>
      </c>
      <c r="AM53" s="39">
        <f>'47a47b'!AQ10</f>
        <v>983652.00993663853</v>
      </c>
      <c r="AN53" s="39">
        <f>'47a47b'!AR10</f>
        <v>-5016018.3754713377</v>
      </c>
      <c r="AO53" s="39">
        <f>'47a47b'!AS10</f>
        <v>-5013532.7800869057</v>
      </c>
      <c r="AP53" s="39">
        <f>'47a47b'!AT10</f>
        <v>3677372.0114523997</v>
      </c>
      <c r="AQ53" s="39">
        <f>'47a47b'!AU10</f>
        <v>-4025679.3385592261</v>
      </c>
      <c r="AR53" s="39">
        <f>'47a47b'!AV10</f>
        <v>-2732539.6463907342</v>
      </c>
      <c r="AS53" s="39">
        <f>'47a47b'!AW10</f>
        <v>4817429.9749060245</v>
      </c>
      <c r="AT53" s="39">
        <f>'47a47b'!AX10</f>
        <v>-5226546.1239132183</v>
      </c>
      <c r="AU53" s="39">
        <f>'47a47b'!AY10</f>
        <v>2636717.4823133014</v>
      </c>
      <c r="AV53" s="39">
        <f>'47a47b'!AZ10</f>
        <v>-1976380.9032701824</v>
      </c>
      <c r="AW53" s="39">
        <f>'47a47b'!BA10</f>
        <v>-1851805.3725433289</v>
      </c>
      <c r="AX53" s="39">
        <f>'47a47b'!BB10</f>
        <v>-1657956.4243381433</v>
      </c>
      <c r="AY53" s="39">
        <f>'47a47b'!BC10</f>
        <v>-4513094.8266499368</v>
      </c>
      <c r="AZ53" s="39">
        <f>'47a47b'!BD10</f>
        <v>-3760494.2480456508</v>
      </c>
      <c r="BA53" s="39">
        <f>'47a47b'!BE10</f>
        <v>-2818649.3490372682</v>
      </c>
      <c r="BB53" s="39">
        <f>'47a47b'!BF10</f>
        <v>-1747467.5815290771</v>
      </c>
      <c r="BC53" s="39">
        <f>'47a47b'!BG10</f>
        <v>-607436.6614713294</v>
      </c>
      <c r="BD53" s="39">
        <f>'47a47b'!BH10</f>
        <v>542865.12288839219</v>
      </c>
      <c r="BE53" s="39">
        <f>'47a47b'!BI10</f>
        <v>1648826.0828326265</v>
      </c>
      <c r="BF53" s="39">
        <f>'47a47b'!BJ10</f>
        <v>2661561.0849920334</v>
      </c>
      <c r="BG53" s="39">
        <f>'47a47b'!BK10</f>
        <v>4334311.7908246918</v>
      </c>
    </row>
    <row r="54" spans="2:59" x14ac:dyDescent="0.25">
      <c r="B54">
        <v>342</v>
      </c>
      <c r="C54" t="s">
        <v>340</v>
      </c>
      <c r="E54" s="75">
        <f t="shared" ref="E54:AJ54" si="336">-2235 *SIN(E12*Deg2Rad)</f>
        <v>1320.6443995301634</v>
      </c>
      <c r="F54" s="75">
        <f t="shared" si="336"/>
        <v>2042.5608521700949</v>
      </c>
      <c r="G54" s="75">
        <f t="shared" si="336"/>
        <v>1385.7095865320916</v>
      </c>
      <c r="H54" s="75">
        <f t="shared" si="336"/>
        <v>-2215.0743553535153</v>
      </c>
      <c r="I54" s="75">
        <f t="shared" si="336"/>
        <v>2232.3619857326926</v>
      </c>
      <c r="J54" s="75">
        <f t="shared" si="336"/>
        <v>-140.21868462776897</v>
      </c>
      <c r="K54" s="75">
        <f t="shared" si="336"/>
        <v>-1500.3933268094013</v>
      </c>
      <c r="L54" s="75">
        <f t="shared" si="336"/>
        <v>-1244.6792337979111</v>
      </c>
      <c r="M54" s="75">
        <f t="shared" si="336"/>
        <v>2218.2359769918639</v>
      </c>
      <c r="N54" s="75">
        <f t="shared" si="336"/>
        <v>-2203.0004233312493</v>
      </c>
      <c r="O54" s="75">
        <f t="shared" si="336"/>
        <v>1689.1272155082654</v>
      </c>
      <c r="P54" s="75">
        <f t="shared" si="336"/>
        <v>-1302.4563936611737</v>
      </c>
      <c r="Q54" s="75">
        <f t="shared" si="336"/>
        <v>339.54196387088012</v>
      </c>
      <c r="R54" s="75">
        <f t="shared" si="336"/>
        <v>-172.95149389178226</v>
      </c>
      <c r="S54" s="75">
        <f t="shared" si="336"/>
        <v>-205.11228174695958</v>
      </c>
      <c r="T54" s="75">
        <f t="shared" si="336"/>
        <v>855.6108472151592</v>
      </c>
      <c r="U54" s="75">
        <f t="shared" si="336"/>
        <v>-1056.3846522906799</v>
      </c>
      <c r="V54" s="75">
        <f t="shared" si="336"/>
        <v>-1906.9331613787747</v>
      </c>
      <c r="W54" s="75">
        <f t="shared" si="336"/>
        <v>-956.51952162065072</v>
      </c>
      <c r="X54" s="75">
        <f t="shared" si="336"/>
        <v>-1599.8407241985451</v>
      </c>
      <c r="Y54" s="75">
        <f t="shared" si="336"/>
        <v>2178.2806343380007</v>
      </c>
      <c r="Z54" s="75">
        <f t="shared" si="336"/>
        <v>2105.5548370716215</v>
      </c>
      <c r="AA54" s="75">
        <f t="shared" si="336"/>
        <v>1175.3665555656924</v>
      </c>
      <c r="AB54" s="75">
        <f t="shared" si="336"/>
        <v>-2231.606217243318</v>
      </c>
      <c r="AC54" s="75">
        <f t="shared" si="336"/>
        <v>-1323.1553681975442</v>
      </c>
      <c r="AD54" s="75">
        <f t="shared" si="336"/>
        <v>-2225.3040777299248</v>
      </c>
      <c r="AE54" s="75">
        <f t="shared" si="336"/>
        <v>1299.2514965182038</v>
      </c>
      <c r="AF54" s="75">
        <f t="shared" si="336"/>
        <v>1273.689387464558</v>
      </c>
      <c r="AG54" s="75">
        <f t="shared" si="336"/>
        <v>-1398.8517766840116</v>
      </c>
      <c r="AH54" s="75">
        <f t="shared" si="336"/>
        <v>-825.64395625250177</v>
      </c>
      <c r="AI54" s="75">
        <f t="shared" si="336"/>
        <v>413.05511848272056</v>
      </c>
      <c r="AJ54" s="75">
        <f t="shared" si="336"/>
        <v>-978.8327540649683</v>
      </c>
      <c r="AK54" s="75">
        <f t="shared" ref="AK54:BG54" si="337">-2235 *SIN(AK12*Deg2Rad)</f>
        <v>907.0517291043825</v>
      </c>
      <c r="AL54" s="75">
        <f t="shared" si="337"/>
        <v>145.94972507082298</v>
      </c>
      <c r="AM54" s="75">
        <f t="shared" si="337"/>
        <v>-1422.3874080788526</v>
      </c>
      <c r="AN54" s="75">
        <f t="shared" si="337"/>
        <v>-1334.5131631773772</v>
      </c>
      <c r="AO54" s="75">
        <f t="shared" si="337"/>
        <v>-991.57293705731786</v>
      </c>
      <c r="AP54" s="75">
        <f t="shared" si="337"/>
        <v>116.1694020588905</v>
      </c>
      <c r="AQ54" s="75">
        <f t="shared" si="337"/>
        <v>2222.9747296155792</v>
      </c>
      <c r="AR54" s="75">
        <f t="shared" si="337"/>
        <v>-268.50428038042321</v>
      </c>
      <c r="AS54" s="75">
        <f t="shared" si="337"/>
        <v>-2103.4202225324671</v>
      </c>
      <c r="AT54" s="75">
        <f t="shared" si="337"/>
        <v>1877.0848948242715</v>
      </c>
      <c r="AU54" s="75">
        <f t="shared" si="337"/>
        <v>-2085.4090041366612</v>
      </c>
      <c r="AV54" s="75">
        <f t="shared" si="337"/>
        <v>-1267.8958212442026</v>
      </c>
      <c r="AW54" s="75">
        <f t="shared" si="337"/>
        <v>2172.2918748649804</v>
      </c>
      <c r="AX54" s="75">
        <f t="shared" si="337"/>
        <v>1006.5468603616977</v>
      </c>
      <c r="AY54" s="75">
        <f t="shared" si="337"/>
        <v>831.21453670677522</v>
      </c>
      <c r="AZ54" s="75">
        <f t="shared" si="337"/>
        <v>336.40765568272093</v>
      </c>
      <c r="BA54" s="75">
        <f t="shared" si="337"/>
        <v>-176.11250698551703</v>
      </c>
      <c r="BB54" s="75">
        <f t="shared" si="337"/>
        <v>-679.35960352518975</v>
      </c>
      <c r="BC54" s="75">
        <f t="shared" si="337"/>
        <v>-1146.8355521954525</v>
      </c>
      <c r="BD54" s="75">
        <f t="shared" si="337"/>
        <v>-1553.9257730332686</v>
      </c>
      <c r="BE54" s="75">
        <f t="shared" si="337"/>
        <v>-1879.1952492820058</v>
      </c>
      <c r="BF54" s="75">
        <f t="shared" si="337"/>
        <v>-2105.517171410519</v>
      </c>
      <c r="BG54" s="75">
        <f t="shared" si="337"/>
        <v>1361.6705338057725</v>
      </c>
    </row>
    <row r="55" spans="2:59" x14ac:dyDescent="0.25">
      <c r="C55" t="s">
        <v>239</v>
      </c>
      <c r="E55" s="75">
        <f t="shared" ref="E55:AJ55" si="338">382 *SIN(E45*Deg2Rad)</f>
        <v>329.15482004288054</v>
      </c>
      <c r="F55" s="75">
        <f t="shared" si="338"/>
        <v>32.775133021950005</v>
      </c>
      <c r="G55" s="75">
        <f t="shared" si="338"/>
        <v>-277.32237261532873</v>
      </c>
      <c r="H55" s="75">
        <f t="shared" si="338"/>
        <v>16.722083859485011</v>
      </c>
      <c r="I55" s="75">
        <f t="shared" si="338"/>
        <v>53.813077041093614</v>
      </c>
      <c r="J55" s="75">
        <f t="shared" si="338"/>
        <v>377.39477834357126</v>
      </c>
      <c r="K55" s="75">
        <f t="shared" si="338"/>
        <v>258.22753504646005</v>
      </c>
      <c r="L55" s="75">
        <f t="shared" si="338"/>
        <v>-335.55792177850407</v>
      </c>
      <c r="M55" s="75">
        <f t="shared" si="338"/>
        <v>89.52831763482051</v>
      </c>
      <c r="N55" s="75">
        <f t="shared" si="338"/>
        <v>-133.49750358302748</v>
      </c>
      <c r="O55" s="75">
        <f t="shared" si="338"/>
        <v>-192.00582156280251</v>
      </c>
      <c r="P55" s="75">
        <f t="shared" si="338"/>
        <v>206.70720982556745</v>
      </c>
      <c r="Q55" s="75">
        <f t="shared" si="338"/>
        <v>341.04044316906447</v>
      </c>
      <c r="R55" s="75">
        <f t="shared" si="338"/>
        <v>292.83382453302011</v>
      </c>
      <c r="S55" s="75">
        <f t="shared" si="338"/>
        <v>-278.19296799139391</v>
      </c>
      <c r="T55" s="75">
        <f t="shared" si="338"/>
        <v>-124.11728957679087</v>
      </c>
      <c r="U55" s="75">
        <f t="shared" si="338"/>
        <v>-358.19921160435922</v>
      </c>
      <c r="V55" s="75">
        <f t="shared" si="338"/>
        <v>-253.93586574226998</v>
      </c>
      <c r="W55" s="75">
        <f t="shared" si="338"/>
        <v>-358.89972705520938</v>
      </c>
      <c r="X55" s="75">
        <f t="shared" si="338"/>
        <v>-290.61203216984336</v>
      </c>
      <c r="Y55" s="75">
        <f t="shared" si="338"/>
        <v>120.50764125277649</v>
      </c>
      <c r="Z55" s="75">
        <f t="shared" si="338"/>
        <v>156.07218730929657</v>
      </c>
      <c r="AA55" s="75">
        <f t="shared" si="338"/>
        <v>-305.63230636749216</v>
      </c>
      <c r="AB55" s="75">
        <f t="shared" si="338"/>
        <v>-17.407516792089133</v>
      </c>
      <c r="AC55" s="75">
        <f t="shared" si="338"/>
        <v>285.08679175799836</v>
      </c>
      <c r="AD55" s="75">
        <f t="shared" si="338"/>
        <v>-70.504416858260797</v>
      </c>
      <c r="AE55" s="75">
        <f t="shared" si="338"/>
        <v>330.52016532083729</v>
      </c>
      <c r="AF55" s="75">
        <f t="shared" si="338"/>
        <v>-292.74075345726942</v>
      </c>
      <c r="AG55" s="75">
        <f t="shared" si="338"/>
        <v>274.87322984981097</v>
      </c>
      <c r="AH55" s="75">
        <f t="shared" si="338"/>
        <v>-366.41552825215302</v>
      </c>
      <c r="AI55" s="75">
        <f t="shared" si="338"/>
        <v>380.29945811540648</v>
      </c>
      <c r="AJ55" s="75">
        <f t="shared" si="338"/>
        <v>-357.22919886787349</v>
      </c>
      <c r="AK55" s="75">
        <f t="shared" ref="AK55:BG55" si="339">382 *SIN(AK45*Deg2Rad)</f>
        <v>-325.27064859873281</v>
      </c>
      <c r="AL55" s="75">
        <f t="shared" si="339"/>
        <v>-377.28916885902373</v>
      </c>
      <c r="AM55" s="75">
        <f t="shared" si="339"/>
        <v>-369.25720729409198</v>
      </c>
      <c r="AN55" s="75">
        <f t="shared" si="339"/>
        <v>284.80644683655925</v>
      </c>
      <c r="AO55" s="75">
        <f t="shared" si="339"/>
        <v>-378.84041207774908</v>
      </c>
      <c r="AP55" s="75">
        <f t="shared" si="339"/>
        <v>-378.46980686887917</v>
      </c>
      <c r="AQ55" s="75">
        <f t="shared" si="339"/>
        <v>71.330518430726826</v>
      </c>
      <c r="AR55" s="75">
        <f t="shared" si="339"/>
        <v>374.04223515137858</v>
      </c>
      <c r="AS55" s="75">
        <f t="shared" si="339"/>
        <v>-158.85786742296807</v>
      </c>
      <c r="AT55" s="75">
        <f t="shared" si="339"/>
        <v>233.54729731349556</v>
      </c>
      <c r="AU55" s="75">
        <f t="shared" si="339"/>
        <v>102.57645089178857</v>
      </c>
      <c r="AV55" s="75">
        <f t="shared" si="339"/>
        <v>-332.81878626303609</v>
      </c>
      <c r="AW55" s="75">
        <f t="shared" si="339"/>
        <v>128.43604458660937</v>
      </c>
      <c r="AX55" s="75">
        <f t="shared" si="339"/>
        <v>-322.18547457305272</v>
      </c>
      <c r="AY55" s="75">
        <f t="shared" si="339"/>
        <v>365.26965389113798</v>
      </c>
      <c r="AZ55" s="75">
        <f t="shared" si="339"/>
        <v>381.14082296465989</v>
      </c>
      <c r="BA55" s="75">
        <f t="shared" si="339"/>
        <v>376.94343645735836</v>
      </c>
      <c r="BB55" s="75">
        <f t="shared" si="339"/>
        <v>352.89850319151094</v>
      </c>
      <c r="BC55" s="75">
        <f t="shared" si="339"/>
        <v>310.27208298178147</v>
      </c>
      <c r="BD55" s="75">
        <f t="shared" si="339"/>
        <v>251.30862363236412</v>
      </c>
      <c r="BE55" s="75">
        <f t="shared" si="339"/>
        <v>179.11278197846417</v>
      </c>
      <c r="BF55" s="75">
        <f t="shared" si="339"/>
        <v>97.485951556737163</v>
      </c>
      <c r="BG55" s="75">
        <f t="shared" si="339"/>
        <v>323.66420351849956</v>
      </c>
    </row>
    <row r="56" spans="2:59" x14ac:dyDescent="0.25">
      <c r="C56" t="s">
        <v>240</v>
      </c>
      <c r="E56" s="75">
        <f t="shared" ref="E56:AJ56" si="340">175*SIN((E39-E34)*Deg2Rad)</f>
        <v>-106.95104306212404</v>
      </c>
      <c r="F56" s="75">
        <f t="shared" si="340"/>
        <v>55.59246858633108</v>
      </c>
      <c r="G56" s="75">
        <f t="shared" si="340"/>
        <v>78.024216542541851</v>
      </c>
      <c r="H56" s="75">
        <f t="shared" si="340"/>
        <v>-1.4844632271798748</v>
      </c>
      <c r="I56" s="75">
        <f t="shared" si="340"/>
        <v>-74.060764225831221</v>
      </c>
      <c r="J56" s="75">
        <f t="shared" si="340"/>
        <v>167.2248370546547</v>
      </c>
      <c r="K56" s="75">
        <f t="shared" si="340"/>
        <v>147.82575596626265</v>
      </c>
      <c r="L56" s="75">
        <f t="shared" si="340"/>
        <v>-140.63441390802913</v>
      </c>
      <c r="M56" s="75">
        <f t="shared" si="340"/>
        <v>-87.401957282256291</v>
      </c>
      <c r="N56" s="75">
        <f t="shared" si="340"/>
        <v>76.313656399983927</v>
      </c>
      <c r="O56" s="75">
        <f t="shared" si="340"/>
        <v>20.570704875717844</v>
      </c>
      <c r="P56" s="75">
        <f t="shared" si="340"/>
        <v>-169.44552422550467</v>
      </c>
      <c r="Q56" s="75">
        <f t="shared" si="340"/>
        <v>-64.457583679147234</v>
      </c>
      <c r="R56" s="75">
        <f t="shared" si="340"/>
        <v>-99.971028314451345</v>
      </c>
      <c r="S56" s="75">
        <f t="shared" si="340"/>
        <v>133.44767029855407</v>
      </c>
      <c r="T56" s="75">
        <f t="shared" si="340"/>
        <v>165.29331657066103</v>
      </c>
      <c r="U56" s="75">
        <f t="shared" si="340"/>
        <v>31.843849279166321</v>
      </c>
      <c r="V56" s="75">
        <f t="shared" si="340"/>
        <v>111.06299805599726</v>
      </c>
      <c r="W56" s="75">
        <f t="shared" si="340"/>
        <v>-113.51862824417022</v>
      </c>
      <c r="X56" s="75">
        <f t="shared" si="340"/>
        <v>-164.10804193103931</v>
      </c>
      <c r="Y56" s="75">
        <f t="shared" si="340"/>
        <v>42.786954293349794</v>
      </c>
      <c r="Z56" s="75">
        <f t="shared" si="340"/>
        <v>-154.82635342852274</v>
      </c>
      <c r="AA56" s="75">
        <f t="shared" si="340"/>
        <v>95.544238769334186</v>
      </c>
      <c r="AB56" s="75">
        <f t="shared" si="340"/>
        <v>-171.25348671912002</v>
      </c>
      <c r="AC56" s="75">
        <f t="shared" si="340"/>
        <v>-132.783853621975</v>
      </c>
      <c r="AD56" s="75">
        <f t="shared" si="340"/>
        <v>0.69675687458164426</v>
      </c>
      <c r="AE56" s="75">
        <f t="shared" si="340"/>
        <v>-80.871799035757178</v>
      </c>
      <c r="AF56" s="75">
        <f t="shared" si="340"/>
        <v>68.96181631127412</v>
      </c>
      <c r="AG56" s="75">
        <f t="shared" si="340"/>
        <v>-70.781028327707958</v>
      </c>
      <c r="AH56" s="75">
        <f t="shared" si="340"/>
        <v>-159.59703672922757</v>
      </c>
      <c r="AI56" s="75">
        <f t="shared" si="340"/>
        <v>100.78054601450071</v>
      </c>
      <c r="AJ56" s="75">
        <f t="shared" si="340"/>
        <v>-90.117089021587944</v>
      </c>
      <c r="AK56" s="75">
        <f t="shared" ref="AK56:BG56" si="341">175*SIN((AK39-AK34)*Deg2Rad)</f>
        <v>172.83157070628522</v>
      </c>
      <c r="AL56" s="75">
        <f t="shared" si="341"/>
        <v>-130.76484965000853</v>
      </c>
      <c r="AM56" s="75">
        <f t="shared" si="341"/>
        <v>174.99979771901062</v>
      </c>
      <c r="AN56" s="75">
        <f t="shared" si="341"/>
        <v>-69.556086327699731</v>
      </c>
      <c r="AO56" s="75">
        <f t="shared" si="341"/>
        <v>153.18897131936342</v>
      </c>
      <c r="AP56" s="75">
        <f t="shared" si="341"/>
        <v>36.708396843045747</v>
      </c>
      <c r="AQ56" s="75">
        <f t="shared" si="341"/>
        <v>-172.94301456992838</v>
      </c>
      <c r="AR56" s="75">
        <f t="shared" si="341"/>
        <v>-22.839443907826755</v>
      </c>
      <c r="AS56" s="75">
        <f t="shared" si="341"/>
        <v>174.12123179627332</v>
      </c>
      <c r="AT56" s="75">
        <f t="shared" si="341"/>
        <v>-164.87637484834036</v>
      </c>
      <c r="AU56" s="75">
        <f t="shared" si="341"/>
        <v>-158.56456433688896</v>
      </c>
      <c r="AV56" s="75">
        <f t="shared" si="341"/>
        <v>109.1273438333551</v>
      </c>
      <c r="AW56" s="75">
        <f t="shared" si="341"/>
        <v>138.82281716993617</v>
      </c>
      <c r="AX56" s="75">
        <f t="shared" si="341"/>
        <v>174.87881454415773</v>
      </c>
      <c r="AY56" s="75">
        <f t="shared" si="341"/>
        <v>-96.954728239131796</v>
      </c>
      <c r="AZ56" s="75">
        <f t="shared" si="341"/>
        <v>-61.051589207151004</v>
      </c>
      <c r="BA56" s="75">
        <f t="shared" si="341"/>
        <v>-21.909811974248026</v>
      </c>
      <c r="BB56" s="75">
        <f t="shared" si="341"/>
        <v>18.394227452855123</v>
      </c>
      <c r="BC56" s="75">
        <f t="shared" si="341"/>
        <v>57.722497887240905</v>
      </c>
      <c r="BD56" s="75">
        <f t="shared" si="341"/>
        <v>93.988730311842858</v>
      </c>
      <c r="BE56" s="75">
        <f t="shared" si="341"/>
        <v>125.26908937277906</v>
      </c>
      <c r="BF56" s="75">
        <f t="shared" si="341"/>
        <v>149.904228161779</v>
      </c>
      <c r="BG56" s="75">
        <f t="shared" si="341"/>
        <v>-75.408680886002813</v>
      </c>
    </row>
    <row r="57" spans="2:59" x14ac:dyDescent="0.25">
      <c r="C57" t="s">
        <v>241</v>
      </c>
      <c r="E57" s="75">
        <f t="shared" ref="E57:AJ57" si="342">175*SIN((E39+E34)*Deg2Rad)</f>
        <v>42.979853768740789</v>
      </c>
      <c r="F57" s="75">
        <f t="shared" si="342"/>
        <v>7.5219278153561264</v>
      </c>
      <c r="G57" s="75">
        <f t="shared" si="342"/>
        <v>-95.368422005342879</v>
      </c>
      <c r="H57" s="75">
        <f t="shared" si="342"/>
        <v>145.71926760581488</v>
      </c>
      <c r="I57" s="75">
        <f t="shared" si="342"/>
        <v>1.1243131554615906</v>
      </c>
      <c r="J57" s="75">
        <f t="shared" si="342"/>
        <v>172.70079605506126</v>
      </c>
      <c r="K57" s="75">
        <f t="shared" si="342"/>
        <v>86.443698770790633</v>
      </c>
      <c r="L57" s="75">
        <f t="shared" si="342"/>
        <v>-173.527180126269</v>
      </c>
      <c r="M57" s="75">
        <f t="shared" si="342"/>
        <v>17.589286727536962</v>
      </c>
      <c r="N57" s="75">
        <f t="shared" si="342"/>
        <v>163.83194448174953</v>
      </c>
      <c r="O57" s="75">
        <f t="shared" si="342"/>
        <v>-172.65545143288418</v>
      </c>
      <c r="P57" s="75">
        <f t="shared" si="342"/>
        <v>135.94170914063881</v>
      </c>
      <c r="Q57" s="75">
        <f t="shared" si="342"/>
        <v>159.27826125154871</v>
      </c>
      <c r="R57" s="75">
        <f t="shared" si="342"/>
        <v>171.64376264848082</v>
      </c>
      <c r="S57" s="75">
        <f t="shared" si="342"/>
        <v>151.95375337628829</v>
      </c>
      <c r="T57" s="75">
        <f t="shared" si="342"/>
        <v>112.71333171505977</v>
      </c>
      <c r="U57" s="75">
        <f t="shared" si="342"/>
        <v>171.27167585513203</v>
      </c>
      <c r="V57" s="75">
        <f t="shared" si="342"/>
        <v>111.49696188686178</v>
      </c>
      <c r="W57" s="75">
        <f t="shared" si="342"/>
        <v>-160.3319066368818</v>
      </c>
      <c r="X57" s="75">
        <f t="shared" si="342"/>
        <v>-88.929199101132411</v>
      </c>
      <c r="Y57" s="75">
        <f t="shared" si="342"/>
        <v>45.222385493416091</v>
      </c>
      <c r="Z57" s="75">
        <f t="shared" si="342"/>
        <v>160.72065219509918</v>
      </c>
      <c r="AA57" s="75">
        <f t="shared" si="342"/>
        <v>-77.826517383105426</v>
      </c>
      <c r="AB57" s="75">
        <f t="shared" si="342"/>
        <v>-115.67354902404705</v>
      </c>
      <c r="AC57" s="75">
        <f t="shared" si="342"/>
        <v>-124.99074389024251</v>
      </c>
      <c r="AD57" s="75">
        <f t="shared" si="342"/>
        <v>-83.323180259707115</v>
      </c>
      <c r="AE57" s="75">
        <f t="shared" si="342"/>
        <v>-78.694087048586127</v>
      </c>
      <c r="AF57" s="75">
        <f t="shared" si="342"/>
        <v>157.50808340699606</v>
      </c>
      <c r="AG57" s="75">
        <f t="shared" si="342"/>
        <v>-157.71873690213357</v>
      </c>
      <c r="AH57" s="75">
        <f t="shared" si="342"/>
        <v>-86.411984181977488</v>
      </c>
      <c r="AI57" s="75">
        <f t="shared" si="342"/>
        <v>-11.88938197463494</v>
      </c>
      <c r="AJ57" s="75">
        <f t="shared" si="342"/>
        <v>33.136301092872408</v>
      </c>
      <c r="AK57" s="75">
        <f t="shared" ref="AK57:BG57" si="343">175*SIN((AK39+AK34)*Deg2Rad)</f>
        <v>109.19296826794111</v>
      </c>
      <c r="AL57" s="75">
        <f t="shared" si="343"/>
        <v>-40.345049339958479</v>
      </c>
      <c r="AM57" s="75">
        <f t="shared" si="343"/>
        <v>155.45533196477882</v>
      </c>
      <c r="AN57" s="75">
        <f t="shared" si="343"/>
        <v>104.75521011309256</v>
      </c>
      <c r="AO57" s="75">
        <f t="shared" si="343"/>
        <v>-163.78391130514291</v>
      </c>
      <c r="AP57" s="75">
        <f t="shared" si="343"/>
        <v>-167.04952682946916</v>
      </c>
      <c r="AQ57" s="75">
        <f t="shared" si="343"/>
        <v>61.866251116855878</v>
      </c>
      <c r="AR57" s="75">
        <f t="shared" si="343"/>
        <v>162.20330253339796</v>
      </c>
      <c r="AS57" s="75">
        <f t="shared" si="343"/>
        <v>-101.2417867198255</v>
      </c>
      <c r="AT57" s="75">
        <f t="shared" si="343"/>
        <v>132.65837186340053</v>
      </c>
      <c r="AU57" s="75">
        <f t="shared" si="343"/>
        <v>-142.22697063188994</v>
      </c>
      <c r="AV57" s="75">
        <f t="shared" si="343"/>
        <v>174.90137956032711</v>
      </c>
      <c r="AW57" s="75">
        <f t="shared" si="343"/>
        <v>47.151898793504529</v>
      </c>
      <c r="AX57" s="75">
        <f t="shared" si="343"/>
        <v>110.11898736123334</v>
      </c>
      <c r="AY57" s="75">
        <f t="shared" si="343"/>
        <v>174.63151853122548</v>
      </c>
      <c r="AZ57" s="75">
        <f t="shared" si="343"/>
        <v>172.59283612285054</v>
      </c>
      <c r="BA57" s="75">
        <f t="shared" si="343"/>
        <v>161.3885698874131</v>
      </c>
      <c r="BB57" s="75">
        <f t="shared" si="343"/>
        <v>141.61372506216779</v>
      </c>
      <c r="BC57" s="75">
        <f t="shared" si="343"/>
        <v>114.31844950946419</v>
      </c>
      <c r="BD57" s="75">
        <f t="shared" si="343"/>
        <v>80.952265363519629</v>
      </c>
      <c r="BE57" s="75">
        <f t="shared" si="343"/>
        <v>43.287091810759861</v>
      </c>
      <c r="BF57" s="75">
        <f t="shared" si="343"/>
        <v>3.3231468980436549</v>
      </c>
      <c r="BG57" s="75">
        <f t="shared" si="343"/>
        <v>-73.190351463595306</v>
      </c>
    </row>
    <row r="58" spans="2:59" x14ac:dyDescent="0.25">
      <c r="C58" t="s">
        <v>242</v>
      </c>
      <c r="E58" s="75">
        <f t="shared" ref="E58:AJ58" si="344">127*SIN((E12-E28)*Deg2Rad)</f>
        <v>33.852186815003598</v>
      </c>
      <c r="F58" s="75">
        <f t="shared" si="344"/>
        <v>-115.54948412201868</v>
      </c>
      <c r="G58" s="75">
        <f t="shared" si="344"/>
        <v>126.14633794545932</v>
      </c>
      <c r="H58" s="75">
        <f t="shared" si="344"/>
        <v>86.020439698180425</v>
      </c>
      <c r="I58" s="75">
        <f t="shared" si="344"/>
        <v>-125.98470278457972</v>
      </c>
      <c r="J58" s="75">
        <f t="shared" si="344"/>
        <v>-116.69859791859581</v>
      </c>
      <c r="K58" s="75">
        <f t="shared" si="344"/>
        <v>-85.12436597063477</v>
      </c>
      <c r="L58" s="75">
        <f t="shared" si="344"/>
        <v>-55.653479955531608</v>
      </c>
      <c r="M58" s="75">
        <f t="shared" si="344"/>
        <v>-54.905435519800776</v>
      </c>
      <c r="N58" s="75">
        <f t="shared" si="344"/>
        <v>16.384173407584942</v>
      </c>
      <c r="O58" s="75">
        <f t="shared" si="344"/>
        <v>94.491213605627053</v>
      </c>
      <c r="P58" s="75">
        <f t="shared" si="344"/>
        <v>-117.84567019201043</v>
      </c>
      <c r="Q58" s="75">
        <f t="shared" si="344"/>
        <v>88.695945893717209</v>
      </c>
      <c r="R58" s="75">
        <f t="shared" si="344"/>
        <v>88.519026287267891</v>
      </c>
      <c r="S58" s="75">
        <f t="shared" si="344"/>
        <v>116.89154652180301</v>
      </c>
      <c r="T58" s="75">
        <f t="shared" si="344"/>
        <v>100.07679534299444</v>
      </c>
      <c r="U58" s="75">
        <f t="shared" si="344"/>
        <v>64.001614766698381</v>
      </c>
      <c r="V58" s="75">
        <f t="shared" si="344"/>
        <v>19.969806293694379</v>
      </c>
      <c r="W58" s="75">
        <f t="shared" si="344"/>
        <v>-122.45058945177597</v>
      </c>
      <c r="X58" s="75">
        <f t="shared" si="344"/>
        <v>98.502862804411265</v>
      </c>
      <c r="Y58" s="75">
        <f t="shared" si="344"/>
        <v>-100.78334524966911</v>
      </c>
      <c r="Z58" s="75">
        <f t="shared" si="344"/>
        <v>121.87122527158753</v>
      </c>
      <c r="AA58" s="75">
        <f t="shared" si="344"/>
        <v>126.13198692400579</v>
      </c>
      <c r="AB58" s="75">
        <f t="shared" si="344"/>
        <v>66.654230453355638</v>
      </c>
      <c r="AC58" s="75">
        <f t="shared" si="344"/>
        <v>-105.92247362901772</v>
      </c>
      <c r="AD58" s="75">
        <f t="shared" si="344"/>
        <v>-68.250592455741995</v>
      </c>
      <c r="AE58" s="75">
        <f t="shared" si="344"/>
        <v>-101.25492501143428</v>
      </c>
      <c r="AF58" s="75">
        <f t="shared" si="344"/>
        <v>49.187816587485614</v>
      </c>
      <c r="AG58" s="75">
        <f t="shared" si="344"/>
        <v>64.194379338109684</v>
      </c>
      <c r="AH58" s="75">
        <f t="shared" si="344"/>
        <v>126.22980102248174</v>
      </c>
      <c r="AI58" s="75">
        <f t="shared" si="344"/>
        <v>100.19473596722175</v>
      </c>
      <c r="AJ58" s="75">
        <f t="shared" si="344"/>
        <v>17.854257122385757</v>
      </c>
      <c r="AK58" s="75">
        <f t="shared" ref="AK58:BG58" si="345">127*SIN((AK12-AK28)*Deg2Rad)</f>
        <v>-107.49647748710113</v>
      </c>
      <c r="AL58" s="75">
        <f t="shared" si="345"/>
        <v>115.69279550552466</v>
      </c>
      <c r="AM58" s="75">
        <f t="shared" si="345"/>
        <v>-30.08646697598537</v>
      </c>
      <c r="AN58" s="75">
        <f t="shared" si="345"/>
        <v>126.69185655770333</v>
      </c>
      <c r="AO58" s="75">
        <f t="shared" si="345"/>
        <v>124.47160667294619</v>
      </c>
      <c r="AP58" s="75">
        <f t="shared" si="345"/>
        <v>-120.54581837770459</v>
      </c>
      <c r="AQ58" s="75">
        <f t="shared" si="345"/>
        <v>-119.98614562872113</v>
      </c>
      <c r="AR58" s="75">
        <f t="shared" si="345"/>
        <v>-119.41673840892011</v>
      </c>
      <c r="AS58" s="75">
        <f t="shared" si="345"/>
        <v>-118.7468913880648</v>
      </c>
      <c r="AT58" s="75">
        <f t="shared" si="345"/>
        <v>-117.41548378164924</v>
      </c>
      <c r="AU58" s="75">
        <f t="shared" si="345"/>
        <v>125.62733449097895</v>
      </c>
      <c r="AV58" s="75">
        <f t="shared" si="345"/>
        <v>-25.576974323324094</v>
      </c>
      <c r="AW58" s="75">
        <f t="shared" si="345"/>
        <v>-83.474068811795433</v>
      </c>
      <c r="AX58" s="75">
        <f t="shared" si="345"/>
        <v>72.318391850142049</v>
      </c>
      <c r="AY58" s="75">
        <f t="shared" si="345"/>
        <v>-114.39415830901545</v>
      </c>
      <c r="AZ58" s="75">
        <f t="shared" si="345"/>
        <v>-114.28668527774873</v>
      </c>
      <c r="BA58" s="75">
        <f t="shared" si="345"/>
        <v>-114.17878018351486</v>
      </c>
      <c r="BB58" s="75">
        <f t="shared" si="345"/>
        <v>-114.070443434195</v>
      </c>
      <c r="BC58" s="75">
        <f t="shared" si="345"/>
        <v>-113.96167543942929</v>
      </c>
      <c r="BD58" s="75">
        <f t="shared" si="345"/>
        <v>-113.85247661036074</v>
      </c>
      <c r="BE58" s="75">
        <f t="shared" si="345"/>
        <v>-113.74284735980322</v>
      </c>
      <c r="BF58" s="75">
        <f t="shared" si="345"/>
        <v>-113.63278810228412</v>
      </c>
      <c r="BG58" s="75">
        <f t="shared" si="345"/>
        <v>-101.23239052423504</v>
      </c>
    </row>
    <row r="59" spans="2:59" x14ac:dyDescent="0.25">
      <c r="C59" t="s">
        <v>251</v>
      </c>
      <c r="E59" s="75">
        <f t="shared" ref="E59:AJ59" si="346">-115*SIN((E12+E23)*Deg2Rad)</f>
        <v>93.95721416091942</v>
      </c>
      <c r="F59" s="75">
        <f t="shared" si="346"/>
        <v>101.02070566972905</v>
      </c>
      <c r="G59" s="75">
        <f t="shared" si="346"/>
        <v>67.34427385785456</v>
      </c>
      <c r="H59" s="75">
        <f t="shared" si="346"/>
        <v>-113.12364746320158</v>
      </c>
      <c r="I59" s="75">
        <f t="shared" si="346"/>
        <v>103.5228121130415</v>
      </c>
      <c r="J59" s="75">
        <f t="shared" si="346"/>
        <v>-23.787356889204361</v>
      </c>
      <c r="K59" s="75">
        <f t="shared" si="346"/>
        <v>-104.178410327641</v>
      </c>
      <c r="L59" s="75">
        <f t="shared" si="346"/>
        <v>86.324864418132705</v>
      </c>
      <c r="M59" s="75">
        <f t="shared" si="346"/>
        <v>114.3713893247397</v>
      </c>
      <c r="N59" s="75">
        <f t="shared" si="346"/>
        <v>-111.82412961668004</v>
      </c>
      <c r="O59" s="75">
        <f t="shared" si="346"/>
        <v>91.388836995351241</v>
      </c>
      <c r="P59" s="75">
        <f t="shared" si="346"/>
        <v>-48.369547659193124</v>
      </c>
      <c r="Q59" s="75">
        <f t="shared" si="346"/>
        <v>-40.652156320770459</v>
      </c>
      <c r="R59" s="75">
        <f t="shared" si="346"/>
        <v>-65.736441502975211</v>
      </c>
      <c r="S59" s="75">
        <f t="shared" si="346"/>
        <v>-79.377651264666937</v>
      </c>
      <c r="T59" s="75">
        <f t="shared" si="346"/>
        <v>100.71702799257582</v>
      </c>
      <c r="U59" s="75">
        <f t="shared" si="346"/>
        <v>-95.175162470955414</v>
      </c>
      <c r="V59" s="75">
        <f t="shared" si="346"/>
        <v>29.413305587978808</v>
      </c>
      <c r="W59" s="75">
        <f t="shared" si="346"/>
        <v>107.81651209994838</v>
      </c>
      <c r="X59" s="75">
        <f t="shared" si="346"/>
        <v>90.539242540419352</v>
      </c>
      <c r="Y59" s="75">
        <f t="shared" si="346"/>
        <v>65.497556232805437</v>
      </c>
      <c r="Z59" s="75">
        <f t="shared" si="346"/>
        <v>110.42587805682366</v>
      </c>
      <c r="AA59" s="75">
        <f t="shared" si="346"/>
        <v>55.339325319907246</v>
      </c>
      <c r="AB59" s="75">
        <f t="shared" si="346"/>
        <v>113.94038619559542</v>
      </c>
      <c r="AC59" s="75">
        <f t="shared" si="346"/>
        <v>26.897902507031155</v>
      </c>
      <c r="AD59" s="75">
        <f t="shared" si="346"/>
        <v>44.705594322182698</v>
      </c>
      <c r="AE59" s="75">
        <f t="shared" si="346"/>
        <v>-19.788158032828804</v>
      </c>
      <c r="AF59" s="75">
        <f t="shared" si="346"/>
        <v>40.756381816014667</v>
      </c>
      <c r="AG59" s="75">
        <f t="shared" si="346"/>
        <v>77.335405067316103</v>
      </c>
      <c r="AH59" s="75">
        <f t="shared" si="346"/>
        <v>64.039054680235367</v>
      </c>
      <c r="AI59" s="75">
        <f t="shared" si="346"/>
        <v>-111.65729290626032</v>
      </c>
      <c r="AJ59" s="75">
        <f t="shared" si="346"/>
        <v>114.99965447411718</v>
      </c>
      <c r="AK59" s="75">
        <f t="shared" ref="AK59:BG59" si="347">-115*SIN((AK12+AK23)*Deg2Rad)</f>
        <v>47.116302175467887</v>
      </c>
      <c r="AL59" s="75">
        <f t="shared" si="347"/>
        <v>-113.10910269332764</v>
      </c>
      <c r="AM59" s="75">
        <f t="shared" si="347"/>
        <v>5.9137985732558107</v>
      </c>
      <c r="AN59" s="75">
        <f t="shared" si="347"/>
        <v>-90.229067954179371</v>
      </c>
      <c r="AO59" s="75">
        <f t="shared" si="347"/>
        <v>10.31293084135863</v>
      </c>
      <c r="AP59" s="75">
        <f t="shared" si="347"/>
        <v>-114.375396980848</v>
      </c>
      <c r="AQ59" s="75">
        <f t="shared" si="347"/>
        <v>7.9147672004051408</v>
      </c>
      <c r="AR59" s="75">
        <f t="shared" si="347"/>
        <v>112.60917221347025</v>
      </c>
      <c r="AS59" s="75">
        <f t="shared" si="347"/>
        <v>-61.375262242161639</v>
      </c>
      <c r="AT59" s="75">
        <f t="shared" si="347"/>
        <v>99.409181345582368</v>
      </c>
      <c r="AU59" s="75">
        <f t="shared" si="347"/>
        <v>67.23094624139695</v>
      </c>
      <c r="AV59" s="75">
        <f t="shared" si="347"/>
        <v>-44.45939795321641</v>
      </c>
      <c r="AW59" s="75">
        <f t="shared" si="347"/>
        <v>110.84597848679363</v>
      </c>
      <c r="AX59" s="75">
        <f t="shared" si="347"/>
        <v>91.29321801056517</v>
      </c>
      <c r="AY59" s="75">
        <f t="shared" si="347"/>
        <v>94.572474028169609</v>
      </c>
      <c r="AZ59" s="75">
        <f t="shared" si="347"/>
        <v>75.689897062789086</v>
      </c>
      <c r="BA59" s="75">
        <f t="shared" si="347"/>
        <v>52.20656187491231</v>
      </c>
      <c r="BB59" s="75">
        <f t="shared" si="347"/>
        <v>25.549886807630685</v>
      </c>
      <c r="BC59" s="75">
        <f t="shared" si="347"/>
        <v>-2.6598205185734849</v>
      </c>
      <c r="BD59" s="75">
        <f t="shared" si="347"/>
        <v>-30.707852487878782</v>
      </c>
      <c r="BE59" s="75">
        <f t="shared" si="347"/>
        <v>-56.88932880959819</v>
      </c>
      <c r="BF59" s="75">
        <f t="shared" si="347"/>
        <v>-79.612826491425466</v>
      </c>
      <c r="BG59" s="75">
        <f t="shared" si="347"/>
        <v>-15.54277753221159</v>
      </c>
    </row>
    <row r="60" spans="2:59" x14ac:dyDescent="0.25">
      <c r="C60" s="76" t="s">
        <v>341</v>
      </c>
      <c r="D60" s="19" t="s">
        <v>222</v>
      </c>
      <c r="E60" s="39">
        <f>SUM(E53:E59)</f>
        <v>5015298.8725682078</v>
      </c>
      <c r="F60" s="39">
        <f t="shared" ref="F60:AA60" si="348">SUM(F53:F59)</f>
        <v>-5256155.6599668544</v>
      </c>
      <c r="G60" s="39">
        <f t="shared" si="348"/>
        <v>5171380.8559877304</v>
      </c>
      <c r="H60" s="39">
        <f t="shared" si="348"/>
        <v>-4360685.1238325583</v>
      </c>
      <c r="I60" s="39">
        <f t="shared" si="348"/>
        <v>-4891352.9510156121</v>
      </c>
      <c r="J60" s="39">
        <f t="shared" si="348"/>
        <v>213740.30169495151</v>
      </c>
      <c r="K60" s="39">
        <f t="shared" si="348"/>
        <v>4211194.4217517646</v>
      </c>
      <c r="L60" s="39">
        <f t="shared" si="348"/>
        <v>1796180.9312660445</v>
      </c>
      <c r="M60" s="39">
        <f t="shared" si="348"/>
        <v>1108471.4917040712</v>
      </c>
      <c r="N60" s="39">
        <f t="shared" si="348"/>
        <v>1416763.0657767896</v>
      </c>
      <c r="O60" s="39">
        <f t="shared" si="348"/>
        <v>-4186198.9692901787</v>
      </c>
      <c r="P60" s="39">
        <f t="shared" si="348"/>
        <v>4777104.2381611541</v>
      </c>
      <c r="Q60" s="39">
        <f t="shared" si="348"/>
        <v>-3410880.0192407174</v>
      </c>
      <c r="R60" s="39">
        <f t="shared" si="348"/>
        <v>-4165973.3181194472</v>
      </c>
      <c r="S60" s="39">
        <f t="shared" si="348"/>
        <v>174676.24521521272</v>
      </c>
      <c r="T60" s="39">
        <f t="shared" si="348"/>
        <v>1734939.6590472825</v>
      </c>
      <c r="U60" s="39">
        <f t="shared" si="348"/>
        <v>-3258102.4937155237</v>
      </c>
      <c r="V60" s="39">
        <f t="shared" si="348"/>
        <v>4139183.1368729547</v>
      </c>
      <c r="W60" s="39">
        <f t="shared" si="348"/>
        <v>3485753.2529171584</v>
      </c>
      <c r="X60" s="138">
        <f t="shared" si="348"/>
        <v>-3228999.3449833132</v>
      </c>
      <c r="Y60" s="39">
        <f t="shared" si="348"/>
        <v>4996444.0723642213</v>
      </c>
      <c r="Z60" s="39">
        <f t="shared" si="348"/>
        <v>-4588090.6823519226</v>
      </c>
      <c r="AA60" s="39">
        <f t="shared" si="348"/>
        <v>5231830.3102243803</v>
      </c>
      <c r="AB60" s="39">
        <f t="shared" ref="AB60" si="349">SUM(AB53:AB59)</f>
        <v>1271442.9387792177</v>
      </c>
      <c r="AC60" s="39">
        <f t="shared" ref="AC60" si="350">SUM(AC53:AC59)</f>
        <v>-3653009.9124652138</v>
      </c>
      <c r="AD60" s="39">
        <f t="shared" ref="AD60" si="351">SUM(AD53:AD59)</f>
        <v>4926827.9794055847</v>
      </c>
      <c r="AE60" s="39">
        <f t="shared" ref="AE60" si="352">SUM(AE53:AE59)</f>
        <v>4239782.5680505345</v>
      </c>
      <c r="AF60" s="39">
        <f t="shared" ref="AF60" si="353">SUM(AF53:AF59)</f>
        <v>-3545367.3824690506</v>
      </c>
      <c r="AG60" s="39">
        <f t="shared" ref="AG60" si="354">SUM(AG53:AG59)</f>
        <v>3824319.1266290904</v>
      </c>
      <c r="AH60" s="39">
        <f t="shared" ref="AH60" si="355">SUM(AH53:AH59)</f>
        <v>-3680764.8101889393</v>
      </c>
      <c r="AI60" s="39">
        <f t="shared" ref="AI60" si="356">SUM(AI53:AI59)</f>
        <v>4744078.1676071519</v>
      </c>
      <c r="AJ60" s="39">
        <f t="shared" ref="AJ60" si="357">SUM(AJ53:AJ59)</f>
        <v>-5080183.8648735108</v>
      </c>
      <c r="AK60" s="39">
        <f t="shared" ref="AK60" si="358">SUM(AK53:AK59)</f>
        <v>2388393.3271147427</v>
      </c>
      <c r="AL60" s="39">
        <f t="shared" ref="AL60" si="359">SUM(AL53:AL59)</f>
        <v>-4505643.625804496</v>
      </c>
      <c r="AM60" s="39">
        <f t="shared" ref="AM60" si="360">SUM(AM53:AM59)</f>
        <v>982166.6477825467</v>
      </c>
      <c r="AN60" s="39">
        <f t="shared" ref="AN60" si="361">SUM(AN53:AN59)</f>
        <v>-5016996.4202752905</v>
      </c>
      <c r="AO60" s="39">
        <f t="shared" ref="AO60" si="362">SUM(AO53:AO59)</f>
        <v>-5014779.003838513</v>
      </c>
      <c r="AP60" s="39">
        <f t="shared" ref="AP60" si="363">SUM(AP53:AP59)</f>
        <v>3676744.4487022446</v>
      </c>
      <c r="AQ60" s="39">
        <f t="shared" ref="AQ60" si="364">SUM(AQ53:AQ59)</f>
        <v>-4023608.1814530608</v>
      </c>
      <c r="AR60" s="39">
        <f t="shared" ref="AR60" si="365">SUM(AR53:AR59)</f>
        <v>-2732301.5521435332</v>
      </c>
      <c r="AS60" s="39">
        <f t="shared" ref="AS60" si="366">SUM(AS53:AS59)</f>
        <v>4815060.4541075164</v>
      </c>
      <c r="AT60" s="39">
        <f t="shared" ref="AT60" si="367">SUM(AT53:AT59)</f>
        <v>-5224485.7160265027</v>
      </c>
      <c r="AU60" s="39">
        <f t="shared" ref="AU60" si="368">SUM(AU53:AU59)</f>
        <v>2634626.7165058199</v>
      </c>
      <c r="AV60" s="39">
        <f t="shared" ref="AV60" si="369">SUM(AV53:AV59)</f>
        <v>-1977767.6255265723</v>
      </c>
      <c r="AW60" s="39">
        <f t="shared" ref="AW60" si="370">SUM(AW53:AW59)</f>
        <v>-1849291.2979982391</v>
      </c>
      <c r="AX60" s="39">
        <f t="shared" ref="AX60" si="371">SUM(AX53:AX59)</f>
        <v>-1656823.4535405887</v>
      </c>
      <c r="AY60" s="39">
        <f t="shared" ref="AY60" si="372">SUM(AY53:AY59)</f>
        <v>-4511840.4873533277</v>
      </c>
      <c r="AZ60" s="39">
        <f t="shared" ref="AZ60" si="373">SUM(AZ53:AZ59)</f>
        <v>-3759703.7551083025</v>
      </c>
      <c r="BA60" s="39">
        <f t="shared" ref="BA60" si="374">SUM(BA53:BA59)</f>
        <v>-2818371.0115681919</v>
      </c>
      <c r="BB60" s="39">
        <f t="shared" ref="BB60" si="375">SUM(BB53:BB59)</f>
        <v>-1747722.5552335223</v>
      </c>
      <c r="BC60" s="39">
        <f t="shared" ref="BC60" si="376">SUM(BC53:BC59)</f>
        <v>-608217.80548910436</v>
      </c>
      <c r="BD60" s="39">
        <f t="shared" ref="BD60" si="377">SUM(BD53:BD59)</f>
        <v>541592.88640556845</v>
      </c>
      <c r="BE60" s="39">
        <f t="shared" ref="BE60" si="378">SUM(BE53:BE59)</f>
        <v>1647123.924370337</v>
      </c>
      <c r="BF60" s="39">
        <f t="shared" ref="BF60" si="379">SUM(BF53:BF59)</f>
        <v>2659513.0355326459</v>
      </c>
      <c r="BG60" s="39">
        <f t="shared" ref="BG60" si="380">SUM(BG53:BG59)</f>
        <v>4335731.7513616104</v>
      </c>
    </row>
    <row r="61" spans="2:59" x14ac:dyDescent="0.25">
      <c r="D61" s="1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140">
        <v>-3229126</v>
      </c>
      <c r="Y61" s="145">
        <f>X60-X61</f>
        <v>126.65501668676734</v>
      </c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</row>
    <row r="62" spans="2:59" s="38" customFormat="1" x14ac:dyDescent="0.25">
      <c r="B62" s="78">
        <v>339</v>
      </c>
      <c r="C62" s="12" t="s">
        <v>228</v>
      </c>
      <c r="D62" s="290" t="s">
        <v>221</v>
      </c>
      <c r="E62" s="38">
        <f>'47a47b'!I9</f>
        <v>20398905.572741065</v>
      </c>
      <c r="F62" s="38">
        <f>'47a47b'!J9</f>
        <v>-12263767.214078018</v>
      </c>
      <c r="G62" s="38">
        <f>'47a47b'!K9</f>
        <v>17444252.387244027</v>
      </c>
      <c r="H62" s="38">
        <f>'47a47b'!L9</f>
        <v>-20101770.116376318</v>
      </c>
      <c r="I62" s="38">
        <f>'47a47b'!M9</f>
        <v>-24222012.060238943</v>
      </c>
      <c r="J62" s="38">
        <f>'47a47b'!N9</f>
        <v>-1859591.8272709248</v>
      </c>
      <c r="K62" s="38">
        <f>'47a47b'!O9</f>
        <v>2920740.9601159566</v>
      </c>
      <c r="L62" s="38">
        <f>'47a47b'!P9</f>
        <v>19128301.032278389</v>
      </c>
      <c r="M62" s="38">
        <f>'47a47b'!Q9</f>
        <v>-16609002.969415506</v>
      </c>
      <c r="N62" s="38">
        <f>'47a47b'!R9</f>
        <v>-1883267.3495022045</v>
      </c>
      <c r="O62" s="38">
        <f>'47a47b'!S9</f>
        <v>20228645.86209866</v>
      </c>
      <c r="P62" s="38">
        <f>'47a47b'!T9</f>
        <v>1893598.4124053423</v>
      </c>
      <c r="Q62" s="38">
        <f>'47a47b'!U9</f>
        <v>17943759.33775093</v>
      </c>
      <c r="R62" s="38">
        <f>'47a47b'!V9</f>
        <v>14858793.5778517</v>
      </c>
      <c r="S62" s="38">
        <f>'47a47b'!W9</f>
        <v>6873328.5410779472</v>
      </c>
      <c r="T62" s="38">
        <f>'47a47b'!X9</f>
        <v>15558174.847175799</v>
      </c>
      <c r="U62" s="38">
        <f>'47a47b'!Y9</f>
        <v>8780981.0671249442</v>
      </c>
      <c r="V62" s="38">
        <f>'47a47b'!Z9</f>
        <v>-8868677.4892507512</v>
      </c>
      <c r="W62" s="38">
        <f>'47a47b'!AA9</f>
        <v>10997782.923780503</v>
      </c>
      <c r="X62" s="12">
        <f>'47a47b'!AB9</f>
        <v>-16590875.183873096</v>
      </c>
      <c r="Y62" s="38">
        <f>'47a47b'!AC9</f>
        <v>-11045799.111325093</v>
      </c>
      <c r="Z62" s="38">
        <f>'47a47b'!AD9</f>
        <v>17930487.678811729</v>
      </c>
      <c r="AA62" s="38">
        <f>'47a47b'!AE9</f>
        <v>15926596.394430019</v>
      </c>
      <c r="AB62" s="38">
        <f>'47a47b'!AF9</f>
        <v>-15328718.039611604</v>
      </c>
      <c r="AC62" s="38">
        <f>'47a47b'!AG9</f>
        <v>960262.15734770312</v>
      </c>
      <c r="AD62" s="38">
        <f>'47a47b'!AH9</f>
        <v>10753459.169413112</v>
      </c>
      <c r="AE62" s="38">
        <f>'47a47b'!AI9</f>
        <v>-1527401.9830304126</v>
      </c>
      <c r="AF62" s="38">
        <f>'47a47b'!AJ9</f>
        <v>-6563571.4368259814</v>
      </c>
      <c r="AG62" s="38">
        <f>'47a47b'!AK9</f>
        <v>8372729.3473614668</v>
      </c>
      <c r="AH62" s="38">
        <f>'47a47b'!AL9</f>
        <v>-9417400.8307858184</v>
      </c>
      <c r="AI62" s="38">
        <f>'47a47b'!AM9</f>
        <v>14136951.06045392</v>
      </c>
      <c r="AJ62" s="38">
        <f>'47a47b'!AN9</f>
        <v>-16742376.594904909</v>
      </c>
      <c r="AK62" s="38">
        <f>'47a47b'!AO9</f>
        <v>-12638254.270330634</v>
      </c>
      <c r="AL62" s="38">
        <f>'47a47b'!AP9</f>
        <v>8619614.8237109594</v>
      </c>
      <c r="AM62" s="38">
        <f>'47a47b'!AQ9</f>
        <v>-13565512.921210693</v>
      </c>
      <c r="AN62" s="38">
        <f>'47a47b'!AR9</f>
        <v>-12815484.692596603</v>
      </c>
      <c r="AO62" s="38">
        <f>'47a47b'!AS9</f>
        <v>-13775058.549364189</v>
      </c>
      <c r="AP62" s="38">
        <f>'47a47b'!AT9</f>
        <v>3877038.7896782975</v>
      </c>
      <c r="AQ62" s="38">
        <f>'47a47b'!AU9</f>
        <v>-14499289.748984408</v>
      </c>
      <c r="AR62" s="38">
        <f>'47a47b'!AV9</f>
        <v>-6802805.8449314954</v>
      </c>
      <c r="AS62" s="38">
        <f>'47a47b'!AW9</f>
        <v>19321826.829336815</v>
      </c>
      <c r="AT62" s="38">
        <f>'47a47b'!AX9</f>
        <v>-14743603.116958817</v>
      </c>
      <c r="AU62" s="38">
        <f>'47a47b'!AY9</f>
        <v>-27085115.057428166</v>
      </c>
      <c r="AV62" s="38">
        <f>'47a47b'!AZ9</f>
        <v>20298710.856497217</v>
      </c>
      <c r="AW62" s="38">
        <f>'47a47b'!BA9</f>
        <v>-23425837.13663828</v>
      </c>
      <c r="AX62" s="38">
        <f>'47a47b'!BB9</f>
        <v>-15167278.514687795</v>
      </c>
      <c r="AY62" s="38">
        <f>'47a47b'!BC9</f>
        <v>-9504429.0164355859</v>
      </c>
      <c r="AZ62" s="38">
        <f>'47a47b'!BD9</f>
        <v>-5553107.9628688525</v>
      </c>
      <c r="BA62" s="38">
        <f>'47a47b'!BE9</f>
        <v>-1659324.5806972627</v>
      </c>
      <c r="BB62" s="38">
        <f>'47a47b'!BF9</f>
        <v>2080503.30650458</v>
      </c>
      <c r="BC62" s="38">
        <f>'47a47b'!BG9</f>
        <v>5620161.0224694712</v>
      </c>
      <c r="BD62" s="38">
        <f>'47a47b'!BH9</f>
        <v>8937778.940026816</v>
      </c>
      <c r="BE62" s="38">
        <f>'47a47b'!BI9</f>
        <v>12009797.49621352</v>
      </c>
      <c r="BF62" s="38">
        <f>'47a47b'!BJ9</f>
        <v>14790105.944306033</v>
      </c>
      <c r="BG62" s="38">
        <f>'47a47b'!BK9</f>
        <v>-2107116.2821472064</v>
      </c>
    </row>
    <row r="63" spans="2:59" s="38" customFormat="1" x14ac:dyDescent="0.25">
      <c r="C63" s="38" t="s">
        <v>759</v>
      </c>
      <c r="D63" s="290"/>
      <c r="X63" s="146">
        <v>-16590875</v>
      </c>
      <c r="Y63" s="147"/>
    </row>
    <row r="64" spans="2:59" x14ac:dyDescent="0.25">
      <c r="B64">
        <v>342</v>
      </c>
      <c r="C64" t="s">
        <v>244</v>
      </c>
      <c r="D64" s="7" t="s">
        <v>252</v>
      </c>
      <c r="E64" s="2">
        <f t="shared" ref="E64:AA64" si="381">E12+E51/1000000</f>
        <v>326.60654497134016</v>
      </c>
      <c r="F64" s="2">
        <f t="shared" si="381"/>
        <v>239.16449378915445</v>
      </c>
      <c r="G64" s="2">
        <f t="shared" si="381"/>
        <v>223.31871102731421</v>
      </c>
      <c r="H64" s="2">
        <f t="shared" si="381"/>
        <v>84.957126040595213</v>
      </c>
      <c r="I64" s="2">
        <f t="shared" si="381"/>
        <v>270.17741043730842</v>
      </c>
      <c r="J64" s="2">
        <f t="shared" si="381"/>
        <v>10.539301082906615</v>
      </c>
      <c r="K64" s="2">
        <f t="shared" si="381"/>
        <v>49.341149203342837</v>
      </c>
      <c r="L64" s="2">
        <f t="shared" si="381"/>
        <v>146.51367206988596</v>
      </c>
      <c r="M64" s="2">
        <f t="shared" si="381"/>
        <v>272.41243594553845</v>
      </c>
      <c r="N64" s="2">
        <f t="shared" si="381"/>
        <v>104.76702598785018</v>
      </c>
      <c r="O64" s="2">
        <f t="shared" si="381"/>
        <v>229.68704065184701</v>
      </c>
      <c r="P64" s="2">
        <f t="shared" si="381"/>
        <v>40.592397999794358</v>
      </c>
      <c r="Q64" s="2">
        <f t="shared" si="381"/>
        <v>346.83699803744713</v>
      </c>
      <c r="R64" s="2">
        <f t="shared" si="381"/>
        <v>-1.1610543564560389</v>
      </c>
      <c r="S64" s="2">
        <f t="shared" si="381"/>
        <v>181.74544736152754</v>
      </c>
      <c r="T64" s="2">
        <f t="shared" si="381"/>
        <v>204.99483616514999</v>
      </c>
      <c r="U64" s="2">
        <f t="shared" si="381"/>
        <v>156.39183756949777</v>
      </c>
      <c r="V64" s="2">
        <f t="shared" si="381"/>
        <v>117.30371844689824</v>
      </c>
      <c r="W64" s="2">
        <f t="shared" si="381"/>
        <v>150.26998699274239</v>
      </c>
      <c r="X64" s="14">
        <f t="shared" si="381"/>
        <v>133.16265468515903</v>
      </c>
      <c r="Y64" s="2">
        <f t="shared" si="381"/>
        <v>286.22746082012708</v>
      </c>
      <c r="Z64" s="2">
        <f t="shared" si="381"/>
        <v>286.70423392261142</v>
      </c>
      <c r="AA64" s="2">
        <f t="shared" si="381"/>
        <v>217.28831538603117</v>
      </c>
      <c r="AB64" s="2">
        <f t="shared" ref="AB64:AP64" si="382">AB12+AB51/1000000</f>
        <v>90.826982702616775</v>
      </c>
      <c r="AC64" s="2">
        <f t="shared" si="382"/>
        <v>41.23015109938374</v>
      </c>
      <c r="AD64" s="2">
        <f t="shared" si="382"/>
        <v>100.4039038259275</v>
      </c>
      <c r="AE64" s="2">
        <f t="shared" si="382"/>
        <v>329.37032847917652</v>
      </c>
      <c r="AF64" s="2">
        <f t="shared" si="382"/>
        <v>219.46490029232385</v>
      </c>
      <c r="AG64" s="2">
        <f t="shared" si="382"/>
        <v>34.290231534322835</v>
      </c>
      <c r="AH64" s="2">
        <f t="shared" si="382"/>
        <v>162.87944836771533</v>
      </c>
      <c r="AI64" s="2">
        <f t="shared" si="382"/>
        <v>345.99309795043109</v>
      </c>
      <c r="AJ64" s="2">
        <f t="shared" si="382"/>
        <v>149.98769732896298</v>
      </c>
      <c r="AK64" s="2">
        <f t="shared" si="382"/>
        <v>198.80981908184137</v>
      </c>
      <c r="AL64" s="2">
        <f t="shared" si="382"/>
        <v>188.16198578434731</v>
      </c>
      <c r="AM64" s="2">
        <f t="shared" si="382"/>
        <v>137.01214249701258</v>
      </c>
      <c r="AN64" s="2">
        <f t="shared" si="382"/>
        <v>32.65227729092463</v>
      </c>
      <c r="AO64" s="2">
        <f t="shared" si="382"/>
        <v>160.40262335409594</v>
      </c>
      <c r="AP64" s="2">
        <f t="shared" si="382"/>
        <v>178.47691355961001</v>
      </c>
      <c r="AQ64" s="2">
        <f t="shared" ref="AQ64:BG64" si="383">AQ12+AQ51/1000000</f>
        <v>274.46528146471388</v>
      </c>
      <c r="AR64" s="2">
        <f t="shared" si="383"/>
        <v>12.00028129978201</v>
      </c>
      <c r="AS64" s="2">
        <f t="shared" si="383"/>
        <v>109.8556449861603</v>
      </c>
      <c r="AT64" s="2">
        <f t="shared" si="383"/>
        <v>304.89939033737573</v>
      </c>
      <c r="AU64" s="2">
        <f t="shared" si="383"/>
        <v>67.642931265434555</v>
      </c>
      <c r="AV64" s="2">
        <f t="shared" si="383"/>
        <v>147.79665498561533</v>
      </c>
      <c r="AW64" s="2">
        <f t="shared" si="383"/>
        <v>280.63210671198209</v>
      </c>
      <c r="AX64" s="2">
        <f t="shared" si="383"/>
        <v>211.32292849068637</v>
      </c>
      <c r="AY64" s="2">
        <f t="shared" si="383"/>
        <v>343.76127123392916</v>
      </c>
      <c r="AZ64" s="2">
        <f t="shared" si="383"/>
        <v>357.37254967264079</v>
      </c>
      <c r="BA64" s="2">
        <f t="shared" si="383"/>
        <v>10.693623342316638</v>
      </c>
      <c r="BB64" s="2">
        <f t="shared" si="383"/>
        <v>23.751358213201993</v>
      </c>
      <c r="BC64" s="2">
        <f t="shared" si="383"/>
        <v>36.576162299208754</v>
      </c>
      <c r="BD64" s="2">
        <f t="shared" si="383"/>
        <v>49.19688555396435</v>
      </c>
      <c r="BE64" s="2">
        <f t="shared" si="383"/>
        <v>61.638447807376565</v>
      </c>
      <c r="BF64" s="2">
        <f t="shared" si="383"/>
        <v>73.921980768095395</v>
      </c>
      <c r="BG64" s="2">
        <f t="shared" si="383"/>
        <v>327.35489755352262</v>
      </c>
    </row>
    <row r="65" spans="1:59" x14ac:dyDescent="0.25">
      <c r="C65" t="s">
        <v>761</v>
      </c>
      <c r="X65" s="141">
        <v>133.162655</v>
      </c>
    </row>
    <row r="66" spans="1:59" x14ac:dyDescent="0.25">
      <c r="B66">
        <v>342</v>
      </c>
      <c r="C66" t="s">
        <v>245</v>
      </c>
      <c r="D66" s="7" t="s">
        <v>247</v>
      </c>
      <c r="E66" s="226">
        <f xml:space="preserve"> E60 /1000000</f>
        <v>5.0152988725682075</v>
      </c>
      <c r="F66" s="226">
        <f t="shared" ref="F66:Y66" si="384" xml:space="preserve"> F60 /1000000</f>
        <v>-5.2561556599668542</v>
      </c>
      <c r="G66" s="226">
        <f t="shared" si="384"/>
        <v>5.1713808559877306</v>
      </c>
      <c r="H66" s="226">
        <f t="shared" si="384"/>
        <v>-4.3606851238325586</v>
      </c>
      <c r="I66" s="226">
        <f t="shared" si="384"/>
        <v>-4.8913529510156124</v>
      </c>
      <c r="J66" s="226">
        <f t="shared" si="384"/>
        <v>0.21374030169495151</v>
      </c>
      <c r="K66" s="226">
        <f t="shared" si="384"/>
        <v>4.2111944217517649</v>
      </c>
      <c r="L66" s="226">
        <f t="shared" si="384"/>
        <v>1.7961809312660444</v>
      </c>
      <c r="M66" s="226">
        <f t="shared" si="384"/>
        <v>1.1084714917040712</v>
      </c>
      <c r="N66" s="226">
        <f t="shared" si="384"/>
        <v>1.4167630657767896</v>
      </c>
      <c r="O66" s="226">
        <f t="shared" si="384"/>
        <v>-4.1861989692901789</v>
      </c>
      <c r="P66" s="226">
        <f t="shared" si="384"/>
        <v>4.7771042381611544</v>
      </c>
      <c r="Q66" s="226">
        <f t="shared" si="384"/>
        <v>-3.4108800192407176</v>
      </c>
      <c r="R66" s="226">
        <f t="shared" si="384"/>
        <v>-4.1659733181194474</v>
      </c>
      <c r="S66" s="226">
        <f t="shared" si="384"/>
        <v>0.17467624521521272</v>
      </c>
      <c r="T66" s="226">
        <f t="shared" si="384"/>
        <v>1.7349396590472825</v>
      </c>
      <c r="U66" s="226">
        <f t="shared" si="384"/>
        <v>-3.2581024937155236</v>
      </c>
      <c r="V66" s="226">
        <f t="shared" si="384"/>
        <v>4.1391831368729548</v>
      </c>
      <c r="W66" s="226">
        <f t="shared" si="384"/>
        <v>3.4857532529171582</v>
      </c>
      <c r="X66" s="228">
        <f t="shared" si="384"/>
        <v>-3.2289993449833134</v>
      </c>
      <c r="Y66" s="226">
        <f t="shared" si="384"/>
        <v>4.9964440723642216</v>
      </c>
      <c r="Z66" s="226">
        <f t="shared" ref="Z66:AA66" si="385" xml:space="preserve"> Z60 /1000000</f>
        <v>-4.5880906823519227</v>
      </c>
      <c r="AA66" s="226">
        <f t="shared" si="385"/>
        <v>5.2318303102243799</v>
      </c>
      <c r="AB66" s="226">
        <f t="shared" ref="AB66:AP66" si="386" xml:space="preserve"> AB60 /1000000</f>
        <v>1.2714429387792177</v>
      </c>
      <c r="AC66" s="226">
        <f t="shared" si="386"/>
        <v>-3.653009912465214</v>
      </c>
      <c r="AD66" s="226">
        <f t="shared" si="386"/>
        <v>4.9268279794055845</v>
      </c>
      <c r="AE66" s="226">
        <f t="shared" si="386"/>
        <v>4.2397825680505346</v>
      </c>
      <c r="AF66" s="226">
        <f t="shared" si="386"/>
        <v>-3.5453673824690504</v>
      </c>
      <c r="AG66" s="226">
        <f t="shared" si="386"/>
        <v>3.8243191266290903</v>
      </c>
      <c r="AH66" s="226">
        <f t="shared" si="386"/>
        <v>-3.6807648101889394</v>
      </c>
      <c r="AI66" s="226">
        <f t="shared" si="386"/>
        <v>4.7440781676071522</v>
      </c>
      <c r="AJ66" s="226">
        <f t="shared" si="386"/>
        <v>-5.0801838648735105</v>
      </c>
      <c r="AK66" s="226">
        <f t="shared" si="386"/>
        <v>2.3883933271147426</v>
      </c>
      <c r="AL66" s="226">
        <f t="shared" si="386"/>
        <v>-4.5056436258044963</v>
      </c>
      <c r="AM66" s="226">
        <f t="shared" si="386"/>
        <v>0.9821666477825467</v>
      </c>
      <c r="AN66" s="226">
        <f t="shared" si="386"/>
        <v>-5.0169964202752908</v>
      </c>
      <c r="AO66" s="226">
        <f t="shared" si="386"/>
        <v>-5.0147790038385134</v>
      </c>
      <c r="AP66" s="226">
        <f t="shared" si="386"/>
        <v>3.6767444487022445</v>
      </c>
      <c r="AQ66" s="226">
        <f t="shared" ref="AQ66:BG66" si="387" xml:space="preserve"> AQ60 /1000000</f>
        <v>-4.0236081814530609</v>
      </c>
      <c r="AR66" s="226">
        <f t="shared" si="387"/>
        <v>-2.7323015521435332</v>
      </c>
      <c r="AS66" s="226">
        <f t="shared" si="387"/>
        <v>4.8150604541075168</v>
      </c>
      <c r="AT66" s="226">
        <f t="shared" si="387"/>
        <v>-5.2244857160265026</v>
      </c>
      <c r="AU66" s="226">
        <f t="shared" si="387"/>
        <v>2.6346267165058199</v>
      </c>
      <c r="AV66" s="226">
        <f t="shared" si="387"/>
        <v>-1.9777676255265724</v>
      </c>
      <c r="AW66" s="226">
        <f t="shared" si="387"/>
        <v>-1.849291297998239</v>
      </c>
      <c r="AX66" s="226">
        <f t="shared" si="387"/>
        <v>-1.6568234535405888</v>
      </c>
      <c r="AY66" s="226">
        <f t="shared" si="387"/>
        <v>-4.5118404873533278</v>
      </c>
      <c r="AZ66" s="226">
        <f t="shared" si="387"/>
        <v>-3.7597037551083026</v>
      </c>
      <c r="BA66" s="226">
        <f t="shared" si="387"/>
        <v>-2.8183710115681921</v>
      </c>
      <c r="BB66" s="226">
        <f t="shared" si="387"/>
        <v>-1.7477225552335223</v>
      </c>
      <c r="BC66" s="226">
        <f t="shared" si="387"/>
        <v>-0.60821780548910431</v>
      </c>
      <c r="BD66" s="226">
        <f t="shared" si="387"/>
        <v>0.54159288640556846</v>
      </c>
      <c r="BE66" s="226">
        <f t="shared" si="387"/>
        <v>1.6471239243703371</v>
      </c>
      <c r="BF66" s="226">
        <f t="shared" si="387"/>
        <v>2.6595130355326457</v>
      </c>
      <c r="BG66" s="226">
        <f t="shared" si="387"/>
        <v>4.3357317513616103</v>
      </c>
    </row>
    <row r="67" spans="1:59" x14ac:dyDescent="0.25">
      <c r="C67" t="s">
        <v>660</v>
      </c>
      <c r="D67" s="291" t="s">
        <v>1037</v>
      </c>
      <c r="X67" s="142">
        <v>-3.2291259999999999</v>
      </c>
    </row>
    <row r="68" spans="1:59" x14ac:dyDescent="0.25">
      <c r="B68">
        <v>342</v>
      </c>
      <c r="C68" t="s">
        <v>246</v>
      </c>
      <c r="D68" s="19" t="s">
        <v>248</v>
      </c>
      <c r="E68">
        <f xml:space="preserve"> 385000.56 +E62 / 1000</f>
        <v>405399.46557274106</v>
      </c>
      <c r="F68">
        <f t="shared" ref="F68:Y68" si="388" xml:space="preserve"> 385000.56 +F62 / 1000</f>
        <v>372736.79278592201</v>
      </c>
      <c r="G68">
        <f t="shared" si="388"/>
        <v>402444.81238724402</v>
      </c>
      <c r="H68">
        <f t="shared" si="388"/>
        <v>364898.78988362366</v>
      </c>
      <c r="I68">
        <f t="shared" si="388"/>
        <v>360778.54793976108</v>
      </c>
      <c r="J68">
        <f t="shared" si="388"/>
        <v>383140.96817272907</v>
      </c>
      <c r="K68">
        <f t="shared" si="388"/>
        <v>387921.30096011597</v>
      </c>
      <c r="L68">
        <f t="shared" si="388"/>
        <v>404128.86103227839</v>
      </c>
      <c r="M68">
        <f t="shared" si="388"/>
        <v>368391.55703058449</v>
      </c>
      <c r="N68">
        <f t="shared" si="388"/>
        <v>383117.29265049781</v>
      </c>
      <c r="O68">
        <f t="shared" si="388"/>
        <v>405229.20586209866</v>
      </c>
      <c r="P68">
        <f t="shared" si="388"/>
        <v>386894.15841240535</v>
      </c>
      <c r="Q68">
        <f t="shared" si="388"/>
        <v>402944.3193377509</v>
      </c>
      <c r="R68">
        <f t="shared" si="388"/>
        <v>399859.35357785173</v>
      </c>
      <c r="S68">
        <f t="shared" si="388"/>
        <v>391873.88854107796</v>
      </c>
      <c r="T68">
        <f t="shared" si="388"/>
        <v>400558.73484717577</v>
      </c>
      <c r="U68">
        <f t="shared" si="388"/>
        <v>393781.54106712493</v>
      </c>
      <c r="V68">
        <f t="shared" si="388"/>
        <v>376131.88251074927</v>
      </c>
      <c r="W68">
        <f t="shared" si="388"/>
        <v>395998.3429237805</v>
      </c>
      <c r="X68" s="8">
        <f t="shared" si="388"/>
        <v>368409.68481612689</v>
      </c>
      <c r="Y68">
        <f t="shared" si="388"/>
        <v>373954.76088867488</v>
      </c>
      <c r="Z68">
        <f t="shared" ref="Z68:AA68" si="389" xml:space="preserve"> 385000.56 +Z62 / 1000</f>
        <v>402931.04767881171</v>
      </c>
      <c r="AA68">
        <f t="shared" si="389"/>
        <v>400927.15639443003</v>
      </c>
      <c r="AB68">
        <f t="shared" ref="AB68:AP68" si="390" xml:space="preserve"> 385000.56 +AB62 / 1000</f>
        <v>369671.84196038841</v>
      </c>
      <c r="AC68">
        <f t="shared" si="390"/>
        <v>385960.82215734769</v>
      </c>
      <c r="AD68">
        <f t="shared" si="390"/>
        <v>395754.01916941314</v>
      </c>
      <c r="AE68">
        <f t="shared" si="390"/>
        <v>383473.15801696957</v>
      </c>
      <c r="AF68">
        <f t="shared" si="390"/>
        <v>378436.98856317403</v>
      </c>
      <c r="AG68">
        <f t="shared" si="390"/>
        <v>393373.28934736148</v>
      </c>
      <c r="AH68">
        <f t="shared" si="390"/>
        <v>375583.1591692142</v>
      </c>
      <c r="AI68">
        <f t="shared" si="390"/>
        <v>399137.51106045389</v>
      </c>
      <c r="AJ68">
        <f t="shared" si="390"/>
        <v>368258.18340509507</v>
      </c>
      <c r="AK68">
        <f t="shared" si="390"/>
        <v>372362.30572966934</v>
      </c>
      <c r="AL68">
        <f t="shared" si="390"/>
        <v>393620.17482371093</v>
      </c>
      <c r="AM68">
        <f t="shared" si="390"/>
        <v>371435.04707878933</v>
      </c>
      <c r="AN68">
        <f t="shared" si="390"/>
        <v>372185.0753074034</v>
      </c>
      <c r="AO68">
        <f t="shared" si="390"/>
        <v>371225.50145063578</v>
      </c>
      <c r="AP68">
        <f t="shared" si="390"/>
        <v>388877.5987896783</v>
      </c>
      <c r="AQ68">
        <f t="shared" ref="AQ68:BG68" si="391" xml:space="preserve"> 385000.56 +AQ62 / 1000</f>
        <v>370501.27025101561</v>
      </c>
      <c r="AR68">
        <f t="shared" si="391"/>
        <v>378197.75415506848</v>
      </c>
      <c r="AS68">
        <f t="shared" si="391"/>
        <v>404322.38682933681</v>
      </c>
      <c r="AT68">
        <f t="shared" si="391"/>
        <v>370256.95688304119</v>
      </c>
      <c r="AU68">
        <f t="shared" si="391"/>
        <v>357915.4449425718</v>
      </c>
      <c r="AV68">
        <f t="shared" si="391"/>
        <v>405299.27085649723</v>
      </c>
      <c r="AW68">
        <f t="shared" si="391"/>
        <v>361574.72286336171</v>
      </c>
      <c r="AX68">
        <f t="shared" si="391"/>
        <v>369833.28148531221</v>
      </c>
      <c r="AY68">
        <f t="shared" si="391"/>
        <v>375496.13098356442</v>
      </c>
      <c r="AZ68">
        <f t="shared" si="391"/>
        <v>379447.45203713112</v>
      </c>
      <c r="BA68">
        <f t="shared" si="391"/>
        <v>383341.23541930271</v>
      </c>
      <c r="BB68">
        <f t="shared" si="391"/>
        <v>387081.06330650457</v>
      </c>
      <c r="BC68">
        <f t="shared" si="391"/>
        <v>390620.72102246946</v>
      </c>
      <c r="BD68">
        <f t="shared" si="391"/>
        <v>393938.33894002682</v>
      </c>
      <c r="BE68">
        <f t="shared" si="391"/>
        <v>397010.35749621352</v>
      </c>
      <c r="BF68">
        <f t="shared" si="391"/>
        <v>399790.66594430601</v>
      </c>
      <c r="BG68">
        <f t="shared" si="391"/>
        <v>382893.44371785282</v>
      </c>
    </row>
    <row r="69" spans="1:59" x14ac:dyDescent="0.25">
      <c r="C69" t="s">
        <v>830</v>
      </c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139">
        <v>368409.7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</row>
    <row r="70" spans="1:59" x14ac:dyDescent="0.25">
      <c r="B70">
        <v>337</v>
      </c>
      <c r="C70" t="s">
        <v>197</v>
      </c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</row>
    <row r="71" spans="1:59" x14ac:dyDescent="0.25">
      <c r="C71" t="s">
        <v>249</v>
      </c>
      <c r="D71" s="7" t="s">
        <v>250</v>
      </c>
      <c r="E71" s="17">
        <f t="shared" ref="E71:AJ71" si="392">ASIN(6378.14/E68)*Rad2Deg</f>
        <v>0.90147030742463286</v>
      </c>
      <c r="F71" s="17">
        <f t="shared" si="392"/>
        <v>0.98047294116576544</v>
      </c>
      <c r="G71" s="17">
        <f t="shared" si="392"/>
        <v>0.90808923818295373</v>
      </c>
      <c r="H71" s="17">
        <f t="shared" si="392"/>
        <v>1.0015355605969709</v>
      </c>
      <c r="I71" s="17">
        <f t="shared" si="392"/>
        <v>1.0129747008275229</v>
      </c>
      <c r="J71" s="17">
        <f t="shared" si="392"/>
        <v>0.95384574922532683</v>
      </c>
      <c r="K71" s="17">
        <f t="shared" si="392"/>
        <v>0.94209049468102535</v>
      </c>
      <c r="L71" s="17">
        <f t="shared" si="392"/>
        <v>0.90430481727106005</v>
      </c>
      <c r="M71" s="17">
        <f t="shared" si="392"/>
        <v>0.99203892117714931</v>
      </c>
      <c r="N71" s="17">
        <f t="shared" si="392"/>
        <v>0.95390469953468249</v>
      </c>
      <c r="O71" s="17">
        <f t="shared" si="392"/>
        <v>0.901849097367588</v>
      </c>
      <c r="P71" s="17">
        <f t="shared" si="392"/>
        <v>0.94459182165141731</v>
      </c>
      <c r="Q71" s="17">
        <f t="shared" si="392"/>
        <v>0.90696343797165768</v>
      </c>
      <c r="R71" s="17">
        <f t="shared" si="392"/>
        <v>0.91396136751656121</v>
      </c>
      <c r="S71" s="17">
        <f t="shared" si="392"/>
        <v>0.93258737173588169</v>
      </c>
      <c r="T71" s="17">
        <f t="shared" si="392"/>
        <v>0.91236544290994459</v>
      </c>
      <c r="U71" s="17">
        <f t="shared" si="392"/>
        <v>0.92806910854795877</v>
      </c>
      <c r="V71" s="17">
        <f t="shared" si="392"/>
        <v>0.97162201853792474</v>
      </c>
      <c r="W71" s="17">
        <f t="shared" si="392"/>
        <v>0.92287331972913222</v>
      </c>
      <c r="X71" s="20">
        <f t="shared" si="392"/>
        <v>0.99199010252035424</v>
      </c>
      <c r="Y71" s="17">
        <f t="shared" si="392"/>
        <v>0.97727923726185251</v>
      </c>
      <c r="Z71" s="17">
        <f t="shared" si="392"/>
        <v>0.90699331384003201</v>
      </c>
      <c r="AA71" s="17">
        <f t="shared" si="392"/>
        <v>0.9115269777239402</v>
      </c>
      <c r="AB71" s="17">
        <f t="shared" si="392"/>
        <v>0.98860285001425241</v>
      </c>
      <c r="AC71" s="17">
        <f t="shared" si="392"/>
        <v>0.94687625549872012</v>
      </c>
      <c r="AD71" s="17">
        <f t="shared" si="392"/>
        <v>0.92344311658030043</v>
      </c>
      <c r="AE71" s="17">
        <f t="shared" si="392"/>
        <v>0.95301938862726143</v>
      </c>
      <c r="AF71" s="17">
        <f t="shared" si="392"/>
        <v>0.96570318760404705</v>
      </c>
      <c r="AG71" s="17">
        <f t="shared" si="392"/>
        <v>0.92903236408960299</v>
      </c>
      <c r="AH71" s="17">
        <f t="shared" si="392"/>
        <v>0.97304168524156132</v>
      </c>
      <c r="AI71" s="17">
        <f t="shared" si="392"/>
        <v>0.91561441257327358</v>
      </c>
      <c r="AJ71" s="17">
        <f t="shared" si="392"/>
        <v>0.99239824804087662</v>
      </c>
      <c r="AK71" s="17">
        <f t="shared" ref="AK71:BG71" si="393">ASIN(6378.14/AK68)*Rad2Deg</f>
        <v>0.98145910522930269</v>
      </c>
      <c r="AL71" s="17">
        <f t="shared" si="393"/>
        <v>0.92844960767414098</v>
      </c>
      <c r="AM71" s="17">
        <f t="shared" si="393"/>
        <v>0.98390948197649031</v>
      </c>
      <c r="AN71" s="17">
        <f t="shared" si="393"/>
        <v>0.98192651096544259</v>
      </c>
      <c r="AO71" s="17">
        <f t="shared" si="393"/>
        <v>0.98446492392657892</v>
      </c>
      <c r="AP71" s="17">
        <f t="shared" si="393"/>
        <v>0.93977357028643838</v>
      </c>
      <c r="AQ71" s="17">
        <f t="shared" si="393"/>
        <v>0.98638948032579921</v>
      </c>
      <c r="AR71" s="17">
        <f t="shared" si="393"/>
        <v>0.9663141148986325</v>
      </c>
      <c r="AS71" s="17">
        <f t="shared" si="393"/>
        <v>0.90387194281499106</v>
      </c>
      <c r="AT71" s="17">
        <f t="shared" si="393"/>
        <v>0.98704041197248904</v>
      </c>
      <c r="AU71" s="17">
        <f t="shared" si="393"/>
        <v>1.0210787287420966</v>
      </c>
      <c r="AV71" s="17">
        <f t="shared" si="393"/>
        <v>0.9016931798171528</v>
      </c>
      <c r="AW71" s="17">
        <f t="shared" si="393"/>
        <v>1.0107439342175433</v>
      </c>
      <c r="AX71" s="17">
        <f t="shared" si="393"/>
        <v>0.98817126256049226</v>
      </c>
      <c r="AY71" s="17">
        <f t="shared" si="393"/>
        <v>0.9732672273720866</v>
      </c>
      <c r="AZ71" s="17">
        <f t="shared" si="393"/>
        <v>0.96313129039684797</v>
      </c>
      <c r="BA71" s="17">
        <f t="shared" si="393"/>
        <v>0.95334738985354306</v>
      </c>
      <c r="BB71" s="17">
        <f t="shared" si="393"/>
        <v>0.94413567735407633</v>
      </c>
      <c r="BC71" s="17">
        <f t="shared" si="393"/>
        <v>0.93557951182309806</v>
      </c>
      <c r="BD71" s="17">
        <f t="shared" si="393"/>
        <v>0.92769968021834026</v>
      </c>
      <c r="BE71" s="17">
        <f t="shared" si="393"/>
        <v>0.92052063119214678</v>
      </c>
      <c r="BF71" s="17">
        <f t="shared" si="393"/>
        <v>0.9141184076264357</v>
      </c>
      <c r="BG71" s="17">
        <f t="shared" si="393"/>
        <v>0.95446242728051855</v>
      </c>
    </row>
    <row r="72" spans="1:59" x14ac:dyDescent="0.25"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0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</row>
    <row r="73" spans="1:59" x14ac:dyDescent="0.25">
      <c r="C73" t="s">
        <v>760</v>
      </c>
      <c r="E73" s="17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141">
        <v>0.99199000000000004</v>
      </c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</row>
    <row r="74" spans="1:59" x14ac:dyDescent="0.25">
      <c r="B74">
        <v>343</v>
      </c>
      <c r="C74" t="s">
        <v>342</v>
      </c>
      <c r="D74" s="7" t="s">
        <v>580</v>
      </c>
      <c r="E74" s="226">
        <f>E64+E5/3600</f>
        <v>326.60967264206727</v>
      </c>
      <c r="F74" s="226">
        <f t="shared" ref="F74:AA74" si="394">F64+F5/3600</f>
        <v>239.16740141444279</v>
      </c>
      <c r="G74" s="226">
        <f t="shared" si="394"/>
        <v>223.31484313801616</v>
      </c>
      <c r="H74" s="226">
        <f t="shared" si="394"/>
        <v>84.954410339894935</v>
      </c>
      <c r="I74" s="226">
        <f t="shared" si="394"/>
        <v>270.17655529964469</v>
      </c>
      <c r="J74" s="226">
        <f t="shared" si="394"/>
        <v>10.538673272236043</v>
      </c>
      <c r="K74" s="226">
        <f t="shared" si="394"/>
        <v>49.341813022701551</v>
      </c>
      <c r="L74" s="226">
        <f t="shared" si="394"/>
        <v>146.51468115290044</v>
      </c>
      <c r="M74" s="226">
        <f t="shared" si="394"/>
        <v>272.41727608895445</v>
      </c>
      <c r="N74" s="226">
        <f t="shared" si="394"/>
        <v>104.77121925079707</v>
      </c>
      <c r="O74" s="226">
        <f t="shared" si="394"/>
        <v>229.69173964258948</v>
      </c>
      <c r="P74" s="226">
        <f t="shared" si="394"/>
        <v>40.596408278579595</v>
      </c>
      <c r="Q74" s="226">
        <f t="shared" si="394"/>
        <v>346.83337294181649</v>
      </c>
      <c r="R74" s="226">
        <f t="shared" si="394"/>
        <v>-1.1646929306665572</v>
      </c>
      <c r="S74" s="226">
        <f t="shared" si="394"/>
        <v>181.74555272911306</v>
      </c>
      <c r="T74" s="226">
        <f t="shared" si="394"/>
        <v>204.99575494740861</v>
      </c>
      <c r="U74" s="226">
        <f t="shared" si="394"/>
        <v>156.39363399662244</v>
      </c>
      <c r="V74" s="226">
        <f t="shared" si="394"/>
        <v>117.30411740530674</v>
      </c>
      <c r="W74" s="226">
        <f t="shared" si="394"/>
        <v>150.26893638713057</v>
      </c>
      <c r="X74" s="50">
        <f t="shared" si="394"/>
        <v>133.1672625555054</v>
      </c>
      <c r="Y74" s="226">
        <f t="shared" si="394"/>
        <v>286.23013101134359</v>
      </c>
      <c r="Z74" s="226">
        <f t="shared" si="394"/>
        <v>286.70487596639623</v>
      </c>
      <c r="AA74" s="226">
        <f t="shared" si="394"/>
        <v>217.28444726617184</v>
      </c>
      <c r="AB74" s="226">
        <f t="shared" ref="AB74:AP74" si="395">AB64+AB5/3600</f>
        <v>90.831682061303979</v>
      </c>
      <c r="AC74" s="226">
        <f t="shared" si="395"/>
        <v>41.229184373771716</v>
      </c>
      <c r="AD74" s="226">
        <f t="shared" si="395"/>
        <v>100.40437339850675</v>
      </c>
      <c r="AE74" s="226">
        <f t="shared" si="395"/>
        <v>329.37298672921543</v>
      </c>
      <c r="AF74" s="226">
        <f t="shared" si="395"/>
        <v>219.46955441130601</v>
      </c>
      <c r="AG74" s="226">
        <f t="shared" si="395"/>
        <v>34.294651123965366</v>
      </c>
      <c r="AH74" s="226">
        <f t="shared" si="395"/>
        <v>162.88402268242601</v>
      </c>
      <c r="AI74" s="226">
        <f t="shared" si="395"/>
        <v>345.99776055718331</v>
      </c>
      <c r="AJ74" s="226">
        <f t="shared" si="395"/>
        <v>149.99203755537764</v>
      </c>
      <c r="AK74" s="226">
        <f t="shared" si="395"/>
        <v>198.80657079008418</v>
      </c>
      <c r="AL74" s="226">
        <f t="shared" si="395"/>
        <v>188.16585358007742</v>
      </c>
      <c r="AM74" s="226">
        <f t="shared" si="395"/>
        <v>137.00861646960379</v>
      </c>
      <c r="AN74" s="226">
        <f t="shared" si="395"/>
        <v>32.64786750329322</v>
      </c>
      <c r="AO74" s="226">
        <f t="shared" si="395"/>
        <v>160.40752177592231</v>
      </c>
      <c r="AP74" s="226">
        <f t="shared" si="395"/>
        <v>178.47348772267927</v>
      </c>
      <c r="AQ74" s="226">
        <f t="shared" ref="AQ74:BG74" si="396">AQ64+AQ5/3600</f>
        <v>274.46179641737223</v>
      </c>
      <c r="AR74" s="226">
        <f t="shared" si="396"/>
        <v>11.996737559650928</v>
      </c>
      <c r="AS74" s="226">
        <f t="shared" si="396"/>
        <v>109.85209133449776</v>
      </c>
      <c r="AT74" s="226">
        <f t="shared" si="396"/>
        <v>304.89583987843713</v>
      </c>
      <c r="AU74" s="226">
        <f t="shared" si="396"/>
        <v>67.647368857429228</v>
      </c>
      <c r="AV74" s="226">
        <f t="shared" si="396"/>
        <v>147.79608493749282</v>
      </c>
      <c r="AW74" s="226">
        <f t="shared" si="396"/>
        <v>280.63629961923675</v>
      </c>
      <c r="AX74" s="226">
        <f t="shared" si="396"/>
        <v>211.32642965959243</v>
      </c>
      <c r="AY74" s="226">
        <f t="shared" si="396"/>
        <v>343.75793652100202</v>
      </c>
      <c r="AZ74" s="226">
        <f t="shared" si="396"/>
        <v>357.36919880940928</v>
      </c>
      <c r="BA74" s="226">
        <f t="shared" si="396"/>
        <v>10.690253538332538</v>
      </c>
      <c r="BB74" s="226">
        <f t="shared" si="396"/>
        <v>23.747973664232415</v>
      </c>
      <c r="BC74" s="226">
        <f t="shared" si="396"/>
        <v>36.572772492542406</v>
      </c>
      <c r="BD74" s="226">
        <f t="shared" si="396"/>
        <v>49.193502912500165</v>
      </c>
      <c r="BE74" s="226">
        <f t="shared" si="396"/>
        <v>61.635085090383726</v>
      </c>
      <c r="BF74" s="226">
        <f t="shared" si="396"/>
        <v>73.918648678471556</v>
      </c>
      <c r="BG74" s="226">
        <f t="shared" si="396"/>
        <v>327.35755923709297</v>
      </c>
    </row>
    <row r="75" spans="1:59" x14ac:dyDescent="0.25">
      <c r="X75" s="142">
        <v>133.16726499999999</v>
      </c>
      <c r="Y75" s="142">
        <f>INT(X75)</f>
        <v>133</v>
      </c>
      <c r="Z75" s="142">
        <f>INT((X75-Y75)*60)</f>
        <v>10</v>
      </c>
      <c r="AA75" s="142">
        <f>((X75-Y75)-Z75/60)*3600</f>
        <v>2.1539999999504622</v>
      </c>
      <c r="AB75" s="142">
        <f t="shared" ref="AB75:AP75" si="397">((Y75-Z75)-AA75/60)*3600</f>
        <v>442670.76000000298</v>
      </c>
      <c r="AC75" s="142">
        <f t="shared" si="397"/>
        <v>-26532000</v>
      </c>
      <c r="AD75" s="142">
        <f t="shared" si="397"/>
        <v>-1686981.6000110004</v>
      </c>
      <c r="AE75" s="142">
        <f t="shared" si="397"/>
        <v>97210033632.000656</v>
      </c>
      <c r="AF75" s="142">
        <f t="shared" si="397"/>
        <v>-5922044084160</v>
      </c>
      <c r="AG75" s="142">
        <f t="shared" si="397"/>
        <v>5360450840637.6162</v>
      </c>
      <c r="AH75" s="142">
        <f t="shared" si="397"/>
        <v>2.1347687773612948E+16</v>
      </c>
      <c r="AI75" s="142">
        <f t="shared" si="397"/>
        <v>-1.3214782481460483E+18</v>
      </c>
      <c r="AJ75" s="142">
        <f t="shared" si="397"/>
        <v>2.456316526782571E+18</v>
      </c>
      <c r="AK75" s="142">
        <f t="shared" si="397"/>
        <v>4.6867943777038269E+21</v>
      </c>
      <c r="AL75" s="142">
        <f t="shared" si="397"/>
        <v>-2.9480772385197265E+23</v>
      </c>
      <c r="AM75" s="142">
        <f t="shared" si="397"/>
        <v>8.2484641088099716E+23</v>
      </c>
      <c r="AN75" s="142">
        <f t="shared" si="397"/>
        <v>1.0286894809739754E+27</v>
      </c>
      <c r="AO75" s="142">
        <f t="shared" si="397"/>
        <v>-6.575212374347722E+28</v>
      </c>
      <c r="AP75" s="142">
        <f t="shared" si="397"/>
        <v>2.4481474018149312E+29</v>
      </c>
      <c r="AQ75" s="142">
        <f t="shared" ref="AQ75" si="398">((AN75-AO75)-AP75/60)*3600</f>
        <v>2.2572204319713473E+32</v>
      </c>
      <c r="AR75" s="142">
        <f t="shared" ref="AR75" si="399">((AO75-AP75)-AQ75/60)*3600</f>
        <v>-1.4661363301957977E+34</v>
      </c>
      <c r="AS75" s="142">
        <f t="shared" ref="AS75" si="400">((AP75-AQ75)-AR75/60)*3600</f>
        <v>6.796377567244697E+34</v>
      </c>
      <c r="AT75" s="142">
        <f t="shared" ref="AT75" si="401">((AQ75-AR75)-AS75/60)*3600</f>
        <v>4.9515680702211582E+37</v>
      </c>
      <c r="AU75" s="142">
        <f t="shared" ref="AU75" si="402">((AR75-AS75)-AT75/60)*3600</f>
        <v>-3.2683913424405529E+39</v>
      </c>
      <c r="AV75" s="142">
        <f t="shared" ref="AV75" si="403">((AS75-AT75)-AU75/60)*3600</f>
        <v>1.809169961089227E+40</v>
      </c>
      <c r="AW75" s="142">
        <f t="shared" ref="AW75" si="404">((AT75-AU75)-AV75/60)*3600</f>
        <v>1.0858963306660415E+43</v>
      </c>
      <c r="AX75" s="142">
        <f t="shared" ref="AX75" si="405">((AU75-AV75)-AW75/60)*3600</f>
        <v>-7.2843412583162311E+44</v>
      </c>
      <c r="AY75" s="142">
        <f t="shared" ref="AY75" si="406">((AV75-AW75)-AX75/60)*3600</f>
        <v>4.6789097645191046E+45</v>
      </c>
      <c r="AZ75" s="142">
        <f t="shared" ref="AZ75" si="407">((AW75-AX75)-AY75/60)*3600</f>
        <v>2.3807205350266746E+48</v>
      </c>
      <c r="BA75" s="142">
        <f t="shared" ref="BA75" si="408">((AX75-AY75)-AZ75/60)*3600</f>
        <v>-1.623096701068631E+50</v>
      </c>
      <c r="BB75" s="142">
        <f t="shared" ref="BB75" si="409">((AY75-AZ75)-BA75/60)*3600</f>
        <v>1.1848303554680255E+51</v>
      </c>
      <c r="BC75" s="142">
        <f t="shared" ref="BC75" si="410">((AZ75-BA75)-BB75/60)*3600</f>
        <v>5.2179558498272162E+53</v>
      </c>
      <c r="BD75" s="142">
        <f t="shared" ref="BD75" si="411">((BA75-BB75)-BC75/60)*3600</f>
        <v>-3.6157439191032897E+55</v>
      </c>
      <c r="BE75" s="142">
        <f t="shared" ref="BE75" si="412">((BB75-BC75)-BD75/60)*3600</f>
        <v>2.9524763480386073E+56</v>
      </c>
      <c r="BF75" s="142">
        <f t="shared" ref="BF75" si="413">((BC75-BD75)-BE75/60)*3600</f>
        <v>1.1433038710542459E+59</v>
      </c>
      <c r="BG75" s="142">
        <f t="shared" ref="BG75" si="414">((BD75-BE75)-BF75/60)*3600</f>
        <v>-8.0528814927070916E+60</v>
      </c>
    </row>
    <row r="76" spans="1:59" x14ac:dyDescent="0.25">
      <c r="X76" s="39">
        <f>X61</f>
        <v>-3229126</v>
      </c>
    </row>
    <row r="77" spans="1:59" x14ac:dyDescent="0.25">
      <c r="X77" s="39">
        <f>X76-X60</f>
        <v>-126.65501668676734</v>
      </c>
      <c r="Y77">
        <f>Y61/2</f>
        <v>63.32750834338367</v>
      </c>
    </row>
    <row r="78" spans="1:59" x14ac:dyDescent="0.25">
      <c r="X78" t="s">
        <v>344</v>
      </c>
    </row>
    <row r="79" spans="1:59" x14ac:dyDescent="0.25">
      <c r="A79">
        <v>13.3</v>
      </c>
      <c r="B79">
        <v>343</v>
      </c>
      <c r="C79" t="s">
        <v>349</v>
      </c>
      <c r="Y79" s="245" t="s">
        <v>351</v>
      </c>
    </row>
    <row r="80" spans="1:59" x14ac:dyDescent="0.25">
      <c r="C80" t="s">
        <v>196</v>
      </c>
      <c r="D80" s="7" t="s">
        <v>281</v>
      </c>
      <c r="E80">
        <f t="shared" ref="E80:AJ80" si="415">ATAN2( ( COS(E64*Deg2Rad) ),  ( SIN(E64*Deg2Rad)*COS(E4*Deg2Rad)-TAN(E66*Deg2Rad)*SIN(E4*Deg2Rad) )  )*Rad2Deg</f>
        <v>-32.887404397622632</v>
      </c>
      <c r="F80">
        <f t="shared" si="415"/>
        <v>-124.36492307071879</v>
      </c>
      <c r="G80">
        <f t="shared" si="415"/>
        <v>-137.55252621803496</v>
      </c>
      <c r="H80">
        <f t="shared" si="415"/>
        <v>84.681750165959627</v>
      </c>
      <c r="I80">
        <f t="shared" si="415"/>
        <v>-89.799174969460495</v>
      </c>
      <c r="J80">
        <f t="shared" si="415"/>
        <v>9.6024587576242428</v>
      </c>
      <c r="K80">
        <f t="shared" si="415"/>
        <v>45.657812396745626</v>
      </c>
      <c r="L80">
        <f t="shared" si="415"/>
        <v>149.37545348184392</v>
      </c>
      <c r="M80">
        <f t="shared" si="415"/>
        <v>-87.392512116245356</v>
      </c>
      <c r="N80">
        <f t="shared" si="415"/>
        <v>106.20652932150479</v>
      </c>
      <c r="O80">
        <f t="shared" si="415"/>
        <v>-133.99151789805543</v>
      </c>
      <c r="P80">
        <f t="shared" si="415"/>
        <v>36.546521311897365</v>
      </c>
      <c r="Q80">
        <f t="shared" si="415"/>
        <v>-10.73126774293724</v>
      </c>
      <c r="R80">
        <f t="shared" si="415"/>
        <v>0.61515050235651858</v>
      </c>
      <c r="S80">
        <f t="shared" si="415"/>
        <v>-178.33256269782186</v>
      </c>
      <c r="T80">
        <f t="shared" si="415"/>
        <v>-156.25039347926165</v>
      </c>
      <c r="U80">
        <f t="shared" si="415"/>
        <v>156.97770798276068</v>
      </c>
      <c r="V80">
        <f t="shared" si="415"/>
        <v>120.42321600119969</v>
      </c>
      <c r="W80">
        <f t="shared" si="415"/>
        <v>153.61696393129196</v>
      </c>
      <c r="X80">
        <f t="shared" si="415"/>
        <v>134.68395657612129</v>
      </c>
      <c r="Y80">
        <f t="shared" si="415"/>
        <v>-73.029003133773188</v>
      </c>
      <c r="Z80">
        <f t="shared" si="415"/>
        <v>-71.252590420803941</v>
      </c>
      <c r="AA80">
        <f t="shared" si="415"/>
        <v>-143.33507797274262</v>
      </c>
      <c r="AB80">
        <f t="shared" si="415"/>
        <v>90.910153336424543</v>
      </c>
      <c r="AC80">
        <f t="shared" si="415"/>
        <v>39.956777402054492</v>
      </c>
      <c r="AD80">
        <f t="shared" si="415"/>
        <v>101.75165890442416</v>
      </c>
      <c r="AE80">
        <f t="shared" si="415"/>
        <v>-30.006725904336029</v>
      </c>
      <c r="AF80">
        <f t="shared" si="415"/>
        <v>-144.11635375840672</v>
      </c>
      <c r="AG80">
        <f t="shared" si="415"/>
        <v>30.686838250907879</v>
      </c>
      <c r="AH80">
        <f t="shared" si="415"/>
        <v>162.80858495542043</v>
      </c>
      <c r="AI80">
        <f t="shared" si="415"/>
        <v>-14.729410718382905</v>
      </c>
      <c r="AJ80">
        <f t="shared" si="415"/>
        <v>150.28191888288598</v>
      </c>
      <c r="AK80">
        <f t="shared" ref="AK80:BG80" si="416">ATAN2( ( COS(AK64*Deg2Rad) ),  ( SIN(AK64*Deg2Rad)*COS(AK4*Deg2Rad)-TAN(AK66*Deg2Rad)*SIN(AK4*Deg2Rad) )  )*Rad2Deg</f>
        <v>-161.73727071356052</v>
      </c>
      <c r="AL80">
        <f t="shared" si="416"/>
        <v>-174.29408774598204</v>
      </c>
      <c r="AM80">
        <f t="shared" si="416"/>
        <v>139.81322568299402</v>
      </c>
      <c r="AN80">
        <f t="shared" si="416"/>
        <v>32.186809944975131</v>
      </c>
      <c r="AO80">
        <f t="shared" si="416"/>
        <v>160.02634002684417</v>
      </c>
      <c r="AP80">
        <f t="shared" si="416"/>
        <v>-179.93274804133139</v>
      </c>
      <c r="AQ80">
        <f t="shared" si="416"/>
        <v>-84.982266154594384</v>
      </c>
      <c r="AR80">
        <f t="shared" si="416"/>
        <v>12.102649603112011</v>
      </c>
      <c r="AS80">
        <f t="shared" si="416"/>
        <v>112.26886161512259</v>
      </c>
      <c r="AT80">
        <f t="shared" si="416"/>
        <v>-51.377079863583155</v>
      </c>
      <c r="AU80">
        <f t="shared" si="416"/>
        <v>65.383517024343135</v>
      </c>
      <c r="AV80">
        <f t="shared" si="416"/>
        <v>149.28607025736039</v>
      </c>
      <c r="AW80">
        <f t="shared" si="416"/>
        <v>-78.272989887777115</v>
      </c>
      <c r="AX80">
        <f t="shared" si="416"/>
        <v>-151.41612640797487</v>
      </c>
      <c r="AY80">
        <f t="shared" si="416"/>
        <v>-13.199408896795308</v>
      </c>
      <c r="AZ80">
        <f t="shared" si="416"/>
        <v>-0.91309354654178276</v>
      </c>
      <c r="BA80">
        <f t="shared" si="416"/>
        <v>10.933902088976993</v>
      </c>
      <c r="BB80">
        <f t="shared" si="416"/>
        <v>22.635707063396541</v>
      </c>
      <c r="BC80">
        <f t="shared" si="416"/>
        <v>34.452241341148401</v>
      </c>
      <c r="BD80">
        <f t="shared" si="416"/>
        <v>46.588687459940637</v>
      </c>
      <c r="BE80">
        <f t="shared" si="416"/>
        <v>59.169850740914768</v>
      </c>
      <c r="BF80">
        <f t="shared" si="416"/>
        <v>72.210461144646672</v>
      </c>
      <c r="BG80">
        <f t="shared" si="416"/>
        <v>-31.947110197901029</v>
      </c>
    </row>
    <row r="81" spans="1:59" x14ac:dyDescent="0.25">
      <c r="C81" t="s">
        <v>821</v>
      </c>
      <c r="E81" s="71">
        <f t="shared" ref="E81:W81" si="417">INT(E80/15)</f>
        <v>-3</v>
      </c>
      <c r="F81" s="71">
        <f t="shared" si="417"/>
        <v>-9</v>
      </c>
      <c r="G81" s="71">
        <f t="shared" si="417"/>
        <v>-10</v>
      </c>
      <c r="H81" s="71">
        <f t="shared" si="417"/>
        <v>5</v>
      </c>
      <c r="I81" s="71">
        <f t="shared" si="417"/>
        <v>-6</v>
      </c>
      <c r="J81" s="71">
        <f t="shared" si="417"/>
        <v>0</v>
      </c>
      <c r="K81" s="71">
        <f t="shared" si="417"/>
        <v>3</v>
      </c>
      <c r="L81" s="71">
        <f t="shared" si="417"/>
        <v>9</v>
      </c>
      <c r="M81" s="71">
        <f t="shared" si="417"/>
        <v>-6</v>
      </c>
      <c r="N81" s="71">
        <f t="shared" si="417"/>
        <v>7</v>
      </c>
      <c r="O81" s="71">
        <f t="shared" si="417"/>
        <v>-9</v>
      </c>
      <c r="P81" s="71">
        <f t="shared" si="417"/>
        <v>2</v>
      </c>
      <c r="Q81" s="71">
        <f t="shared" si="417"/>
        <v>-1</v>
      </c>
      <c r="R81" s="71">
        <f t="shared" si="417"/>
        <v>0</v>
      </c>
      <c r="S81" s="71">
        <f t="shared" si="417"/>
        <v>-12</v>
      </c>
      <c r="T81" s="71">
        <f t="shared" si="417"/>
        <v>-11</v>
      </c>
      <c r="U81" s="71">
        <f t="shared" si="417"/>
        <v>10</v>
      </c>
      <c r="V81" s="71">
        <f t="shared" si="417"/>
        <v>8</v>
      </c>
      <c r="W81" s="71">
        <f t="shared" si="417"/>
        <v>10</v>
      </c>
      <c r="X81" s="71">
        <f>INT(X80/15)</f>
        <v>8</v>
      </c>
      <c r="Y81" s="71">
        <f>INT(Y80/15)</f>
        <v>-5</v>
      </c>
      <c r="Z81" s="71">
        <f t="shared" ref="Z81:AP81" si="418">INT(Z80/15)</f>
        <v>-5</v>
      </c>
      <c r="AA81" s="71">
        <f t="shared" si="418"/>
        <v>-10</v>
      </c>
      <c r="AB81" s="71">
        <f t="shared" si="418"/>
        <v>6</v>
      </c>
      <c r="AC81" s="71">
        <f t="shared" si="418"/>
        <v>2</v>
      </c>
      <c r="AD81" s="71">
        <f t="shared" si="418"/>
        <v>6</v>
      </c>
      <c r="AE81" s="71">
        <f t="shared" si="418"/>
        <v>-3</v>
      </c>
      <c r="AF81" s="71">
        <f t="shared" si="418"/>
        <v>-10</v>
      </c>
      <c r="AG81" s="71">
        <f t="shared" si="418"/>
        <v>2</v>
      </c>
      <c r="AH81" s="71">
        <f t="shared" si="418"/>
        <v>10</v>
      </c>
      <c r="AI81" s="71">
        <f t="shared" si="418"/>
        <v>-1</v>
      </c>
      <c r="AJ81" s="71">
        <f t="shared" si="418"/>
        <v>10</v>
      </c>
      <c r="AK81" s="71">
        <f t="shared" si="418"/>
        <v>-11</v>
      </c>
      <c r="AL81" s="71">
        <f t="shared" si="418"/>
        <v>-12</v>
      </c>
      <c r="AM81" s="71">
        <f t="shared" si="418"/>
        <v>9</v>
      </c>
      <c r="AN81" s="71">
        <f t="shared" si="418"/>
        <v>2</v>
      </c>
      <c r="AO81" s="71">
        <f t="shared" si="418"/>
        <v>10</v>
      </c>
      <c r="AP81" s="71">
        <f t="shared" si="418"/>
        <v>-12</v>
      </c>
      <c r="AQ81" s="71">
        <f t="shared" ref="AQ81" si="419">INT(AQ80/15)</f>
        <v>-6</v>
      </c>
      <c r="AR81" s="71">
        <f t="shared" ref="AR81" si="420">INT(AR80/15)</f>
        <v>0</v>
      </c>
      <c r="AS81" s="71">
        <f t="shared" ref="AS81" si="421">INT(AS80/15)</f>
        <v>7</v>
      </c>
      <c r="AT81" s="71">
        <f t="shared" ref="AT81" si="422">INT(AT80/15)</f>
        <v>-4</v>
      </c>
      <c r="AU81" s="71">
        <f t="shared" ref="AU81" si="423">INT(AU80/15)</f>
        <v>4</v>
      </c>
      <c r="AV81" s="71">
        <f t="shared" ref="AV81" si="424">INT(AV80/15)</f>
        <v>9</v>
      </c>
      <c r="AW81" s="71">
        <f t="shared" ref="AW81" si="425">INT(AW80/15)</f>
        <v>-6</v>
      </c>
      <c r="AX81" s="71">
        <f t="shared" ref="AX81" si="426">INT(AX80/15)</f>
        <v>-11</v>
      </c>
      <c r="AY81" s="71">
        <f t="shared" ref="AY81" si="427">INT(AY80/15)</f>
        <v>-1</v>
      </c>
      <c r="AZ81" s="71">
        <f t="shared" ref="AZ81" si="428">INT(AZ80/15)</f>
        <v>-1</v>
      </c>
      <c r="BA81" s="71">
        <f t="shared" ref="BA81" si="429">INT(BA80/15)</f>
        <v>0</v>
      </c>
      <c r="BB81" s="71">
        <f t="shared" ref="BB81" si="430">INT(BB80/15)</f>
        <v>1</v>
      </c>
      <c r="BC81" s="71">
        <f t="shared" ref="BC81" si="431">INT(BC80/15)</f>
        <v>2</v>
      </c>
      <c r="BD81" s="71">
        <f t="shared" ref="BD81" si="432">INT(BD80/15)</f>
        <v>3</v>
      </c>
      <c r="BE81" s="71">
        <f t="shared" ref="BE81" si="433">INT(BE80/15)</f>
        <v>3</v>
      </c>
      <c r="BF81" s="71">
        <f t="shared" ref="BF81" si="434">INT(BF80/15)</f>
        <v>4</v>
      </c>
      <c r="BG81" s="71">
        <f t="shared" ref="BG81" si="435">INT(BG80/15)</f>
        <v>-3</v>
      </c>
    </row>
    <row r="82" spans="1:59" x14ac:dyDescent="0.25">
      <c r="E82" s="71">
        <f t="shared" ref="E82:W82" si="436">INT((E80/15-E81)*60)</f>
        <v>48</v>
      </c>
      <c r="F82" s="71">
        <f t="shared" si="436"/>
        <v>42</v>
      </c>
      <c r="G82" s="71">
        <f t="shared" si="436"/>
        <v>49</v>
      </c>
      <c r="H82" s="71">
        <f t="shared" si="436"/>
        <v>38</v>
      </c>
      <c r="I82" s="71">
        <f t="shared" si="436"/>
        <v>0</v>
      </c>
      <c r="J82" s="71">
        <f t="shared" si="436"/>
        <v>38</v>
      </c>
      <c r="K82" s="71">
        <f t="shared" si="436"/>
        <v>2</v>
      </c>
      <c r="L82" s="71">
        <f t="shared" si="436"/>
        <v>57</v>
      </c>
      <c r="M82" s="71">
        <f t="shared" si="436"/>
        <v>10</v>
      </c>
      <c r="N82" s="71">
        <f t="shared" si="436"/>
        <v>4</v>
      </c>
      <c r="O82" s="71">
        <f t="shared" si="436"/>
        <v>4</v>
      </c>
      <c r="P82" s="71">
        <f t="shared" si="436"/>
        <v>26</v>
      </c>
      <c r="Q82" s="71">
        <f t="shared" si="436"/>
        <v>17</v>
      </c>
      <c r="R82" s="71">
        <f t="shared" si="436"/>
        <v>2</v>
      </c>
      <c r="S82" s="71">
        <f t="shared" si="436"/>
        <v>6</v>
      </c>
      <c r="T82" s="71">
        <f t="shared" si="436"/>
        <v>34</v>
      </c>
      <c r="U82" s="71">
        <f t="shared" si="436"/>
        <v>27</v>
      </c>
      <c r="V82" s="71">
        <f t="shared" si="436"/>
        <v>1</v>
      </c>
      <c r="W82" s="71">
        <f t="shared" si="436"/>
        <v>14</v>
      </c>
      <c r="X82" s="71">
        <f>INT((X80/15-X81)*60)</f>
        <v>58</v>
      </c>
      <c r="Y82" s="71">
        <f>INT((Y80/15-Y81)*60)</f>
        <v>7</v>
      </c>
      <c r="Z82" s="71">
        <f t="shared" ref="Z82:AP82" si="437">INT((Z80/15-Z81)*60)</f>
        <v>14</v>
      </c>
      <c r="AA82" s="71">
        <f t="shared" si="437"/>
        <v>26</v>
      </c>
      <c r="AB82" s="71">
        <f t="shared" si="437"/>
        <v>3</v>
      </c>
      <c r="AC82" s="71">
        <f t="shared" si="437"/>
        <v>39</v>
      </c>
      <c r="AD82" s="71">
        <f t="shared" si="437"/>
        <v>47</v>
      </c>
      <c r="AE82" s="71">
        <f t="shared" si="437"/>
        <v>59</v>
      </c>
      <c r="AF82" s="71">
        <f t="shared" si="437"/>
        <v>23</v>
      </c>
      <c r="AG82" s="71">
        <f t="shared" si="437"/>
        <v>2</v>
      </c>
      <c r="AH82" s="71">
        <f t="shared" si="437"/>
        <v>51</v>
      </c>
      <c r="AI82" s="71">
        <f t="shared" si="437"/>
        <v>1</v>
      </c>
      <c r="AJ82" s="71">
        <f t="shared" si="437"/>
        <v>1</v>
      </c>
      <c r="AK82" s="71">
        <f t="shared" si="437"/>
        <v>13</v>
      </c>
      <c r="AL82" s="71">
        <f t="shared" si="437"/>
        <v>22</v>
      </c>
      <c r="AM82" s="71">
        <f t="shared" si="437"/>
        <v>19</v>
      </c>
      <c r="AN82" s="71">
        <f t="shared" si="437"/>
        <v>8</v>
      </c>
      <c r="AO82" s="71">
        <f t="shared" si="437"/>
        <v>40</v>
      </c>
      <c r="AP82" s="71">
        <f t="shared" si="437"/>
        <v>0</v>
      </c>
      <c r="AQ82" s="71">
        <f t="shared" ref="AQ82" si="438">INT((AQ80/15-AQ81)*60)</f>
        <v>20</v>
      </c>
      <c r="AR82" s="71">
        <f t="shared" ref="AR82" si="439">INT((AR80/15-AR81)*60)</f>
        <v>48</v>
      </c>
      <c r="AS82" s="71">
        <f t="shared" ref="AS82" si="440">INT((AS80/15-AS81)*60)</f>
        <v>29</v>
      </c>
      <c r="AT82" s="71">
        <f t="shared" ref="AT82" si="441">INT((AT80/15-AT81)*60)</f>
        <v>34</v>
      </c>
      <c r="AU82" s="71">
        <f t="shared" ref="AU82" si="442">INT((AU80/15-AU81)*60)</f>
        <v>21</v>
      </c>
      <c r="AV82" s="71">
        <f t="shared" ref="AV82" si="443">INT((AV80/15-AV81)*60)</f>
        <v>57</v>
      </c>
      <c r="AW82" s="71">
        <f t="shared" ref="AW82" si="444">INT((AW80/15-AW81)*60)</f>
        <v>46</v>
      </c>
      <c r="AX82" s="71">
        <f t="shared" ref="AX82" si="445">INT((AX80/15-AX81)*60)</f>
        <v>54</v>
      </c>
      <c r="AY82" s="71">
        <f t="shared" ref="AY82" si="446">INT((AY80/15-AY81)*60)</f>
        <v>7</v>
      </c>
      <c r="AZ82" s="71">
        <f t="shared" ref="AZ82" si="447">INT((AZ80/15-AZ81)*60)</f>
        <v>56</v>
      </c>
      <c r="BA82" s="71">
        <f t="shared" ref="BA82" si="448">INT((BA80/15-BA81)*60)</f>
        <v>43</v>
      </c>
      <c r="BB82" s="71">
        <f t="shared" ref="BB82" si="449">INT((BB80/15-BB81)*60)</f>
        <v>30</v>
      </c>
      <c r="BC82" s="71">
        <f t="shared" ref="BC82" si="450">INT((BC80/15-BC81)*60)</f>
        <v>17</v>
      </c>
      <c r="BD82" s="71">
        <f t="shared" ref="BD82" si="451">INT((BD80/15-BD81)*60)</f>
        <v>6</v>
      </c>
      <c r="BE82" s="71">
        <f t="shared" ref="BE82" si="452">INT((BE80/15-BE81)*60)</f>
        <v>56</v>
      </c>
      <c r="BF82" s="71">
        <f t="shared" ref="BF82" si="453">INT((BF80/15-BF81)*60)</f>
        <v>48</v>
      </c>
      <c r="BG82" s="71">
        <f t="shared" ref="BG82" si="454">INT((BG80/15-BG81)*60)</f>
        <v>52</v>
      </c>
    </row>
    <row r="83" spans="1:59" x14ac:dyDescent="0.25">
      <c r="E83" s="175">
        <f t="shared" ref="E83:W83" si="455">(((E80/15-E81)*60) - INT((E80/15-E81)*60))*60</f>
        <v>27.022944570568797</v>
      </c>
      <c r="F83" s="175">
        <f t="shared" si="455"/>
        <v>32.418463027489537</v>
      </c>
      <c r="G83" s="175">
        <f t="shared" si="455"/>
        <v>47.393707671613186</v>
      </c>
      <c r="H83" s="175">
        <f t="shared" si="455"/>
        <v>43.620039830309736</v>
      </c>
      <c r="I83" s="175">
        <f t="shared" si="455"/>
        <v>48.19800732948103</v>
      </c>
      <c r="J83" s="175">
        <f t="shared" si="455"/>
        <v>24.590101829818281</v>
      </c>
      <c r="K83" s="175">
        <f t="shared" si="455"/>
        <v>37.874975218951086</v>
      </c>
      <c r="L83" s="175">
        <f t="shared" si="455"/>
        <v>30.108835642542005</v>
      </c>
      <c r="M83" s="175">
        <f t="shared" si="455"/>
        <v>25.797092101115737</v>
      </c>
      <c r="N83" s="175">
        <f t="shared" si="455"/>
        <v>49.567037161149088</v>
      </c>
      <c r="O83" s="175">
        <f t="shared" si="455"/>
        <v>2.0357044666978652</v>
      </c>
      <c r="P83" s="175">
        <f t="shared" si="455"/>
        <v>11.165114855366767</v>
      </c>
      <c r="Q83" s="175">
        <f t="shared" si="455"/>
        <v>4.4957416950624918</v>
      </c>
      <c r="R83" s="175">
        <f t="shared" si="455"/>
        <v>27.636120565564461</v>
      </c>
      <c r="S83" s="175">
        <f t="shared" si="455"/>
        <v>40.184952522754855</v>
      </c>
      <c r="T83" s="175">
        <f t="shared" si="455"/>
        <v>59.90556497720533</v>
      </c>
      <c r="U83" s="175">
        <f t="shared" si="455"/>
        <v>54.649915862560334</v>
      </c>
      <c r="V83" s="175">
        <f t="shared" si="455"/>
        <v>41.571840287927984</v>
      </c>
      <c r="W83" s="175">
        <f t="shared" si="455"/>
        <v>28.071343510070648</v>
      </c>
      <c r="X83" s="175">
        <f>(((X80/15-X81)*60) - INT((X80/15-X81)*60))*60</f>
        <v>44.149578269112482</v>
      </c>
      <c r="Y83" s="175">
        <f>(((Y80/15-Y81)*60) - INT((Y80/15-Y81)*60))*60</f>
        <v>53.039247894435633</v>
      </c>
      <c r="Z83" s="175">
        <f t="shared" ref="Z83:AP83" si="456">(((Z80/15-Z81)*60) - INT((Z80/15-Z81)*60))*60</f>
        <v>59.378299007054238</v>
      </c>
      <c r="AA83" s="175">
        <f t="shared" si="456"/>
        <v>39.581286541771874</v>
      </c>
      <c r="AB83" s="175">
        <f t="shared" si="456"/>
        <v>38.436800741888959</v>
      </c>
      <c r="AC83" s="175">
        <f t="shared" si="456"/>
        <v>49.626576493078431</v>
      </c>
      <c r="AD83" s="175">
        <f t="shared" si="456"/>
        <v>0.39813706179870678</v>
      </c>
      <c r="AE83" s="175">
        <f t="shared" si="456"/>
        <v>58.385782959353776</v>
      </c>
      <c r="AF83" s="175">
        <f t="shared" si="456"/>
        <v>32.075097982389593</v>
      </c>
      <c r="AG83" s="175">
        <f t="shared" si="456"/>
        <v>44.841180217890582</v>
      </c>
      <c r="AH83" s="175">
        <f t="shared" si="456"/>
        <v>14.060389300901619</v>
      </c>
      <c r="AI83" s="175">
        <f t="shared" si="456"/>
        <v>4.941427588102707</v>
      </c>
      <c r="AJ83" s="175">
        <f t="shared" si="456"/>
        <v>7.660531892632747</v>
      </c>
      <c r="AK83" s="175">
        <f t="shared" si="456"/>
        <v>3.055028745474857</v>
      </c>
      <c r="AL83" s="175">
        <f t="shared" si="456"/>
        <v>49.418940964312981</v>
      </c>
      <c r="AM83" s="175">
        <f t="shared" si="456"/>
        <v>15.174163918562158</v>
      </c>
      <c r="AN83" s="175">
        <f t="shared" si="456"/>
        <v>44.834386794032248</v>
      </c>
      <c r="AO83" s="175">
        <f t="shared" si="456"/>
        <v>6.3216064426022456</v>
      </c>
      <c r="AP83" s="175">
        <f t="shared" si="456"/>
        <v>16.140470080465974</v>
      </c>
      <c r="AQ83" s="175">
        <f t="shared" ref="AQ83:BG83" si="457">(((AQ80/15-AQ81)*60) - INT((AQ80/15-AQ81)*60))*60</f>
        <v>4.2561228973479359</v>
      </c>
      <c r="AR83" s="175">
        <f t="shared" si="457"/>
        <v>24.635904746882744</v>
      </c>
      <c r="AS83" s="175">
        <f t="shared" si="457"/>
        <v>4.5267876294227705</v>
      </c>
      <c r="AT83" s="175">
        <f t="shared" si="457"/>
        <v>29.500832740042284</v>
      </c>
      <c r="AU83" s="175">
        <f t="shared" si="457"/>
        <v>32.04408584235324</v>
      </c>
      <c r="AV83" s="175">
        <f t="shared" si="457"/>
        <v>8.6568617664947567</v>
      </c>
      <c r="AW83" s="175">
        <f t="shared" si="457"/>
        <v>54.482426933491155</v>
      </c>
      <c r="AX83" s="175">
        <f t="shared" si="457"/>
        <v>20.129662086032454</v>
      </c>
      <c r="AY83" s="175">
        <f t="shared" si="457"/>
        <v>12.141864769126016</v>
      </c>
      <c r="AZ83" s="175">
        <f t="shared" si="457"/>
        <v>20.857548829972217</v>
      </c>
      <c r="BA83" s="175">
        <f t="shared" si="457"/>
        <v>44.136501354478241</v>
      </c>
      <c r="BB83" s="175">
        <f t="shared" si="457"/>
        <v>32.569695215169716</v>
      </c>
      <c r="BC83" s="175">
        <f t="shared" si="457"/>
        <v>48.537921875616448</v>
      </c>
      <c r="BD83" s="175">
        <f t="shared" si="457"/>
        <v>21.284990385753275</v>
      </c>
      <c r="BE83" s="175">
        <f t="shared" si="457"/>
        <v>40.764177819543903</v>
      </c>
      <c r="BF83" s="175">
        <f t="shared" si="457"/>
        <v>50.510674715200423</v>
      </c>
      <c r="BG83" s="175">
        <f t="shared" si="457"/>
        <v>12.693552503752983</v>
      </c>
    </row>
    <row r="85" spans="1:59" x14ac:dyDescent="0.25">
      <c r="A85">
        <v>13.4</v>
      </c>
      <c r="B85">
        <v>343</v>
      </c>
      <c r="C85" t="s">
        <v>350</v>
      </c>
      <c r="Y85" s="245" t="s">
        <v>352</v>
      </c>
    </row>
    <row r="86" spans="1:59" x14ac:dyDescent="0.25">
      <c r="C86" t="s">
        <v>581</v>
      </c>
      <c r="D86" s="7" t="s">
        <v>348</v>
      </c>
      <c r="E86">
        <f t="shared" ref="E86:AJ86" si="458">ASIN(  SIN(E66*Deg2Rad)*COS(E4*Deg2Rad)+COS(E66*Deg2Rad)*SIN(E4*Deg2Rad)*SIN(E64*Deg2Rad)  ) * Rad2Deg</f>
        <v>-7.9274957838564974</v>
      </c>
      <c r="F86">
        <f t="shared" si="458"/>
        <v>-25.27630702008528</v>
      </c>
      <c r="G86">
        <f t="shared" si="458"/>
        <v>-10.898554440146601</v>
      </c>
      <c r="H86">
        <f t="shared" si="458"/>
        <v>18.983432083326552</v>
      </c>
      <c r="I86">
        <f t="shared" si="458"/>
        <v>-28.334566899498807</v>
      </c>
      <c r="J86">
        <f t="shared" si="458"/>
        <v>4.3696677771641355</v>
      </c>
      <c r="K86">
        <f t="shared" si="458"/>
        <v>21.614524849813886</v>
      </c>
      <c r="L86">
        <f t="shared" si="458"/>
        <v>14.368163198166686</v>
      </c>
      <c r="M86">
        <f t="shared" si="458"/>
        <v>-22.321342250372698</v>
      </c>
      <c r="N86">
        <f t="shared" si="458"/>
        <v>24.080448522056049</v>
      </c>
      <c r="O86">
        <f t="shared" si="458"/>
        <v>-21.721082352141664</v>
      </c>
      <c r="P86">
        <f t="shared" si="458"/>
        <v>19.622165413238569</v>
      </c>
      <c r="Q86">
        <f t="shared" si="458"/>
        <v>-8.3880265867185475</v>
      </c>
      <c r="R86">
        <f t="shared" si="458"/>
        <v>-4.2805722262389043</v>
      </c>
      <c r="S86">
        <f t="shared" si="458"/>
        <v>-0.54481693229208361</v>
      </c>
      <c r="T86">
        <f t="shared" si="458"/>
        <v>-8.2113570588369029</v>
      </c>
      <c r="U86">
        <f t="shared" si="458"/>
        <v>6.2830154432257963</v>
      </c>
      <c r="V86">
        <f t="shared" si="458"/>
        <v>25.379698760598561</v>
      </c>
      <c r="W86">
        <f t="shared" si="458"/>
        <v>14.638141036566104</v>
      </c>
      <c r="X86">
        <f t="shared" si="458"/>
        <v>13.769778196302003</v>
      </c>
      <c r="Y86">
        <f t="shared" si="458"/>
        <v>-17.492621169404188</v>
      </c>
      <c r="Z86">
        <f t="shared" si="458"/>
        <v>-26.943510833812464</v>
      </c>
      <c r="AA86">
        <f t="shared" si="458"/>
        <v>-8.9923161699199916</v>
      </c>
      <c r="AB86">
        <f t="shared" si="458"/>
        <v>24.71454740665251</v>
      </c>
      <c r="AC86">
        <f t="shared" si="458"/>
        <v>11.723079778974617</v>
      </c>
      <c r="AD86">
        <f t="shared" si="458"/>
        <v>27.946678897751376</v>
      </c>
      <c r="AE86">
        <f t="shared" si="458"/>
        <v>-7.7172424282222307</v>
      </c>
      <c r="AF86">
        <f t="shared" si="458"/>
        <v>-18.004105590107084</v>
      </c>
      <c r="AG86">
        <f t="shared" si="458"/>
        <v>16.547115458638352</v>
      </c>
      <c r="AH86">
        <f t="shared" si="458"/>
        <v>3.3233005483695344</v>
      </c>
      <c r="AI86">
        <f t="shared" si="458"/>
        <v>-1.1502013700062204</v>
      </c>
      <c r="AJ86">
        <f t="shared" si="458"/>
        <v>6.7155408052785042</v>
      </c>
      <c r="AK86">
        <f t="shared" ref="AK86:BG86" si="459">ASIN(  SIN(AK66*Deg2Rad)*COS(AK4*Deg2Rad)+COS(AK66*Deg2Rad)*SIN(AK4*Deg2Rad)*SIN(AK64*Deg2Rad)  ) * Rad2Deg</f>
        <v>-5.1662904994298469</v>
      </c>
      <c r="AL86">
        <f t="shared" si="459"/>
        <v>-7.3759071976021149</v>
      </c>
      <c r="AM86">
        <f t="shared" si="459"/>
        <v>16.786682629301875</v>
      </c>
      <c r="AN86">
        <f t="shared" si="459"/>
        <v>7.6746994293480277</v>
      </c>
      <c r="AO86">
        <f t="shared" si="459"/>
        <v>3.1086857458225303</v>
      </c>
      <c r="AP86">
        <f t="shared" si="459"/>
        <v>3.9787612646427877</v>
      </c>
      <c r="AQ86">
        <f t="shared" si="459"/>
        <v>-27.384123936747134</v>
      </c>
      <c r="AR86">
        <f t="shared" si="459"/>
        <v>2.2276966781256533</v>
      </c>
      <c r="AS86">
        <f t="shared" si="459"/>
        <v>26.731336242478569</v>
      </c>
      <c r="AT86">
        <f t="shared" si="459"/>
        <v>-24.105329219071141</v>
      </c>
      <c r="AU86">
        <f t="shared" si="459"/>
        <v>24.186979978904187</v>
      </c>
      <c r="AV86">
        <f t="shared" si="459"/>
        <v>10.380068994706329</v>
      </c>
      <c r="AW86">
        <f t="shared" si="459"/>
        <v>-24.866273944099667</v>
      </c>
      <c r="AX86">
        <f t="shared" si="459"/>
        <v>-13.48923069430778</v>
      </c>
      <c r="AY86">
        <f t="shared" si="459"/>
        <v>-10.547988853456772</v>
      </c>
      <c r="AZ86">
        <f t="shared" si="459"/>
        <v>-4.4940989635895656</v>
      </c>
      <c r="BA86">
        <f t="shared" si="459"/>
        <v>1.6391509272736344</v>
      </c>
      <c r="BB86">
        <f t="shared" si="459"/>
        <v>7.5937117673268757</v>
      </c>
      <c r="BC86">
        <f t="shared" si="459"/>
        <v>13.136262016752486</v>
      </c>
      <c r="BD86">
        <f t="shared" si="459"/>
        <v>18.043903195719412</v>
      </c>
      <c r="BE86">
        <f t="shared" si="459"/>
        <v>22.101053357770091</v>
      </c>
      <c r="BF86">
        <f t="shared" si="459"/>
        <v>25.11014533673788</v>
      </c>
      <c r="BG86">
        <f t="shared" si="459"/>
        <v>-8.3144218394228862</v>
      </c>
    </row>
    <row r="87" spans="1:59" x14ac:dyDescent="0.25">
      <c r="C87" t="s">
        <v>822</v>
      </c>
      <c r="E87">
        <f t="shared" ref="E87:W87" si="460">INT(E86)</f>
        <v>-8</v>
      </c>
      <c r="F87">
        <f t="shared" si="460"/>
        <v>-26</v>
      </c>
      <c r="G87">
        <f t="shared" si="460"/>
        <v>-11</v>
      </c>
      <c r="H87">
        <f t="shared" si="460"/>
        <v>18</v>
      </c>
      <c r="I87">
        <f t="shared" si="460"/>
        <v>-29</v>
      </c>
      <c r="J87">
        <f t="shared" si="460"/>
        <v>4</v>
      </c>
      <c r="K87">
        <f t="shared" si="460"/>
        <v>21</v>
      </c>
      <c r="L87">
        <f t="shared" si="460"/>
        <v>14</v>
      </c>
      <c r="M87">
        <f t="shared" si="460"/>
        <v>-23</v>
      </c>
      <c r="N87">
        <f t="shared" si="460"/>
        <v>24</v>
      </c>
      <c r="O87">
        <f t="shared" si="460"/>
        <v>-22</v>
      </c>
      <c r="P87">
        <f t="shared" si="460"/>
        <v>19</v>
      </c>
      <c r="Q87">
        <f t="shared" si="460"/>
        <v>-9</v>
      </c>
      <c r="R87">
        <f t="shared" si="460"/>
        <v>-5</v>
      </c>
      <c r="S87">
        <f t="shared" si="460"/>
        <v>-1</v>
      </c>
      <c r="T87">
        <f t="shared" si="460"/>
        <v>-9</v>
      </c>
      <c r="U87">
        <f t="shared" si="460"/>
        <v>6</v>
      </c>
      <c r="V87">
        <f t="shared" si="460"/>
        <v>25</v>
      </c>
      <c r="W87">
        <f t="shared" si="460"/>
        <v>14</v>
      </c>
      <c r="X87">
        <f>INT(X86)</f>
        <v>13</v>
      </c>
      <c r="Y87">
        <f>INT(Y86)</f>
        <v>-18</v>
      </c>
      <c r="Z87">
        <f t="shared" ref="Z87:AP87" si="461">INT(Z86)</f>
        <v>-27</v>
      </c>
      <c r="AA87">
        <f t="shared" si="461"/>
        <v>-9</v>
      </c>
      <c r="AB87">
        <f t="shared" si="461"/>
        <v>24</v>
      </c>
      <c r="AC87">
        <f t="shared" si="461"/>
        <v>11</v>
      </c>
      <c r="AD87">
        <f t="shared" si="461"/>
        <v>27</v>
      </c>
      <c r="AE87">
        <f t="shared" si="461"/>
        <v>-8</v>
      </c>
      <c r="AF87">
        <f t="shared" si="461"/>
        <v>-19</v>
      </c>
      <c r="AG87">
        <f t="shared" si="461"/>
        <v>16</v>
      </c>
      <c r="AH87">
        <f t="shared" si="461"/>
        <v>3</v>
      </c>
      <c r="AI87">
        <f t="shared" si="461"/>
        <v>-2</v>
      </c>
      <c r="AJ87">
        <f t="shared" si="461"/>
        <v>6</v>
      </c>
      <c r="AK87">
        <f t="shared" si="461"/>
        <v>-6</v>
      </c>
      <c r="AL87">
        <f t="shared" si="461"/>
        <v>-8</v>
      </c>
      <c r="AM87">
        <f t="shared" si="461"/>
        <v>16</v>
      </c>
      <c r="AN87">
        <f t="shared" si="461"/>
        <v>7</v>
      </c>
      <c r="AO87">
        <f t="shared" si="461"/>
        <v>3</v>
      </c>
      <c r="AP87">
        <f t="shared" si="461"/>
        <v>3</v>
      </c>
      <c r="AQ87">
        <f t="shared" ref="AQ87" si="462">INT(AQ86)</f>
        <v>-28</v>
      </c>
      <c r="AR87">
        <f t="shared" ref="AR87" si="463">INT(AR86)</f>
        <v>2</v>
      </c>
      <c r="AS87">
        <f t="shared" ref="AS87" si="464">INT(AS86)</f>
        <v>26</v>
      </c>
      <c r="AT87">
        <f t="shared" ref="AT87" si="465">INT(AT86)</f>
        <v>-25</v>
      </c>
      <c r="AU87">
        <f t="shared" ref="AU87" si="466">INT(AU86)</f>
        <v>24</v>
      </c>
      <c r="AV87">
        <f t="shared" ref="AV87" si="467">INT(AV86)</f>
        <v>10</v>
      </c>
      <c r="AW87">
        <f t="shared" ref="AW87" si="468">INT(AW86)</f>
        <v>-25</v>
      </c>
      <c r="AX87">
        <f t="shared" ref="AX87" si="469">INT(AX86)</f>
        <v>-14</v>
      </c>
      <c r="AY87">
        <f t="shared" ref="AY87" si="470">INT(AY86)</f>
        <v>-11</v>
      </c>
      <c r="AZ87">
        <f t="shared" ref="AZ87" si="471">INT(AZ86)</f>
        <v>-5</v>
      </c>
      <c r="BA87">
        <f t="shared" ref="BA87" si="472">INT(BA86)</f>
        <v>1</v>
      </c>
      <c r="BB87">
        <f t="shared" ref="BB87" si="473">INT(BB86)</f>
        <v>7</v>
      </c>
      <c r="BC87">
        <f t="shared" ref="BC87" si="474">INT(BC86)</f>
        <v>13</v>
      </c>
      <c r="BD87">
        <f t="shared" ref="BD87" si="475">INT(BD86)</f>
        <v>18</v>
      </c>
      <c r="BE87">
        <f t="shared" ref="BE87" si="476">INT(BE86)</f>
        <v>22</v>
      </c>
      <c r="BF87">
        <f t="shared" ref="BF87" si="477">INT(BF86)</f>
        <v>25</v>
      </c>
      <c r="BG87">
        <f t="shared" ref="BG87" si="478">INT(BG86)</f>
        <v>-9</v>
      </c>
    </row>
    <row r="88" spans="1:59" x14ac:dyDescent="0.25">
      <c r="E88">
        <f t="shared" ref="E88:W88" si="479">INT((E86-E87)*60)</f>
        <v>4</v>
      </c>
      <c r="F88">
        <f t="shared" si="479"/>
        <v>43</v>
      </c>
      <c r="G88">
        <f t="shared" si="479"/>
        <v>6</v>
      </c>
      <c r="H88">
        <f t="shared" si="479"/>
        <v>59</v>
      </c>
      <c r="I88">
        <f t="shared" si="479"/>
        <v>39</v>
      </c>
      <c r="J88">
        <f t="shared" si="479"/>
        <v>22</v>
      </c>
      <c r="K88">
        <f t="shared" si="479"/>
        <v>36</v>
      </c>
      <c r="L88">
        <f t="shared" si="479"/>
        <v>22</v>
      </c>
      <c r="M88">
        <f t="shared" si="479"/>
        <v>40</v>
      </c>
      <c r="N88">
        <f t="shared" si="479"/>
        <v>4</v>
      </c>
      <c r="O88">
        <f t="shared" si="479"/>
        <v>16</v>
      </c>
      <c r="P88">
        <f t="shared" si="479"/>
        <v>37</v>
      </c>
      <c r="Q88">
        <f t="shared" si="479"/>
        <v>36</v>
      </c>
      <c r="R88">
        <f t="shared" si="479"/>
        <v>43</v>
      </c>
      <c r="S88">
        <f t="shared" si="479"/>
        <v>27</v>
      </c>
      <c r="T88">
        <f t="shared" si="479"/>
        <v>47</v>
      </c>
      <c r="U88">
        <f t="shared" si="479"/>
        <v>16</v>
      </c>
      <c r="V88">
        <f t="shared" si="479"/>
        <v>22</v>
      </c>
      <c r="W88">
        <f t="shared" si="479"/>
        <v>38</v>
      </c>
      <c r="X88">
        <f>INT((X86-X87)*60)</f>
        <v>46</v>
      </c>
      <c r="Y88">
        <f>INT((Y86-Y87)*60)</f>
        <v>30</v>
      </c>
      <c r="Z88">
        <f t="shared" ref="Z88:AP88" si="480">INT((Z86-Z87)*60)</f>
        <v>3</v>
      </c>
      <c r="AA88">
        <f t="shared" si="480"/>
        <v>0</v>
      </c>
      <c r="AB88">
        <f t="shared" si="480"/>
        <v>42</v>
      </c>
      <c r="AC88">
        <f t="shared" si="480"/>
        <v>43</v>
      </c>
      <c r="AD88">
        <f t="shared" si="480"/>
        <v>56</v>
      </c>
      <c r="AE88">
        <f t="shared" si="480"/>
        <v>16</v>
      </c>
      <c r="AF88">
        <f t="shared" si="480"/>
        <v>59</v>
      </c>
      <c r="AG88">
        <f t="shared" si="480"/>
        <v>32</v>
      </c>
      <c r="AH88">
        <f t="shared" si="480"/>
        <v>19</v>
      </c>
      <c r="AI88">
        <f t="shared" si="480"/>
        <v>50</v>
      </c>
      <c r="AJ88">
        <f t="shared" si="480"/>
        <v>42</v>
      </c>
      <c r="AK88">
        <f t="shared" si="480"/>
        <v>50</v>
      </c>
      <c r="AL88">
        <f t="shared" si="480"/>
        <v>37</v>
      </c>
      <c r="AM88">
        <f t="shared" si="480"/>
        <v>47</v>
      </c>
      <c r="AN88">
        <f t="shared" si="480"/>
        <v>40</v>
      </c>
      <c r="AO88">
        <f t="shared" si="480"/>
        <v>6</v>
      </c>
      <c r="AP88">
        <f t="shared" si="480"/>
        <v>58</v>
      </c>
      <c r="AQ88">
        <f t="shared" ref="AQ88" si="481">INT((AQ86-AQ87)*60)</f>
        <v>36</v>
      </c>
      <c r="AR88">
        <f t="shared" ref="AR88" si="482">INT((AR86-AR87)*60)</f>
        <v>13</v>
      </c>
      <c r="AS88">
        <f t="shared" ref="AS88" si="483">INT((AS86-AS87)*60)</f>
        <v>43</v>
      </c>
      <c r="AT88">
        <f t="shared" ref="AT88" si="484">INT((AT86-AT87)*60)</f>
        <v>53</v>
      </c>
      <c r="AU88">
        <f t="shared" ref="AU88" si="485">INT((AU86-AU87)*60)</f>
        <v>11</v>
      </c>
      <c r="AV88">
        <f t="shared" ref="AV88" si="486">INT((AV86-AV87)*60)</f>
        <v>22</v>
      </c>
      <c r="AW88">
        <f t="shared" ref="AW88" si="487">INT((AW86-AW87)*60)</f>
        <v>8</v>
      </c>
      <c r="AX88">
        <f t="shared" ref="AX88" si="488">INT((AX86-AX87)*60)</f>
        <v>30</v>
      </c>
      <c r="AY88">
        <f t="shared" ref="AY88" si="489">INT((AY86-AY87)*60)</f>
        <v>27</v>
      </c>
      <c r="AZ88">
        <f t="shared" ref="AZ88" si="490">INT((AZ86-AZ87)*60)</f>
        <v>30</v>
      </c>
      <c r="BA88">
        <f t="shared" ref="BA88" si="491">INT((BA86-BA87)*60)</f>
        <v>38</v>
      </c>
      <c r="BB88">
        <f t="shared" ref="BB88" si="492">INT((BB86-BB87)*60)</f>
        <v>35</v>
      </c>
      <c r="BC88">
        <f t="shared" ref="BC88" si="493">INT((BC86-BC87)*60)</f>
        <v>8</v>
      </c>
      <c r="BD88">
        <f t="shared" ref="BD88" si="494">INT((BD86-BD87)*60)</f>
        <v>2</v>
      </c>
      <c r="BE88">
        <f t="shared" ref="BE88" si="495">INT((BE86-BE87)*60)</f>
        <v>6</v>
      </c>
      <c r="BF88">
        <f t="shared" ref="BF88" si="496">INT((BF86-BF87)*60)</f>
        <v>6</v>
      </c>
      <c r="BG88">
        <f t="shared" ref="BG88" si="497">INT((BG86-BG87)*60)</f>
        <v>41</v>
      </c>
    </row>
    <row r="89" spans="1:59" x14ac:dyDescent="0.25">
      <c r="E89">
        <f t="shared" ref="E89:W89" si="498">(((E86-E87)*60)-E88)*60</f>
        <v>21.015178116609192</v>
      </c>
      <c r="F89">
        <f t="shared" si="498"/>
        <v>25.29472769299133</v>
      </c>
      <c r="G89">
        <f t="shared" si="498"/>
        <v>5.2040154722371312</v>
      </c>
      <c r="H89">
        <f t="shared" si="498"/>
        <v>0.35549997558547375</v>
      </c>
      <c r="I89">
        <f t="shared" si="498"/>
        <v>55.559161804295911</v>
      </c>
      <c r="J89">
        <f t="shared" si="498"/>
        <v>10.803997790887649</v>
      </c>
      <c r="K89">
        <f t="shared" si="498"/>
        <v>52.289459329990393</v>
      </c>
      <c r="L89">
        <f t="shared" si="498"/>
        <v>5.3875134000686842</v>
      </c>
      <c r="M89">
        <f t="shared" si="498"/>
        <v>43.167898658286674</v>
      </c>
      <c r="N89">
        <f t="shared" si="498"/>
        <v>49.614679401775277</v>
      </c>
      <c r="O89">
        <f t="shared" si="498"/>
        <v>44.103532290008616</v>
      </c>
      <c r="P89">
        <f t="shared" si="498"/>
        <v>19.795487658849993</v>
      </c>
      <c r="Q89">
        <f t="shared" si="498"/>
        <v>43.104287813228979</v>
      </c>
      <c r="R89">
        <f t="shared" si="498"/>
        <v>9.9399855399444448</v>
      </c>
      <c r="S89">
        <f t="shared" si="498"/>
        <v>18.659043748498974</v>
      </c>
      <c r="T89">
        <f t="shared" si="498"/>
        <v>19.114588187149479</v>
      </c>
      <c r="U89">
        <f t="shared" si="498"/>
        <v>58.855595612866694</v>
      </c>
      <c r="V89">
        <f t="shared" si="498"/>
        <v>46.915538154820808</v>
      </c>
      <c r="W89">
        <f t="shared" si="498"/>
        <v>17.307731637974371</v>
      </c>
      <c r="X89">
        <f>(((X86-X87)*60)-X88)*60</f>
        <v>11.201506687209815</v>
      </c>
      <c r="Y89">
        <f>(((Y86-Y87)*60)-Y88)*60</f>
        <v>26.56379014492245</v>
      </c>
      <c r="Z89">
        <f t="shared" ref="Z89:AP89" si="499">(((Z86-Z87)*60)-Z88)*60</f>
        <v>23.360998275128679</v>
      </c>
      <c r="AA89">
        <f t="shared" si="499"/>
        <v>27.661788288030209</v>
      </c>
      <c r="AB89">
        <f t="shared" si="499"/>
        <v>52.37066394903735</v>
      </c>
      <c r="AC89">
        <f t="shared" si="499"/>
        <v>23.087204308619818</v>
      </c>
      <c r="AD89">
        <f t="shared" si="499"/>
        <v>48.044031904952931</v>
      </c>
      <c r="AE89">
        <f t="shared" si="499"/>
        <v>57.927258399969404</v>
      </c>
      <c r="AF89">
        <f t="shared" si="499"/>
        <v>45.219875614497198</v>
      </c>
      <c r="AG89">
        <f t="shared" si="499"/>
        <v>49.615651098067133</v>
      </c>
      <c r="AH89">
        <f t="shared" si="499"/>
        <v>23.881974130323727</v>
      </c>
      <c r="AI89">
        <f t="shared" si="499"/>
        <v>59.27506797760671</v>
      </c>
      <c r="AJ89">
        <f t="shared" si="499"/>
        <v>55.946899002614998</v>
      </c>
      <c r="AK89">
        <f t="shared" si="499"/>
        <v>1.354202052551301</v>
      </c>
      <c r="AL89">
        <f t="shared" si="499"/>
        <v>26.734088632386204</v>
      </c>
      <c r="AM89">
        <f t="shared" si="499"/>
        <v>12.057465486751369</v>
      </c>
      <c r="AN89">
        <f t="shared" si="499"/>
        <v>28.917945652899846</v>
      </c>
      <c r="AO89">
        <f t="shared" si="499"/>
        <v>31.268684961109159</v>
      </c>
      <c r="AP89">
        <f t="shared" si="499"/>
        <v>43.540552714035528</v>
      </c>
      <c r="AQ89">
        <f t="shared" ref="AQ89" si="500">(((AQ86-AQ87)*60)-AQ88)*60</f>
        <v>57.153827710318126</v>
      </c>
      <c r="AR89">
        <f t="shared" ref="AR89" si="501">(((AR86-AR87)*60)-AR88)*60</f>
        <v>39.708041252351904</v>
      </c>
      <c r="AS89">
        <f t="shared" ref="AS89" si="502">(((AS86-AS87)*60)-AS88)*60</f>
        <v>52.810472922849954</v>
      </c>
      <c r="AT89">
        <f t="shared" ref="AT89" si="503">(((AT86-AT87)*60)-AT88)*60</f>
        <v>40.814811343892359</v>
      </c>
      <c r="AU89">
        <f t="shared" ref="AU89" si="504">(((AU86-AU87)*60)-AU88)*60</f>
        <v>13.127924055073379</v>
      </c>
      <c r="AV89">
        <f t="shared" ref="AV89" si="505">(((AV86-AV87)*60)-AV88)*60</f>
        <v>48.248380942785758</v>
      </c>
      <c r="AW89">
        <f t="shared" ref="AW89" si="506">(((AW86-AW87)*60)-AW88)*60</f>
        <v>1.4138012411973477</v>
      </c>
      <c r="AX89">
        <f t="shared" ref="AX89" si="507">(((AX86-AX87)*60)-AX88)*60</f>
        <v>38.769500491991238</v>
      </c>
      <c r="AY89">
        <f t="shared" ref="AY89" si="508">(((AY86-AY87)*60)-AY88)*60</f>
        <v>7.2401275556205746</v>
      </c>
      <c r="AZ89">
        <f t="shared" ref="AZ89" si="509">(((AZ86-AZ87)*60)-AZ88)*60</f>
        <v>21.243731077563766</v>
      </c>
      <c r="BA89">
        <f t="shared" ref="BA89" si="510">(((BA86-BA87)*60)-BA88)*60</f>
        <v>20.943338185083888</v>
      </c>
      <c r="BB89">
        <f t="shared" ref="BB89" si="511">(((BB86-BB87)*60)-BB88)*60</f>
        <v>37.362362376752287</v>
      </c>
      <c r="BC89">
        <f t="shared" ref="BC89" si="512">(((BC86-BC87)*60)-BC88)*60</f>
        <v>10.543260308949414</v>
      </c>
      <c r="BD89">
        <f t="shared" ref="BD89" si="513">(((BD86-BD87)*60)-BD88)*60</f>
        <v>38.051504589884928</v>
      </c>
      <c r="BE89">
        <f t="shared" ref="BE89" si="514">(((BE86-BE87)*60)-BE88)*60</f>
        <v>3.7920879723282042</v>
      </c>
      <c r="BF89">
        <f t="shared" ref="BF89" si="515">(((BF86-BF87)*60)-BF88)*60</f>
        <v>36.523212256366264</v>
      </c>
      <c r="BG89">
        <f t="shared" ref="BG89" si="516">(((BG86-BG87)*60)-BG88)*60</f>
        <v>8.0813780776098554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A0BC-0BA6-4F94-8C1C-EC2982E02C8F}">
  <dimension ref="A1:BK203"/>
  <sheetViews>
    <sheetView workbookViewId="0">
      <selection activeCell="F3" sqref="F3"/>
    </sheetView>
  </sheetViews>
  <sheetFormatPr defaultRowHeight="15" x14ac:dyDescent="0.25"/>
  <cols>
    <col min="2" max="2" width="3.140625" bestFit="1" customWidth="1"/>
    <col min="3" max="3" width="3.7109375" bestFit="1" customWidth="1"/>
    <col min="4" max="4" width="4.28515625" bestFit="1" customWidth="1"/>
    <col min="5" max="5" width="2.85546875" bestFit="1" customWidth="1"/>
    <col min="6" max="6" width="14.140625" bestFit="1" customWidth="1"/>
    <col min="7" max="7" width="3.42578125" bestFit="1" customWidth="1"/>
    <col min="8" max="8" width="1.5703125" bestFit="1" customWidth="1"/>
    <col min="9" max="9" width="15.7109375" style="11" bestFit="1" customWidth="1"/>
    <col min="10" max="10" width="16.42578125" style="11" bestFit="1" customWidth="1"/>
    <col min="11" max="11" width="15.7109375" style="11" bestFit="1" customWidth="1"/>
    <col min="12" max="13" width="16.42578125" style="11" bestFit="1" customWidth="1"/>
    <col min="14" max="14" width="15.42578125" style="11" bestFit="1" customWidth="1"/>
    <col min="15" max="15" width="14.7109375" style="11" bestFit="1" customWidth="1"/>
    <col min="16" max="16" width="15.7109375" style="11" bestFit="1" customWidth="1"/>
    <col min="17" max="17" width="16.42578125" style="11" bestFit="1" customWidth="1"/>
    <col min="18" max="18" width="15.42578125" style="11" bestFit="1" customWidth="1"/>
    <col min="19" max="19" width="15.7109375" style="11" bestFit="1" customWidth="1"/>
    <col min="20" max="20" width="14.7109375" style="11" bestFit="1" customWidth="1"/>
    <col min="21" max="22" width="15.7109375" style="11" bestFit="1" customWidth="1"/>
    <col min="23" max="23" width="14.7109375" style="11" bestFit="1" customWidth="1"/>
    <col min="24" max="24" width="15.7109375" style="11" bestFit="1" customWidth="1"/>
    <col min="25" max="26" width="15.42578125" style="11" bestFit="1" customWidth="1"/>
    <col min="27" max="27" width="15.7109375" style="11" bestFit="1" customWidth="1"/>
    <col min="28" max="29" width="16.42578125" style="11" bestFit="1" customWidth="1"/>
    <col min="30" max="31" width="15.7109375" style="11" bestFit="1" customWidth="1"/>
    <col min="32" max="32" width="16.42578125" style="11" bestFit="1" customWidth="1"/>
    <col min="33" max="33" width="15.42578125" style="11" bestFit="1" customWidth="1"/>
    <col min="34" max="34" width="15.7109375" style="11" bestFit="1" customWidth="1"/>
    <col min="35" max="38" width="15.42578125" style="11" bestFit="1" customWidth="1"/>
    <col min="39" max="39" width="15.7109375" style="11" bestFit="1" customWidth="1"/>
    <col min="40" max="41" width="16.42578125" style="11" bestFit="1" customWidth="1"/>
    <col min="42" max="42" width="15.42578125" style="11" bestFit="1" customWidth="1"/>
    <col min="43" max="43" width="17.28515625" style="11" bestFit="1" customWidth="1"/>
    <col min="44" max="45" width="16.42578125" style="11" bestFit="1" customWidth="1"/>
    <col min="46" max="46" width="15.42578125" style="11" bestFit="1" customWidth="1"/>
    <col min="47" max="47" width="16.42578125" style="11" bestFit="1" customWidth="1"/>
    <col min="48" max="48" width="15.42578125" style="11" bestFit="1" customWidth="1"/>
    <col min="49" max="53" width="15.7109375" style="11" bestFit="1" customWidth="1"/>
    <col min="54" max="57" width="15.42578125" style="11" bestFit="1" customWidth="1"/>
    <col min="58" max="62" width="16.42578125" style="11" bestFit="1" customWidth="1"/>
    <col min="63" max="63" width="15.42578125" style="11" bestFit="1" customWidth="1"/>
  </cols>
  <sheetData>
    <row r="1" spans="1:63" ht="15.75" x14ac:dyDescent="0.25">
      <c r="A1" s="338" t="s">
        <v>253</v>
      </c>
      <c r="B1" s="338"/>
      <c r="C1" s="338"/>
      <c r="D1" s="338"/>
      <c r="E1" s="338"/>
      <c r="F1" s="338"/>
      <c r="G1" s="338"/>
      <c r="I1" s="45" t="str">
        <f>'47MoonPos'!E2</f>
        <v>7.a</v>
      </c>
      <c r="J1" s="45" t="str">
        <f>'47MoonPos'!F2</f>
        <v>7.b</v>
      </c>
      <c r="K1" s="45" t="str">
        <f>'47MoonPos'!G2</f>
        <v>7.c.1/8</v>
      </c>
      <c r="L1" s="45" t="str">
        <f>'47MoonPos'!H2</f>
        <v>7.c.2</v>
      </c>
      <c r="M1" s="45" t="str">
        <f>'47MoonPos'!I2</f>
        <v>7.c.3</v>
      </c>
      <c r="N1" s="45" t="str">
        <f>'47MoonPos'!J2</f>
        <v>7.c.4</v>
      </c>
      <c r="O1" s="45" t="str">
        <f>'47MoonPos'!K2</f>
        <v>7.c.5</v>
      </c>
      <c r="P1" s="45" t="str">
        <f>'47MoonPos'!L2</f>
        <v>7.c.6</v>
      </c>
      <c r="Q1" s="45" t="str">
        <f>'47MoonPos'!M2</f>
        <v>7.c.7</v>
      </c>
      <c r="R1" s="45" t="str">
        <f>'47MoonPos'!N2</f>
        <v>7.c.8</v>
      </c>
      <c r="S1" s="45" t="str">
        <f>'47MoonPos'!O2</f>
        <v>7.c.9</v>
      </c>
      <c r="T1" s="45" t="str">
        <f>'47MoonPos'!P2</f>
        <v>7.c.10</v>
      </c>
      <c r="U1" s="45" t="str">
        <f>'47MoonPos'!Q2</f>
        <v>7.c.11</v>
      </c>
      <c r="V1" s="45" t="str">
        <f>'47MoonPos'!R2</f>
        <v>7.c.12</v>
      </c>
      <c r="W1" s="45" t="str">
        <f>'47MoonPos'!S2</f>
        <v>7.c.13</v>
      </c>
      <c r="X1" s="45" t="str">
        <f>'47MoonPos'!T2</f>
        <v>7.c.14</v>
      </c>
      <c r="Y1" s="45" t="str">
        <f>'47MoonPos'!U2</f>
        <v>7.c.15</v>
      </c>
      <c r="Z1" s="45" t="str">
        <f>'47MoonPos'!V2</f>
        <v>7.c.16</v>
      </c>
      <c r="AA1" s="45" t="str">
        <f>'47MoonPos'!W2</f>
        <v>22.a</v>
      </c>
      <c r="AB1" s="45" t="str">
        <f>'47MoonPos'!X2</f>
        <v>47.a/48.a</v>
      </c>
      <c r="AC1" s="45" t="str">
        <f>'47MoonPos'!Y2</f>
        <v>49.a</v>
      </c>
      <c r="AD1" s="45" t="str">
        <f>'47MoonPos'!Z2</f>
        <v>49.b</v>
      </c>
      <c r="AE1" s="45" t="str">
        <f>'47MoonPos'!AA2</f>
        <v>1/1/2000/8</v>
      </c>
      <c r="AF1" s="45" t="str">
        <f>'47MoonPos'!AB2</f>
        <v>7.e/8</v>
      </c>
      <c r="AG1" s="45" t="str">
        <f>'47MoonPos'!AC2</f>
        <v>7.f</v>
      </c>
      <c r="AH1" s="45" t="str">
        <f>'47MoonPos'!AD2</f>
        <v>7.g</v>
      </c>
      <c r="AI1" s="45" t="str">
        <f>'47MoonPos'!AE2</f>
        <v>10.a</v>
      </c>
      <c r="AJ1" s="45" t="str">
        <f>'47MoonPos'!AF2</f>
        <v>32.a</v>
      </c>
      <c r="AK1" s="45" t="str">
        <f>'47MoonPos'!AG2</f>
        <v>25.a</v>
      </c>
      <c r="AL1" s="45" t="str">
        <f>'47MoonPos'!AH2</f>
        <v>8.a</v>
      </c>
      <c r="AM1" s="45" t="str">
        <f>'47MoonPos'!AI2</f>
        <v>8.b</v>
      </c>
      <c r="AN1" s="45" t="str">
        <f>'47MoonPos'!AJ2</f>
        <v>8.c</v>
      </c>
      <c r="AO1" s="45" t="str">
        <f>'47MoonPos'!AK2</f>
        <v>8.d</v>
      </c>
      <c r="AP1" s="45" t="str">
        <f>'47MoonPos'!AL2</f>
        <v>9.a</v>
      </c>
      <c r="AQ1" s="45" t="str">
        <f>'47MoonPos'!AM2</f>
        <v>Muslim date 1-1-1</v>
      </c>
      <c r="AR1" s="45" t="str">
        <f>'47MoonPos'!AN2</f>
        <v>9.b</v>
      </c>
      <c r="AS1" s="45" t="str">
        <f>'47MoonPos'!AO2</f>
        <v>Gregorian Epoch</v>
      </c>
      <c r="AT1" s="45" t="str">
        <f>'47MoonPos'!AP2</f>
        <v>New Moon</v>
      </c>
      <c r="AU1" s="45" t="str">
        <f>'47MoonPos'!AQ2</f>
        <v>1st Qtr Moon</v>
      </c>
      <c r="AV1" s="45" t="str">
        <f>'47MoonPos'!AR2</f>
        <v>Full Moon</v>
      </c>
      <c r="AW1" s="45" t="str">
        <f>'47MoonPos'!AS2</f>
        <v>3rd Qtr Moon</v>
      </c>
      <c r="AX1" s="45" t="str">
        <f>'47MoonPos'!AT2</f>
        <v>Eclipse</v>
      </c>
      <c r="AY1" s="45" t="str">
        <f>'47MoonPos'!AU2</f>
        <v>54.c lunar eclipse</v>
      </c>
      <c r="AZ1" s="45" t="str">
        <f>'47MoonPos'!AV2</f>
        <v>54.d lunar eclipse</v>
      </c>
      <c r="BA1" s="45" t="str">
        <f>'47MoonPos'!AW2</f>
        <v>p 387 eclipse</v>
      </c>
      <c r="BB1" s="45" t="str">
        <f>'47MoonPos'!AX2</f>
        <v>p 387</v>
      </c>
      <c r="BC1" s="45" t="str">
        <f>'47MoonPos'!AY2</f>
        <v>new+16</v>
      </c>
      <c r="BD1" s="45" t="str">
        <f>'47MoonPos'!AZ2</f>
        <v>new+17</v>
      </c>
      <c r="BE1" s="45" t="str">
        <f>'47MoonPos'!BA2</f>
        <v>new+18</v>
      </c>
      <c r="BF1" s="45" t="str">
        <f>'47MoonPos'!BB2</f>
        <v>new+19</v>
      </c>
      <c r="BG1" s="45" t="str">
        <f>'47MoonPos'!BC2</f>
        <v>new+20</v>
      </c>
      <c r="BH1" s="45" t="str">
        <f>'47MoonPos'!BD2</f>
        <v>new+21</v>
      </c>
      <c r="BI1" s="45" t="str">
        <f>'47MoonPos'!BE2</f>
        <v>new+22 3rd</v>
      </c>
      <c r="BJ1" s="45" t="str">
        <f>'47MoonPos'!BF2</f>
        <v>new+23</v>
      </c>
      <c r="BK1" s="45" t="str">
        <f>'47MoonPos'!BG2</f>
        <v>z</v>
      </c>
    </row>
    <row r="2" spans="1:63" x14ac:dyDescent="0.25">
      <c r="C2" s="344"/>
      <c r="D2" s="344"/>
      <c r="E2" s="344"/>
      <c r="G2" s="41" t="s">
        <v>162</v>
      </c>
      <c r="I2" s="13">
        <f>'47MoonPos'!E18</f>
        <v>130.56090234054136</v>
      </c>
      <c r="J2" s="13">
        <f>'47MoonPos'!F18</f>
        <v>299.15331641305238</v>
      </c>
      <c r="K2" s="13">
        <f>'47MoonPos'!G18</f>
        <v>297.85019210000002</v>
      </c>
      <c r="L2" s="13">
        <f>'47MoonPos'!H18</f>
        <v>162.13139059895093</v>
      </c>
      <c r="M2" s="13">
        <f>'47MoonPos'!I18</f>
        <v>327.03746788970602</v>
      </c>
      <c r="N2" s="13">
        <f>'47MoonPos'!J18</f>
        <v>276.40996768909099</v>
      </c>
      <c r="O2" s="13">
        <f>'47MoonPos'!K18</f>
        <v>96.660899321082979</v>
      </c>
      <c r="P2" s="13">
        <f>'47MoonPos'!L18</f>
        <v>58.224148098946898</v>
      </c>
      <c r="Q2" s="13">
        <f>'47MoonPos'!M18</f>
        <v>356.83242066384992</v>
      </c>
      <c r="R2" s="13">
        <f>'47MoonPos'!N18</f>
        <v>179.8512224140577</v>
      </c>
      <c r="S2" s="13">
        <f>'47MoonPos'!O18</f>
        <v>309.47480032686144</v>
      </c>
      <c r="T2" s="13">
        <f>'47MoonPos'!P18</f>
        <v>13.155937230214477</v>
      </c>
      <c r="U2" s="13">
        <f>'47MoonPos'!Q18</f>
        <v>75.168532995507121</v>
      </c>
      <c r="V2" s="13">
        <f>'47MoonPos'!R18</f>
        <v>87.359284373000264</v>
      </c>
      <c r="W2" s="13">
        <f>'47MoonPos'!S18</f>
        <v>74.052741186693311</v>
      </c>
      <c r="X2" s="13">
        <f>'47MoonPos'!T18</f>
        <v>234.3965478297323</v>
      </c>
      <c r="Y2" s="13">
        <f>'47MoonPos'!U18</f>
        <v>15.980760935693979</v>
      </c>
      <c r="Z2" s="13">
        <f>'47MoonPos'!V18</f>
        <v>238.60104650631547</v>
      </c>
      <c r="AA2" s="13">
        <f>'47MoonPos'!W18</f>
        <v>136.96215420606313</v>
      </c>
      <c r="AB2" s="13">
        <f>'47MoonPos'!X18</f>
        <v>113.8423037166358</v>
      </c>
      <c r="AC2" s="13">
        <f>'47MoonPos'!Y18</f>
        <v>318.04586823962745</v>
      </c>
      <c r="AD2" s="13">
        <f>'47MoonPos'!Z18</f>
        <v>9.2834708813461475</v>
      </c>
      <c r="AE2" s="13">
        <f>'47MoonPos'!AA18</f>
        <v>291.75481754280048</v>
      </c>
      <c r="AF2" s="13">
        <f>'47MoonPos'!AB18</f>
        <v>349.31339723124984</v>
      </c>
      <c r="AG2" s="13">
        <f>'47MoonPos'!AC18</f>
        <v>163.55306855976232</v>
      </c>
      <c r="AH2" s="13">
        <f>'47MoonPos'!AD18</f>
        <v>65.065324206356308</v>
      </c>
      <c r="AI2" s="13">
        <f>'47MoonPos'!AE18</f>
        <v>356.46083768940298</v>
      </c>
      <c r="AJ2" s="13">
        <f>'47MoonPos'!AF18</f>
        <v>305.91108246091608</v>
      </c>
      <c r="AK2" s="13">
        <f>'47MoonPos'!AG18</f>
        <v>196.94014218249504</v>
      </c>
      <c r="AL2" s="13">
        <f>'47MoonPos'!AH18</f>
        <v>180.01666156024294</v>
      </c>
      <c r="AM2" s="13">
        <f>'47MoonPos'!AI18</f>
        <v>339.74406337054097</v>
      </c>
      <c r="AN2" s="13">
        <f>'47MoonPos'!AJ18</f>
        <v>115.08996649354958</v>
      </c>
      <c r="AO2" s="13">
        <f>'47MoonPos'!AK18</f>
        <v>283.89194246788975</v>
      </c>
      <c r="AP2" s="13">
        <f>'47MoonPos'!AL18</f>
        <v>5.1153035149109201</v>
      </c>
      <c r="AQ2" s="13">
        <f>'47MoonPos'!AM18</f>
        <v>24.559457900933921</v>
      </c>
      <c r="AR2" s="13">
        <f>'47MoonPos'!AN18</f>
        <v>22.066732512177623</v>
      </c>
      <c r="AS2" s="13">
        <f>'47MoonPos'!AO18</f>
        <v>233.43414127454162</v>
      </c>
      <c r="AT2" s="13">
        <f>'47MoonPos'!AP18</f>
        <v>358.60509269076283</v>
      </c>
      <c r="AU2" s="13">
        <f>'47MoonPos'!AQ18</f>
        <v>84.617600165336626</v>
      </c>
      <c r="AV2" s="13">
        <f>'47MoonPos'!AR18</f>
        <v>168.76763208732882</v>
      </c>
      <c r="AW2" s="13">
        <f>'47MoonPos'!AS18</f>
        <v>263.93166717726854</v>
      </c>
      <c r="AX2" s="13">
        <f>'47MoonPos'!AT18</f>
        <v>82.602333540737163</v>
      </c>
      <c r="AY2" s="13">
        <f>'47MoonPos'!AU18</f>
        <v>359.5807836856693</v>
      </c>
      <c r="AZ2" s="13">
        <f>'47MoonPos'!AV18</f>
        <v>345.23657105018538</v>
      </c>
      <c r="BA2" s="13">
        <f>'47MoonPos'!AW18</f>
        <v>359.9422937129857</v>
      </c>
      <c r="BB2" s="13">
        <f>'47MoonPos'!AX18</f>
        <v>183.87754031168879</v>
      </c>
      <c r="BC2" s="13">
        <f>'47MoonPos'!AY18</f>
        <v>88.324806265824009</v>
      </c>
      <c r="BD2" s="13">
        <f>'47MoonPos'!AZ18</f>
        <v>100.51555535661464</v>
      </c>
      <c r="BE2" s="13">
        <f>'47MoonPos'!BA18</f>
        <v>112.70630444740527</v>
      </c>
      <c r="BF2" s="13">
        <f>'47MoonPos'!BB18</f>
        <v>124.89705353819591</v>
      </c>
      <c r="BG2" s="13">
        <f>'47MoonPos'!BC18</f>
        <v>137.08780262898654</v>
      </c>
      <c r="BH2" s="13">
        <f>'47MoonPos'!BD18</f>
        <v>149.27855171974807</v>
      </c>
      <c r="BI2" s="13">
        <f>'47MoonPos'!BE18</f>
        <v>161.46930081055325</v>
      </c>
      <c r="BJ2" s="13">
        <f>'47MoonPos'!BF18</f>
        <v>173.66004990131478</v>
      </c>
      <c r="BK2" s="13">
        <f>'47MoonPos'!BG18</f>
        <v>354.61811565356038</v>
      </c>
    </row>
    <row r="3" spans="1:63" x14ac:dyDescent="0.25">
      <c r="C3" s="344"/>
      <c r="D3" s="344"/>
      <c r="E3" s="344"/>
      <c r="F3" s="7"/>
      <c r="G3" s="41" t="s">
        <v>5</v>
      </c>
      <c r="I3" s="13">
        <f>'47MoonPos'!E23</f>
        <v>271.00787076402594</v>
      </c>
      <c r="J3" s="13">
        <f>'47MoonPos'!F23</f>
        <v>52.49550381640438</v>
      </c>
      <c r="K3" s="13">
        <f>'47MoonPos'!G23</f>
        <v>357.52910919999999</v>
      </c>
      <c r="L3" s="13">
        <f>'47MoonPos'!H23</f>
        <v>357.29220620518151</v>
      </c>
      <c r="M3" s="13">
        <f>'47MoonPos'!I23</f>
        <v>23.031776070199157</v>
      </c>
      <c r="N3" s="13">
        <f>'47MoonPos'!J23</f>
        <v>164.46541665493896</v>
      </c>
      <c r="O3" s="13">
        <f>'47MoonPos'!K23</f>
        <v>22.775879290364628</v>
      </c>
      <c r="P3" s="13">
        <f>'47MoonPos'!L23</f>
        <v>165.19512014576094</v>
      </c>
      <c r="Q3" s="13">
        <f>'47MoonPos'!M23</f>
        <v>358.9714762115982</v>
      </c>
      <c r="R3" s="13">
        <f>'47MoonPos'!N23</f>
        <v>3.7894861753156874</v>
      </c>
      <c r="S3" s="13">
        <f>'47MoonPos'!O23</f>
        <v>3.5336012974439654</v>
      </c>
      <c r="T3" s="13">
        <f>'47MoonPos'!P23</f>
        <v>119.48270911106374</v>
      </c>
      <c r="U3" s="13">
        <f>'47MoonPos'!Q23</f>
        <v>29.43958738038782</v>
      </c>
      <c r="V3" s="13">
        <f>'47MoonPos'!R23</f>
        <v>30.425187842221931</v>
      </c>
      <c r="W3" s="13">
        <f>'47MoonPos'!S23</f>
        <v>228.9147503443528</v>
      </c>
      <c r="X3" s="13">
        <f>'47MoonPos'!T23</f>
        <v>96.351478110533208</v>
      </c>
      <c r="Y3" s="13">
        <f>'47MoonPos'!U23</f>
        <v>264.06081332312897</v>
      </c>
      <c r="Z3" s="13">
        <f>'47MoonPos'!V23</f>
        <v>73.382065530866385</v>
      </c>
      <c r="AA3" s="13">
        <f>'47MoonPos'!W23</f>
        <v>94.980596716686705</v>
      </c>
      <c r="AB3" s="13">
        <f>'47MoonPos'!X23</f>
        <v>97.64351360962246</v>
      </c>
      <c r="AC3" s="13">
        <f>'47MoonPos'!Y23</f>
        <v>42.345947003534093</v>
      </c>
      <c r="AD3" s="13">
        <f>'47MoonPos'!Z23</f>
        <v>356.61840732349265</v>
      </c>
      <c r="AE3" s="13">
        <f>'47MoonPos'!AA23</f>
        <v>357.03630905912519</v>
      </c>
      <c r="AF3" s="13">
        <f>'47MoonPos'!AB23</f>
        <v>175.37399428797289</v>
      </c>
      <c r="AG3" s="13">
        <f>'47MoonPos'!AC23</f>
        <v>310.1733276569521</v>
      </c>
      <c r="AH3" s="13">
        <f>'47MoonPos'!AD23</f>
        <v>107.537503606266</v>
      </c>
      <c r="AI3" s="13">
        <f>'47MoonPos'!AE23</f>
        <v>45.451728638320674</v>
      </c>
      <c r="AJ3" s="13">
        <f>'47MoonPos'!AF23</f>
        <v>346.01478476685543</v>
      </c>
      <c r="AK3" s="13">
        <f>'47MoonPos'!AG23</f>
        <v>278.99396556713828</v>
      </c>
      <c r="AL3" s="13">
        <f>'47MoonPos'!AH23</f>
        <v>55.518598371668759</v>
      </c>
      <c r="AM3" s="13">
        <f>'47MoonPos'!AI23</f>
        <v>86.801910503219915</v>
      </c>
      <c r="AN3" s="13">
        <f>'47MoonPos'!AJ23</f>
        <v>116.11402203385569</v>
      </c>
      <c r="AO3" s="13">
        <f>'47MoonPos'!AK23</f>
        <v>0.24267102826706832</v>
      </c>
      <c r="AP3" s="13">
        <f>'47MoonPos'!AL23</f>
        <v>255.85135260478955</v>
      </c>
      <c r="AQ3" s="13">
        <f>'47MoonPos'!AM23</f>
        <v>216.57731013023295</v>
      </c>
      <c r="AR3" s="13">
        <f>'47MoonPos'!AN23</f>
        <v>91.653936106025924</v>
      </c>
      <c r="AS3" s="13">
        <f>'47MoonPos'!AO23</f>
        <v>31.482496240525506</v>
      </c>
      <c r="AT3" s="13">
        <f>'47MoonPos'!AP23</f>
        <v>261.04626731777898</v>
      </c>
      <c r="AU3" s="13">
        <f>'47MoonPos'!AQ23</f>
        <v>268.00022484768851</v>
      </c>
      <c r="AV3" s="13">
        <f>'47MoonPos'!AR23</f>
        <v>274.8036045573117</v>
      </c>
      <c r="AW3" s="13">
        <f>'47MoonPos'!AS23</f>
        <v>282.4974467416705</v>
      </c>
      <c r="AX3" s="13">
        <f>'47MoonPos'!AT23</f>
        <v>296.9426508429442</v>
      </c>
      <c r="AY3" s="13">
        <f>'47MoonPos'!AU23</f>
        <v>146.85756241423951</v>
      </c>
      <c r="AZ3" s="13">
        <f>'47MoonPos'!AV23</f>
        <v>237.30486892488636</v>
      </c>
      <c r="BA3" s="13">
        <f>'47MoonPos'!AW23</f>
        <v>1.842356284854759</v>
      </c>
      <c r="BB3" s="13">
        <f>'47MoonPos'!AX23</f>
        <v>100.68628545734282</v>
      </c>
      <c r="BC3" s="13">
        <f>'47MoonPos'!AY23</f>
        <v>326.51065923771966</v>
      </c>
      <c r="BD3" s="13">
        <f>'47MoonPos'!AZ23</f>
        <v>327.49625951754024</v>
      </c>
      <c r="BE3" s="13">
        <f>'47MoonPos'!BA23</f>
        <v>328.48185979736445</v>
      </c>
      <c r="BF3" s="13">
        <f>'47MoonPos'!BB23</f>
        <v>329.46746007718502</v>
      </c>
      <c r="BG3" s="13">
        <f>'47MoonPos'!BC23</f>
        <v>330.45306035700742</v>
      </c>
      <c r="BH3" s="13">
        <f>'47MoonPos'!BD23</f>
        <v>331.43866063682981</v>
      </c>
      <c r="BI3" s="13">
        <f>'47MoonPos'!BE23</f>
        <v>332.4242609166522</v>
      </c>
      <c r="BJ3" s="13">
        <f>'47MoonPos'!BF23</f>
        <v>333.40986119647096</v>
      </c>
      <c r="BK3" s="13">
        <f>'47MoonPos'!BG23</f>
        <v>45.302747854554582</v>
      </c>
    </row>
    <row r="4" spans="1:63" x14ac:dyDescent="0.25">
      <c r="C4" s="344"/>
      <c r="D4" s="344"/>
      <c r="E4" s="344"/>
      <c r="G4" s="41" t="s">
        <v>6</v>
      </c>
      <c r="I4" s="13">
        <f>'47MoonPos'!E28</f>
        <v>159.23887449351605</v>
      </c>
      <c r="J4" s="13">
        <f>'47MoonPos'!F28</f>
        <v>311.53267276473343</v>
      </c>
      <c r="K4" s="13">
        <f>'47MoonPos'!G28</f>
        <v>134.96339639999999</v>
      </c>
      <c r="L4" s="13">
        <f>'47MoonPos'!H28</f>
        <v>39.708473982776013</v>
      </c>
      <c r="M4" s="13">
        <f>'47MoonPos'!I28</f>
        <v>355.53433525294531</v>
      </c>
      <c r="N4" s="13">
        <f>'47MoonPos'!J28</f>
        <v>70.360814861298422</v>
      </c>
      <c r="O4" s="13">
        <f>'47MoonPos'!K28</f>
        <v>84.256740361081029</v>
      </c>
      <c r="P4" s="13">
        <f>'47MoonPos'!L28</f>
        <v>172.14821355039749</v>
      </c>
      <c r="Q4" s="13">
        <f>'47MoonPos'!M28</f>
        <v>302.63726533536101</v>
      </c>
      <c r="R4" s="13">
        <f>'47MoonPos'!N28</f>
        <v>92.29477880243212</v>
      </c>
      <c r="S4" s="13">
        <f>'47MoonPos'!O28</f>
        <v>181.01651470921934</v>
      </c>
      <c r="T4" s="13">
        <f>'47MoonPos'!P28</f>
        <v>103.7571789259091</v>
      </c>
      <c r="U4" s="13">
        <f>'47MoonPos'!Q28</f>
        <v>215.56000832468271</v>
      </c>
      <c r="V4" s="13">
        <f>'47MoonPos'!R28</f>
        <v>228.62499172054231</v>
      </c>
      <c r="W4" s="13">
        <f>'47MoonPos'!S28</f>
        <v>107.7489040568471</v>
      </c>
      <c r="X4" s="13">
        <f>'47MoonPos'!T28</f>
        <v>150.50911374203861</v>
      </c>
      <c r="Y4" s="13">
        <f>'47MoonPos'!U28</f>
        <v>121.53154463879764</v>
      </c>
      <c r="Z4" s="13">
        <f>'47MoonPos'!V28</f>
        <v>310.48390570655465</v>
      </c>
      <c r="AA4" s="13">
        <f>'47MoonPos'!W28</f>
        <v>229.2788161349963</v>
      </c>
      <c r="AB4" s="13">
        <f>'47MoonPos'!X28</f>
        <v>5.1508325229588081</v>
      </c>
      <c r="AC4" s="13">
        <f>'47MoonPos'!Y28</f>
        <v>50.415258410823299</v>
      </c>
      <c r="AD4" s="13">
        <f>'47MoonPos'!Z28</f>
        <v>215.93429579414078</v>
      </c>
      <c r="AE4" s="13">
        <f>'47MoonPos'!AA28</f>
        <v>128.43089992490923</v>
      </c>
      <c r="AF4" s="13">
        <f>'47MoonPos'!AB28</f>
        <v>55.184883808309678</v>
      </c>
      <c r="AG4" s="13">
        <f>'47MoonPos'!AC28</f>
        <v>92.81570062400715</v>
      </c>
      <c r="AH4" s="13">
        <f>'47MoonPos'!AD28</f>
        <v>127.84612921589724</v>
      </c>
      <c r="AI4" s="13">
        <f>'47MoonPos'!AE28</f>
        <v>91.585107380655245</v>
      </c>
      <c r="AJ4" s="13">
        <f>'47MoonPos'!AF28</f>
        <v>57.529047072792309</v>
      </c>
      <c r="AK4" s="13">
        <f>'47MoonPos'!AG28</f>
        <v>249.10952877897944</v>
      </c>
      <c r="AL4" s="13">
        <f>'47MoonPos'!AH28</f>
        <v>74.633725015526579</v>
      </c>
      <c r="AM4" s="13">
        <f>'47MoonPos'!AI28</f>
        <v>221.43591047821974</v>
      </c>
      <c r="AN4" s="13">
        <f>'47MoonPos'!AJ28</f>
        <v>342.10811216900765</v>
      </c>
      <c r="AO4" s="13">
        <f>'47MoonPos'!AK28</f>
        <v>326.11839624634013</v>
      </c>
      <c r="AP4" s="13">
        <f>'47MoonPos'!AL28</f>
        <v>118.10487411002396</v>
      </c>
      <c r="AQ4" s="13">
        <f>'47MoonPos'!AM28</f>
        <v>306.77126701455563</v>
      </c>
      <c r="AR4" s="13">
        <f>'47MoonPos'!AN28</f>
        <v>302.67022320240858</v>
      </c>
      <c r="AS4" s="13">
        <f>'47MoonPos'!AO28</f>
        <v>52.210569512099028</v>
      </c>
      <c r="AT4" s="13">
        <f>'47MoonPos'!AP28</f>
        <v>254.63462562383211</v>
      </c>
      <c r="AU4" s="13">
        <f>'47MoonPos'!AQ28</f>
        <v>346.81540998458513</v>
      </c>
      <c r="AV4" s="13">
        <f>'47MoonPos'!AR28</f>
        <v>77.000153743123519</v>
      </c>
      <c r="AW4" s="13">
        <f>'47MoonPos'!AS28</f>
        <v>178.98875581099128</v>
      </c>
      <c r="AX4" s="13">
        <f>'47MoonPos'!AT28</f>
        <v>10.472560338384937</v>
      </c>
      <c r="AY4" s="13">
        <f>'47MoonPos'!AU28</f>
        <v>347.34997121147171</v>
      </c>
      <c r="AZ4" s="13">
        <f>'47MoonPos'!AV28</f>
        <v>157.05691112927161</v>
      </c>
      <c r="BA4" s="13">
        <f>'47MoonPos'!AW28</f>
        <v>324.69692951266188</v>
      </c>
      <c r="BB4" s="13">
        <f>'47MoonPos'!AX28</f>
        <v>61.477477870648727</v>
      </c>
      <c r="BC4" s="13">
        <f>'47MoonPos'!AY28</f>
        <v>42.422352130291983</v>
      </c>
      <c r="BD4" s="13">
        <f>'47MoonPos'!AZ28</f>
        <v>55.487345190224005</v>
      </c>
      <c r="BE4" s="13">
        <f>'47MoonPos'!BA28</f>
        <v>68.552338250170578</v>
      </c>
      <c r="BF4" s="13">
        <f>'47MoonPos'!BB28</f>
        <v>81.617331310117152</v>
      </c>
      <c r="BG4" s="13">
        <f>'47MoonPos'!BC28</f>
        <v>94.682324370107381</v>
      </c>
      <c r="BH4" s="13">
        <f>'47MoonPos'!BD28</f>
        <v>107.74731743009761</v>
      </c>
      <c r="BI4" s="13">
        <f>'47MoonPos'!BE28</f>
        <v>120.81231049008784</v>
      </c>
      <c r="BJ4" s="13">
        <f>'47MoonPos'!BF28</f>
        <v>133.87730355010717</v>
      </c>
      <c r="BK4" s="13">
        <f>'47MoonPos'!BG28</f>
        <v>89.610236933120177</v>
      </c>
    </row>
    <row r="5" spans="1:63" x14ac:dyDescent="0.25">
      <c r="C5" s="344"/>
      <c r="D5" s="344"/>
      <c r="E5" s="344"/>
      <c r="G5" s="41" t="s">
        <v>7</v>
      </c>
      <c r="I5" s="13">
        <f>'47MoonPos'!E34</f>
        <v>101.72768557284144</v>
      </c>
      <c r="J5" s="13">
        <f>'47MoonPos'!F34</f>
        <v>280.49281091149896</v>
      </c>
      <c r="K5" s="13">
        <f>'47MoonPos'!G34</f>
        <v>93.272094999999993</v>
      </c>
      <c r="L5" s="13">
        <f>'47MoonPos'!H34</f>
        <v>297.94458184105952</v>
      </c>
      <c r="M5" s="13">
        <f>'47MoonPos'!I34</f>
        <v>257.66552457379294</v>
      </c>
      <c r="N5" s="13">
        <f>'47MoonPos'!J34</f>
        <v>356.07728769820096</v>
      </c>
      <c r="O5" s="13">
        <f>'47MoonPos'!K34</f>
        <v>46.378371323866304</v>
      </c>
      <c r="P5" s="13">
        <f>'47MoonPos'!L34</f>
        <v>158.01948442466528</v>
      </c>
      <c r="Q5" s="13">
        <f>'47MoonPos'!M34</f>
        <v>17.865746421564836</v>
      </c>
      <c r="R5" s="13">
        <f>'47MoonPos'!N34</f>
        <v>158.2169354474172</v>
      </c>
      <c r="S5" s="13">
        <f>'47MoonPos'!O34</f>
        <v>306.93006472405978</v>
      </c>
      <c r="T5" s="13">
        <f>'47MoonPos'!P34</f>
        <v>102.27818216755986</v>
      </c>
      <c r="U5" s="13">
        <f>'47MoonPos'!Q34</f>
        <v>223.57014024443924</v>
      </c>
      <c r="V5" s="13">
        <f>'47MoonPos'!R34</f>
        <v>236.79949472099543</v>
      </c>
      <c r="W5" s="13">
        <f>'47MoonPos'!S34</f>
        <v>354.71386246569455</v>
      </c>
      <c r="X5" s="13">
        <f>'47MoonPos'!T34</f>
        <v>15.365451233461499</v>
      </c>
      <c r="Y5" s="13">
        <f>'47MoonPos'!U34</f>
        <v>314.31805304996669</v>
      </c>
      <c r="Z5" s="13">
        <f>'47MoonPos'!V34</f>
        <v>129.48575966060162</v>
      </c>
      <c r="AA5" s="13">
        <f>'47MoonPos'!W34</f>
        <v>143.40809398218698</v>
      </c>
      <c r="AB5" s="13">
        <f>'47MoonPos'!X34</f>
        <v>219.88972072785691</v>
      </c>
      <c r="AC5" s="13">
        <f>'47MoonPos'!Y34</f>
        <v>75.435971798797254</v>
      </c>
      <c r="AD5" s="13">
        <f>'47MoonPos'!Z34</f>
        <v>295.544422756735</v>
      </c>
      <c r="AE5" s="13">
        <f>'47MoonPos'!AA34</f>
        <v>86.657419879899379</v>
      </c>
      <c r="AF5" s="13">
        <f>'47MoonPos'!AB34</f>
        <v>161.62632085708901</v>
      </c>
      <c r="AG5" s="13">
        <f>'47MoonPos'!AC34</f>
        <v>222.53210284937813</v>
      </c>
      <c r="AH5" s="13">
        <f>'47MoonPos'!AD34</f>
        <v>104.10249401355395</v>
      </c>
      <c r="AI5" s="13">
        <f>'47MoonPos'!AE34</f>
        <v>117.12373694955022</v>
      </c>
      <c r="AJ5" s="13">
        <f>'47MoonPos'!AF34</f>
        <v>313.6859849777029</v>
      </c>
      <c r="AK5" s="13">
        <f>'47MoonPos'!AG34</f>
        <v>134.09016767470894</v>
      </c>
      <c r="AL5" s="13">
        <f>'47MoonPos'!AH34</f>
        <v>222.31481596680533</v>
      </c>
      <c r="AM5" s="13">
        <f>'47MoonPos'!AI34</f>
        <v>74.366867915377952</v>
      </c>
      <c r="AN5" s="13">
        <f>'47MoonPos'!AJ34</f>
        <v>259.96021849354656</v>
      </c>
      <c r="AO5" s="13">
        <f>'47MoonPos'!AK34</f>
        <v>158.8174517423613</v>
      </c>
      <c r="AP5" s="13">
        <f>'47MoonPos'!AL34</f>
        <v>239.16007411758619</v>
      </c>
      <c r="AQ5" s="13">
        <f>'47MoonPos'!AM34</f>
        <v>13.712349887005985</v>
      </c>
      <c r="AR5" s="13">
        <f>'47MoonPos'!AN34</f>
        <v>276.67504291410751</v>
      </c>
      <c r="AS5" s="13">
        <f>'47MoonPos'!AO34</f>
        <v>245.23180784657598</v>
      </c>
      <c r="AT5" s="13">
        <f>'47MoonPos'!AP34</f>
        <v>137.61427411311888</v>
      </c>
      <c r="AU5" s="13">
        <f>'47MoonPos'!AQ34</f>
        <v>230.95468937502301</v>
      </c>
      <c r="AV5" s="13">
        <f>'47MoonPos'!AR34</f>
        <v>322.2739539158938</v>
      </c>
      <c r="AW5" s="13">
        <f>'47MoonPos'!AS34</f>
        <v>65.545568871399155</v>
      </c>
      <c r="AX5" s="13">
        <f>'47MoonPos'!AT34</f>
        <v>259.43823266038089</v>
      </c>
      <c r="AY5" s="13">
        <f>'47MoonPos'!AU34</f>
        <v>149.6663292831945</v>
      </c>
      <c r="AZ5" s="13">
        <f>'47MoonPos'!AV34</f>
        <v>335.25101323910712</v>
      </c>
      <c r="BA5" s="13">
        <f>'47MoonPos'!AW34</f>
        <v>341.56922504876275</v>
      </c>
      <c r="BB5" s="13">
        <f>'47MoonPos'!AX34</f>
        <v>335.56365587699111</v>
      </c>
      <c r="BC5" s="13">
        <f>'47MoonPos'!AY34</f>
        <v>296.31873849341355</v>
      </c>
      <c r="BD5" s="13">
        <f>'47MoonPos'!AZ34</f>
        <v>309.54808868774853</v>
      </c>
      <c r="BE5" s="13">
        <f>'47MoonPos'!BA34</f>
        <v>322.77743888209807</v>
      </c>
      <c r="BF5" s="13">
        <f>'47MoonPos'!BB34</f>
        <v>336.00678907643305</v>
      </c>
      <c r="BG5" s="13">
        <f>'47MoonPos'!BC34</f>
        <v>349.23613927076804</v>
      </c>
      <c r="BH5" s="13">
        <f>'47MoonPos'!BD34</f>
        <v>2.4654894650884671</v>
      </c>
      <c r="BI5" s="13">
        <f>'47MoonPos'!BE34</f>
        <v>15.694839659423451</v>
      </c>
      <c r="BJ5" s="13">
        <f>'47MoonPos'!BF34</f>
        <v>28.924189853743883</v>
      </c>
      <c r="BK5" s="13">
        <f>'47MoonPos'!BG34</f>
        <v>115.12402265668788</v>
      </c>
    </row>
    <row r="6" spans="1:63" x14ac:dyDescent="0.25">
      <c r="C6" s="344"/>
      <c r="D6" s="344"/>
      <c r="E6" s="344"/>
      <c r="G6" s="41" t="s">
        <v>2</v>
      </c>
      <c r="I6" s="13">
        <f>'47MoonPos'!E3</f>
        <v>-0.42241451060917029</v>
      </c>
      <c r="J6" s="13">
        <f>'47MoonPos'!F3</f>
        <v>-16.668911704312116</v>
      </c>
      <c r="K6" s="13">
        <f>'47MoonPos'!G3</f>
        <v>0</v>
      </c>
      <c r="L6" s="13">
        <f>'47MoonPos'!H3</f>
        <v>-1.0006844626967831E-2</v>
      </c>
      <c r="M6" s="13">
        <f>'47MoonPos'!I3</f>
        <v>-0.12929500342231348</v>
      </c>
      <c r="N6" s="13">
        <f>'47MoonPos'!J3</f>
        <v>-0.12536618754277892</v>
      </c>
      <c r="O6" s="13">
        <f>'47MoonPos'!K3</f>
        <v>-0.11930184804928132</v>
      </c>
      <c r="P6" s="13">
        <f>'47MoonPos'!L3</f>
        <v>-0.11534565366187542</v>
      </c>
      <c r="Q6" s="13">
        <f>'47MoonPos'!M3</f>
        <v>-0.99998631042918518</v>
      </c>
      <c r="R6" s="13">
        <f>'47MoonPos'!N3</f>
        <v>-3.9999315537303217</v>
      </c>
      <c r="S6" s="13">
        <f>'47MoonPos'!O3</f>
        <v>-3.9899383983572894</v>
      </c>
      <c r="T6" s="13">
        <f>'47MoonPos'!P3</f>
        <v>-11.626918548939081</v>
      </c>
      <c r="U6" s="13">
        <f>'47MoonPos'!Q3</f>
        <v>-21.219671457905545</v>
      </c>
      <c r="V6" s="13">
        <f>'47MoonPos'!R3</f>
        <v>-21.219644079397671</v>
      </c>
      <c r="W6" s="13">
        <f>'47MoonPos'!S3</f>
        <v>-29.994360027378509</v>
      </c>
      <c r="X6" s="13">
        <f>'47MoonPos'!T3</f>
        <v>-29.9980424366872</v>
      </c>
      <c r="Y6" s="13">
        <f>'47MoonPos'!U3</f>
        <v>-30.003383983572899</v>
      </c>
      <c r="Z6" s="13">
        <f>'47MoonPos'!V3</f>
        <v>-67.119644079397673</v>
      </c>
      <c r="AA6" s="13">
        <f>'47MoonPos'!W3</f>
        <v>-0.12729637234770705</v>
      </c>
      <c r="AB6" s="13">
        <f>'47MoonPos'!X3</f>
        <v>-7.7221081451060922E-2</v>
      </c>
      <c r="AC6" s="13">
        <f>'47MoonPos'!Y3</f>
        <v>-0.22876112251882272</v>
      </c>
      <c r="AD6" s="13">
        <f>'47MoonPos'!Z3</f>
        <v>0.43998631074606431</v>
      </c>
      <c r="AE6" s="13">
        <f>'47MoonPos'!AA3</f>
        <v>-1.3689253935660506E-5</v>
      </c>
      <c r="AF6" s="13">
        <f>'47MoonPos'!AB3</f>
        <v>-0.45507186858316223</v>
      </c>
      <c r="AG6" s="13">
        <f>'47MoonPos'!AC3</f>
        <v>-0.21132101300479125</v>
      </c>
      <c r="AH6" s="13">
        <f>'47MoonPos'!AD3</f>
        <v>-0.1169472963723477</v>
      </c>
      <c r="AI6" s="13">
        <f>'47MoonPos'!AE3</f>
        <v>-0.2286748485309362</v>
      </c>
      <c r="AJ6" s="13">
        <f>'47MoonPos'!AF3</f>
        <v>-7.0321697467488023E-2</v>
      </c>
      <c r="AK6" s="13">
        <f>'47MoonPos'!AG3</f>
        <v>-7.2183436002737855E-2</v>
      </c>
      <c r="AL6" s="13">
        <f>'47MoonPos'!AH3</f>
        <v>-8.8391512662559887E-2</v>
      </c>
      <c r="AM6" s="13">
        <f>'47MoonPos'!AI3</f>
        <v>-7.7522245037645446E-2</v>
      </c>
      <c r="AN6" s="13">
        <f>'47MoonPos'!AJ3</f>
        <v>-6.670773442847365E-2</v>
      </c>
      <c r="AO6" s="13">
        <f>'47MoonPos'!AK3</f>
        <v>-1.8199726214921286</v>
      </c>
      <c r="AP6" s="13">
        <f>'47MoonPos'!AL3</f>
        <v>-9.2826830937713892E-2</v>
      </c>
      <c r="AQ6" s="13">
        <f>'47MoonPos'!AM3</f>
        <v>-13.774277891854894</v>
      </c>
      <c r="AR6" s="13">
        <f>'47MoonPos'!AN3</f>
        <v>2.6146475017111569E-3</v>
      </c>
      <c r="AS6" s="13">
        <f>'47MoonPos'!AO3</f>
        <v>-19.989582477754961</v>
      </c>
      <c r="AT6" s="13">
        <f>'47MoonPos'!AP3</f>
        <v>0.22732591832078314</v>
      </c>
      <c r="AU6" s="13">
        <f>'47MoonPos'!AQ3</f>
        <v>0.22751908890409606</v>
      </c>
      <c r="AV6" s="13">
        <f>'47MoonPos'!AR3</f>
        <v>0.22770807665982459</v>
      </c>
      <c r="AW6" s="13">
        <f>'47MoonPos'!AS3</f>
        <v>0.22792180013689253</v>
      </c>
      <c r="AX6" s="13">
        <f>'47MoonPos'!AT3</f>
        <v>0.22832306639288158</v>
      </c>
      <c r="AY6" s="13">
        <f>'47MoonPos'!AU3</f>
        <v>-0.26585900068446272</v>
      </c>
      <c r="AZ6" s="13">
        <f>'47MoonPos'!AV3</f>
        <v>-2.3340177960301165E-2</v>
      </c>
      <c r="BA6" s="13">
        <f>'47MoonPos'!AW3</f>
        <v>-0.64989733059548249</v>
      </c>
      <c r="BB6" s="13">
        <f>'47MoonPos'!AX3</f>
        <v>-0.42714579055441476</v>
      </c>
      <c r="BC6" s="13">
        <f>'47MoonPos'!AY3</f>
        <v>0.22914442162902121</v>
      </c>
      <c r="BD6" s="13">
        <f>'47MoonPos'!AZ3</f>
        <v>0.22917180013689253</v>
      </c>
      <c r="BE6" s="13">
        <f>'47MoonPos'!BA3</f>
        <v>0.22919917864476386</v>
      </c>
      <c r="BF6" s="13">
        <f>'47MoonPos'!BB3</f>
        <v>0.22922655715263518</v>
      </c>
      <c r="BG6" s="13">
        <f>'47MoonPos'!BC3</f>
        <v>0.2292539356605065</v>
      </c>
      <c r="BH6" s="13">
        <f>'47MoonPos'!BD3</f>
        <v>0.22928131416837783</v>
      </c>
      <c r="BI6" s="13">
        <f>'47MoonPos'!BE3</f>
        <v>0.22930869267624915</v>
      </c>
      <c r="BJ6" s="13">
        <f>'47MoonPos'!BF3</f>
        <v>0.22933607118412047</v>
      </c>
      <c r="BK6" s="13">
        <f>'47MoonPos'!BG3</f>
        <v>-0.22867898699520875</v>
      </c>
    </row>
    <row r="7" spans="1:63" x14ac:dyDescent="0.25">
      <c r="C7" s="345"/>
      <c r="D7" s="345"/>
      <c r="E7" s="345"/>
      <c r="G7" s="42" t="s">
        <v>4</v>
      </c>
      <c r="I7" s="13">
        <f>'47MoonPos'!E36</f>
        <v>1.0010614744969539</v>
      </c>
      <c r="J7" s="13">
        <f>'47MoonPos'!F36</f>
        <v>1.0398828724792437</v>
      </c>
      <c r="K7" s="13">
        <f>'47MoonPos'!G36</f>
        <v>1</v>
      </c>
      <c r="L7" s="13">
        <f>'47MoonPos'!H36</f>
        <v>1.0000251764800683</v>
      </c>
      <c r="M7" s="13">
        <f>'47MoonPos'!I36</f>
        <v>1.0003251825213462</v>
      </c>
      <c r="N7" s="13">
        <f>'47MoonPos'!J36</f>
        <v>1.0003153050244182</v>
      </c>
      <c r="O7" s="13">
        <f>'47MoonPos'!K36</f>
        <v>1.0003000581260029</v>
      </c>
      <c r="P7" s="13">
        <f>'47MoonPos'!L36</f>
        <v>1.0002901112104268</v>
      </c>
      <c r="Q7" s="13">
        <f>'47MoonPos'!M36</f>
        <v>1.0025085657596442</v>
      </c>
      <c r="R7" s="13">
        <f>'47MoonPos'!N36</f>
        <v>1.00994543184117</v>
      </c>
      <c r="S7" s="13">
        <f>'47MoonPos'!O36</f>
        <v>1.0099208799079391</v>
      </c>
      <c r="T7" s="13">
        <f>'47MoonPos'!P36</f>
        <v>1.0282529563305476</v>
      </c>
      <c r="U7" s="13">
        <f>'47MoonPos'!Q36</f>
        <v>1.0500566624079075</v>
      </c>
      <c r="V7" s="13">
        <f>'47MoonPos'!R36</f>
        <v>1.0500566021218278</v>
      </c>
      <c r="W7" s="13">
        <f>'47MoonPos'!S36</f>
        <v>1.0688083137413396</v>
      </c>
      <c r="X7" s="13">
        <f>'47MoonPos'!T36</f>
        <v>1.0688159439004585</v>
      </c>
      <c r="Y7" s="13">
        <f>'47MoonPos'!U36</f>
        <v>1.0688270115292231</v>
      </c>
      <c r="Z7" s="13">
        <f>'47MoonPos'!V36</f>
        <v>1.1355356795058114</v>
      </c>
      <c r="AA7" s="13">
        <f>'47MoonPos'!W36</f>
        <v>1.0003201577605154</v>
      </c>
      <c r="AB7" s="13">
        <f>'47MoonPos'!X36</f>
        <v>1.0001942441140248</v>
      </c>
      <c r="AC7" s="13">
        <f>'47MoonPos'!Y36</f>
        <v>1.0005751757300387</v>
      </c>
      <c r="AD7" s="13">
        <f>'47MoonPos'!Z36</f>
        <v>0.99889156189130601</v>
      </c>
      <c r="AE7" s="13">
        <f>'47MoonPos'!AA36</f>
        <v>1.0000000344421616</v>
      </c>
      <c r="AF7" s="13">
        <f>'47MoonPos'!AB36</f>
        <v>1.0011434283523539</v>
      </c>
      <c r="AG7" s="13">
        <f>'47MoonPos'!AC36</f>
        <v>1.0005313532100981</v>
      </c>
      <c r="AH7" s="13">
        <f>'47MoonPos'!AD36</f>
        <v>1.0002941381903139</v>
      </c>
      <c r="AI7" s="13">
        <f>'47MoonPos'!AE36</f>
        <v>1.0005749589567248</v>
      </c>
      <c r="AJ7" s="13">
        <f>'47MoonPos'!AF36</f>
        <v>1.0001768927967838</v>
      </c>
      <c r="AK7" s="13">
        <f>'47MoonPos'!AG36</f>
        <v>1.0001815749676644</v>
      </c>
      <c r="AL7" s="13">
        <f>'47MoonPos'!AH36</f>
        <v>1.0002223352292186</v>
      </c>
      <c r="AM7" s="13">
        <f>'47MoonPos'!AI36</f>
        <v>1.000195001496746</v>
      </c>
      <c r="AN7" s="13">
        <f>'47MoonPos'!AJ36</f>
        <v>1.0001678037304005</v>
      </c>
      <c r="AO7" s="13">
        <f>'47MoonPos'!AK36</f>
        <v>1.0045545400931362</v>
      </c>
      <c r="AP7" s="13">
        <f>'47MoonPos'!AL36</f>
        <v>1.0002334885421673</v>
      </c>
      <c r="AQ7" s="13">
        <f>'47MoonPos'!AM36</f>
        <v>1.0332520757632357</v>
      </c>
      <c r="AR7" s="13">
        <f>'47MoonPos'!AN36</f>
        <v>0.99999342149629644</v>
      </c>
      <c r="AS7" s="13">
        <f>'47MoonPos'!AO36</f>
        <v>1.0473368722975327</v>
      </c>
      <c r="AT7" s="13">
        <f>'47MoonPos'!AP36</f>
        <v>0.99942766557916363</v>
      </c>
      <c r="AU7" s="13">
        <f>'47MoonPos'!AQ36</f>
        <v>0.99942717891179222</v>
      </c>
      <c r="AV7" s="13">
        <f>'47MoonPos'!AR36</f>
        <v>0.99942670278195944</v>
      </c>
      <c r="AW7" s="13">
        <f>'47MoonPos'!AS36</f>
        <v>0.99942616433308795</v>
      </c>
      <c r="AX7" s="13">
        <f>'47MoonPos'!AT36</f>
        <v>0.99942515339242788</v>
      </c>
      <c r="AY7" s="13">
        <f>'47MoonPos'!AU36</f>
        <v>1.0006683782062611</v>
      </c>
      <c r="AZ7" s="13">
        <f>'47MoonPos'!AV36</f>
        <v>1.0000587198564952</v>
      </c>
      <c r="BA7" s="13">
        <f>'47MoonPos'!AW36</f>
        <v>1.0016320161713801</v>
      </c>
      <c r="BB7" s="13">
        <f>'47MoonPos'!AX36</f>
        <v>1.0010733486529395</v>
      </c>
      <c r="BC7" s="13">
        <f>'47MoonPos'!AY36</f>
        <v>0.9994230840821533</v>
      </c>
      <c r="BD7" s="13">
        <f>'47MoonPos'!AZ36</f>
        <v>0.99942301510497211</v>
      </c>
      <c r="BE7" s="13">
        <f>'47MoonPos'!BA36</f>
        <v>0.99942294612777993</v>
      </c>
      <c r="BF7" s="13">
        <f>'47MoonPos'!BB36</f>
        <v>0.99942287715057665</v>
      </c>
      <c r="BG7" s="13">
        <f>'47MoonPos'!BC36</f>
        <v>0.99942280817336226</v>
      </c>
      <c r="BH7" s="13">
        <f>'47MoonPos'!BD36</f>
        <v>0.99942273919613678</v>
      </c>
      <c r="BI7" s="13">
        <f>'47MoonPos'!BE36</f>
        <v>0.99942267021890019</v>
      </c>
      <c r="BJ7" s="13">
        <f>'47MoonPos'!BF36</f>
        <v>0.9994226012416525</v>
      </c>
      <c r="BK7" s="13">
        <f>'47MoonPos'!BG36</f>
        <v>1.0005749693550947</v>
      </c>
    </row>
    <row r="8" spans="1:63" x14ac:dyDescent="0.25">
      <c r="C8" s="37"/>
      <c r="D8" s="37"/>
      <c r="E8" s="37"/>
      <c r="G8" s="43" t="str">
        <f>I15</f>
        <v>Σl</v>
      </c>
      <c r="I8" s="72">
        <f>SUM(I16:I75)</f>
        <v>2824964.9201563871</v>
      </c>
      <c r="J8" s="72">
        <f t="shared" ref="J8:BK8" si="0">SUM(J16:J75)</f>
        <v>-6887945.587245469</v>
      </c>
      <c r="K8" s="72">
        <f t="shared" si="0"/>
        <v>4996966.4253232656</v>
      </c>
      <c r="L8" s="72">
        <f t="shared" si="0"/>
        <v>2609250.0809298903</v>
      </c>
      <c r="M8" s="72">
        <f t="shared" si="0"/>
        <v>-2611069.1077065091</v>
      </c>
      <c r="N8" s="72">
        <f t="shared" si="0"/>
        <v>6937907.4697694154</v>
      </c>
      <c r="O8" s="72">
        <f t="shared" si="0"/>
        <v>7168380.0268534673</v>
      </c>
      <c r="P8" s="72">
        <f t="shared" si="0"/>
        <v>352333.56531967869</v>
      </c>
      <c r="Q8" s="72">
        <f t="shared" si="0"/>
        <v>-4606567.9715785505</v>
      </c>
      <c r="R8" s="72">
        <f t="shared" si="0"/>
        <v>5064348.0783590544</v>
      </c>
      <c r="S8" s="72">
        <f t="shared" si="0"/>
        <v>599645.85104204004</v>
      </c>
      <c r="T8" s="72">
        <f t="shared" si="0"/>
        <v>4947644.5824608095</v>
      </c>
      <c r="U8" s="72">
        <f t="shared" si="0"/>
        <v>-4424630.8609916847</v>
      </c>
      <c r="V8" s="72">
        <f t="shared" si="0"/>
        <v>-5599034.7349573979</v>
      </c>
      <c r="W8" s="72">
        <f t="shared" si="0"/>
        <v>7007881.1136927381</v>
      </c>
      <c r="X8" s="72">
        <f t="shared" si="0"/>
        <v>2483001.8477035915</v>
      </c>
      <c r="Y8" s="72">
        <f t="shared" si="0"/>
        <v>4596032.2365424689</v>
      </c>
      <c r="Z8" s="72">
        <f t="shared" si="0"/>
        <v>-4129158.2510046507</v>
      </c>
      <c r="AA8" s="72">
        <f t="shared" si="0"/>
        <v>-4394979.5042125992</v>
      </c>
      <c r="AB8" s="72">
        <f t="shared" si="0"/>
        <v>-1129564.5160605123</v>
      </c>
      <c r="AC8" s="72">
        <f t="shared" si="0"/>
        <v>3288974.3426709985</v>
      </c>
      <c r="AD8" s="72">
        <f t="shared" si="0"/>
        <v>-2891212.2039373694</v>
      </c>
      <c r="AE8" s="72">
        <f t="shared" si="0"/>
        <v>5554792.9659512825</v>
      </c>
      <c r="AF8" s="72">
        <f t="shared" si="0"/>
        <v>3983046.7295776424</v>
      </c>
      <c r="AG8" s="72">
        <f t="shared" si="0"/>
        <v>4926083.5868228134</v>
      </c>
      <c r="AH8" s="72">
        <f t="shared" si="0"/>
        <v>5061397.6212546527</v>
      </c>
      <c r="AI8" s="72">
        <f t="shared" si="0"/>
        <v>4911060.6948561715</v>
      </c>
      <c r="AJ8" s="72">
        <f t="shared" si="0"/>
        <v>4721093.1062198197</v>
      </c>
      <c r="AK8" s="72">
        <f t="shared" si="0"/>
        <v>-4458762.0387823014</v>
      </c>
      <c r="AL8" s="72">
        <f t="shared" si="0"/>
        <v>4556978.1582966484</v>
      </c>
      <c r="AM8" s="72">
        <f t="shared" si="0"/>
        <v>-3358386.5560700875</v>
      </c>
      <c r="AN8" s="72">
        <f t="shared" si="0"/>
        <v>-4040810.966158581</v>
      </c>
      <c r="AO8" s="72">
        <f t="shared" si="0"/>
        <v>-5132225.5648360113</v>
      </c>
      <c r="AP8" s="72">
        <f t="shared" si="0"/>
        <v>4415771.3813983798</v>
      </c>
      <c r="AQ8" s="72">
        <f t="shared" si="0"/>
        <v>-3468092.3802478863</v>
      </c>
      <c r="AR8" s="72">
        <f t="shared" si="0"/>
        <v>-4014928.0235950202</v>
      </c>
      <c r="AS8" s="72">
        <f t="shared" si="0"/>
        <v>6741418.3130790098</v>
      </c>
      <c r="AT8" s="72">
        <f t="shared" si="0"/>
        <v>-4505593.454216931</v>
      </c>
      <c r="AU8" s="72">
        <f t="shared" si="0"/>
        <v>-1484404.5169236497</v>
      </c>
      <c r="AV8" s="72">
        <f t="shared" si="0"/>
        <v>5096644.0971701667</v>
      </c>
      <c r="AW8" s="72">
        <f t="shared" si="0"/>
        <v>94229.927939222325</v>
      </c>
      <c r="AX8" s="72">
        <f t="shared" si="0"/>
        <v>2021083.2371237464</v>
      </c>
      <c r="AY8" s="72">
        <f t="shared" si="0"/>
        <v>-1277751.9864346061</v>
      </c>
      <c r="AZ8" s="72">
        <f t="shared" si="0"/>
        <v>2354187.2897166261</v>
      </c>
      <c r="BA8" s="72">
        <f t="shared" si="0"/>
        <v>-2972805.7452555681</v>
      </c>
      <c r="BB8" s="72">
        <f t="shared" si="0"/>
        <v>4554341.6724195201</v>
      </c>
      <c r="BC8" s="72">
        <f t="shared" si="0"/>
        <v>5591016.7396190912</v>
      </c>
      <c r="BD8" s="72">
        <f t="shared" si="0"/>
        <v>6025888.1587147564</v>
      </c>
      <c r="BE8" s="72">
        <f t="shared" si="0"/>
        <v>6170571.3919316037</v>
      </c>
      <c r="BF8" s="72">
        <f t="shared" si="0"/>
        <v>6051932.1770983953</v>
      </c>
      <c r="BG8" s="72">
        <f t="shared" si="0"/>
        <v>5700377.4420279255</v>
      </c>
      <c r="BH8" s="72">
        <f t="shared" si="0"/>
        <v>5144755.2571655987</v>
      </c>
      <c r="BI8" s="72">
        <f t="shared" si="0"/>
        <v>4409982.8705342701</v>
      </c>
      <c r="BJ8" s="72">
        <f t="shared" si="0"/>
        <v>3517188.8450759919</v>
      </c>
      <c r="BK8" s="72">
        <f t="shared" si="0"/>
        <v>4887337.3613231201</v>
      </c>
    </row>
    <row r="9" spans="1:63" x14ac:dyDescent="0.25">
      <c r="C9" s="37"/>
      <c r="D9" s="37"/>
      <c r="E9" s="37"/>
      <c r="G9" s="43" t="s">
        <v>221</v>
      </c>
      <c r="I9" s="72">
        <f>SUM(I143:I202)</f>
        <v>20398905.572741065</v>
      </c>
      <c r="J9" s="72">
        <f t="shared" ref="J9:BK9" si="1">SUM(J143:J202)</f>
        <v>-12263767.214078018</v>
      </c>
      <c r="K9" s="72">
        <f t="shared" si="1"/>
        <v>17444252.387244027</v>
      </c>
      <c r="L9" s="72">
        <f t="shared" si="1"/>
        <v>-20101770.116376318</v>
      </c>
      <c r="M9" s="72">
        <f t="shared" si="1"/>
        <v>-24222012.060238943</v>
      </c>
      <c r="N9" s="72">
        <f t="shared" si="1"/>
        <v>-1859591.8272709248</v>
      </c>
      <c r="O9" s="72">
        <f t="shared" si="1"/>
        <v>2920740.9601159566</v>
      </c>
      <c r="P9" s="72">
        <f t="shared" si="1"/>
        <v>19128301.032278389</v>
      </c>
      <c r="Q9" s="72">
        <f t="shared" si="1"/>
        <v>-16609002.969415506</v>
      </c>
      <c r="R9" s="72">
        <f t="shared" si="1"/>
        <v>-1883267.3495022045</v>
      </c>
      <c r="S9" s="72">
        <f t="shared" si="1"/>
        <v>20228645.86209866</v>
      </c>
      <c r="T9" s="72">
        <f t="shared" si="1"/>
        <v>1893598.4124053423</v>
      </c>
      <c r="U9" s="72">
        <f t="shared" si="1"/>
        <v>17943759.33775093</v>
      </c>
      <c r="V9" s="72">
        <f t="shared" si="1"/>
        <v>14858793.5778517</v>
      </c>
      <c r="W9" s="72">
        <f t="shared" si="1"/>
        <v>6873328.5410779472</v>
      </c>
      <c r="X9" s="72">
        <f t="shared" si="1"/>
        <v>15558174.847175799</v>
      </c>
      <c r="Y9" s="72">
        <f t="shared" si="1"/>
        <v>8780981.0671249442</v>
      </c>
      <c r="Z9" s="72">
        <f t="shared" si="1"/>
        <v>-8868677.4892507512</v>
      </c>
      <c r="AA9" s="72">
        <f t="shared" si="1"/>
        <v>10997782.923780503</v>
      </c>
      <c r="AB9" s="72">
        <f t="shared" si="1"/>
        <v>-16590875.183873096</v>
      </c>
      <c r="AC9" s="72">
        <f t="shared" si="1"/>
        <v>-11045799.111325093</v>
      </c>
      <c r="AD9" s="72">
        <f t="shared" si="1"/>
        <v>17930487.678811729</v>
      </c>
      <c r="AE9" s="72">
        <f t="shared" si="1"/>
        <v>15926596.394430019</v>
      </c>
      <c r="AF9" s="72">
        <f t="shared" si="1"/>
        <v>-15328718.039611604</v>
      </c>
      <c r="AG9" s="72">
        <f t="shared" si="1"/>
        <v>960262.15734770312</v>
      </c>
      <c r="AH9" s="72">
        <f t="shared" si="1"/>
        <v>10753459.169413112</v>
      </c>
      <c r="AI9" s="72">
        <f t="shared" si="1"/>
        <v>-1527401.9830304126</v>
      </c>
      <c r="AJ9" s="72">
        <f t="shared" si="1"/>
        <v>-6563571.4368259814</v>
      </c>
      <c r="AK9" s="72">
        <f t="shared" si="1"/>
        <v>8372729.3473614668</v>
      </c>
      <c r="AL9" s="72">
        <f t="shared" si="1"/>
        <v>-9417400.8307858184</v>
      </c>
      <c r="AM9" s="72">
        <f t="shared" si="1"/>
        <v>14136951.06045392</v>
      </c>
      <c r="AN9" s="72">
        <f t="shared" si="1"/>
        <v>-16742376.594904909</v>
      </c>
      <c r="AO9" s="72">
        <f t="shared" si="1"/>
        <v>-12638254.270330634</v>
      </c>
      <c r="AP9" s="72">
        <f t="shared" si="1"/>
        <v>8619614.8237109594</v>
      </c>
      <c r="AQ9" s="72">
        <f t="shared" si="1"/>
        <v>-13565512.921210693</v>
      </c>
      <c r="AR9" s="72">
        <f t="shared" si="1"/>
        <v>-12815484.692596603</v>
      </c>
      <c r="AS9" s="72">
        <f t="shared" si="1"/>
        <v>-13775058.549364189</v>
      </c>
      <c r="AT9" s="72">
        <f t="shared" si="1"/>
        <v>3877038.7896782975</v>
      </c>
      <c r="AU9" s="72">
        <f t="shared" si="1"/>
        <v>-14499289.748984408</v>
      </c>
      <c r="AV9" s="72">
        <f t="shared" si="1"/>
        <v>-6802805.8449314954</v>
      </c>
      <c r="AW9" s="72">
        <f t="shared" si="1"/>
        <v>19321826.829336815</v>
      </c>
      <c r="AX9" s="72">
        <f t="shared" si="1"/>
        <v>-14743603.116958817</v>
      </c>
      <c r="AY9" s="72">
        <f t="shared" si="1"/>
        <v>-27085115.057428166</v>
      </c>
      <c r="AZ9" s="72">
        <f t="shared" si="1"/>
        <v>20298710.856497217</v>
      </c>
      <c r="BA9" s="72">
        <f t="shared" si="1"/>
        <v>-23425837.13663828</v>
      </c>
      <c r="BB9" s="72">
        <f t="shared" si="1"/>
        <v>-15167278.514687795</v>
      </c>
      <c r="BC9" s="72">
        <f t="shared" si="1"/>
        <v>-9504429.0164355859</v>
      </c>
      <c r="BD9" s="72">
        <f t="shared" si="1"/>
        <v>-5553107.9628688525</v>
      </c>
      <c r="BE9" s="72">
        <f t="shared" si="1"/>
        <v>-1659324.5806972627</v>
      </c>
      <c r="BF9" s="72">
        <f t="shared" si="1"/>
        <v>2080503.30650458</v>
      </c>
      <c r="BG9" s="72">
        <f t="shared" si="1"/>
        <v>5620161.0224694712</v>
      </c>
      <c r="BH9" s="72">
        <f t="shared" si="1"/>
        <v>8937778.940026816</v>
      </c>
      <c r="BI9" s="72">
        <f t="shared" si="1"/>
        <v>12009797.49621352</v>
      </c>
      <c r="BJ9" s="72">
        <f t="shared" si="1"/>
        <v>14790105.944306033</v>
      </c>
      <c r="BK9" s="72">
        <f t="shared" si="1"/>
        <v>-2107116.2821472064</v>
      </c>
    </row>
    <row r="10" spans="1:63" x14ac:dyDescent="0.25">
      <c r="C10" s="37"/>
      <c r="D10" s="37"/>
      <c r="E10" s="37"/>
      <c r="G10" s="43" t="s">
        <v>222</v>
      </c>
      <c r="I10" s="72">
        <f>SUM(I80:I139)</f>
        <v>5013585.2351369523</v>
      </c>
      <c r="J10" s="72">
        <f t="shared" ref="J10:BK10" si="2">SUM(J80:J139)</f>
        <v>-5258279.5815699967</v>
      </c>
      <c r="K10" s="72">
        <f t="shared" si="2"/>
        <v>5170096.3223674735</v>
      </c>
      <c r="L10" s="72">
        <f t="shared" si="2"/>
        <v>-4358603.9031576775</v>
      </c>
      <c r="M10" s="72">
        <f t="shared" si="2"/>
        <v>-4893543.7277366435</v>
      </c>
      <c r="N10" s="72">
        <f t="shared" si="2"/>
        <v>213303.6859229338</v>
      </c>
      <c r="O10" s="72">
        <f t="shared" si="2"/>
        <v>4212391.6208650898</v>
      </c>
      <c r="P10" s="72">
        <f t="shared" si="2"/>
        <v>1798044.6586311923</v>
      </c>
      <c r="Q10" s="72">
        <f t="shared" si="2"/>
        <v>1106174.0741261942</v>
      </c>
      <c r="R10" s="72">
        <f t="shared" si="2"/>
        <v>1418954.8580590312</v>
      </c>
      <c r="S10" s="72">
        <f t="shared" si="2"/>
        <v>-4187729.885988168</v>
      </c>
      <c r="T10" s="72">
        <f t="shared" si="2"/>
        <v>4778399.7063779263</v>
      </c>
      <c r="U10" s="72">
        <f t="shared" si="2"/>
        <v>-3411703.4661149029</v>
      </c>
      <c r="V10" s="72">
        <f t="shared" si="2"/>
        <v>-4166187.655769207</v>
      </c>
      <c r="W10" s="72">
        <f t="shared" si="2"/>
        <v>174836.63514601911</v>
      </c>
      <c r="X10" s="72">
        <f t="shared" si="2"/>
        <v>1733729.3650180229</v>
      </c>
      <c r="Y10" s="72">
        <f t="shared" si="2"/>
        <v>-3256859.8518290585</v>
      </c>
      <c r="Z10" s="72">
        <f t="shared" si="2"/>
        <v>4141072.0628282512</v>
      </c>
      <c r="AA10" s="72">
        <f t="shared" si="2"/>
        <v>3487357.1567780674</v>
      </c>
      <c r="AB10" s="72">
        <f t="shared" si="2"/>
        <v>-3227044.8970912579</v>
      </c>
      <c r="AC10" s="72">
        <f t="shared" si="2"/>
        <v>4994092.5605378607</v>
      </c>
      <c r="AD10" s="72">
        <f t="shared" si="2"/>
        <v>-4590590.5007783975</v>
      </c>
      <c r="AE10" s="72">
        <f t="shared" si="2"/>
        <v>5230761.3869415512</v>
      </c>
      <c r="AF10" s="72">
        <f t="shared" si="2"/>
        <v>1273798.2849323475</v>
      </c>
      <c r="AG10" s="72">
        <f t="shared" si="2"/>
        <v>-3651635.0447201394</v>
      </c>
      <c r="AH10" s="72">
        <f t="shared" si="2"/>
        <v>4929229.9593216917</v>
      </c>
      <c r="AI10" s="72">
        <f t="shared" si="2"/>
        <v>4238433.4053578256</v>
      </c>
      <c r="AJ10" s="72">
        <f t="shared" si="2"/>
        <v>-3546664.7452011793</v>
      </c>
      <c r="AK10" s="72">
        <f t="shared" si="2"/>
        <v>3825530.0751567492</v>
      </c>
      <c r="AL10" s="72">
        <f t="shared" si="2"/>
        <v>-3679517.0105392262</v>
      </c>
      <c r="AM10" s="72">
        <f t="shared" si="2"/>
        <v>4743207.3844234534</v>
      </c>
      <c r="AN10" s="72">
        <f t="shared" si="2"/>
        <v>-5078923.6760442453</v>
      </c>
      <c r="AO10" s="72">
        <f t="shared" si="2"/>
        <v>2387589.9016705742</v>
      </c>
      <c r="AP10" s="72">
        <f t="shared" si="2"/>
        <v>-4505243.7601545304</v>
      </c>
      <c r="AQ10" s="72">
        <f t="shared" si="2"/>
        <v>983652.00993663853</v>
      </c>
      <c r="AR10" s="72">
        <f t="shared" si="2"/>
        <v>-5016018.3754713377</v>
      </c>
      <c r="AS10" s="72">
        <f t="shared" si="2"/>
        <v>-5013532.7800869057</v>
      </c>
      <c r="AT10" s="72">
        <f t="shared" si="2"/>
        <v>3677372.0114523997</v>
      </c>
      <c r="AU10" s="72">
        <f t="shared" si="2"/>
        <v>-4025679.3385592261</v>
      </c>
      <c r="AV10" s="72">
        <f t="shared" si="2"/>
        <v>-2732539.6463907342</v>
      </c>
      <c r="AW10" s="72">
        <f t="shared" si="2"/>
        <v>4817429.9749060245</v>
      </c>
      <c r="AX10" s="72">
        <f t="shared" si="2"/>
        <v>-5226546.1239132183</v>
      </c>
      <c r="AY10" s="72">
        <f t="shared" si="2"/>
        <v>2636717.4823133014</v>
      </c>
      <c r="AZ10" s="72">
        <f t="shared" si="2"/>
        <v>-1976380.9032701824</v>
      </c>
      <c r="BA10" s="72">
        <f t="shared" si="2"/>
        <v>-1851805.3725433289</v>
      </c>
      <c r="BB10" s="72">
        <f t="shared" si="2"/>
        <v>-1657956.4243381433</v>
      </c>
      <c r="BC10" s="72">
        <f t="shared" si="2"/>
        <v>-4513094.8266499368</v>
      </c>
      <c r="BD10" s="72">
        <f t="shared" si="2"/>
        <v>-3760494.2480456508</v>
      </c>
      <c r="BE10" s="72">
        <f t="shared" si="2"/>
        <v>-2818649.3490372682</v>
      </c>
      <c r="BF10" s="72">
        <f t="shared" si="2"/>
        <v>-1747467.5815290771</v>
      </c>
      <c r="BG10" s="72">
        <f t="shared" si="2"/>
        <v>-607436.6614713294</v>
      </c>
      <c r="BH10" s="72">
        <f t="shared" si="2"/>
        <v>542865.12288839219</v>
      </c>
      <c r="BI10" s="72">
        <f t="shared" si="2"/>
        <v>1648826.0828326265</v>
      </c>
      <c r="BJ10" s="72">
        <f t="shared" si="2"/>
        <v>2661561.0849920334</v>
      </c>
      <c r="BK10" s="72">
        <f t="shared" si="2"/>
        <v>4334311.7908246918</v>
      </c>
    </row>
    <row r="11" spans="1:63" x14ac:dyDescent="0.25">
      <c r="C11" s="37"/>
      <c r="D11" s="37"/>
      <c r="E11" s="37"/>
      <c r="F11" s="340" t="s">
        <v>661</v>
      </c>
      <c r="G11" s="340"/>
      <c r="H11" s="340"/>
      <c r="I11" s="340"/>
      <c r="J11" s="340"/>
      <c r="K11" s="340"/>
    </row>
    <row r="12" spans="1:63" x14ac:dyDescent="0.25">
      <c r="A12" s="343" t="s">
        <v>223</v>
      </c>
      <c r="B12" s="343"/>
      <c r="C12" s="343"/>
      <c r="D12" s="343"/>
      <c r="E12" s="343"/>
      <c r="F12" s="343"/>
      <c r="G12" s="343"/>
    </row>
    <row r="13" spans="1:63" x14ac:dyDescent="0.25">
      <c r="F13" s="31" t="s">
        <v>229</v>
      </c>
      <c r="G13" s="31"/>
      <c r="H13" s="8"/>
    </row>
    <row r="14" spans="1:63" x14ac:dyDescent="0.25">
      <c r="B14" s="342" t="s">
        <v>224</v>
      </c>
      <c r="C14" s="342"/>
      <c r="D14" s="342"/>
      <c r="E14" s="342"/>
      <c r="F14" s="342"/>
      <c r="G14" s="342"/>
      <c r="H14" s="32" t="s">
        <v>226</v>
      </c>
    </row>
    <row r="15" spans="1:63" x14ac:dyDescent="0.25">
      <c r="B15" s="19" t="s">
        <v>231</v>
      </c>
      <c r="C15" s="19" t="s">
        <v>232</v>
      </c>
      <c r="D15" s="19" t="s">
        <v>233</v>
      </c>
      <c r="E15" s="19" t="s">
        <v>234</v>
      </c>
      <c r="F15" s="19" t="s">
        <v>220</v>
      </c>
      <c r="H15" s="33" t="s">
        <v>226</v>
      </c>
      <c r="I15" s="40" t="s">
        <v>220</v>
      </c>
      <c r="J15" s="40" t="s">
        <v>220</v>
      </c>
      <c r="K15" s="40" t="s">
        <v>220</v>
      </c>
      <c r="L15" s="40" t="s">
        <v>220</v>
      </c>
      <c r="M15" s="40" t="s">
        <v>220</v>
      </c>
      <c r="N15" s="40" t="s">
        <v>220</v>
      </c>
      <c r="O15" s="40" t="s">
        <v>220</v>
      </c>
      <c r="P15" s="40" t="s">
        <v>220</v>
      </c>
      <c r="Q15" s="40" t="s">
        <v>220</v>
      </c>
      <c r="R15" s="40" t="s">
        <v>220</v>
      </c>
      <c r="S15" s="40" t="s">
        <v>220</v>
      </c>
      <c r="T15" s="40" t="s">
        <v>220</v>
      </c>
      <c r="U15" s="40" t="s">
        <v>220</v>
      </c>
      <c r="V15" s="40" t="s">
        <v>220</v>
      </c>
      <c r="W15" s="40" t="s">
        <v>220</v>
      </c>
      <c r="X15" s="40" t="s">
        <v>220</v>
      </c>
      <c r="Y15" s="40" t="s">
        <v>220</v>
      </c>
      <c r="Z15" s="40" t="s">
        <v>220</v>
      </c>
      <c r="AA15" s="40" t="s">
        <v>220</v>
      </c>
      <c r="AB15" s="40" t="s">
        <v>220</v>
      </c>
      <c r="AC15" s="40" t="s">
        <v>220</v>
      </c>
      <c r="AD15" s="40" t="s">
        <v>220</v>
      </c>
      <c r="AE15" s="40" t="s">
        <v>220</v>
      </c>
      <c r="AF15" s="40" t="s">
        <v>220</v>
      </c>
      <c r="AG15" s="40" t="s">
        <v>220</v>
      </c>
      <c r="AH15" s="40" t="s">
        <v>220</v>
      </c>
      <c r="AI15" s="40" t="s">
        <v>220</v>
      </c>
      <c r="AJ15" s="40" t="s">
        <v>220</v>
      </c>
      <c r="AK15" s="40" t="s">
        <v>220</v>
      </c>
      <c r="AL15" s="40" t="s">
        <v>220</v>
      </c>
      <c r="AM15" s="40" t="s">
        <v>220</v>
      </c>
      <c r="AN15" s="40" t="s">
        <v>220</v>
      </c>
      <c r="AO15" s="40" t="s">
        <v>220</v>
      </c>
      <c r="AP15" s="40" t="s">
        <v>220</v>
      </c>
      <c r="AQ15" s="40" t="s">
        <v>220</v>
      </c>
      <c r="AR15" s="40" t="s">
        <v>220</v>
      </c>
      <c r="AS15" s="40" t="s">
        <v>220</v>
      </c>
      <c r="AT15" s="40" t="s">
        <v>220</v>
      </c>
      <c r="AU15" s="40" t="s">
        <v>220</v>
      </c>
      <c r="AV15" s="40" t="s">
        <v>220</v>
      </c>
      <c r="AW15" s="40" t="s">
        <v>220</v>
      </c>
      <c r="AX15" s="40" t="s">
        <v>220</v>
      </c>
      <c r="AY15" s="40" t="s">
        <v>220</v>
      </c>
      <c r="AZ15" s="40" t="s">
        <v>220</v>
      </c>
      <c r="BA15" s="40" t="s">
        <v>220</v>
      </c>
      <c r="BB15" s="40" t="s">
        <v>220</v>
      </c>
      <c r="BC15" s="40" t="s">
        <v>220</v>
      </c>
      <c r="BD15" s="40" t="s">
        <v>220</v>
      </c>
      <c r="BE15" s="40" t="s">
        <v>220</v>
      </c>
      <c r="BF15" s="40" t="s">
        <v>220</v>
      </c>
      <c r="BG15" s="40" t="s">
        <v>220</v>
      </c>
      <c r="BH15" s="40" t="s">
        <v>220</v>
      </c>
      <c r="BI15" s="40" t="s">
        <v>220</v>
      </c>
      <c r="BJ15" s="40" t="s">
        <v>220</v>
      </c>
      <c r="BK15" s="40" t="s">
        <v>220</v>
      </c>
    </row>
    <row r="16" spans="1:63" x14ac:dyDescent="0.25">
      <c r="B16">
        <v>0</v>
      </c>
      <c r="C16">
        <v>0</v>
      </c>
      <c r="D16">
        <v>1</v>
      </c>
      <c r="E16">
        <v>0</v>
      </c>
      <c r="F16">
        <v>6288774</v>
      </c>
      <c r="H16" s="34"/>
      <c r="I16" s="11">
        <f t="shared" ref="I16:R25" si="3">IF(ABS($C16)=1,I$7,IF(ABS($C16)=2,I$7^2,1))*$F16*SIN(($B16*I$2  +  $C16*I$3  +  $D16*I$4  +  $E16*I$5)*Deg2Rad)</f>
        <v>2229198.1511157681</v>
      </c>
      <c r="J16" s="11">
        <f t="shared" si="3"/>
        <v>-4707636.2391648795</v>
      </c>
      <c r="K16" s="11">
        <f t="shared" si="3"/>
        <v>4449674.708323162</v>
      </c>
      <c r="L16" s="11">
        <f t="shared" si="3"/>
        <v>4017782.0195397064</v>
      </c>
      <c r="M16" s="11">
        <f t="shared" si="3"/>
        <v>-489654.41942137224</v>
      </c>
      <c r="N16" s="11">
        <f t="shared" si="3"/>
        <v>5922942.2686021728</v>
      </c>
      <c r="O16" s="11">
        <f t="shared" si="3"/>
        <v>6257206.2263053684</v>
      </c>
      <c r="P16" s="11">
        <f t="shared" si="3"/>
        <v>859115.69498500554</v>
      </c>
      <c r="Q16" s="11">
        <f t="shared" si="3"/>
        <v>-5295787.9103286965</v>
      </c>
      <c r="R16" s="11">
        <f t="shared" si="3"/>
        <v>6283730.7054849491</v>
      </c>
      <c r="S16" s="11">
        <f t="shared" ref="S16:AB25" si="4">IF(ABS($C16)=1,S$7,IF(ABS($C16)=2,S$7^2,1))*$F16*SIN(($B16*S$2  +  $C16*S$3  +  $D16*S$4  +  $E16*S$5)*Deg2Rad)</f>
        <v>-111566.61056302783</v>
      </c>
      <c r="T16" s="11">
        <f t="shared" si="4"/>
        <v>6108363.4194033705</v>
      </c>
      <c r="U16" s="11">
        <f t="shared" si="4"/>
        <v>-3657269.8195337299</v>
      </c>
      <c r="V16" s="11">
        <f t="shared" si="4"/>
        <v>-4719092.5786779383</v>
      </c>
      <c r="W16" s="11">
        <f t="shared" si="4"/>
        <v>5989438.613693607</v>
      </c>
      <c r="X16" s="11">
        <f t="shared" si="4"/>
        <v>3095869.8061080286</v>
      </c>
      <c r="Y16" s="11">
        <f t="shared" si="4"/>
        <v>5360251.4200268472</v>
      </c>
      <c r="Z16" s="11">
        <f t="shared" si="4"/>
        <v>-4783168.3315159753</v>
      </c>
      <c r="AA16" s="11">
        <f t="shared" si="4"/>
        <v>-4766218.9579938352</v>
      </c>
      <c r="AB16" s="11">
        <f t="shared" si="4"/>
        <v>564593.20196079439</v>
      </c>
      <c r="AC16" s="11">
        <f t="shared" ref="AC16:AL25" si="5">IF(ABS($C16)=1,AC$7,IF(ABS($C16)=2,AC$7^2,1))*$F16*SIN(($B16*AC$2  +  $C16*AC$3  +  $D16*AC$4  +  $E16*AC$5)*Deg2Rad)</f>
        <v>4846651.0083817663</v>
      </c>
      <c r="AD16" s="11">
        <f t="shared" si="5"/>
        <v>-3690611.8102515396</v>
      </c>
      <c r="AE16" s="11">
        <f t="shared" si="5"/>
        <v>4926363.6556297466</v>
      </c>
      <c r="AF16" s="11">
        <f t="shared" si="5"/>
        <v>5163074.7171890661</v>
      </c>
      <c r="AG16" s="11">
        <f t="shared" si="5"/>
        <v>6281181.6490324046</v>
      </c>
      <c r="AH16" s="11">
        <f t="shared" si="5"/>
        <v>4966001.4570660442</v>
      </c>
      <c r="AI16" s="11">
        <f t="shared" si="5"/>
        <v>6286367.5302674221</v>
      </c>
      <c r="AJ16" s="11">
        <f t="shared" si="5"/>
        <v>5305610.5338705024</v>
      </c>
      <c r="AK16" s="11">
        <f t="shared" si="5"/>
        <v>-5875373.8316105185</v>
      </c>
      <c r="AL16" s="11">
        <f t="shared" si="5"/>
        <v>6063960.057472541</v>
      </c>
      <c r="AM16" s="11">
        <f t="shared" ref="AM16:AV25" si="6">IF(ABS($C16)=1,AM$7,IF(ABS($C16)=2,AM$7^2,1))*$F16*SIN(($B16*AM$2  +  $C16*AM$3  +  $D16*AM$4  +  $E16*AM$5)*Deg2Rad)</f>
        <v>-4161796.6307941992</v>
      </c>
      <c r="AN16" s="11">
        <f t="shared" si="6"/>
        <v>-1932048.9970956466</v>
      </c>
      <c r="AO16" s="11">
        <f t="shared" si="6"/>
        <v>-3505856.8245160799</v>
      </c>
      <c r="AP16" s="11">
        <f t="shared" si="6"/>
        <v>5547244.4970446164</v>
      </c>
      <c r="AQ16" s="11">
        <f t="shared" si="6"/>
        <v>-5037507.1502784686</v>
      </c>
      <c r="AR16" s="11">
        <f t="shared" si="6"/>
        <v>-5293836.0765893152</v>
      </c>
      <c r="AS16" s="11">
        <f t="shared" si="6"/>
        <v>4969817.2514137849</v>
      </c>
      <c r="AT16" s="11">
        <f t="shared" si="6"/>
        <v>-6063986.2510044137</v>
      </c>
      <c r="AU16" s="11">
        <f t="shared" si="6"/>
        <v>-1434400.2544601322</v>
      </c>
      <c r="AV16" s="11">
        <f t="shared" si="6"/>
        <v>6127596.9257853767</v>
      </c>
      <c r="AW16" s="11">
        <f t="shared" ref="AW16:BK25" si="7">IF(ABS($C16)=1,AW$7,IF(ABS($C16)=2,AW$7^2,1))*$F16*SIN(($B16*AW$2  +  $C16*AW$3  +  $D16*AW$4  +  $E16*AW$5)*Deg2Rad)</f>
        <v>110988.20982433617</v>
      </c>
      <c r="AX16" s="11">
        <f t="shared" si="7"/>
        <v>1143076.5635747951</v>
      </c>
      <c r="AY16" s="11">
        <f t="shared" si="7"/>
        <v>-1377211.926875588</v>
      </c>
      <c r="AZ16" s="11">
        <f t="shared" si="7"/>
        <v>2451468.5665431106</v>
      </c>
      <c r="BA16" s="11">
        <f t="shared" si="7"/>
        <v>-3634291.0502251573</v>
      </c>
      <c r="BB16" s="11">
        <f t="shared" si="7"/>
        <v>5525502.2336778576</v>
      </c>
      <c r="BC16" s="11">
        <f t="shared" si="7"/>
        <v>4242346.7013872853</v>
      </c>
      <c r="BD16" s="11">
        <f t="shared" si="7"/>
        <v>5181956.4889763827</v>
      </c>
      <c r="BE16" s="11">
        <f t="shared" si="7"/>
        <v>5853288.7854834665</v>
      </c>
      <c r="BF16" s="11">
        <f t="shared" si="7"/>
        <v>6221587.7328500422</v>
      </c>
      <c r="BG16" s="11">
        <f t="shared" si="7"/>
        <v>6267785.9541538423</v>
      </c>
      <c r="BH16" s="11">
        <f t="shared" si="7"/>
        <v>5989491.6996880872</v>
      </c>
      <c r="BI16" s="11">
        <f t="shared" si="7"/>
        <v>5401112.6713565374</v>
      </c>
      <c r="BJ16" s="11">
        <f t="shared" si="7"/>
        <v>4533110.1148010921</v>
      </c>
      <c r="BK16" s="11">
        <f t="shared" si="7"/>
        <v>6288628.4908109577</v>
      </c>
    </row>
    <row r="17" spans="2:63" x14ac:dyDescent="0.25">
      <c r="B17">
        <v>2</v>
      </c>
      <c r="C17">
        <v>0</v>
      </c>
      <c r="D17">
        <v>-1</v>
      </c>
      <c r="E17">
        <v>0</v>
      </c>
      <c r="F17">
        <v>1274027</v>
      </c>
      <c r="H17" s="34"/>
      <c r="I17" s="11">
        <f t="shared" si="3"/>
        <v>1246725.0790730144</v>
      </c>
      <c r="J17" s="11">
        <f t="shared" si="3"/>
        <v>-1219818.1176267345</v>
      </c>
      <c r="K17" s="11">
        <f t="shared" si="3"/>
        <v>1251722.2692313078</v>
      </c>
      <c r="L17" s="11">
        <f t="shared" si="3"/>
        <v>-1233143.3275803677</v>
      </c>
      <c r="M17" s="11">
        <f t="shared" si="3"/>
        <v>-1119205.6734521545</v>
      </c>
      <c r="N17" s="11">
        <f t="shared" si="3"/>
        <v>1074991.6025482791</v>
      </c>
      <c r="O17" s="11">
        <f t="shared" si="3"/>
        <v>1204144.4399794419</v>
      </c>
      <c r="P17" s="11">
        <f t="shared" si="3"/>
        <v>-1052470.4962222043</v>
      </c>
      <c r="Q17" s="11">
        <f t="shared" si="3"/>
        <v>990490.70908565796</v>
      </c>
      <c r="R17" s="11">
        <f t="shared" si="3"/>
        <v>-1272723.1993691749</v>
      </c>
      <c r="S17" s="11">
        <f t="shared" si="4"/>
        <v>1245876.2520146167</v>
      </c>
      <c r="T17" s="11">
        <f t="shared" si="4"/>
        <v>-1243563.6707579419</v>
      </c>
      <c r="U17" s="11">
        <f t="shared" si="4"/>
        <v>-1156746.9062817774</v>
      </c>
      <c r="V17" s="11">
        <f t="shared" si="4"/>
        <v>-1029485.0709828639</v>
      </c>
      <c r="W17" s="11">
        <f t="shared" si="4"/>
        <v>824986.73333303118</v>
      </c>
      <c r="X17" s="11">
        <f t="shared" si="4"/>
        <v>-847787.33567487705</v>
      </c>
      <c r="Y17" s="11">
        <f t="shared" si="4"/>
        <v>-1273991.1249715947</v>
      </c>
      <c r="Z17" s="11">
        <f t="shared" si="4"/>
        <v>292695.99623752682</v>
      </c>
      <c r="AA17" s="11">
        <f t="shared" si="4"/>
        <v>895281.92602793069</v>
      </c>
      <c r="AB17" s="11">
        <f t="shared" si="4"/>
        <v>-861273.72422957234</v>
      </c>
      <c r="AC17" s="11">
        <f t="shared" si="5"/>
        <v>-911446.49546452519</v>
      </c>
      <c r="AD17" s="11">
        <f t="shared" si="5"/>
        <v>380293.28460162686</v>
      </c>
      <c r="AE17" s="11">
        <f t="shared" si="5"/>
        <v>1269025.1561988653</v>
      </c>
      <c r="AF17" s="11">
        <f t="shared" si="5"/>
        <v>-1239126.4308396361</v>
      </c>
      <c r="AG17" s="11">
        <f t="shared" si="5"/>
        <v>-1034492.2328709972</v>
      </c>
      <c r="AH17" s="11">
        <f t="shared" si="5"/>
        <v>50785.032084776198</v>
      </c>
      <c r="AI17" s="11">
        <f t="shared" si="5"/>
        <v>-1259490.6385435748</v>
      </c>
      <c r="AJ17" s="11">
        <f t="shared" si="5"/>
        <v>-314535.11920033139</v>
      </c>
      <c r="AK17" s="11">
        <f t="shared" si="5"/>
        <v>734921.60996885167</v>
      </c>
      <c r="AL17" s="11">
        <f t="shared" si="5"/>
        <v>-1228285.9486886836</v>
      </c>
      <c r="AM17" s="11">
        <f t="shared" si="6"/>
        <v>1261466.1419431299</v>
      </c>
      <c r="AN17" s="11">
        <f t="shared" si="6"/>
        <v>-1181854.5851798183</v>
      </c>
      <c r="AO17" s="11">
        <f t="shared" si="6"/>
        <v>-1121387.9061375207</v>
      </c>
      <c r="AP17" s="11">
        <f t="shared" si="6"/>
        <v>-1212532.7096395046</v>
      </c>
      <c r="AQ17" s="11">
        <f t="shared" si="6"/>
        <v>1244556.3023625228</v>
      </c>
      <c r="AR17" s="11">
        <f t="shared" si="6"/>
        <v>1248613.228816913</v>
      </c>
      <c r="AS17" s="11">
        <f t="shared" si="6"/>
        <v>1039237.6877412613</v>
      </c>
      <c r="AT17" s="11">
        <f t="shared" si="6"/>
        <v>1243462.7418090631</v>
      </c>
      <c r="AU17" s="11">
        <f t="shared" si="6"/>
        <v>-53790.381758173586</v>
      </c>
      <c r="AV17" s="11">
        <f t="shared" si="6"/>
        <v>-1256683.1051699645</v>
      </c>
      <c r="AW17" s="11">
        <f t="shared" si="7"/>
        <v>-245832.85521757635</v>
      </c>
      <c r="AX17" s="11">
        <f t="shared" si="7"/>
        <v>543819.92453452188</v>
      </c>
      <c r="AY17" s="11">
        <f t="shared" si="7"/>
        <v>260785.8888354126</v>
      </c>
      <c r="AZ17" s="11">
        <f t="shared" si="7"/>
        <v>146074.50768404233</v>
      </c>
      <c r="BA17" s="11">
        <f t="shared" si="7"/>
        <v>734166.06164570316</v>
      </c>
      <c r="BB17" s="11">
        <f t="shared" si="7"/>
        <v>-1027069.1502154444</v>
      </c>
      <c r="BC17" s="11">
        <f t="shared" si="7"/>
        <v>912940.77282637521</v>
      </c>
      <c r="BD17" s="11">
        <f t="shared" si="7"/>
        <v>720814.61457441561</v>
      </c>
      <c r="BE17" s="11">
        <f t="shared" si="7"/>
        <v>500660.54867394303</v>
      </c>
      <c r="BF17" s="11">
        <f t="shared" si="7"/>
        <v>261038.97013170039</v>
      </c>
      <c r="BG17" s="11">
        <f t="shared" si="7"/>
        <v>11267.242024034334</v>
      </c>
      <c r="BH17" s="11">
        <f t="shared" si="7"/>
        <v>-238942.59764741169</v>
      </c>
      <c r="BI17" s="11">
        <f t="shared" si="7"/>
        <v>-479861.47550512047</v>
      </c>
      <c r="BJ17" s="11">
        <f t="shared" si="7"/>
        <v>-702121.58472908265</v>
      </c>
      <c r="BK17" s="11">
        <f t="shared" si="7"/>
        <v>-1253200.8231522227</v>
      </c>
    </row>
    <row r="18" spans="2:63" x14ac:dyDescent="0.25">
      <c r="B18">
        <v>2</v>
      </c>
      <c r="C18">
        <v>0</v>
      </c>
      <c r="D18">
        <v>0</v>
      </c>
      <c r="E18">
        <v>0</v>
      </c>
      <c r="F18">
        <v>658314</v>
      </c>
      <c r="H18" s="34"/>
      <c r="I18" s="11">
        <f t="shared" si="3"/>
        <v>-650426.52360988059</v>
      </c>
      <c r="J18" s="11">
        <f t="shared" si="3"/>
        <v>-560140.90686411143</v>
      </c>
      <c r="K18" s="11">
        <f t="shared" si="3"/>
        <v>-543834.56023771618</v>
      </c>
      <c r="L18" s="11">
        <f t="shared" si="3"/>
        <v>-384500.54296260595</v>
      </c>
      <c r="M18" s="11">
        <f t="shared" si="3"/>
        <v>-601049.05268684914</v>
      </c>
      <c r="N18" s="11">
        <f t="shared" si="3"/>
        <v>-146071.8291757688</v>
      </c>
      <c r="O18" s="11">
        <f t="shared" si="3"/>
        <v>-151688.6949568883</v>
      </c>
      <c r="P18" s="11">
        <f t="shared" si="3"/>
        <v>589412.64928487502</v>
      </c>
      <c r="Q18" s="11">
        <f t="shared" si="3"/>
        <v>-72641.144330484283</v>
      </c>
      <c r="R18" s="11">
        <f t="shared" si="3"/>
        <v>-3418.8182196002758</v>
      </c>
      <c r="S18" s="11">
        <f t="shared" si="4"/>
        <v>-646108.17479230626</v>
      </c>
      <c r="T18" s="11">
        <f t="shared" si="4"/>
        <v>291802.27336845105</v>
      </c>
      <c r="U18" s="11">
        <f t="shared" si="4"/>
        <v>325797.37783178623</v>
      </c>
      <c r="V18" s="11">
        <f t="shared" si="4"/>
        <v>60596.40966088319</v>
      </c>
      <c r="W18" s="11">
        <f t="shared" si="4"/>
        <v>347824.87464664155</v>
      </c>
      <c r="X18" s="11">
        <f t="shared" si="4"/>
        <v>623218.02155453572</v>
      </c>
      <c r="Y18" s="11">
        <f t="shared" si="4"/>
        <v>348478.26645728183</v>
      </c>
      <c r="Z18" s="11">
        <f t="shared" si="4"/>
        <v>585504.25760061655</v>
      </c>
      <c r="AA18" s="11">
        <f t="shared" si="4"/>
        <v>-656770.47272682609</v>
      </c>
      <c r="AB18" s="11">
        <f t="shared" si="4"/>
        <v>-486790.46032174322</v>
      </c>
      <c r="AC18" s="11">
        <f t="shared" si="5"/>
        <v>-654596.6718691662</v>
      </c>
      <c r="AD18" s="11">
        <f t="shared" si="5"/>
        <v>209615.35219947557</v>
      </c>
      <c r="AE18" s="11">
        <f t="shared" si="5"/>
        <v>-453233.75008331588</v>
      </c>
      <c r="AF18" s="11">
        <f t="shared" si="5"/>
        <v>-239916.83282494181</v>
      </c>
      <c r="AG18" s="11">
        <f t="shared" si="5"/>
        <v>-357520.13788093138</v>
      </c>
      <c r="AH18" s="11">
        <f t="shared" si="5"/>
        <v>503331.57178548287</v>
      </c>
      <c r="AI18" s="11">
        <f t="shared" si="5"/>
        <v>-81121.441817303144</v>
      </c>
      <c r="AJ18" s="11">
        <f t="shared" si="5"/>
        <v>-625459.39645778609</v>
      </c>
      <c r="AK18" s="11">
        <f t="shared" si="5"/>
        <v>366983.37120263907</v>
      </c>
      <c r="AL18" s="11">
        <f t="shared" si="5"/>
        <v>382.87419578287563</v>
      </c>
      <c r="AM18" s="11">
        <f t="shared" si="6"/>
        <v>-427644.46845132223</v>
      </c>
      <c r="AN18" s="11">
        <f t="shared" si="6"/>
        <v>-505624.18170649622</v>
      </c>
      <c r="AO18" s="11">
        <f t="shared" si="6"/>
        <v>-306865.05535563355</v>
      </c>
      <c r="AP18" s="11">
        <f t="shared" si="6"/>
        <v>116923.45622869217</v>
      </c>
      <c r="AQ18" s="11">
        <f t="shared" si="6"/>
        <v>497731.19349296961</v>
      </c>
      <c r="AR18" s="11">
        <f t="shared" si="6"/>
        <v>458405.18152203143</v>
      </c>
      <c r="AS18" s="11">
        <f t="shared" si="6"/>
        <v>629989.62054440298</v>
      </c>
      <c r="AT18" s="11">
        <f t="shared" si="6"/>
        <v>-32041.599105509791</v>
      </c>
      <c r="AU18" s="11">
        <f t="shared" si="6"/>
        <v>122958.44038378827</v>
      </c>
      <c r="AV18" s="11">
        <f t="shared" si="6"/>
        <v>-251551.47918307991</v>
      </c>
      <c r="AW18" s="11">
        <f t="shared" si="7"/>
        <v>138406.7258632837</v>
      </c>
      <c r="AX18" s="11">
        <f t="shared" si="7"/>
        <v>168111.67359624457</v>
      </c>
      <c r="AY18" s="11">
        <f t="shared" si="7"/>
        <v>-9633.0348159360528</v>
      </c>
      <c r="AZ18" s="11">
        <f t="shared" si="7"/>
        <v>-324437.87139083288</v>
      </c>
      <c r="BA18" s="11">
        <f t="shared" si="7"/>
        <v>-1326.0603577534778</v>
      </c>
      <c r="BB18" s="11">
        <f t="shared" si="7"/>
        <v>88832.096835442251</v>
      </c>
      <c r="BC18" s="11">
        <f t="shared" si="7"/>
        <v>38473.1693818403</v>
      </c>
      <c r="BD18" s="11">
        <f t="shared" si="7"/>
        <v>-236252.31580380976</v>
      </c>
      <c r="BE18" s="11">
        <f t="shared" si="7"/>
        <v>-468838.42611491715</v>
      </c>
      <c r="BF18" s="11">
        <f t="shared" si="7"/>
        <v>-617799.71299761243</v>
      </c>
      <c r="BG18" s="11">
        <f t="shared" si="7"/>
        <v>-656566.55114097614</v>
      </c>
      <c r="BH18" s="11">
        <f t="shared" si="7"/>
        <v>-578224.25562608894</v>
      </c>
      <c r="BI18" s="11">
        <f t="shared" si="7"/>
        <v>-396746.4264485818</v>
      </c>
      <c r="BJ18" s="11">
        <f t="shared" si="7"/>
        <v>-144502.53372085065</v>
      </c>
      <c r="BK18" s="11">
        <f t="shared" si="7"/>
        <v>-122946.80316323304</v>
      </c>
    </row>
    <row r="19" spans="2:63" x14ac:dyDescent="0.25">
      <c r="B19">
        <v>0</v>
      </c>
      <c r="C19">
        <v>0</v>
      </c>
      <c r="D19">
        <v>2</v>
      </c>
      <c r="E19">
        <v>0</v>
      </c>
      <c r="F19">
        <v>213618</v>
      </c>
      <c r="H19" s="34"/>
      <c r="I19" s="11">
        <f t="shared" si="3"/>
        <v>-141609.69161511291</v>
      </c>
      <c r="J19" s="11">
        <f t="shared" si="3"/>
        <v>-212055.2769715694</v>
      </c>
      <c r="K19" s="11">
        <f t="shared" si="3"/>
        <v>-213617.82563066229</v>
      </c>
      <c r="L19" s="11">
        <f t="shared" si="3"/>
        <v>209984.29769764762</v>
      </c>
      <c r="M19" s="11">
        <f t="shared" si="3"/>
        <v>-33164.318908910376</v>
      </c>
      <c r="N19" s="11">
        <f t="shared" si="3"/>
        <v>135239.14088705686</v>
      </c>
      <c r="O19" s="11">
        <f t="shared" si="3"/>
        <v>42539.326552821141</v>
      </c>
      <c r="P19" s="11">
        <f t="shared" si="3"/>
        <v>-57817.949947681947</v>
      </c>
      <c r="Q19" s="11">
        <f t="shared" si="3"/>
        <v>-194034.00076589009</v>
      </c>
      <c r="R19" s="11">
        <f t="shared" si="3"/>
        <v>-17093.126167394119</v>
      </c>
      <c r="S19" s="11">
        <f t="shared" si="4"/>
        <v>7578.2292419698006</v>
      </c>
      <c r="T19" s="11">
        <f t="shared" si="4"/>
        <v>-98685.29466735998</v>
      </c>
      <c r="U19" s="11">
        <f t="shared" si="4"/>
        <v>202125.02342409492</v>
      </c>
      <c r="V19" s="11">
        <f t="shared" si="4"/>
        <v>211910.12113184656</v>
      </c>
      <c r="W19" s="11">
        <f t="shared" si="4"/>
        <v>-124041.95087555218</v>
      </c>
      <c r="X19" s="11">
        <f t="shared" si="4"/>
        <v>-183071.35410985383</v>
      </c>
      <c r="Y19" s="11">
        <f t="shared" si="4"/>
        <v>-190441.70306606338</v>
      </c>
      <c r="Z19" s="11">
        <f t="shared" si="4"/>
        <v>-210969.20096003148</v>
      </c>
      <c r="AA19" s="11">
        <f t="shared" si="4"/>
        <v>211239.72363971063</v>
      </c>
      <c r="AB19" s="11">
        <f t="shared" si="4"/>
        <v>38201.47938631555</v>
      </c>
      <c r="AC19" s="11">
        <f t="shared" si="5"/>
        <v>209812.88847849748</v>
      </c>
      <c r="AD19" s="11">
        <f t="shared" si="5"/>
        <v>203010.85848319612</v>
      </c>
      <c r="AE19" s="11">
        <f t="shared" si="5"/>
        <v>-208026.47156761028</v>
      </c>
      <c r="AF19" s="11">
        <f t="shared" si="5"/>
        <v>200259.5659873971</v>
      </c>
      <c r="AG19" s="11">
        <f t="shared" si="5"/>
        <v>-20961.976443465326</v>
      </c>
      <c r="AH19" s="11">
        <f t="shared" si="5"/>
        <v>-206992.07144555773</v>
      </c>
      <c r="AI19" s="11">
        <f t="shared" si="5"/>
        <v>-11813.600378984433</v>
      </c>
      <c r="AJ19" s="11">
        <f t="shared" si="5"/>
        <v>193512.02052446245</v>
      </c>
      <c r="AK19" s="11">
        <f t="shared" si="5"/>
        <v>142330.35704315823</v>
      </c>
      <c r="AL19" s="11">
        <f t="shared" si="5"/>
        <v>109165.48875602178</v>
      </c>
      <c r="AM19" s="11">
        <f t="shared" si="6"/>
        <v>211966.95257779222</v>
      </c>
      <c r="AN19" s="11">
        <f t="shared" si="6"/>
        <v>-124908.42251248441</v>
      </c>
      <c r="AO19" s="11">
        <f t="shared" si="6"/>
        <v>-197730.75156604699</v>
      </c>
      <c r="AP19" s="11">
        <f t="shared" si="6"/>
        <v>-177533.4561596491</v>
      </c>
      <c r="AQ19" s="11">
        <f t="shared" si="6"/>
        <v>-204866.1371787636</v>
      </c>
      <c r="AR19" s="11">
        <f t="shared" si="6"/>
        <v>-194136.66495998664</v>
      </c>
      <c r="AS19" s="11">
        <f t="shared" si="6"/>
        <v>206887.18353287599</v>
      </c>
      <c r="AT19" s="11">
        <f t="shared" si="6"/>
        <v>109159.71627560879</v>
      </c>
      <c r="AU19" s="11">
        <f t="shared" si="6"/>
        <v>-94879.140200008449</v>
      </c>
      <c r="AV19" s="11">
        <f t="shared" si="6"/>
        <v>93642.937244722169</v>
      </c>
      <c r="AW19" s="11">
        <f t="shared" si="7"/>
        <v>-7538.9532963000602</v>
      </c>
      <c r="AX19" s="11">
        <f t="shared" si="7"/>
        <v>76362.790941583458</v>
      </c>
      <c r="AY19" s="11">
        <f t="shared" si="7"/>
        <v>-91291.526137412962</v>
      </c>
      <c r="AZ19" s="11">
        <f t="shared" si="7"/>
        <v>-153368.83581123629</v>
      </c>
      <c r="BA19" s="11">
        <f t="shared" si="7"/>
        <v>-201496.94162510664</v>
      </c>
      <c r="BB19" s="11">
        <f t="shared" si="7"/>
        <v>179246.54079568002</v>
      </c>
      <c r="BC19" s="11">
        <f t="shared" si="7"/>
        <v>212753.87467254198</v>
      </c>
      <c r="BD19" s="11">
        <f t="shared" si="7"/>
        <v>199463.38069288631</v>
      </c>
      <c r="BE19" s="11">
        <f t="shared" si="7"/>
        <v>145401.45779695961</v>
      </c>
      <c r="BF19" s="11">
        <f t="shared" si="7"/>
        <v>61618.664933326792</v>
      </c>
      <c r="BG19" s="11">
        <f t="shared" si="7"/>
        <v>-34759.327152249869</v>
      </c>
      <c r="BH19" s="11">
        <f t="shared" si="7"/>
        <v>-124032.31865450107</v>
      </c>
      <c r="BI19" s="11">
        <f t="shared" si="7"/>
        <v>-187952.41156549208</v>
      </c>
      <c r="BJ19" s="11">
        <f t="shared" si="7"/>
        <v>-213453.98193257066</v>
      </c>
      <c r="BK19" s="11">
        <f t="shared" si="7"/>
        <v>2906.2468094956544</v>
      </c>
    </row>
    <row r="20" spans="2:63" x14ac:dyDescent="0.25">
      <c r="B20">
        <v>0</v>
      </c>
      <c r="C20">
        <v>1</v>
      </c>
      <c r="D20">
        <v>0</v>
      </c>
      <c r="E20">
        <v>0</v>
      </c>
      <c r="F20">
        <v>-185116</v>
      </c>
      <c r="H20" s="34"/>
      <c r="I20" s="11">
        <f t="shared" si="3"/>
        <v>185283.8258965835</v>
      </c>
      <c r="J20" s="11">
        <f t="shared" si="3"/>
        <v>-152710.49476370396</v>
      </c>
      <c r="K20" s="11">
        <f t="shared" si="3"/>
        <v>7980.6865469949016</v>
      </c>
      <c r="L20" s="11">
        <f t="shared" si="3"/>
        <v>8745.5307156880626</v>
      </c>
      <c r="M20" s="11">
        <f t="shared" si="3"/>
        <v>-72448.627256611406</v>
      </c>
      <c r="N20" s="11">
        <f t="shared" si="3"/>
        <v>-49593.393348180427</v>
      </c>
      <c r="O20" s="11">
        <f t="shared" si="3"/>
        <v>-71684.990250023417</v>
      </c>
      <c r="P20" s="11">
        <f t="shared" si="3"/>
        <v>-47316.062864650921</v>
      </c>
      <c r="Q20" s="11">
        <f t="shared" si="3"/>
        <v>3331.1978914031306</v>
      </c>
      <c r="R20" s="11">
        <f t="shared" si="3"/>
        <v>-12356.141913656269</v>
      </c>
      <c r="S20" s="11">
        <f t="shared" si="4"/>
        <v>-11522.610363920685</v>
      </c>
      <c r="T20" s="11">
        <f t="shared" si="4"/>
        <v>-165697.06877540011</v>
      </c>
      <c r="U20" s="11">
        <f t="shared" si="4"/>
        <v>-95539.980583689248</v>
      </c>
      <c r="V20" s="11">
        <f t="shared" si="4"/>
        <v>-98437.690274248569</v>
      </c>
      <c r="W20" s="11">
        <f t="shared" si="4"/>
        <v>149128.64857073117</v>
      </c>
      <c r="X20" s="11">
        <f t="shared" si="4"/>
        <v>-196640.49120257582</v>
      </c>
      <c r="Y20" s="11">
        <f t="shared" si="4"/>
        <v>196794.94037102169</v>
      </c>
      <c r="Z20" s="11">
        <f t="shared" si="4"/>
        <v>-201426.17781617478</v>
      </c>
      <c r="AA20" s="11">
        <f t="shared" si="4"/>
        <v>-184476.07347276059</v>
      </c>
      <c r="AB20" s="11">
        <f t="shared" si="4"/>
        <v>-183506.84765389809</v>
      </c>
      <c r="AC20" s="11">
        <f t="shared" si="5"/>
        <v>-124766.86380952278</v>
      </c>
      <c r="AD20" s="11">
        <f t="shared" si="5"/>
        <v>10907.087597510441</v>
      </c>
      <c r="AE20" s="11">
        <f t="shared" si="5"/>
        <v>9571.0716905354293</v>
      </c>
      <c r="AF20" s="11">
        <f t="shared" si="5"/>
        <v>-14946.924549349465</v>
      </c>
      <c r="AG20" s="11">
        <f t="shared" si="5"/>
        <v>141521.63082183257</v>
      </c>
      <c r="AH20" s="11">
        <f t="shared" si="5"/>
        <v>-176563.71163689016</v>
      </c>
      <c r="AI20" s="11">
        <f t="shared" si="5"/>
        <v>-132000.56137660952</v>
      </c>
      <c r="AJ20" s="11">
        <f t="shared" si="5"/>
        <v>44745.176882404514</v>
      </c>
      <c r="AK20" s="11">
        <f t="shared" si="5"/>
        <v>182873.16293654754</v>
      </c>
      <c r="AL20" s="11">
        <f t="shared" si="5"/>
        <v>-152626.89717202861</v>
      </c>
      <c r="AM20" s="11">
        <f t="shared" si="6"/>
        <v>-184863.74664325549</v>
      </c>
      <c r="AN20" s="11">
        <f t="shared" si="6"/>
        <v>-166247.22915036825</v>
      </c>
      <c r="AO20" s="11">
        <f t="shared" si="6"/>
        <v>-787.61046457510054</v>
      </c>
      <c r="AP20" s="11">
        <f t="shared" si="6"/>
        <v>179542.38461086928</v>
      </c>
      <c r="AQ20" s="11">
        <f t="shared" si="6"/>
        <v>113980.00181844659</v>
      </c>
      <c r="AR20" s="11">
        <f t="shared" si="6"/>
        <v>-185037.66112737256</v>
      </c>
      <c r="AS20" s="11">
        <f t="shared" si="6"/>
        <v>-101250.89494310717</v>
      </c>
      <c r="AT20" s="11">
        <f t="shared" si="6"/>
        <v>182755.58253323723</v>
      </c>
      <c r="AU20" s="11">
        <f t="shared" si="6"/>
        <v>184897.28391862698</v>
      </c>
      <c r="AV20" s="11">
        <f t="shared" si="6"/>
        <v>184360.04353513944</v>
      </c>
      <c r="AW20" s="11">
        <f t="shared" si="7"/>
        <v>180626.0877421363</v>
      </c>
      <c r="AX20" s="11">
        <f t="shared" si="7"/>
        <v>164928.73703632617</v>
      </c>
      <c r="AY20" s="11">
        <f t="shared" si="7"/>
        <v>-101274.68782761238</v>
      </c>
      <c r="AZ20" s="11">
        <f t="shared" si="7"/>
        <v>155794.75553933688</v>
      </c>
      <c r="BA20" s="11">
        <f t="shared" si="7"/>
        <v>-5961.1259826606583</v>
      </c>
      <c r="BB20" s="11">
        <f t="shared" si="7"/>
        <v>-182100.82023965879</v>
      </c>
      <c r="BC20" s="11">
        <f t="shared" si="7"/>
        <v>102084.7189175821</v>
      </c>
      <c r="BD20" s="11">
        <f t="shared" si="7"/>
        <v>99415.552138593455</v>
      </c>
      <c r="BE20" s="11">
        <f t="shared" si="7"/>
        <v>96716.968620971064</v>
      </c>
      <c r="BF20" s="11">
        <f t="shared" si="7"/>
        <v>93989.766880884796</v>
      </c>
      <c r="BG20" s="11">
        <f t="shared" si="7"/>
        <v>91234.753902504322</v>
      </c>
      <c r="BH20" s="11">
        <f t="shared" si="7"/>
        <v>88452.744899265992</v>
      </c>
      <c r="BI20" s="11">
        <f t="shared" si="7"/>
        <v>85644.563072624718</v>
      </c>
      <c r="BJ20" s="11">
        <f t="shared" si="7"/>
        <v>82811.039368482612</v>
      </c>
      <c r="BK20" s="11">
        <f t="shared" si="7"/>
        <v>-131662.25825379018</v>
      </c>
    </row>
    <row r="21" spans="2:63" x14ac:dyDescent="0.25">
      <c r="B21">
        <v>0</v>
      </c>
      <c r="C21">
        <v>0</v>
      </c>
      <c r="D21">
        <v>0</v>
      </c>
      <c r="E21">
        <v>2</v>
      </c>
      <c r="F21">
        <v>-114332</v>
      </c>
      <c r="H21" s="34"/>
      <c r="I21" s="11">
        <f t="shared" si="3"/>
        <v>45508.095453037058</v>
      </c>
      <c r="J21" s="11">
        <f t="shared" si="3"/>
        <v>40946.13755750969</v>
      </c>
      <c r="K21" s="11">
        <f t="shared" si="3"/>
        <v>13030.358958058283</v>
      </c>
      <c r="L21" s="11">
        <f t="shared" si="3"/>
        <v>94661.669482078432</v>
      </c>
      <c r="M21" s="11">
        <f t="shared" si="3"/>
        <v>-47719.282249142147</v>
      </c>
      <c r="N21" s="11">
        <f t="shared" si="3"/>
        <v>15606.432720742583</v>
      </c>
      <c r="O21" s="11">
        <f t="shared" si="3"/>
        <v>-114199.68739908958</v>
      </c>
      <c r="P21" s="11">
        <f t="shared" si="3"/>
        <v>79365.725746196971</v>
      </c>
      <c r="Q21" s="11">
        <f t="shared" si="3"/>
        <v>-66768.457476114432</v>
      </c>
      <c r="R21" s="11">
        <f t="shared" si="3"/>
        <v>78796.622319627175</v>
      </c>
      <c r="S21" s="11">
        <f t="shared" si="4"/>
        <v>109825.71237068478</v>
      </c>
      <c r="T21" s="11">
        <f t="shared" si="4"/>
        <v>47515.03123606489</v>
      </c>
      <c r="U21" s="11">
        <f t="shared" si="4"/>
        <v>-114189.61991196769</v>
      </c>
      <c r="V21" s="11">
        <f t="shared" si="4"/>
        <v>-104770.39089906302</v>
      </c>
      <c r="W21" s="11">
        <f t="shared" si="4"/>
        <v>20977.143182943168</v>
      </c>
      <c r="X21" s="11">
        <f t="shared" si="4"/>
        <v>-58424.407137404494</v>
      </c>
      <c r="Y21" s="11">
        <f t="shared" si="4"/>
        <v>114299.60833991638</v>
      </c>
      <c r="Z21" s="11">
        <f t="shared" si="4"/>
        <v>112220.54115189385</v>
      </c>
      <c r="AA21" s="11">
        <f t="shared" si="4"/>
        <v>109442.91194645668</v>
      </c>
      <c r="AB21" s="11">
        <f t="shared" si="4"/>
        <v>-112517.78029039172</v>
      </c>
      <c r="AC21" s="11">
        <f t="shared" si="5"/>
        <v>-55652.608799975817</v>
      </c>
      <c r="AD21" s="11">
        <f t="shared" si="5"/>
        <v>88964.116492218323</v>
      </c>
      <c r="AE21" s="11">
        <f t="shared" si="5"/>
        <v>-13309.788206567759</v>
      </c>
      <c r="AF21" s="11">
        <f t="shared" si="5"/>
        <v>68403.424381534962</v>
      </c>
      <c r="AG21" s="11">
        <f t="shared" si="5"/>
        <v>-113908.02714750163</v>
      </c>
      <c r="AH21" s="11">
        <f t="shared" si="5"/>
        <v>54036.44586085248</v>
      </c>
      <c r="AI21" s="11">
        <f t="shared" si="5"/>
        <v>92785.931354573433</v>
      </c>
      <c r="AJ21" s="11">
        <f t="shared" si="5"/>
        <v>114211.75222485411</v>
      </c>
      <c r="AK21" s="11">
        <f t="shared" si="5"/>
        <v>114274.34476420016</v>
      </c>
      <c r="AL21" s="11">
        <f t="shared" si="5"/>
        <v>-113830.13990416325</v>
      </c>
      <c r="AM21" s="11">
        <f t="shared" si="6"/>
        <v>-59340.12763540187</v>
      </c>
      <c r="AN21" s="11">
        <f t="shared" si="6"/>
        <v>-39253.000132434143</v>
      </c>
      <c r="AO21" s="11">
        <f t="shared" si="6"/>
        <v>77042.893709449476</v>
      </c>
      <c r="AP21" s="11">
        <f t="shared" si="6"/>
        <v>-100647.66974839746</v>
      </c>
      <c r="AQ21" s="11">
        <f t="shared" si="6"/>
        <v>-52659.315241109194</v>
      </c>
      <c r="AR21" s="11">
        <f t="shared" si="6"/>
        <v>26399.300618834583</v>
      </c>
      <c r="AS21" s="11">
        <f t="shared" si="6"/>
        <v>-86985.869714200642</v>
      </c>
      <c r="AT21" s="11">
        <f t="shared" si="6"/>
        <v>113856.27785147371</v>
      </c>
      <c r="AU21" s="11">
        <f t="shared" si="6"/>
        <v>-111871.02867188043</v>
      </c>
      <c r="AV21" s="11">
        <f t="shared" si="6"/>
        <v>110666.2813419552</v>
      </c>
      <c r="AW21" s="11">
        <f t="shared" si="7"/>
        <v>-86168.034003038149</v>
      </c>
      <c r="AX21" s="11">
        <f t="shared" si="7"/>
        <v>-41202.965649260892</v>
      </c>
      <c r="AY21" s="11">
        <f t="shared" si="7"/>
        <v>99673.515205146774</v>
      </c>
      <c r="AZ21" s="11">
        <f t="shared" si="7"/>
        <v>86936.108582071232</v>
      </c>
      <c r="BA21" s="11">
        <f t="shared" si="7"/>
        <v>68585.873135858928</v>
      </c>
      <c r="BB21" s="11">
        <f t="shared" si="7"/>
        <v>86120.573174425168</v>
      </c>
      <c r="BC21" s="11">
        <f t="shared" si="7"/>
        <v>90872.4150763863</v>
      </c>
      <c r="BD21" s="11">
        <f t="shared" si="7"/>
        <v>112267.86088298078</v>
      </c>
      <c r="BE21" s="11">
        <f t="shared" si="7"/>
        <v>110144.48199293867</v>
      </c>
      <c r="BF21" s="11">
        <f t="shared" si="7"/>
        <v>84947.10184448307</v>
      </c>
      <c r="BG21" s="11">
        <f t="shared" si="7"/>
        <v>41954.281566916958</v>
      </c>
      <c r="BH21" s="11">
        <f t="shared" si="7"/>
        <v>-9827.4778217896965</v>
      </c>
      <c r="BI21" s="11">
        <f t="shared" si="7"/>
        <v>-59550.493717240912</v>
      </c>
      <c r="BJ21" s="11">
        <f t="shared" si="7"/>
        <v>-96798.366581363516</v>
      </c>
      <c r="BK21" s="11">
        <f t="shared" si="7"/>
        <v>87900.730149999872</v>
      </c>
    </row>
    <row r="22" spans="2:63" x14ac:dyDescent="0.25">
      <c r="B22">
        <v>2</v>
      </c>
      <c r="C22">
        <v>0</v>
      </c>
      <c r="D22">
        <v>-2</v>
      </c>
      <c r="E22">
        <v>0</v>
      </c>
      <c r="F22">
        <v>58793</v>
      </c>
      <c r="H22" s="34"/>
      <c r="I22" s="11">
        <f t="shared" si="3"/>
        <v>-49505.932963307343</v>
      </c>
      <c r="J22" s="11">
        <f t="shared" si="3"/>
        <v>-24622.380808337843</v>
      </c>
      <c r="K22" s="11">
        <f t="shared" si="3"/>
        <v>-33068.977326717657</v>
      </c>
      <c r="L22" s="11">
        <f t="shared" si="3"/>
        <v>-53217.504664670501</v>
      </c>
      <c r="M22" s="11">
        <f t="shared" si="3"/>
        <v>-49304.45692530524</v>
      </c>
      <c r="N22" s="11">
        <f t="shared" si="3"/>
        <v>46391.552570834203</v>
      </c>
      <c r="O22" s="11">
        <f t="shared" si="3"/>
        <v>24668.594157519303</v>
      </c>
      <c r="P22" s="11">
        <f t="shared" si="3"/>
        <v>43587.284619176084</v>
      </c>
      <c r="Q22" s="11">
        <f t="shared" si="3"/>
        <v>55790.404907864715</v>
      </c>
      <c r="R22" s="11">
        <f t="shared" si="3"/>
        <v>5008.7413800555669</v>
      </c>
      <c r="S22" s="11">
        <f t="shared" si="4"/>
        <v>-57266.820688132677</v>
      </c>
      <c r="T22" s="11">
        <f t="shared" si="4"/>
        <v>1233.8154181139951</v>
      </c>
      <c r="U22" s="11">
        <f t="shared" si="4"/>
        <v>57754.889986054455</v>
      </c>
      <c r="V22" s="11">
        <f t="shared" si="4"/>
        <v>57392.385457105745</v>
      </c>
      <c r="W22" s="11">
        <f t="shared" si="4"/>
        <v>-54275.271559408357</v>
      </c>
      <c r="X22" s="11">
        <f t="shared" si="4"/>
        <v>12449.623705573034</v>
      </c>
      <c r="Y22" s="11">
        <f t="shared" si="4"/>
        <v>30369.921182504026</v>
      </c>
      <c r="Z22" s="11">
        <f t="shared" si="4"/>
        <v>-34751.859586452672</v>
      </c>
      <c r="AA22" s="11">
        <f t="shared" si="4"/>
        <v>4749.2190713279633</v>
      </c>
      <c r="AB22" s="11">
        <f t="shared" si="4"/>
        <v>-35695.541243493084</v>
      </c>
      <c r="AC22" s="11">
        <f t="shared" si="5"/>
        <v>4857.0695485531469</v>
      </c>
      <c r="AD22" s="11">
        <f t="shared" si="5"/>
        <v>-47139.807174733614</v>
      </c>
      <c r="AE22" s="11">
        <f t="shared" si="5"/>
        <v>-32323.424170421004</v>
      </c>
      <c r="AF22" s="11">
        <f t="shared" si="5"/>
        <v>-43867.752240159178</v>
      </c>
      <c r="AG22" s="11">
        <f t="shared" si="5"/>
        <v>36619.788054492936</v>
      </c>
      <c r="AH22" s="11">
        <f t="shared" si="5"/>
        <v>-47827.553978503085</v>
      </c>
      <c r="AI22" s="11">
        <f t="shared" si="5"/>
        <v>10460.359999700362</v>
      </c>
      <c r="AJ22" s="11">
        <f t="shared" si="5"/>
        <v>40273.445776322216</v>
      </c>
      <c r="AK22" s="11">
        <f t="shared" si="5"/>
        <v>-56961.501652844374</v>
      </c>
      <c r="AL22" s="11">
        <f t="shared" si="5"/>
        <v>-30074.451160969984</v>
      </c>
      <c r="AM22" s="11">
        <f t="shared" si="6"/>
        <v>-49092.419013686245</v>
      </c>
      <c r="AN22" s="11">
        <f t="shared" si="6"/>
        <v>-58647.173732095369</v>
      </c>
      <c r="AO22" s="11">
        <f t="shared" si="6"/>
        <v>-58517.677366024553</v>
      </c>
      <c r="AP22" s="11">
        <f t="shared" si="6"/>
        <v>42277.27369445339</v>
      </c>
      <c r="AQ22" s="11">
        <f t="shared" si="6"/>
        <v>24309.717466101363</v>
      </c>
      <c r="AR22" s="11">
        <f t="shared" si="6"/>
        <v>21267.67218519278</v>
      </c>
      <c r="AS22" s="11">
        <f t="shared" si="6"/>
        <v>2510.3274898215145</v>
      </c>
      <c r="AT22" s="11">
        <f t="shared" si="6"/>
        <v>-27548.112061441981</v>
      </c>
      <c r="AU22" s="11">
        <f t="shared" si="6"/>
        <v>-15814.93221594946</v>
      </c>
      <c r="AV22" s="11">
        <f t="shared" si="6"/>
        <v>-3625.0293661303876</v>
      </c>
      <c r="AW22" s="11">
        <f t="shared" si="7"/>
        <v>10324.65790731991</v>
      </c>
      <c r="AX22" s="11">
        <f t="shared" si="7"/>
        <v>34341.84004518525</v>
      </c>
      <c r="AY22" s="11">
        <f t="shared" si="7"/>
        <v>24345.222034361206</v>
      </c>
      <c r="AZ22" s="11">
        <f t="shared" si="7"/>
        <v>16559.652267220834</v>
      </c>
      <c r="BA22" s="11">
        <f t="shared" si="7"/>
        <v>55417.544661954613</v>
      </c>
      <c r="BB22" s="11">
        <f t="shared" si="7"/>
        <v>-53197.551457177498</v>
      </c>
      <c r="BC22" s="11">
        <f t="shared" si="7"/>
        <v>58763.830786692793</v>
      </c>
      <c r="BD22" s="11">
        <f t="shared" si="7"/>
        <v>58792.971494962774</v>
      </c>
      <c r="BE22" s="11">
        <f t="shared" si="7"/>
        <v>58767.363766503149</v>
      </c>
      <c r="BF22" s="11">
        <f t="shared" si="7"/>
        <v>58687.031447413377</v>
      </c>
      <c r="BG22" s="11">
        <f t="shared" si="7"/>
        <v>58552.049343717059</v>
      </c>
      <c r="BH22" s="11">
        <f t="shared" si="7"/>
        <v>58362.543151712722</v>
      </c>
      <c r="BI22" s="11">
        <f t="shared" si="7"/>
        <v>58118.689340942648</v>
      </c>
      <c r="BJ22" s="11">
        <f t="shared" si="7"/>
        <v>57820.714989789303</v>
      </c>
      <c r="BK22" s="11">
        <f t="shared" si="7"/>
        <v>10193.373364941555</v>
      </c>
    </row>
    <row r="23" spans="2:63" x14ac:dyDescent="0.25">
      <c r="B23">
        <v>2</v>
      </c>
      <c r="C23">
        <v>-1</v>
      </c>
      <c r="D23">
        <v>-1</v>
      </c>
      <c r="E23">
        <v>0</v>
      </c>
      <c r="F23">
        <v>57066</v>
      </c>
      <c r="H23" s="34"/>
      <c r="I23" s="11">
        <f t="shared" si="3"/>
        <v>-10777.955523093588</v>
      </c>
      <c r="J23" s="11">
        <f t="shared" si="3"/>
        <v>-48177.600880660124</v>
      </c>
      <c r="K23" s="11">
        <f t="shared" si="3"/>
        <v>55556.461276011098</v>
      </c>
      <c r="L23" s="11">
        <f t="shared" si="3"/>
        <v>-54496.96488073501</v>
      </c>
      <c r="M23" s="11">
        <f t="shared" si="3"/>
        <v>-56820.907547095128</v>
      </c>
      <c r="N23" s="11">
        <f t="shared" si="3"/>
        <v>-38201.308397665343</v>
      </c>
      <c r="O23" s="11">
        <f t="shared" si="3"/>
        <v>56963.44336939451</v>
      </c>
      <c r="P23" s="11">
        <f t="shared" si="3"/>
        <v>37370.541722774855</v>
      </c>
      <c r="Q23" s="11">
        <f t="shared" si="3"/>
        <v>45115.893049810722</v>
      </c>
      <c r="R23" s="11">
        <f t="shared" si="3"/>
        <v>-57276.4046473938</v>
      </c>
      <c r="S23" s="11">
        <f t="shared" si="4"/>
        <v>55508.985239080044</v>
      </c>
      <c r="T23" s="11">
        <f t="shared" si="4"/>
        <v>17085.354129822237</v>
      </c>
      <c r="U23" s="11">
        <f t="shared" si="4"/>
        <v>-59724.235441613135</v>
      </c>
      <c r="V23" s="11">
        <f t="shared" si="4"/>
        <v>-59629.521737958989</v>
      </c>
      <c r="W23" s="11">
        <f t="shared" si="4"/>
        <v>9076.5230873217406</v>
      </c>
      <c r="X23" s="11">
        <f t="shared" si="4"/>
        <v>-40758.892448371589</v>
      </c>
      <c r="Y23" s="11">
        <f t="shared" si="4"/>
        <v>6766.2779538617269</v>
      </c>
      <c r="Z23" s="11">
        <f t="shared" si="4"/>
        <v>64690.663485510231</v>
      </c>
      <c r="AA23" s="11">
        <f t="shared" si="4"/>
        <v>-43942.944596407848</v>
      </c>
      <c r="AB23" s="11">
        <f t="shared" si="4"/>
        <v>46817.4281270356</v>
      </c>
      <c r="AC23" s="11">
        <f t="shared" si="5"/>
        <v>-3317.213378259205</v>
      </c>
      <c r="AD23" s="11">
        <f t="shared" si="5"/>
        <v>13776.466872361558</v>
      </c>
      <c r="AE23" s="11">
        <f t="shared" si="5"/>
        <v>56504.743172633651</v>
      </c>
      <c r="AF23" s="11">
        <f t="shared" si="5"/>
        <v>54314.083222991248</v>
      </c>
      <c r="AG23" s="11">
        <f t="shared" si="5"/>
        <v>-55371.969150500619</v>
      </c>
      <c r="AH23" s="11">
        <f t="shared" si="5"/>
        <v>-55071.965507223606</v>
      </c>
      <c r="AI23" s="11">
        <f t="shared" si="5"/>
        <v>-33468.924439361908</v>
      </c>
      <c r="AJ23" s="11">
        <f t="shared" si="5"/>
        <v>-27040.097433031511</v>
      </c>
      <c r="AK23" s="11">
        <f t="shared" si="5"/>
        <v>-40902.526610853944</v>
      </c>
      <c r="AL23" s="11">
        <f t="shared" si="5"/>
        <v>-43648.51527105226</v>
      </c>
      <c r="AM23" s="11">
        <f t="shared" si="6"/>
        <v>11135.494012558929</v>
      </c>
      <c r="AN23" s="11">
        <f t="shared" si="6"/>
        <v>42443.536972335758</v>
      </c>
      <c r="AO23" s="11">
        <f t="shared" si="6"/>
        <v>-50342.096871877264</v>
      </c>
      <c r="AP23" s="11">
        <f t="shared" si="6"/>
        <v>-3708.9298767730456</v>
      </c>
      <c r="AQ23" s="11">
        <f t="shared" si="6"/>
        <v>-53769.331894875984</v>
      </c>
      <c r="AR23" s="11">
        <f t="shared" si="6"/>
        <v>9722.2443438319497</v>
      </c>
      <c r="AS23" s="11">
        <f t="shared" si="6"/>
        <v>23521.090583384706</v>
      </c>
      <c r="AT23" s="11">
        <f t="shared" si="6"/>
        <v>-20929.91539909241</v>
      </c>
      <c r="AU23" s="11">
        <f t="shared" si="6"/>
        <v>-56863.722606455143</v>
      </c>
      <c r="AV23" s="11">
        <f t="shared" si="6"/>
        <v>-14056.772947855008</v>
      </c>
      <c r="AW23" s="11">
        <f t="shared" si="7"/>
        <v>52254.030372770205</v>
      </c>
      <c r="AX23" s="11">
        <f t="shared" si="7"/>
        <v>-34947.75411783137</v>
      </c>
      <c r="AY23" s="11">
        <f t="shared" si="7"/>
        <v>-40346.318481444687</v>
      </c>
      <c r="AZ23" s="11">
        <f t="shared" si="7"/>
        <v>-51244.870982824963</v>
      </c>
      <c r="BA23" s="11">
        <f t="shared" si="7"/>
        <v>31419.431393091872</v>
      </c>
      <c r="BB23" s="11">
        <f t="shared" si="7"/>
        <v>-24676.063737005956</v>
      </c>
      <c r="BC23" s="11">
        <f t="shared" si="7"/>
        <v>12133.632342416149</v>
      </c>
      <c r="BD23" s="11">
        <f t="shared" si="7"/>
        <v>1943.1655116134427</v>
      </c>
      <c r="BE23" s="11">
        <f t="shared" si="7"/>
        <v>-8310.3033560975018</v>
      </c>
      <c r="BF23" s="11">
        <f t="shared" si="7"/>
        <v>-18294.325038009309</v>
      </c>
      <c r="BG23" s="11">
        <f t="shared" si="7"/>
        <v>-27685.186669437404</v>
      </c>
      <c r="BH23" s="11">
        <f t="shared" si="7"/>
        <v>-36178.407516184365</v>
      </c>
      <c r="BI23" s="11">
        <f t="shared" si="7"/>
        <v>-43498.611180283646</v>
      </c>
      <c r="BJ23" s="11">
        <f t="shared" si="7"/>
        <v>-49408.454151238911</v>
      </c>
      <c r="BK23" s="11">
        <f t="shared" si="7"/>
        <v>-32195.802718251849</v>
      </c>
    </row>
    <row r="24" spans="2:63" x14ac:dyDescent="0.25">
      <c r="B24">
        <v>2</v>
      </c>
      <c r="C24">
        <v>0</v>
      </c>
      <c r="D24">
        <v>1</v>
      </c>
      <c r="E24">
        <v>0</v>
      </c>
      <c r="F24">
        <v>53322</v>
      </c>
      <c r="H24" s="34"/>
      <c r="I24" s="11">
        <f t="shared" si="3"/>
        <v>46345.122549820109</v>
      </c>
      <c r="J24" s="11">
        <f t="shared" si="3"/>
        <v>-9111.9545343710979</v>
      </c>
      <c r="K24" s="11">
        <f t="shared" si="3"/>
        <v>9866.9919827540289</v>
      </c>
      <c r="L24" s="11">
        <f t="shared" si="3"/>
        <v>3692.8681836398782</v>
      </c>
      <c r="M24" s="11">
        <f t="shared" si="3"/>
        <v>-50229.492552069081</v>
      </c>
      <c r="N24" s="11">
        <f t="shared" si="3"/>
        <v>-52944.782665488325</v>
      </c>
      <c r="O24" s="11">
        <f t="shared" si="3"/>
        <v>-52856.232827979031</v>
      </c>
      <c r="P24" s="11">
        <f t="shared" si="3"/>
        <v>-50537.943103107413</v>
      </c>
      <c r="Q24" s="11">
        <f t="shared" si="3"/>
        <v>-47801.580743459126</v>
      </c>
      <c r="R24" s="11">
        <f t="shared" si="3"/>
        <v>53289.607789517082</v>
      </c>
      <c r="S24" s="11">
        <f t="shared" si="4"/>
        <v>52506.433906236838</v>
      </c>
      <c r="T24" s="11">
        <f t="shared" si="4"/>
        <v>40805.683939801071</v>
      </c>
      <c r="U24" s="11">
        <f t="shared" si="4"/>
        <v>5478.3952905463748</v>
      </c>
      <c r="V24" s="11">
        <f t="shared" si="4"/>
        <v>36598.699046428716</v>
      </c>
      <c r="W24" s="11">
        <f t="shared" si="4"/>
        <v>-51705.157750622689</v>
      </c>
      <c r="X24" s="11">
        <f t="shared" si="4"/>
        <v>-52395.261259962608</v>
      </c>
      <c r="Y24" s="11">
        <f t="shared" si="4"/>
        <v>23797.93428233184</v>
      </c>
      <c r="Z24" s="11">
        <f t="shared" si="4"/>
        <v>49329.086735659199</v>
      </c>
      <c r="AA24" s="11">
        <f t="shared" si="4"/>
        <v>31938.807871857505</v>
      </c>
      <c r="AB24" s="11">
        <f t="shared" si="4"/>
        <v>-42492.501050123959</v>
      </c>
      <c r="AC24" s="11">
        <f t="shared" si="5"/>
        <v>-29424.955318496039</v>
      </c>
      <c r="AD24" s="11">
        <f t="shared" si="5"/>
        <v>-43410.9364700222</v>
      </c>
      <c r="AE24" s="11">
        <f t="shared" si="5"/>
        <v>-7475.7862735362787</v>
      </c>
      <c r="AF24" s="11">
        <f t="shared" si="5"/>
        <v>29671.825597011521</v>
      </c>
      <c r="AG24" s="11">
        <f t="shared" si="5"/>
        <v>46141.792987180968</v>
      </c>
      <c r="AH24" s="11">
        <f t="shared" si="5"/>
        <v>-52152.288742531644</v>
      </c>
      <c r="AI24" s="11">
        <f t="shared" si="5"/>
        <v>53077.120728163303</v>
      </c>
      <c r="AJ24" s="11">
        <f t="shared" si="5"/>
        <v>-41232.504151181536</v>
      </c>
      <c r="AK24" s="11">
        <f t="shared" si="5"/>
        <v>-51957.492386033846</v>
      </c>
      <c r="AL24" s="11">
        <f t="shared" si="5"/>
        <v>51424.030106658269</v>
      </c>
      <c r="AM24" s="11">
        <f t="shared" si="6"/>
        <v>-859.91284466167485</v>
      </c>
      <c r="AN24" s="11">
        <f t="shared" si="6"/>
        <v>-28483.331216585804</v>
      </c>
      <c r="AO24" s="11">
        <f t="shared" si="6"/>
        <v>5664.1018581617545</v>
      </c>
      <c r="AP24" s="11">
        <f t="shared" si="6"/>
        <v>41825.372301314877</v>
      </c>
      <c r="AQ24" s="11">
        <f t="shared" si="6"/>
        <v>-3821.4995964514992</v>
      </c>
      <c r="AR24" s="11">
        <f t="shared" si="6"/>
        <v>-12172.783331505494</v>
      </c>
      <c r="AS24" s="11">
        <f t="shared" si="6"/>
        <v>19040.368580046274</v>
      </c>
      <c r="AT24" s="11">
        <f t="shared" si="6"/>
        <v>-50667.419576660708</v>
      </c>
      <c r="AU24" s="11">
        <f t="shared" si="6"/>
        <v>21644.974644038204</v>
      </c>
      <c r="AV24" s="11">
        <f t="shared" si="6"/>
        <v>43429.400208737039</v>
      </c>
      <c r="AW24" s="11">
        <f t="shared" si="7"/>
        <v>-12128.92347305574</v>
      </c>
      <c r="AX24" s="11">
        <f t="shared" si="7"/>
        <v>4019.1488751640877</v>
      </c>
      <c r="AY24" s="11">
        <f t="shared" si="7"/>
        <v>-12437.331821551557</v>
      </c>
      <c r="AZ24" s="11">
        <f t="shared" si="7"/>
        <v>42286.154622009213</v>
      </c>
      <c r="BA24" s="11">
        <f t="shared" si="7"/>
        <v>-30902.450206821664</v>
      </c>
      <c r="BB24" s="11">
        <f t="shared" si="7"/>
        <v>49857.526544851637</v>
      </c>
      <c r="BC24" s="11">
        <f t="shared" si="7"/>
        <v>-33608.643604733501</v>
      </c>
      <c r="BD24" s="11">
        <f t="shared" si="7"/>
        <v>-51852.715836069961</v>
      </c>
      <c r="BE24" s="11">
        <f t="shared" si="7"/>
        <v>-48725.330234751847</v>
      </c>
      <c r="BF24" s="11">
        <f t="shared" si="7"/>
        <v>-25515.460549344425</v>
      </c>
      <c r="BG24" s="11">
        <f t="shared" si="7"/>
        <v>8210.7838412447636</v>
      </c>
      <c r="BH24" s="11">
        <f t="shared" si="7"/>
        <v>38552.896507791098</v>
      </c>
      <c r="BI24" s="11">
        <f t="shared" si="7"/>
        <v>53005.164471755095</v>
      </c>
      <c r="BJ24" s="11">
        <f t="shared" si="7"/>
        <v>45610.984874405811</v>
      </c>
      <c r="BK24" s="11">
        <f t="shared" si="7"/>
        <v>52314.873334317461</v>
      </c>
    </row>
    <row r="25" spans="2:63" x14ac:dyDescent="0.25">
      <c r="B25">
        <v>2</v>
      </c>
      <c r="C25">
        <v>-1</v>
      </c>
      <c r="D25">
        <v>0</v>
      </c>
      <c r="E25">
        <v>0</v>
      </c>
      <c r="F25">
        <v>45758</v>
      </c>
      <c r="H25" s="34"/>
      <c r="I25" s="11">
        <f t="shared" si="3"/>
        <v>-7864.5083519881136</v>
      </c>
      <c r="J25" s="11">
        <f t="shared" si="3"/>
        <v>-4817.7528021321732</v>
      </c>
      <c r="K25" s="11">
        <f t="shared" si="3"/>
        <v>-38877.296285983575</v>
      </c>
      <c r="L25" s="11">
        <f t="shared" si="3"/>
        <v>-24941.926056993612</v>
      </c>
      <c r="M25" s="11">
        <f t="shared" si="3"/>
        <v>-45765.293531507996</v>
      </c>
      <c r="N25" s="11">
        <f t="shared" si="3"/>
        <v>21738.506672905292</v>
      </c>
      <c r="O25" s="11">
        <f t="shared" si="3"/>
        <v>7518.3316590165177</v>
      </c>
      <c r="P25" s="11">
        <f t="shared" si="3"/>
        <v>-34410.993557703194</v>
      </c>
      <c r="Q25" s="11">
        <f t="shared" si="3"/>
        <v>-4242.5856341930394</v>
      </c>
      <c r="R25" s="11">
        <f t="shared" si="3"/>
        <v>-3293.6919324283645</v>
      </c>
      <c r="S25" s="11">
        <f t="shared" si="4"/>
        <v>-44722.988146588548</v>
      </c>
      <c r="T25" s="11">
        <f t="shared" si="4"/>
        <v>-46978.766342386196</v>
      </c>
      <c r="U25" s="11">
        <f t="shared" si="4"/>
        <v>41229.811225417245</v>
      </c>
      <c r="V25" s="11">
        <f t="shared" si="4"/>
        <v>28042.781586847959</v>
      </c>
      <c r="W25" s="11">
        <f t="shared" si="4"/>
        <v>-48278.674352715556</v>
      </c>
      <c r="X25" s="11">
        <f t="shared" si="4"/>
        <v>10536.727558452081</v>
      </c>
      <c r="Y25" s="11">
        <f t="shared" si="4"/>
        <v>38591.668703268719</v>
      </c>
      <c r="Z25" s="11">
        <f t="shared" si="4"/>
        <v>35976.756343808549</v>
      </c>
      <c r="AA25" s="11">
        <f t="shared" si="4"/>
        <v>843.80344082456145</v>
      </c>
      <c r="AB25" s="11">
        <f t="shared" si="4"/>
        <v>35038.361854800947</v>
      </c>
      <c r="AC25" s="11">
        <f t="shared" si="5"/>
        <v>-36920.527323994451</v>
      </c>
      <c r="AD25" s="11">
        <f t="shared" si="5"/>
        <v>17084.174878525788</v>
      </c>
      <c r="AE25" s="11">
        <f t="shared" si="5"/>
        <v>-33177.014289630373</v>
      </c>
      <c r="AF25" s="11">
        <f t="shared" si="5"/>
        <v>13200.219674269172</v>
      </c>
      <c r="AG25" s="11">
        <f t="shared" si="5"/>
        <v>13334.101100563134</v>
      </c>
      <c r="AH25" s="11">
        <f t="shared" si="5"/>
        <v>17584.701716657968</v>
      </c>
      <c r="AI25" s="11">
        <f t="shared" si="5"/>
        <v>-36337.748965797095</v>
      </c>
      <c r="AJ25" s="11">
        <f t="shared" si="5"/>
        <v>-45643.61973551078</v>
      </c>
      <c r="AK25" s="11">
        <f t="shared" si="5"/>
        <v>41516.656156015182</v>
      </c>
      <c r="AL25" s="11">
        <f t="shared" si="5"/>
        <v>-37712.087048526657</v>
      </c>
      <c r="AM25" s="11">
        <f t="shared" si="6"/>
        <v>-36399.700317992938</v>
      </c>
      <c r="AN25" s="11">
        <f t="shared" si="6"/>
        <v>41787.586400605898</v>
      </c>
      <c r="AO25" s="11">
        <f t="shared" si="6"/>
        <v>-21254.247583512861</v>
      </c>
      <c r="AP25" s="11">
        <f t="shared" si="6"/>
        <v>41687.635843540331</v>
      </c>
      <c r="AQ25" s="11">
        <f t="shared" si="6"/>
        <v>-10266.68303244054</v>
      </c>
      <c r="AR25" s="11">
        <f t="shared" si="6"/>
        <v>-33747.157288640527</v>
      </c>
      <c r="AS25" s="11">
        <f t="shared" si="6"/>
        <v>46373.535350845021</v>
      </c>
      <c r="AT25" s="11">
        <f t="shared" si="6"/>
        <v>45467.425427450347</v>
      </c>
      <c r="AU25" s="11">
        <f t="shared" si="6"/>
        <v>-45197.714070413007</v>
      </c>
      <c r="AV25" s="11">
        <f t="shared" si="6"/>
        <v>40649.620051324033</v>
      </c>
      <c r="AW25" s="11">
        <f t="shared" si="7"/>
        <v>-41569.609904635603</v>
      </c>
      <c r="AX25" s="11">
        <f t="shared" si="7"/>
        <v>-34124.854911696093</v>
      </c>
      <c r="AY25" s="11">
        <f t="shared" si="7"/>
        <v>-24469.94254034738</v>
      </c>
      <c r="AZ25" s="11">
        <f t="shared" si="7"/>
        <v>45690.742680328025</v>
      </c>
      <c r="BA25" s="11">
        <f t="shared" si="7"/>
        <v>-1565.7755307115094</v>
      </c>
      <c r="BB25" s="11">
        <f t="shared" si="7"/>
        <v>-45747.182768647988</v>
      </c>
      <c r="BC25" s="11">
        <f t="shared" si="7"/>
        <v>-22961.782493608505</v>
      </c>
      <c r="BD25" s="11">
        <f t="shared" si="7"/>
        <v>-36778.1984878289</v>
      </c>
      <c r="BE25" s="11">
        <f t="shared" si="7"/>
        <v>-44547.030908319713</v>
      </c>
      <c r="BF25" s="11">
        <f t="shared" si="7"/>
        <v>-44990.821376279528</v>
      </c>
      <c r="BG25" s="11">
        <f t="shared" si="7"/>
        <v>-38036.596716795051</v>
      </c>
      <c r="BH25" s="11">
        <f t="shared" si="7"/>
        <v>-24827.868054494473</v>
      </c>
      <c r="BI25" s="11">
        <f t="shared" si="7"/>
        <v>-7536.5986809525548</v>
      </c>
      <c r="BJ25" s="11">
        <f t="shared" si="7"/>
        <v>10993.940425785126</v>
      </c>
      <c r="BK25" s="11">
        <f t="shared" si="7"/>
        <v>-37986.609683943512</v>
      </c>
    </row>
    <row r="26" spans="2:63" x14ac:dyDescent="0.25">
      <c r="B26">
        <v>0</v>
      </c>
      <c r="C26">
        <v>1</v>
      </c>
      <c r="D26">
        <v>-1</v>
      </c>
      <c r="E26">
        <v>0</v>
      </c>
      <c r="F26">
        <v>-40923</v>
      </c>
      <c r="H26" s="34"/>
      <c r="I26" s="11">
        <f t="shared" ref="I26:R35" si="8">IF(ABS($C26)=1,I$7,IF(ABS($C26)=2,I$7^2,1))*$F26*SIN(($B26*I$2  +  $C26*I$3  +  $D26*I$4  +  $E26*I$5)*Deg2Rad)</f>
        <v>-38044.984510544629</v>
      </c>
      <c r="J26" s="11">
        <f t="shared" si="8"/>
        <v>-41778.528008776913</v>
      </c>
      <c r="K26" s="11">
        <f t="shared" si="8"/>
        <v>27681.763826246755</v>
      </c>
      <c r="L26" s="11">
        <f t="shared" si="8"/>
        <v>27603.750640173537</v>
      </c>
      <c r="M26" s="11">
        <f t="shared" si="8"/>
        <v>-18900.661303717774</v>
      </c>
      <c r="N26" s="11">
        <f t="shared" si="8"/>
        <v>-40830.904162353749</v>
      </c>
      <c r="O26" s="11">
        <f t="shared" si="8"/>
        <v>35968.097308156393</v>
      </c>
      <c r="P26" s="11">
        <f t="shared" si="8"/>
        <v>4955.4417904895008</v>
      </c>
      <c r="Q26" s="11">
        <f t="shared" si="8"/>
        <v>-34145.050761629835</v>
      </c>
      <c r="R26" s="11">
        <f t="shared" si="8"/>
        <v>41315.933911815577</v>
      </c>
      <c r="S26" s="11">
        <f t="shared" ref="S26:AB35" si="9">IF(ABS($C26)=1,S$7,IF(ABS($C26)=2,S$7^2,1))*$F26*SIN(($B26*S$2  +  $C26*S$3  +  $D26*S$4  +  $E26*S$5)*Deg2Rad)</f>
        <v>1815.0585250366159</v>
      </c>
      <c r="T26" s="11">
        <f t="shared" si="9"/>
        <v>-11404.698366317036</v>
      </c>
      <c r="U26" s="11">
        <f t="shared" si="9"/>
        <v>-4581.5517953526341</v>
      </c>
      <c r="V26" s="11">
        <f t="shared" si="9"/>
        <v>-13421.349702637524</v>
      </c>
      <c r="W26" s="11">
        <f t="shared" si="9"/>
        <v>-37426.142368992027</v>
      </c>
      <c r="X26" s="11">
        <f t="shared" si="9"/>
        <v>35456.318394014335</v>
      </c>
      <c r="Y26" s="11">
        <f t="shared" si="9"/>
        <v>-26609.256207046583</v>
      </c>
      <c r="Z26" s="11">
        <f t="shared" si="9"/>
        <v>-39017.54828942629</v>
      </c>
      <c r="AA26" s="11">
        <f t="shared" si="9"/>
        <v>29298.559105955315</v>
      </c>
      <c r="AB26" s="11">
        <f t="shared" si="9"/>
        <v>-40892.219587583568</v>
      </c>
      <c r="AC26" s="11">
        <f t="shared" ref="AC26:AL35" si="10">IF(ABS($C26)=1,AC$7,IF(ABS($C26)=2,AC$7^2,1))*$F26*SIN(($B26*AC$2  +  $C26*AC$3  +  $D26*AC$4  +  $E26*AC$5)*Deg2Rad)</f>
        <v>5747.7039460059186</v>
      </c>
      <c r="AD26" s="11">
        <f t="shared" si="10"/>
        <v>-25899.885868874695</v>
      </c>
      <c r="AE26" s="11">
        <f t="shared" si="10"/>
        <v>30699.351152439387</v>
      </c>
      <c r="AF26" s="11">
        <f t="shared" si="10"/>
        <v>-35413.075508738089</v>
      </c>
      <c r="AG26" s="11">
        <f t="shared" si="10"/>
        <v>24844.786467676167</v>
      </c>
      <c r="AH26" s="11">
        <f t="shared" si="10"/>
        <v>14207.603391488572</v>
      </c>
      <c r="AI26" s="11">
        <f t="shared" si="10"/>
        <v>29520.602545187248</v>
      </c>
      <c r="AJ26" s="11">
        <f t="shared" si="10"/>
        <v>38818.345506133381</v>
      </c>
      <c r="AK26" s="11">
        <f t="shared" si="10"/>
        <v>-20393.679005954142</v>
      </c>
      <c r="AL26" s="11">
        <f t="shared" si="10"/>
        <v>13403.926410485517</v>
      </c>
      <c r="AM26" s="11">
        <f t="shared" ref="AM26:AV35" si="11">IF(ABS($C26)=1,AM$7,IF(ABS($C26)=2,AM$7^2,1))*$F26*SIN(($B26*AM$2  +  $C26*AM$3  +  $D26*AM$4  +  $E26*AM$5)*Deg2Rad)</f>
        <v>29126.86421496551</v>
      </c>
      <c r="AN26" s="11">
        <f t="shared" si="11"/>
        <v>-29439.54952964394</v>
      </c>
      <c r="AO26" s="11">
        <f t="shared" si="11"/>
        <v>-23061.944791664486</v>
      </c>
      <c r="AP26" s="11">
        <f t="shared" si="11"/>
        <v>-27523.55354232074</v>
      </c>
      <c r="AQ26" s="11">
        <f t="shared" si="11"/>
        <v>42283.532421530959</v>
      </c>
      <c r="AR26" s="11">
        <f t="shared" si="11"/>
        <v>-21086.734920804742</v>
      </c>
      <c r="AS26" s="11">
        <f t="shared" si="11"/>
        <v>15169.633502367251</v>
      </c>
      <c r="AT26" s="11">
        <f t="shared" si="11"/>
        <v>-4567.2906604240297</v>
      </c>
      <c r="AU26" s="11">
        <f t="shared" si="11"/>
        <v>40122.736726359981</v>
      </c>
      <c r="AV26" s="11">
        <f t="shared" si="11"/>
        <v>12505.142392515138</v>
      </c>
      <c r="AW26" s="11">
        <f t="shared" ref="AW26:BK35" si="12">IF(ABS($C26)=1,AW$7,IF(ABS($C26)=2,AW$7^2,1))*$F26*SIN(($B26*AW$2  +  $C26*AW$3  +  $D26*AW$4  +  $E26*AW$5)*Deg2Rad)</f>
        <v>-39768.011295380333</v>
      </c>
      <c r="AX26" s="11">
        <f t="shared" si="12"/>
        <v>39221.282777624794</v>
      </c>
      <c r="AY26" s="11">
        <f t="shared" si="12"/>
        <v>-14336.033440992564</v>
      </c>
      <c r="AZ26" s="11">
        <f t="shared" si="12"/>
        <v>-40334.031831072956</v>
      </c>
      <c r="BA26" s="11">
        <f t="shared" si="12"/>
        <v>-24751.279535395293</v>
      </c>
      <c r="BB26" s="11">
        <f t="shared" si="12"/>
        <v>-25897.176718066195</v>
      </c>
      <c r="BC26" s="11">
        <f t="shared" si="12"/>
        <v>39669.207208651038</v>
      </c>
      <c r="BD26" s="11">
        <f t="shared" si="12"/>
        <v>40874.250674144925</v>
      </c>
      <c r="BE26" s="11">
        <f t="shared" si="12"/>
        <v>40269.265029069902</v>
      </c>
      <c r="BF26" s="11">
        <f t="shared" si="12"/>
        <v>37881.041021207428</v>
      </c>
      <c r="BG26" s="11">
        <f t="shared" si="12"/>
        <v>33815.336299166687</v>
      </c>
      <c r="BH26" s="11">
        <f t="shared" si="12"/>
        <v>28252.192149794875</v>
      </c>
      <c r="BI26" s="11">
        <f t="shared" si="12"/>
        <v>21437.960743808955</v>
      </c>
      <c r="BJ26" s="11">
        <f t="shared" si="12"/>
        <v>13674.395946588829</v>
      </c>
      <c r="BK26" s="11">
        <f t="shared" si="12"/>
        <v>28601.512270557872</v>
      </c>
    </row>
    <row r="27" spans="2:63" x14ac:dyDescent="0.25">
      <c r="B27">
        <v>1</v>
      </c>
      <c r="C27">
        <v>0</v>
      </c>
      <c r="D27">
        <v>0</v>
      </c>
      <c r="E27">
        <v>0</v>
      </c>
      <c r="F27">
        <v>-34720</v>
      </c>
      <c r="H27" s="34"/>
      <c r="I27" s="11">
        <f t="shared" si="8"/>
        <v>-26377.312011825044</v>
      </c>
      <c r="J27" s="11">
        <f t="shared" si="8"/>
        <v>30321.645640715677</v>
      </c>
      <c r="K27" s="11">
        <f t="shared" si="8"/>
        <v>30698.454375847305</v>
      </c>
      <c r="L27" s="11">
        <f t="shared" si="8"/>
        <v>-10653.31891937291</v>
      </c>
      <c r="M27" s="11">
        <f t="shared" si="8"/>
        <v>18890.821466089001</v>
      </c>
      <c r="N27" s="11">
        <f t="shared" si="8"/>
        <v>34502.948336100431</v>
      </c>
      <c r="O27" s="11">
        <f t="shared" si="8"/>
        <v>-34485.641337635541</v>
      </c>
      <c r="P27" s="11">
        <f t="shared" si="8"/>
        <v>-29515.982741845815</v>
      </c>
      <c r="Q27" s="11">
        <f t="shared" si="8"/>
        <v>1918.5067579282058</v>
      </c>
      <c r="R27" s="11">
        <f t="shared" si="8"/>
        <v>-90.155889716563053</v>
      </c>
      <c r="S27" s="11">
        <f t="shared" si="9"/>
        <v>26800.516147869181</v>
      </c>
      <c r="T27" s="11">
        <f t="shared" si="9"/>
        <v>-7902.3442571646438</v>
      </c>
      <c r="U27" s="11">
        <f t="shared" si="9"/>
        <v>-33563.232068054072</v>
      </c>
      <c r="V27" s="11">
        <f t="shared" si="9"/>
        <v>-34683.130194394987</v>
      </c>
      <c r="W27" s="11">
        <f t="shared" si="9"/>
        <v>-33383.801316017518</v>
      </c>
      <c r="X27" s="11">
        <f t="shared" si="9"/>
        <v>28229.640605794506</v>
      </c>
      <c r="Y27" s="11">
        <f t="shared" si="9"/>
        <v>-9558.9216276635234</v>
      </c>
      <c r="Z27" s="11">
        <f t="shared" si="9"/>
        <v>29635.614079994528</v>
      </c>
      <c r="AA27" s="11">
        <f t="shared" si="9"/>
        <v>-23695.750563208454</v>
      </c>
      <c r="AB27" s="11">
        <f t="shared" si="9"/>
        <v>-31757.046071629156</v>
      </c>
      <c r="AC27" s="11">
        <f t="shared" si="10"/>
        <v>23211.551382116031</v>
      </c>
      <c r="AD27" s="11">
        <f t="shared" si="10"/>
        <v>-5600.9998047943773</v>
      </c>
      <c r="AE27" s="11">
        <f t="shared" si="10"/>
        <v>32247.185783582612</v>
      </c>
      <c r="AF27" s="11">
        <f t="shared" si="10"/>
        <v>6438.3674352214166</v>
      </c>
      <c r="AG27" s="11">
        <f t="shared" si="10"/>
        <v>-9830.1744375200997</v>
      </c>
      <c r="AH27" s="11">
        <f t="shared" si="10"/>
        <v>-31483.715276748309</v>
      </c>
      <c r="AI27" s="11">
        <f t="shared" si="10"/>
        <v>2143.2920426650207</v>
      </c>
      <c r="AJ27" s="11">
        <f t="shared" si="10"/>
        <v>28120.707311165952</v>
      </c>
      <c r="AK27" s="11">
        <f t="shared" si="10"/>
        <v>10116.452452638992</v>
      </c>
      <c r="AL27" s="11">
        <f t="shared" si="10"/>
        <v>10.096544080524932</v>
      </c>
      <c r="AM27" s="11">
        <f t="shared" si="11"/>
        <v>12020.559271205588</v>
      </c>
      <c r="AN27" s="11">
        <f t="shared" si="11"/>
        <v>-31443.927389102108</v>
      </c>
      <c r="AO27" s="11">
        <f t="shared" si="11"/>
        <v>33704.448866115948</v>
      </c>
      <c r="AP27" s="11">
        <f t="shared" si="11"/>
        <v>-3095.6467616301597</v>
      </c>
      <c r="AQ27" s="11">
        <f t="shared" si="11"/>
        <v>-14430.927711881308</v>
      </c>
      <c r="AR27" s="11">
        <f t="shared" si="11"/>
        <v>-13043.825976096934</v>
      </c>
      <c r="AS27" s="11">
        <f t="shared" si="11"/>
        <v>27886.153009482918</v>
      </c>
      <c r="AT27" s="11">
        <f t="shared" si="11"/>
        <v>845.20008315991299</v>
      </c>
      <c r="AU27" s="11">
        <f t="shared" si="11"/>
        <v>-34566.913475322763</v>
      </c>
      <c r="AV27" s="11">
        <f t="shared" si="11"/>
        <v>-6763.0563000328857</v>
      </c>
      <c r="AW27" s="11">
        <f t="shared" si="12"/>
        <v>34525.447314650613</v>
      </c>
      <c r="AX27" s="11">
        <f t="shared" si="12"/>
        <v>-34431.004856028907</v>
      </c>
      <c r="AY27" s="11">
        <f t="shared" si="12"/>
        <v>254.03372972540345</v>
      </c>
      <c r="AZ27" s="11">
        <f t="shared" si="12"/>
        <v>8847.648882526988</v>
      </c>
      <c r="BA27" s="11">
        <f t="shared" si="12"/>
        <v>34.968752732487168</v>
      </c>
      <c r="BB27" s="11">
        <f t="shared" si="12"/>
        <v>2347.912143863789</v>
      </c>
      <c r="BC27" s="11">
        <f t="shared" si="12"/>
        <v>-34705.161035428006</v>
      </c>
      <c r="BD27" s="11">
        <f t="shared" si="12"/>
        <v>-34136.891342381103</v>
      </c>
      <c r="BE27" s="11">
        <f t="shared" si="12"/>
        <v>-32029.047972622026</v>
      </c>
      <c r="BF27" s="11">
        <f t="shared" si="12"/>
        <v>-28476.694654542593</v>
      </c>
      <c r="BG27" s="11">
        <f t="shared" si="12"/>
        <v>-23640.042510006318</v>
      </c>
      <c r="BH27" s="11">
        <f t="shared" si="12"/>
        <v>-17737.224533344044</v>
      </c>
      <c r="BI27" s="11">
        <f t="shared" si="12"/>
        <v>-11034.45779402763</v>
      </c>
      <c r="BJ27" s="11">
        <f t="shared" si="12"/>
        <v>-3834.0370479291737</v>
      </c>
      <c r="BK27" s="11">
        <f t="shared" si="12"/>
        <v>3256.5115014286266</v>
      </c>
    </row>
    <row r="28" spans="2:63" x14ac:dyDescent="0.25">
      <c r="B28">
        <v>0</v>
      </c>
      <c r="C28">
        <v>1</v>
      </c>
      <c r="D28">
        <v>1</v>
      </c>
      <c r="E28">
        <v>0</v>
      </c>
      <c r="F28">
        <v>-30383</v>
      </c>
      <c r="H28" s="34"/>
      <c r="I28" s="11">
        <f t="shared" si="8"/>
        <v>-28625.520643964046</v>
      </c>
      <c r="J28" s="11">
        <f t="shared" si="8"/>
        <v>-2219.4385081430005</v>
      </c>
      <c r="K28" s="11">
        <f t="shared" si="8"/>
        <v>-22403.382033416565</v>
      </c>
      <c r="L28" s="11">
        <f t="shared" si="8"/>
        <v>-18285.694266705057</v>
      </c>
      <c r="M28" s="11">
        <f t="shared" si="8"/>
        <v>-9677.0528165595297</v>
      </c>
      <c r="N28" s="11">
        <f t="shared" si="8"/>
        <v>24843.159800562513</v>
      </c>
      <c r="O28" s="11">
        <f t="shared" si="8"/>
        <v>-29059.062137961846</v>
      </c>
      <c r="P28" s="11">
        <f t="shared" si="8"/>
        <v>11707.176199419351</v>
      </c>
      <c r="Q28" s="11">
        <f t="shared" si="8"/>
        <v>25940.500823327824</v>
      </c>
      <c r="R28" s="11">
        <f t="shared" si="8"/>
        <v>-30512.325234507312</v>
      </c>
      <c r="S28" s="11">
        <f t="shared" si="9"/>
        <v>2434.228003111079</v>
      </c>
      <c r="T28" s="11">
        <f t="shared" si="9"/>
        <v>21402.066077275314</v>
      </c>
      <c r="U28" s="11">
        <f t="shared" si="9"/>
        <v>28914.632102446732</v>
      </c>
      <c r="V28" s="11">
        <f t="shared" si="9"/>
        <v>31323.025248404141</v>
      </c>
      <c r="W28" s="11">
        <f t="shared" si="9"/>
        <v>12863.704698252102</v>
      </c>
      <c r="X28" s="11">
        <f t="shared" si="9"/>
        <v>29861.361234893982</v>
      </c>
      <c r="Y28" s="11">
        <f t="shared" si="9"/>
        <v>-14027.720243358119</v>
      </c>
      <c r="Z28" s="11">
        <f t="shared" si="9"/>
        <v>-13959.045917063102</v>
      </c>
      <c r="AA28" s="11">
        <f t="shared" si="9"/>
        <v>17752.888303004765</v>
      </c>
      <c r="AB28" s="11">
        <f t="shared" si="9"/>
        <v>-29634.382110063663</v>
      </c>
      <c r="AC28" s="11">
        <f t="shared" si="10"/>
        <v>-30365.180132794223</v>
      </c>
      <c r="AD28" s="11">
        <f t="shared" si="10"/>
        <v>16330.216726510296</v>
      </c>
      <c r="AE28" s="11">
        <f t="shared" si="10"/>
        <v>-24745.36616640172</v>
      </c>
      <c r="AF28" s="11">
        <f t="shared" si="10"/>
        <v>23490.946554432241</v>
      </c>
      <c r="AG28" s="11">
        <f t="shared" si="10"/>
        <v>-20727.908681733505</v>
      </c>
      <c r="AH28" s="11">
        <f t="shared" si="10"/>
        <v>25011.777566952947</v>
      </c>
      <c r="AI28" s="11">
        <f t="shared" si="10"/>
        <v>-20718.771571790036</v>
      </c>
      <c r="AJ28" s="11">
        <f t="shared" si="10"/>
        <v>-20934.83360951678</v>
      </c>
      <c r="AK28" s="11">
        <f t="shared" si="10"/>
        <v>-6264.4258386988722</v>
      </c>
      <c r="AL28" s="11">
        <f t="shared" si="10"/>
        <v>-23227.888467786419</v>
      </c>
      <c r="AM28" s="11">
        <f t="shared" si="11"/>
        <v>23868.93565637368</v>
      </c>
      <c r="AN28" s="11">
        <f t="shared" si="11"/>
        <v>-30075.740861650262</v>
      </c>
      <c r="AO28" s="11">
        <f t="shared" si="11"/>
        <v>16907.544483159538</v>
      </c>
      <c r="AP28" s="11">
        <f t="shared" si="11"/>
        <v>-7329.4990226362424</v>
      </c>
      <c r="AQ28" s="11">
        <f t="shared" si="11"/>
        <v>-8995.6975322667749</v>
      </c>
      <c r="AR28" s="11">
        <f t="shared" si="11"/>
        <v>-17132.081094744975</v>
      </c>
      <c r="AS28" s="11">
        <f t="shared" si="11"/>
        <v>-31628.643490036106</v>
      </c>
      <c r="AT28" s="11">
        <f t="shared" si="11"/>
        <v>-12505.113336536859</v>
      </c>
      <c r="AU28" s="11">
        <f t="shared" si="11"/>
        <v>29305.472428058856</v>
      </c>
      <c r="AV28" s="11">
        <f t="shared" si="11"/>
        <v>4329.0390450955611</v>
      </c>
      <c r="AW28" s="11">
        <f t="shared" si="12"/>
        <v>-29757.424448214999</v>
      </c>
      <c r="AX28" s="11">
        <f t="shared" si="12"/>
        <v>24117.927244881419</v>
      </c>
      <c r="AY28" s="11">
        <f t="shared" si="12"/>
        <v>-21793.666341912303</v>
      </c>
      <c r="AZ28" s="11">
        <f t="shared" si="12"/>
        <v>-17149.672707185182</v>
      </c>
      <c r="BA28" s="11">
        <f t="shared" si="12"/>
        <v>16779.465209199429</v>
      </c>
      <c r="BB28" s="11">
        <f t="shared" si="12"/>
        <v>-9316.2232637906527</v>
      </c>
      <c r="BC28" s="11">
        <f t="shared" si="12"/>
        <v>-4715.1376904455619</v>
      </c>
      <c r="BD28" s="11">
        <f t="shared" si="12"/>
        <v>-11856.735276000894</v>
      </c>
      <c r="BE28" s="11">
        <f t="shared" si="12"/>
        <v>-18288.865816772952</v>
      </c>
      <c r="BF28" s="11">
        <f t="shared" si="12"/>
        <v>-23626.652950208056</v>
      </c>
      <c r="BG28" s="11">
        <f t="shared" si="12"/>
        <v>-27550.702094066153</v>
      </c>
      <c r="BH28" s="11">
        <f t="shared" si="12"/>
        <v>-29826.211905218446</v>
      </c>
      <c r="BI28" s="11">
        <f t="shared" si="12"/>
        <v>-30317.023968862672</v>
      </c>
      <c r="BJ28" s="11">
        <f t="shared" si="12"/>
        <v>-28993.770033827273</v>
      </c>
      <c r="BK28" s="11">
        <f t="shared" si="12"/>
        <v>-21528.99977747977</v>
      </c>
    </row>
    <row r="29" spans="2:63" x14ac:dyDescent="0.25">
      <c r="B29">
        <v>2</v>
      </c>
      <c r="C29">
        <v>0</v>
      </c>
      <c r="D29">
        <v>0</v>
      </c>
      <c r="E29">
        <v>-2</v>
      </c>
      <c r="F29">
        <v>15327</v>
      </c>
      <c r="H29" s="34"/>
      <c r="I29" s="11">
        <f t="shared" si="8"/>
        <v>12950.527810805854</v>
      </c>
      <c r="J29" s="11">
        <f t="shared" si="8"/>
        <v>9292.4546104342771</v>
      </c>
      <c r="K29" s="11">
        <f t="shared" si="8"/>
        <v>11594.802822021296</v>
      </c>
      <c r="L29" s="11">
        <f t="shared" si="8"/>
        <v>15320.825552354925</v>
      </c>
      <c r="M29" s="11">
        <f t="shared" si="8"/>
        <v>10107.022784088165</v>
      </c>
      <c r="N29" s="11">
        <f t="shared" si="8"/>
        <v>-5409.0397106216351</v>
      </c>
      <c r="O29" s="11">
        <f t="shared" si="8"/>
        <v>15067.166826131825</v>
      </c>
      <c r="P29" s="11">
        <f t="shared" si="8"/>
        <v>5139.1155880474334</v>
      </c>
      <c r="Q29" s="11">
        <f t="shared" si="8"/>
        <v>-10269.007926499367</v>
      </c>
      <c r="R29" s="11">
        <f t="shared" si="8"/>
        <v>10505.418161276375</v>
      </c>
      <c r="S29" s="11">
        <f t="shared" si="9"/>
        <v>1359.677493366831</v>
      </c>
      <c r="T29" s="11">
        <f t="shared" si="9"/>
        <v>-469.53709728213067</v>
      </c>
      <c r="U29" s="11">
        <f t="shared" si="9"/>
        <v>13680.275108540111</v>
      </c>
      <c r="V29" s="11">
        <f t="shared" si="9"/>
        <v>13420.775258409956</v>
      </c>
      <c r="W29" s="11">
        <f t="shared" si="9"/>
        <v>5573.0947818425884</v>
      </c>
      <c r="X29" s="11">
        <f t="shared" si="9"/>
        <v>14995.518489096583</v>
      </c>
      <c r="Y29" s="11">
        <f t="shared" si="9"/>
        <v>12806.685423367147</v>
      </c>
      <c r="Z29" s="11">
        <f t="shared" si="9"/>
        <v>-9484.7713859217583</v>
      </c>
      <c r="AA29" s="11">
        <f t="shared" si="9"/>
        <v>-3419.637045843197</v>
      </c>
      <c r="AB29" s="11">
        <f t="shared" si="9"/>
        <v>8143.5753292896998</v>
      </c>
      <c r="AC29" s="11">
        <f t="shared" si="10"/>
        <v>12521.327057924647</v>
      </c>
      <c r="AD29" s="11">
        <f t="shared" si="10"/>
        <v>8240.1322615662775</v>
      </c>
      <c r="AE29" s="11">
        <f t="shared" si="10"/>
        <v>11774.590302547193</v>
      </c>
      <c r="AF29" s="11">
        <f t="shared" si="10"/>
        <v>4063.5121435320684</v>
      </c>
      <c r="AG29" s="11">
        <f t="shared" si="10"/>
        <v>-13538.200162001551</v>
      </c>
      <c r="AH29" s="11">
        <f t="shared" si="10"/>
        <v>-14996.190258507409</v>
      </c>
      <c r="AI29" s="11">
        <f t="shared" si="10"/>
        <v>13447.332042499811</v>
      </c>
      <c r="AJ29" s="11">
        <f t="shared" si="10"/>
        <v>-4108.7996590912317</v>
      </c>
      <c r="AK29" s="11">
        <f t="shared" si="10"/>
        <v>12446.812175392775</v>
      </c>
      <c r="AL29" s="11">
        <f t="shared" si="10"/>
        <v>-15258.885275666864</v>
      </c>
      <c r="AM29" s="11">
        <f t="shared" si="11"/>
        <v>2462.5419722566194</v>
      </c>
      <c r="AN29" s="11">
        <f t="shared" si="11"/>
        <v>14426.262978221921</v>
      </c>
      <c r="AO29" s="11">
        <f t="shared" si="11"/>
        <v>-14416.250802161943</v>
      </c>
      <c r="AP29" s="11">
        <f t="shared" si="11"/>
        <v>-14569.423585439301</v>
      </c>
      <c r="AQ29" s="11">
        <f t="shared" si="11"/>
        <v>5665.6709187417882</v>
      </c>
      <c r="AR29" s="11">
        <f t="shared" si="11"/>
        <v>-7844.2615737192882</v>
      </c>
      <c r="AS29" s="11">
        <f t="shared" si="11"/>
        <v>-6135.0056008243346</v>
      </c>
      <c r="AT29" s="11">
        <f t="shared" si="11"/>
        <v>15177.154266456528</v>
      </c>
      <c r="AU29" s="11">
        <f t="shared" si="11"/>
        <v>14142.405485307805</v>
      </c>
      <c r="AV29" s="11">
        <f t="shared" si="11"/>
        <v>12238.650668438871</v>
      </c>
      <c r="AW29" s="11">
        <f t="shared" si="12"/>
        <v>9175.2781018444057</v>
      </c>
      <c r="AX29" s="11">
        <f t="shared" si="12"/>
        <v>1689.3961800759023</v>
      </c>
      <c r="AY29" s="11">
        <f t="shared" si="12"/>
        <v>13250.628205650692</v>
      </c>
      <c r="AZ29" s="11">
        <f t="shared" si="12"/>
        <v>5234.8812895753508</v>
      </c>
      <c r="BA29" s="11">
        <f t="shared" si="12"/>
        <v>9169.6932044027835</v>
      </c>
      <c r="BB29" s="11">
        <f t="shared" si="12"/>
        <v>12799.800864302933</v>
      </c>
      <c r="BC29" s="11">
        <f t="shared" si="12"/>
        <v>-12704.84326008831</v>
      </c>
      <c r="BD29" s="11">
        <f t="shared" si="12"/>
        <v>-13007.248435229521</v>
      </c>
      <c r="BE29" s="11">
        <f t="shared" si="12"/>
        <v>-13292.559356381065</v>
      </c>
      <c r="BF29" s="11">
        <f t="shared" si="12"/>
        <v>-13560.401065112537</v>
      </c>
      <c r="BG29" s="11">
        <f t="shared" si="12"/>
        <v>-13810.421561216639</v>
      </c>
      <c r="BH29" s="11">
        <f t="shared" si="12"/>
        <v>-14042.292265298211</v>
      </c>
      <c r="BI29" s="11">
        <f t="shared" si="12"/>
        <v>-14255.708450585062</v>
      </c>
      <c r="BJ29" s="11">
        <f t="shared" si="12"/>
        <v>-14450.389643436632</v>
      </c>
      <c r="BK29" s="11">
        <f t="shared" si="12"/>
        <v>13406.828122221117</v>
      </c>
    </row>
    <row r="30" spans="2:63" x14ac:dyDescent="0.25">
      <c r="B30">
        <v>0</v>
      </c>
      <c r="C30">
        <v>0</v>
      </c>
      <c r="D30">
        <v>1</v>
      </c>
      <c r="E30">
        <v>2</v>
      </c>
      <c r="F30">
        <v>-12528</v>
      </c>
      <c r="H30" s="34"/>
      <c r="I30" s="11">
        <f t="shared" si="8"/>
        <v>-588.89278940621114</v>
      </c>
      <c r="J30" s="11">
        <f t="shared" si="8"/>
        <v>-5781.2381107687952</v>
      </c>
      <c r="K30" s="11">
        <f t="shared" si="8"/>
        <v>7797.5651065647035</v>
      </c>
      <c r="L30" s="11">
        <f t="shared" si="8"/>
        <v>12468.259261457804</v>
      </c>
      <c r="M30" s="11">
        <f t="shared" si="8"/>
        <v>-6099.4220007896974</v>
      </c>
      <c r="N30" s="11">
        <f t="shared" si="8"/>
        <v>-11114.025172555534</v>
      </c>
      <c r="O30" s="11">
        <f t="shared" si="8"/>
        <v>-652.72075673560926</v>
      </c>
      <c r="P30" s="11">
        <f t="shared" si="8"/>
        <v>-9846.9480815289826</v>
      </c>
      <c r="Q30" s="11">
        <f t="shared" si="8"/>
        <v>4618.2151767018368</v>
      </c>
      <c r="R30" s="11">
        <f t="shared" si="8"/>
        <v>-9415.9703990261314</v>
      </c>
      <c r="S30" s="11">
        <f t="shared" si="9"/>
        <v>-12094.109752555436</v>
      </c>
      <c r="T30" s="11">
        <f t="shared" si="9"/>
        <v>9829.8427439379939</v>
      </c>
      <c r="U30" s="11">
        <f t="shared" si="9"/>
        <v>10542.412959638326</v>
      </c>
      <c r="V30" s="11">
        <f t="shared" si="9"/>
        <v>3824.7578619972182</v>
      </c>
      <c r="W30" s="11">
        <f t="shared" si="9"/>
        <v>-12429.852420058522</v>
      </c>
      <c r="X30" s="11">
        <f t="shared" si="9"/>
        <v>271.11439075202139</v>
      </c>
      <c r="Y30" s="11">
        <f t="shared" si="9"/>
        <v>-6295.7195925903425</v>
      </c>
      <c r="Z30" s="11">
        <f t="shared" si="9"/>
        <v>6160.5975436864292</v>
      </c>
      <c r="AA30" s="11">
        <f t="shared" si="9"/>
        <v>-5076.6124906943023</v>
      </c>
      <c r="AB30" s="11">
        <f t="shared" si="9"/>
        <v>-12478.989165981437</v>
      </c>
      <c r="AC30" s="11">
        <f t="shared" si="10"/>
        <v>4548.2041103168995</v>
      </c>
      <c r="AD30" s="11">
        <f t="shared" si="10"/>
        <v>-12511.094608758765</v>
      </c>
      <c r="AE30" s="11">
        <f t="shared" si="10"/>
        <v>10653.702833873116</v>
      </c>
      <c r="AF30" s="11">
        <f t="shared" si="10"/>
        <v>-3962.235944273305</v>
      </c>
      <c r="AG30" s="11">
        <f t="shared" si="10"/>
        <v>-463.46298355499448</v>
      </c>
      <c r="AH30" s="11">
        <f t="shared" si="10"/>
        <v>5085.3839101117192</v>
      </c>
      <c r="AI30" s="11">
        <f t="shared" si="10"/>
        <v>7035.8872521905378</v>
      </c>
      <c r="AJ30" s="11">
        <f t="shared" si="10"/>
        <v>7203.4838578454019</v>
      </c>
      <c r="AK30" s="11">
        <f t="shared" si="10"/>
        <v>-4836.6754045117859</v>
      </c>
      <c r="AL30" s="11">
        <f t="shared" si="10"/>
        <v>-4435.8268833799366</v>
      </c>
      <c r="AM30" s="11">
        <f t="shared" si="11"/>
        <v>-2211.9852274495679</v>
      </c>
      <c r="AN30" s="11">
        <f t="shared" si="11"/>
        <v>-7708.086918274229</v>
      </c>
      <c r="AO30" s="11">
        <f t="shared" si="11"/>
        <v>12168.801939546631</v>
      </c>
      <c r="AP30" s="11">
        <f t="shared" si="11"/>
        <v>10437.864055864953</v>
      </c>
      <c r="AQ30" s="11">
        <f t="shared" si="11"/>
        <v>5453.36917365716</v>
      </c>
      <c r="AR30" s="11">
        <f t="shared" si="11"/>
        <v>-8699.4851692228549</v>
      </c>
      <c r="AS30" s="11">
        <f t="shared" si="11"/>
        <v>584.51129087584889</v>
      </c>
      <c r="AT30" s="11">
        <f t="shared" si="11"/>
        <v>-2204.9213226276238</v>
      </c>
      <c r="AU30" s="11">
        <f t="shared" si="11"/>
        <v>-12524.897206750471</v>
      </c>
      <c r="AV30" s="11">
        <f t="shared" si="11"/>
        <v>-338.44998704511329</v>
      </c>
      <c r="AW30" s="11">
        <f t="shared" si="12"/>
        <v>9585.7665276517328</v>
      </c>
      <c r="AX30" s="11">
        <f t="shared" si="12"/>
        <v>-2315.4971948198431</v>
      </c>
      <c r="AY30" s="11">
        <f t="shared" si="12"/>
        <v>12000.69108314999</v>
      </c>
      <c r="AZ30" s="11">
        <f t="shared" si="12"/>
        <v>-11944.284444563154</v>
      </c>
      <c r="BA30" s="11">
        <f t="shared" si="12"/>
        <v>11925.909922893086</v>
      </c>
      <c r="BB30" s="11">
        <f t="shared" si="12"/>
        <v>-2733.9205715501057</v>
      </c>
      <c r="BC30" s="11">
        <f t="shared" si="12"/>
        <v>12479.180208694457</v>
      </c>
      <c r="BD30" s="11">
        <f t="shared" si="12"/>
        <v>8922.7917020646946</v>
      </c>
      <c r="BE30" s="11">
        <f t="shared" si="12"/>
        <v>1286.2154321147689</v>
      </c>
      <c r="BF30" s="11">
        <f t="shared" si="12"/>
        <v>-6938.5176213052337</v>
      </c>
      <c r="BG30" s="11">
        <f t="shared" si="12"/>
        <v>-11990.425886334231</v>
      </c>
      <c r="BH30" s="11">
        <f t="shared" si="12"/>
        <v>-11559.3877135236</v>
      </c>
      <c r="BI30" s="11">
        <f t="shared" si="12"/>
        <v>-5842.506961950784</v>
      </c>
      <c r="BJ30" s="11">
        <f t="shared" si="12"/>
        <v>2546.018069714346</v>
      </c>
      <c r="BK30" s="11">
        <f t="shared" si="12"/>
        <v>8076.5561456829819</v>
      </c>
    </row>
    <row r="31" spans="2:63" x14ac:dyDescent="0.25">
      <c r="B31">
        <v>0</v>
      </c>
      <c r="C31">
        <v>0</v>
      </c>
      <c r="D31">
        <v>1</v>
      </c>
      <c r="E31">
        <v>-2</v>
      </c>
      <c r="F31">
        <v>10980</v>
      </c>
      <c r="H31" s="34"/>
      <c r="I31" s="11">
        <f t="shared" si="8"/>
        <v>-7657.1389327409288</v>
      </c>
      <c r="J31" s="11">
        <f t="shared" si="8"/>
        <v>10281.499452664246</v>
      </c>
      <c r="K31" s="11">
        <f t="shared" si="8"/>
        <v>-8602.6674443545289</v>
      </c>
      <c r="L31" s="11">
        <f t="shared" si="8"/>
        <v>3059.7685354159917</v>
      </c>
      <c r="M31" s="11">
        <f t="shared" si="8"/>
        <v>-3791.9652252437609</v>
      </c>
      <c r="N31" s="11">
        <f t="shared" si="8"/>
        <v>10748.208383517864</v>
      </c>
      <c r="O31" s="11">
        <f t="shared" si="8"/>
        <v>-1622.9477675971893</v>
      </c>
      <c r="P31" s="11">
        <f t="shared" si="8"/>
        <v>-6470.8073771710642</v>
      </c>
      <c r="Q31" s="11">
        <f t="shared" si="8"/>
        <v>-10963.992407816986</v>
      </c>
      <c r="R31" s="11">
        <f t="shared" si="8"/>
        <v>7646.5005688260808</v>
      </c>
      <c r="S31" s="11">
        <f t="shared" si="9"/>
        <v>-10491.424965222594</v>
      </c>
      <c r="T31" s="11">
        <f t="shared" si="9"/>
        <v>-10785.543263231995</v>
      </c>
      <c r="U31" s="11">
        <f t="shared" si="9"/>
        <v>8602.6053486439796</v>
      </c>
      <c r="V31" s="11">
        <f t="shared" si="9"/>
        <v>9949.1525690679809</v>
      </c>
      <c r="W31" s="11">
        <f t="shared" si="9"/>
        <v>9665.7164958256308</v>
      </c>
      <c r="X31" s="11">
        <f t="shared" si="9"/>
        <v>9530.139118258141</v>
      </c>
      <c r="Y31" s="11">
        <f t="shared" si="9"/>
        <v>-5963.3214916991219</v>
      </c>
      <c r="Z31" s="11">
        <f t="shared" si="9"/>
        <v>8594.5150191999455</v>
      </c>
      <c r="AA31" s="11">
        <f t="shared" si="9"/>
        <v>-9264.2841538092634</v>
      </c>
      <c r="AB31" s="11">
        <f t="shared" si="9"/>
        <v>-10587.22213935236</v>
      </c>
      <c r="AC31" s="11">
        <f t="shared" si="10"/>
        <v>-10797.648487257828</v>
      </c>
      <c r="AD31" s="11">
        <f t="shared" si="10"/>
        <v>-2870.4310192706585</v>
      </c>
      <c r="AE31" s="11">
        <f t="shared" si="10"/>
        <v>-7748.2894668732197</v>
      </c>
      <c r="AF31" s="11">
        <f t="shared" si="10"/>
        <v>10973.75677485612</v>
      </c>
      <c r="AG31" s="11">
        <f t="shared" si="10"/>
        <v>1480.9470803516906</v>
      </c>
      <c r="AH31" s="11">
        <f t="shared" si="10"/>
        <v>-10824.918861314214</v>
      </c>
      <c r="AI31" s="11">
        <f t="shared" si="10"/>
        <v>-6659.4881326545164</v>
      </c>
      <c r="AJ31" s="11">
        <f t="shared" si="10"/>
        <v>5463.9104681701174</v>
      </c>
      <c r="AK31" s="11">
        <f t="shared" si="10"/>
        <v>-3587.5655047772739</v>
      </c>
      <c r="AL31" s="11">
        <f t="shared" si="10"/>
        <v>-1905.8845159520108</v>
      </c>
      <c r="AM31" s="11">
        <f t="shared" si="11"/>
        <v>10483.397499960161</v>
      </c>
      <c r="AN31" s="11">
        <f t="shared" si="11"/>
        <v>-419.1379819248404</v>
      </c>
      <c r="AO31" s="11">
        <f t="shared" si="11"/>
        <v>1619.8186139607762</v>
      </c>
      <c r="AP31" s="11">
        <f t="shared" si="11"/>
        <v>-41.254423150485671</v>
      </c>
      <c r="AQ31" s="11">
        <f t="shared" si="11"/>
        <v>-10834.230032813477</v>
      </c>
      <c r="AR31" s="11">
        <f t="shared" si="11"/>
        <v>10361.658330502141</v>
      </c>
      <c r="AS31" s="11">
        <f t="shared" si="11"/>
        <v>-10750.03815089393</v>
      </c>
      <c r="AT31" s="11">
        <f t="shared" si="11"/>
        <v>-3862.1310911794203</v>
      </c>
      <c r="AU31" s="11">
        <f t="shared" si="11"/>
        <v>-9943.6356513977862</v>
      </c>
      <c r="AV31" s="11">
        <f t="shared" si="11"/>
        <v>5078.1154533823155</v>
      </c>
      <c r="AW31" s="11">
        <f t="shared" si="12"/>
        <v>8146.588699494604</v>
      </c>
      <c r="AX31" s="11">
        <f t="shared" si="12"/>
        <v>-5752.7278531104957</v>
      </c>
      <c r="AY31" s="11">
        <f t="shared" si="12"/>
        <v>8161.9498165964142</v>
      </c>
      <c r="AZ31" s="11">
        <f t="shared" si="12"/>
        <v>-4908.6626030305206</v>
      </c>
      <c r="BA31" s="11">
        <f t="shared" si="12"/>
        <v>298.62572902435193</v>
      </c>
      <c r="BB31" s="11">
        <f t="shared" si="12"/>
        <v>10294.681222770865</v>
      </c>
      <c r="BC31" s="11">
        <f t="shared" si="12"/>
        <v>1947.2430565733916</v>
      </c>
      <c r="BD31" s="11">
        <f t="shared" si="12"/>
        <v>4397.3833377323708</v>
      </c>
      <c r="BE31" s="11">
        <f t="shared" si="12"/>
        <v>6608.3176158568376</v>
      </c>
      <c r="BF31" s="11">
        <f t="shared" si="12"/>
        <v>8459.776923914038</v>
      </c>
      <c r="BG31" s="11">
        <f t="shared" si="12"/>
        <v>9851.046780849274</v>
      </c>
      <c r="BH31" s="11">
        <f t="shared" si="12"/>
        <v>10706.445792516048</v>
      </c>
      <c r="BI31" s="11">
        <f t="shared" si="12"/>
        <v>10979.442518999022</v>
      </c>
      <c r="BJ31" s="11">
        <f t="shared" si="12"/>
        <v>10655.186661662145</v>
      </c>
      <c r="BK31" s="11">
        <f t="shared" si="12"/>
        <v>-6963.7406843752278</v>
      </c>
    </row>
    <row r="32" spans="2:63" x14ac:dyDescent="0.25">
      <c r="B32">
        <v>4</v>
      </c>
      <c r="C32">
        <v>0</v>
      </c>
      <c r="D32">
        <v>-1</v>
      </c>
      <c r="E32">
        <v>0</v>
      </c>
      <c r="F32">
        <v>10675</v>
      </c>
      <c r="H32" s="34"/>
      <c r="I32" s="11">
        <f t="shared" si="8"/>
        <v>559.56729383181903</v>
      </c>
      <c r="J32" s="11">
        <f t="shared" si="8"/>
        <v>2748.386646306189</v>
      </c>
      <c r="K32" s="11">
        <f t="shared" si="8"/>
        <v>-4267.344450760861</v>
      </c>
      <c r="L32" s="11">
        <f t="shared" si="8"/>
        <v>-9953.7074788075788</v>
      </c>
      <c r="M32" s="11">
        <f t="shared" si="8"/>
        <v>-8482.133890570045</v>
      </c>
      <c r="N32" s="11">
        <f t="shared" si="8"/>
        <v>-7511.5116167172482</v>
      </c>
      <c r="O32" s="11">
        <f t="shared" si="8"/>
        <v>-9014.5124669435554</v>
      </c>
      <c r="P32" s="11">
        <f t="shared" si="8"/>
        <v>9313.7472868384175</v>
      </c>
      <c r="Q32" s="11">
        <f t="shared" si="8"/>
        <v>7507.7341986377942</v>
      </c>
      <c r="R32" s="11">
        <f t="shared" si="8"/>
        <v>-10661.4242785444</v>
      </c>
      <c r="S32" s="11">
        <f t="shared" si="9"/>
        <v>-4191.1656218608805</v>
      </c>
      <c r="T32" s="11">
        <f t="shared" si="9"/>
        <v>-8311.6554481075</v>
      </c>
      <c r="U32" s="11">
        <f t="shared" si="9"/>
        <v>10636.210482656848</v>
      </c>
      <c r="V32" s="11">
        <f t="shared" si="9"/>
        <v>9168.237978598012</v>
      </c>
      <c r="W32" s="11">
        <f t="shared" si="9"/>
        <v>-1570.8741403631241</v>
      </c>
      <c r="X32" s="11">
        <f t="shared" si="9"/>
        <v>9831.9915601504399</v>
      </c>
      <c r="Y32" s="11">
        <f t="shared" si="9"/>
        <v>-9014.0491667960287</v>
      </c>
      <c r="Z32" s="11">
        <f t="shared" si="9"/>
        <v>-10361.490088818378</v>
      </c>
      <c r="AA32" s="11">
        <f t="shared" si="9"/>
        <v>-7063.7237199393239</v>
      </c>
      <c r="AB32" s="11">
        <f t="shared" si="9"/>
        <v>10674.922459759779</v>
      </c>
      <c r="AC32" s="11">
        <f t="shared" si="10"/>
        <v>6606.1625050817274</v>
      </c>
      <c r="AD32" s="11">
        <f t="shared" si="10"/>
        <v>-223.48353769621539</v>
      </c>
      <c r="AE32" s="11">
        <f t="shared" si="10"/>
        <v>-7061.1293461139503</v>
      </c>
      <c r="AF32" s="11">
        <f t="shared" si="10"/>
        <v>-10572.885548845332</v>
      </c>
      <c r="AG32" s="11">
        <f t="shared" si="10"/>
        <v>-3894.4652955077604</v>
      </c>
      <c r="AH32" s="11">
        <f t="shared" si="10"/>
        <v>7881.1049492912452</v>
      </c>
      <c r="AI32" s="11">
        <f t="shared" si="10"/>
        <v>-10274.626436164059</v>
      </c>
      <c r="AJ32" s="11">
        <f t="shared" si="10"/>
        <v>10650.472963933895</v>
      </c>
      <c r="AK32" s="11">
        <f t="shared" si="10"/>
        <v>251.30678601424722</v>
      </c>
      <c r="AL32" s="11">
        <f t="shared" si="10"/>
        <v>-10290.087904669123</v>
      </c>
      <c r="AM32" s="11">
        <f t="shared" si="11"/>
        <v>9007.240044157601</v>
      </c>
      <c r="AN32" s="11">
        <f t="shared" si="11"/>
        <v>9403.3539648164788</v>
      </c>
      <c r="AO32" s="11">
        <f t="shared" si="11"/>
        <v>10674.507049512004</v>
      </c>
      <c r="AP32" s="11">
        <f t="shared" si="11"/>
        <v>-10580.146984044259</v>
      </c>
      <c r="AQ32" s="11">
        <f t="shared" si="11"/>
        <v>5099.1434732908547</v>
      </c>
      <c r="AR32" s="11">
        <f t="shared" si="11"/>
        <v>6031.5290084854942</v>
      </c>
      <c r="AS32" s="11">
        <f t="shared" si="11"/>
        <v>3382.6338057413241</v>
      </c>
      <c r="AT32" s="11">
        <f t="shared" si="11"/>
        <v>10519.681046522608</v>
      </c>
      <c r="AU32" s="11">
        <f t="shared" si="11"/>
        <v>-1549.2999965022268</v>
      </c>
      <c r="AV32" s="11">
        <f t="shared" si="11"/>
        <v>-9059.8547739274145</v>
      </c>
      <c r="AW32" s="11">
        <f t="shared" si="12"/>
        <v>4215.9596863943334</v>
      </c>
      <c r="AX32" s="11">
        <f t="shared" si="12"/>
        <v>-6870.7774922755307</v>
      </c>
      <c r="AY32" s="11">
        <f t="shared" si="12"/>
        <v>2031.9776595066485</v>
      </c>
      <c r="AZ32" s="11">
        <f t="shared" si="12"/>
        <v>6291.2707816585544</v>
      </c>
      <c r="BA32" s="11">
        <f t="shared" si="12"/>
        <v>6133.9496287192378</v>
      </c>
      <c r="BB32" s="11">
        <f t="shared" si="12"/>
        <v>-7674.7210896149891</v>
      </c>
      <c r="BC32" s="11">
        <f t="shared" si="12"/>
        <v>-8071.5563347356238</v>
      </c>
      <c r="BD32" s="11">
        <f t="shared" si="12"/>
        <v>-2478.4621046042812</v>
      </c>
      <c r="BE32" s="11">
        <f t="shared" si="12"/>
        <v>4046.0190398659006</v>
      </c>
      <c r="BF32" s="11">
        <f t="shared" si="12"/>
        <v>9050.0374821210935</v>
      </c>
      <c r="BG32" s="11">
        <f t="shared" si="12"/>
        <v>10653.121744475164</v>
      </c>
      <c r="BH32" s="11">
        <f t="shared" si="12"/>
        <v>8252.8451439814835</v>
      </c>
      <c r="BI32" s="11">
        <f t="shared" si="12"/>
        <v>2751.2130864422652</v>
      </c>
      <c r="BJ32" s="11">
        <f t="shared" si="12"/>
        <v>-3784.3035975468479</v>
      </c>
      <c r="BK32" s="11">
        <f t="shared" si="12"/>
        <v>-9956.7432054586479</v>
      </c>
    </row>
    <row r="33" spans="2:63" x14ac:dyDescent="0.25">
      <c r="B33">
        <v>0</v>
      </c>
      <c r="C33">
        <v>0</v>
      </c>
      <c r="D33">
        <v>3</v>
      </c>
      <c r="E33">
        <v>0</v>
      </c>
      <c r="F33">
        <v>10034</v>
      </c>
      <c r="H33" s="34"/>
      <c r="I33" s="11">
        <f t="shared" si="8"/>
        <v>8882.6860144509246</v>
      </c>
      <c r="J33" s="11">
        <f t="shared" si="8"/>
        <v>-5697.4584659016818</v>
      </c>
      <c r="K33" s="11">
        <f t="shared" si="8"/>
        <v>7081.4982168144361</v>
      </c>
      <c r="L33" s="11">
        <f t="shared" si="8"/>
        <v>8765.2644322605938</v>
      </c>
      <c r="M33" s="11">
        <f t="shared" si="8"/>
        <v>-2324.8464033639057</v>
      </c>
      <c r="N33" s="11">
        <f t="shared" si="8"/>
        <v>-5180.2626576168077</v>
      </c>
      <c r="O33" s="11">
        <f t="shared" si="8"/>
        <v>-9583.7196520183152</v>
      </c>
      <c r="P33" s="11">
        <f t="shared" si="8"/>
        <v>4009.9370759861049</v>
      </c>
      <c r="Q33" s="11">
        <f t="shared" si="8"/>
        <v>-1381.1647315640741</v>
      </c>
      <c r="R33" s="11">
        <f t="shared" si="8"/>
        <v>-9961.65634495218</v>
      </c>
      <c r="S33" s="11">
        <f t="shared" si="9"/>
        <v>-533.80337832071802</v>
      </c>
      <c r="T33" s="11">
        <f t="shared" si="9"/>
        <v>-7541.4732690965311</v>
      </c>
      <c r="U33" s="11">
        <f t="shared" si="9"/>
        <v>-9611.7955602978</v>
      </c>
      <c r="V33" s="11">
        <f t="shared" si="9"/>
        <v>-5629.0801160387018</v>
      </c>
      <c r="W33" s="11">
        <f t="shared" si="9"/>
        <v>-6004.0503825926626</v>
      </c>
      <c r="X33" s="11">
        <f t="shared" si="9"/>
        <v>10030.435117110586</v>
      </c>
      <c r="Y33" s="11">
        <f t="shared" si="9"/>
        <v>803.77928764599244</v>
      </c>
      <c r="Z33" s="11">
        <f t="shared" si="9"/>
        <v>-5235.5391501149452</v>
      </c>
      <c r="AA33" s="11">
        <f t="shared" si="9"/>
        <v>-5341.4781575673314</v>
      </c>
      <c r="AB33" s="11">
        <f t="shared" si="9"/>
        <v>2673.4525737436975</v>
      </c>
      <c r="AC33" s="11">
        <f t="shared" si="10"/>
        <v>4826.889956342764</v>
      </c>
      <c r="AD33" s="11">
        <f t="shared" si="10"/>
        <v>-9553.5117377620718</v>
      </c>
      <c r="AE33" s="11">
        <f t="shared" si="10"/>
        <v>4286.9529314990168</v>
      </c>
      <c r="AF33" s="11">
        <f t="shared" si="10"/>
        <v>2503.0457712095763</v>
      </c>
      <c r="AG33" s="11">
        <f t="shared" si="10"/>
        <v>-9925.1502283515711</v>
      </c>
      <c r="AH33" s="11">
        <f t="shared" si="10"/>
        <v>4007.2123680022773</v>
      </c>
      <c r="AI33" s="11">
        <f t="shared" si="10"/>
        <v>-9999.4610277626161</v>
      </c>
      <c r="AJ33" s="11">
        <f t="shared" si="10"/>
        <v>1294.5681390164161</v>
      </c>
      <c r="AK33" s="11">
        <f t="shared" si="10"/>
        <v>4606.537670508571</v>
      </c>
      <c r="AL33" s="11">
        <f t="shared" si="10"/>
        <v>-6957.742219619483</v>
      </c>
      <c r="AM33" s="11">
        <f t="shared" si="11"/>
        <v>-8288.3072097284767</v>
      </c>
      <c r="AN33" s="11">
        <f t="shared" si="11"/>
        <v>-8084.1605162190872</v>
      </c>
      <c r="AO33" s="11">
        <f t="shared" si="11"/>
        <v>-9827.4770629604918</v>
      </c>
      <c r="AP33" s="11">
        <f t="shared" si="11"/>
        <v>-994.02624286983826</v>
      </c>
      <c r="AQ33" s="11">
        <f t="shared" si="11"/>
        <v>-3483.4190352389978</v>
      </c>
      <c r="AR33" s="11">
        <f t="shared" si="11"/>
        <v>-1398.3132156436398</v>
      </c>
      <c r="AS33" s="11">
        <f t="shared" si="11"/>
        <v>3979.8850333762548</v>
      </c>
      <c r="AT33" s="11">
        <f t="shared" si="11"/>
        <v>6958.0831416241163</v>
      </c>
      <c r="AU33" s="11">
        <f t="shared" si="11"/>
        <v>-6389.6720930909642</v>
      </c>
      <c r="AV33" s="11">
        <f t="shared" si="11"/>
        <v>-7797.9334093607094</v>
      </c>
      <c r="AW33" s="11">
        <f t="shared" si="12"/>
        <v>531.03825852502155</v>
      </c>
      <c r="AX33" s="11">
        <f t="shared" si="12"/>
        <v>5230.4533413640083</v>
      </c>
      <c r="AY33" s="11">
        <f t="shared" si="12"/>
        <v>-6170.6567469018128</v>
      </c>
      <c r="AZ33" s="11">
        <f t="shared" si="12"/>
        <v>9356.7892550435954</v>
      </c>
      <c r="BA33" s="11">
        <f t="shared" si="12"/>
        <v>-9649.670232621098</v>
      </c>
      <c r="BB33" s="11">
        <f t="shared" si="12"/>
        <v>-775.46184393839451</v>
      </c>
      <c r="BC33" s="11">
        <f t="shared" si="12"/>
        <v>7985.2757123328038</v>
      </c>
      <c r="BD33" s="11">
        <f t="shared" si="12"/>
        <v>2348.8551371418903</v>
      </c>
      <c r="BE33" s="11">
        <f t="shared" si="12"/>
        <v>-4344.5508587916074</v>
      </c>
      <c r="BF33" s="11">
        <f t="shared" si="12"/>
        <v>-9082.9078417897945</v>
      </c>
      <c r="BG33" s="11">
        <f t="shared" si="12"/>
        <v>-9733.9539409105946</v>
      </c>
      <c r="BH33" s="11">
        <f t="shared" si="12"/>
        <v>-6004.7182427202806</v>
      </c>
      <c r="BI33" s="11">
        <f t="shared" si="12"/>
        <v>426.64222164795507</v>
      </c>
      <c r="BJ33" s="11">
        <f t="shared" si="12"/>
        <v>6666.013575662656</v>
      </c>
      <c r="BK33" s="11">
        <f t="shared" si="12"/>
        <v>-10031.910570893235</v>
      </c>
    </row>
    <row r="34" spans="2:63" x14ac:dyDescent="0.25">
      <c r="B34">
        <v>4</v>
      </c>
      <c r="C34">
        <v>0</v>
      </c>
      <c r="D34">
        <v>-2</v>
      </c>
      <c r="E34">
        <v>0</v>
      </c>
      <c r="F34">
        <v>8548</v>
      </c>
      <c r="H34" s="34"/>
      <c r="I34" s="11">
        <f t="shared" si="8"/>
        <v>-3444.8444023861116</v>
      </c>
      <c r="J34" s="11">
        <f t="shared" si="8"/>
        <v>-4723.9173484988141</v>
      </c>
      <c r="K34" s="11">
        <f t="shared" si="8"/>
        <v>-3129.2397241104545</v>
      </c>
      <c r="L34" s="11">
        <f t="shared" si="8"/>
        <v>-4158.3177510425885</v>
      </c>
      <c r="M34" s="11">
        <f t="shared" si="8"/>
        <v>-7175.5468129903966</v>
      </c>
      <c r="N34" s="11">
        <f t="shared" si="8"/>
        <v>-7741.9561151480939</v>
      </c>
      <c r="O34" s="11">
        <f t="shared" si="8"/>
        <v>-5277.9577193552395</v>
      </c>
      <c r="P34" s="11">
        <f t="shared" si="8"/>
        <v>-7958.6741119975113</v>
      </c>
      <c r="Q34" s="11">
        <f t="shared" si="8"/>
        <v>8359.4910858935109</v>
      </c>
      <c r="R34" s="11">
        <f t="shared" si="8"/>
        <v>772.44928168964407</v>
      </c>
      <c r="S34" s="11">
        <f t="shared" si="9"/>
        <v>3495.015095727339</v>
      </c>
      <c r="T34" s="11">
        <f t="shared" si="9"/>
        <v>-3627.3253736630982</v>
      </c>
      <c r="U34" s="11">
        <f t="shared" si="9"/>
        <v>-6505.1906172008585</v>
      </c>
      <c r="V34" s="11">
        <f t="shared" si="9"/>
        <v>-8138.215980560838</v>
      </c>
      <c r="W34" s="11">
        <f t="shared" si="9"/>
        <v>8435.9596451620455</v>
      </c>
      <c r="X34" s="11">
        <f t="shared" si="9"/>
        <v>-8491.8984150160286</v>
      </c>
      <c r="Y34" s="11">
        <f t="shared" si="9"/>
        <v>-128.29242997115452</v>
      </c>
      <c r="Z34" s="11">
        <f t="shared" si="9"/>
        <v>-3822.5915554665521</v>
      </c>
      <c r="AA34" s="11">
        <f t="shared" si="9"/>
        <v>8547.3455219230746</v>
      </c>
      <c r="AB34" s="11">
        <f t="shared" si="9"/>
        <v>8516.344699835061</v>
      </c>
      <c r="AC34" s="11">
        <f t="shared" si="10"/>
        <v>8545.6169316072792</v>
      </c>
      <c r="AD34" s="11">
        <f t="shared" si="10"/>
        <v>-4870.4576351167825</v>
      </c>
      <c r="AE34" s="11">
        <f t="shared" si="10"/>
        <v>-1507.4751888043452</v>
      </c>
      <c r="AF34" s="11">
        <f t="shared" si="10"/>
        <v>-3865.2591994952586</v>
      </c>
      <c r="AG34" s="11">
        <f t="shared" si="10"/>
        <v>8102.4340908996273</v>
      </c>
      <c r="AH34" s="11">
        <f t="shared" si="10"/>
        <v>680.93599914666424</v>
      </c>
      <c r="AI34" s="11">
        <f t="shared" si="10"/>
        <v>2545.7866923679085</v>
      </c>
      <c r="AJ34" s="11">
        <f t="shared" si="10"/>
        <v>4090.0549399163569</v>
      </c>
      <c r="AK34" s="11">
        <f t="shared" si="10"/>
        <v>-8055.6300577831626</v>
      </c>
      <c r="AL34" s="11">
        <f t="shared" si="10"/>
        <v>-4376.8394036951222</v>
      </c>
      <c r="AM34" s="11">
        <f t="shared" si="11"/>
        <v>-2371.1210047229501</v>
      </c>
      <c r="AN34" s="11">
        <f t="shared" si="11"/>
        <v>5922.5056526113576</v>
      </c>
      <c r="AO34" s="11">
        <f t="shared" si="11"/>
        <v>7141.9429509619631</v>
      </c>
      <c r="AP34" s="11">
        <f t="shared" si="11"/>
        <v>4993.9886573633084</v>
      </c>
      <c r="AQ34" s="11">
        <f t="shared" si="11"/>
        <v>-3571.2903633309502</v>
      </c>
      <c r="AR34" s="11">
        <f t="shared" si="11"/>
        <v>-3329.8708793959809</v>
      </c>
      <c r="AS34" s="11">
        <f t="shared" si="11"/>
        <v>8066.8495868414084</v>
      </c>
      <c r="AT34" s="11">
        <f t="shared" si="11"/>
        <v>-3632.9615949636959</v>
      </c>
      <c r="AU34" s="11">
        <f t="shared" si="11"/>
        <v>721.16239667307741</v>
      </c>
      <c r="AV34" s="11">
        <f t="shared" si="11"/>
        <v>2773.0489577602452</v>
      </c>
      <c r="AW34" s="11">
        <f t="shared" si="12"/>
        <v>-3236.8047719433034</v>
      </c>
      <c r="AX34" s="11">
        <f t="shared" si="12"/>
        <v>-6599.2416842069997</v>
      </c>
      <c r="AY34" s="11">
        <f t="shared" si="12"/>
        <v>3425.3539376959411</v>
      </c>
      <c r="AZ34" s="11">
        <f t="shared" si="12"/>
        <v>-1947.227861285764</v>
      </c>
      <c r="BA34" s="11">
        <f t="shared" si="12"/>
        <v>8051.4710083573627</v>
      </c>
      <c r="BB34" s="11">
        <f t="shared" si="12"/>
        <v>-8154.8453686258581</v>
      </c>
      <c r="BC34" s="11">
        <f t="shared" si="12"/>
        <v>-8544.8905094006514</v>
      </c>
      <c r="BD34" s="11">
        <f t="shared" si="12"/>
        <v>-7975.5563118088294</v>
      </c>
      <c r="BE34" s="11">
        <f t="shared" si="12"/>
        <v>-6177.8055084462203</v>
      </c>
      <c r="BF34" s="11">
        <f t="shared" si="12"/>
        <v>-3428.5325068689854</v>
      </c>
      <c r="BG34" s="11">
        <f t="shared" si="12"/>
        <v>-151.18771943743943</v>
      </c>
      <c r="BH34" s="11">
        <f t="shared" si="12"/>
        <v>3149.4434066210879</v>
      </c>
      <c r="BI34" s="11">
        <f t="shared" si="12"/>
        <v>5964.98879970292</v>
      </c>
      <c r="BJ34" s="11">
        <f t="shared" si="12"/>
        <v>7861.7905956726618</v>
      </c>
      <c r="BK34" s="11">
        <f t="shared" si="12"/>
        <v>3028.2023337499049</v>
      </c>
    </row>
    <row r="35" spans="2:63" x14ac:dyDescent="0.25">
      <c r="B35">
        <v>2</v>
      </c>
      <c r="C35">
        <v>1</v>
      </c>
      <c r="D35">
        <v>-1</v>
      </c>
      <c r="E35">
        <v>0</v>
      </c>
      <c r="F35">
        <v>-7888</v>
      </c>
      <c r="H35" s="34"/>
      <c r="I35" s="11">
        <f t="shared" si="8"/>
        <v>-1761.6303514916933</v>
      </c>
      <c r="J35" s="11">
        <f t="shared" si="8"/>
        <v>2903.5003698843047</v>
      </c>
      <c r="K35" s="11">
        <f t="shared" si="8"/>
        <v>-7806.051837260592</v>
      </c>
      <c r="L35" s="11">
        <f t="shared" si="8"/>
        <v>7720.188274706009</v>
      </c>
      <c r="M35" s="11">
        <f t="shared" si="8"/>
        <v>4904.1877117853655</v>
      </c>
      <c r="N35" s="11">
        <f t="shared" si="8"/>
        <v>7548.7422524488056</v>
      </c>
      <c r="O35" s="11">
        <f t="shared" si="8"/>
        <v>-5878.319956561234</v>
      </c>
      <c r="P35" s="11">
        <f t="shared" si="8"/>
        <v>-7437.9337168627244</v>
      </c>
      <c r="Q35" s="11">
        <f t="shared" si="8"/>
        <v>-6057.6326377461855</v>
      </c>
      <c r="R35" s="11">
        <f t="shared" si="8"/>
        <v>7964.7106748526203</v>
      </c>
      <c r="S35" s="11">
        <f t="shared" si="9"/>
        <v>-7878.0675140838302</v>
      </c>
      <c r="T35" s="11">
        <f t="shared" si="9"/>
        <v>-5431.1580441973847</v>
      </c>
      <c r="U35" s="11">
        <f t="shared" si="9"/>
        <v>4843.1630634685653</v>
      </c>
      <c r="V35" s="11">
        <f t="shared" si="9"/>
        <v>3300.2894309033595</v>
      </c>
      <c r="W35" s="11">
        <f t="shared" si="9"/>
        <v>8430.0781913669234</v>
      </c>
      <c r="X35" s="11">
        <f t="shared" si="9"/>
        <v>-6875.2171065725752</v>
      </c>
      <c r="Y35" s="11">
        <f t="shared" si="9"/>
        <v>-809.41556430913101</v>
      </c>
      <c r="Z35" s="11">
        <f t="shared" si="9"/>
        <v>7764.905289033095</v>
      </c>
      <c r="AA35" s="11">
        <f t="shared" si="9"/>
        <v>-5111.2699118158816</v>
      </c>
      <c r="AB35" s="11">
        <f t="shared" si="9"/>
        <v>5052.5683652778689</v>
      </c>
      <c r="AC35" s="11">
        <f t="shared" si="10"/>
        <v>7887.836268733934</v>
      </c>
      <c r="AD35" s="11">
        <f t="shared" si="10"/>
        <v>-2791.4145611082849</v>
      </c>
      <c r="AE35" s="11">
        <f t="shared" si="10"/>
        <v>-7882.6264748561962</v>
      </c>
      <c r="AF35" s="11">
        <f t="shared" si="10"/>
        <v>-7803.7229927638618</v>
      </c>
      <c r="AG35" s="11">
        <f t="shared" si="10"/>
        <v>614.23816001283649</v>
      </c>
      <c r="AH35" s="11">
        <f t="shared" si="10"/>
        <v>-7422.8226266850761</v>
      </c>
      <c r="AI35" s="11">
        <f t="shared" si="10"/>
        <v>6320.7661741633892</v>
      </c>
      <c r="AJ35" s="11">
        <f t="shared" si="10"/>
        <v>42.396731290786065</v>
      </c>
      <c r="AK35" s="11">
        <f t="shared" si="10"/>
        <v>-7076.7130518987842</v>
      </c>
      <c r="AL35" s="11">
        <f t="shared" si="10"/>
        <v>2579.3007719885086</v>
      </c>
      <c r="AM35" s="11">
        <f t="shared" si="11"/>
        <v>667.60627413561861</v>
      </c>
      <c r="AN35" s="11">
        <f t="shared" si="11"/>
        <v>-575.8556932123704</v>
      </c>
      <c r="AO35" s="11">
        <f t="shared" si="11"/>
        <v>6990.4396516207316</v>
      </c>
      <c r="AP35" s="11">
        <f t="shared" si="11"/>
        <v>-4183.654742778117</v>
      </c>
      <c r="AQ35" s="11">
        <f t="shared" si="11"/>
        <v>5355.1244987225546</v>
      </c>
      <c r="AR35" s="11">
        <f t="shared" si="11"/>
        <v>1790.1170240887243</v>
      </c>
      <c r="AS35" s="11">
        <f t="shared" si="11"/>
        <v>-8242.6544691297222</v>
      </c>
      <c r="AT35" s="11">
        <f t="shared" si="11"/>
        <v>-498.00543132309099</v>
      </c>
      <c r="AU35" s="11">
        <f t="shared" si="11"/>
        <v>-7883.269765358642</v>
      </c>
      <c r="AV35" s="11">
        <f t="shared" si="11"/>
        <v>-640.65128386656102</v>
      </c>
      <c r="AW35" s="11">
        <f t="shared" si="12"/>
        <v>7881.2133896576443</v>
      </c>
      <c r="AX35" s="11">
        <f t="shared" si="12"/>
        <v>-7880.0980533699876</v>
      </c>
      <c r="AY35" s="11">
        <f t="shared" si="12"/>
        <v>-2871.1990050825762</v>
      </c>
      <c r="AZ35" s="11">
        <f t="shared" si="12"/>
        <v>-6106.249577543691</v>
      </c>
      <c r="BA35" s="11">
        <f t="shared" si="12"/>
        <v>-4758.1690505940251</v>
      </c>
      <c r="BB35" s="11">
        <f t="shared" si="12"/>
        <v>-5771.7146721618665</v>
      </c>
      <c r="BC35" s="11">
        <f t="shared" si="12"/>
        <v>-7745.4077488558451</v>
      </c>
      <c r="BD35" s="11">
        <f t="shared" si="12"/>
        <v>-7254.5992520887039</v>
      </c>
      <c r="BE35" s="11">
        <f t="shared" si="12"/>
        <v>-6430.6269406279389</v>
      </c>
      <c r="BF35" s="11">
        <f t="shared" si="12"/>
        <v>-5311.3313813190607</v>
      </c>
      <c r="BG35" s="11">
        <f t="shared" si="12"/>
        <v>-3948.1157098760409</v>
      </c>
      <c r="BH35" s="11">
        <f t="shared" si="12"/>
        <v>-2403.584965420604</v>
      </c>
      <c r="BI35" s="11">
        <f t="shared" si="12"/>
        <v>-748.67098345743432</v>
      </c>
      <c r="BJ35" s="11">
        <f t="shared" si="12"/>
        <v>940.62511466838464</v>
      </c>
      <c r="BK35" s="11">
        <f t="shared" si="12"/>
        <v>6470.8115891701236</v>
      </c>
    </row>
    <row r="36" spans="2:63" x14ac:dyDescent="0.25">
      <c r="B36">
        <v>2</v>
      </c>
      <c r="C36">
        <v>1</v>
      </c>
      <c r="D36">
        <v>0</v>
      </c>
      <c r="E36">
        <v>0</v>
      </c>
      <c r="F36">
        <v>-6766</v>
      </c>
      <c r="H36" s="34"/>
      <c r="I36" s="11">
        <f t="shared" ref="I36:R45" si="13">IF(ABS($C36)=1,I$7,IF(ABS($C36)=2,I$7^2,1))*$F36*SIN(($B36*I$2  +  $C36*I$3  +  $D36*I$4  +  $E36*I$5)*Deg2Rad)</f>
        <v>-927.46202243968344</v>
      </c>
      <c r="J36" s="11">
        <f t="shared" si="13"/>
        <v>6577.1977359620387</v>
      </c>
      <c r="K36" s="11">
        <f t="shared" si="13"/>
        <v>5419.8340445723134</v>
      </c>
      <c r="L36" s="11">
        <f t="shared" si="13"/>
        <v>4206.9562136125223</v>
      </c>
      <c r="M36" s="11">
        <f t="shared" si="13"/>
        <v>4606.6742805923213</v>
      </c>
      <c r="N36" s="11">
        <f t="shared" si="13"/>
        <v>320.55111775955311</v>
      </c>
      <c r="O36" s="11">
        <f t="shared" si="13"/>
        <v>3987.4771072142271</v>
      </c>
      <c r="P36" s="11">
        <f t="shared" si="13"/>
        <v>6628.6958124641269</v>
      </c>
      <c r="Q36" s="11">
        <f t="shared" si="13"/>
        <v>869.35322315541396</v>
      </c>
      <c r="R36" s="11">
        <f t="shared" si="13"/>
        <v>-416.20187772439823</v>
      </c>
      <c r="S36" s="11">
        <f t="shared" ref="S36:AB45" si="14">IF(ABS($C36)=1,S$7,IF(ABS($C36)=2,S$7^2,1))*$F36*SIN(($B36*S$2  +  $C36*S$3  +  $D36*S$4  +  $E36*S$5)*Deg2Rad)</f>
        <v>6774.4045645930091</v>
      </c>
      <c r="T36" s="11">
        <f t="shared" si="14"/>
        <v>-3911.047659971302</v>
      </c>
      <c r="U36" s="11">
        <f t="shared" si="14"/>
        <v>-27.694937995078249</v>
      </c>
      <c r="V36" s="11">
        <f t="shared" si="14"/>
        <v>3018.7149901870221</v>
      </c>
      <c r="W36" s="11">
        <f t="shared" si="14"/>
        <v>-2116.744609935663</v>
      </c>
      <c r="X36" s="11">
        <f t="shared" si="14"/>
        <v>3072.7379325804118</v>
      </c>
      <c r="Y36" s="11">
        <f t="shared" si="14"/>
        <v>6498.5578337952029</v>
      </c>
      <c r="Z36" s="11">
        <f t="shared" si="14"/>
        <v>1411.2165034504987</v>
      </c>
      <c r="AA36" s="11">
        <f t="shared" si="14"/>
        <v>-1047.6780522681559</v>
      </c>
      <c r="AB36" s="11">
        <f t="shared" si="14"/>
        <v>3849.7622763989402</v>
      </c>
      <c r="AC36" s="11">
        <f t="shared" ref="AC36:AL45" si="15">IF(ABS($C36)=1,AC$7,IF(ABS($C36)=2,AC$7^2,1))*$F36*SIN(($B36*AC$2  +  $C36*AC$3  +  $D36*AC$4  +  $E36*AC$5)*Deg2Rad)</f>
        <v>4491.3779255779664</v>
      </c>
      <c r="AD36" s="11">
        <f t="shared" si="15"/>
        <v>-1770.3378511889875</v>
      </c>
      <c r="AE36" s="11">
        <f t="shared" si="15"/>
        <v>4398.2898136387066</v>
      </c>
      <c r="AF36" s="11">
        <f t="shared" si="15"/>
        <v>-2969.32679745615</v>
      </c>
      <c r="AG36" s="11">
        <f t="shared" si="15"/>
        <v>6715.0316558350933</v>
      </c>
      <c r="AH36" s="11">
        <f t="shared" si="15"/>
        <v>5718.7126339864744</v>
      </c>
      <c r="AI36" s="11">
        <f t="shared" si="15"/>
        <v>-4202.6390450380386</v>
      </c>
      <c r="AJ36" s="11">
        <f t="shared" si="15"/>
        <v>5728.6800805265893</v>
      </c>
      <c r="AK36" s="11">
        <f t="shared" si="15"/>
        <v>4959.3550192848907</v>
      </c>
      <c r="AL36" s="11">
        <f t="shared" si="15"/>
        <v>-5580.7488617095278</v>
      </c>
      <c r="AM36" s="11">
        <f t="shared" ref="AM36:AV45" si="16">IF(ABS($C36)=1,AM$7,IF(ABS($C36)=2,AM$7^2,1))*$F36*SIN(($B36*AM$2  +  $C36*AM$3  +  $D36*AM$4  +  $E36*AM$5)*Deg2Rad)</f>
        <v>-4891.7365278744373</v>
      </c>
      <c r="AN36" s="11">
        <f t="shared" si="16"/>
        <v>1603.4094361664093</v>
      </c>
      <c r="AO36" s="11">
        <f t="shared" si="16"/>
        <v>3193.6930004558503</v>
      </c>
      <c r="AP36" s="11">
        <f t="shared" si="16"/>
        <v>6751.762689602142</v>
      </c>
      <c r="AQ36" s="11">
        <f t="shared" si="16"/>
        <v>6971.2703169205606</v>
      </c>
      <c r="AR36" s="11">
        <f t="shared" si="16"/>
        <v>-4718.0545446541037</v>
      </c>
      <c r="AS36" s="11">
        <f t="shared" si="16"/>
        <v>-4709.3184699787407</v>
      </c>
      <c r="AT36" s="11">
        <f t="shared" si="16"/>
        <v>6620.5854394829139</v>
      </c>
      <c r="AU36" s="11">
        <f t="shared" si="16"/>
        <v>-6595.0061551860526</v>
      </c>
      <c r="AV36" s="11">
        <f t="shared" si="16"/>
        <v>6443.4054957195449</v>
      </c>
      <c r="AW36" s="11">
        <f t="shared" ref="AW36:BK45" si="17">IF(ABS($C36)=1,AW$7,IF(ABS($C36)=2,AW$7^2,1))*$F36*SIN(($B36*AW$2  +  $C36*AW$3  +  $D36*AW$4  +  $E36*AW$5)*Deg2Rad)</f>
        <v>-6761.9833696231663</v>
      </c>
      <c r="AX36" s="11">
        <f t="shared" si="17"/>
        <v>-6610.7055056464469</v>
      </c>
      <c r="AY36" s="11">
        <f t="shared" si="17"/>
        <v>-3784.1537207338806</v>
      </c>
      <c r="AZ36" s="11">
        <f t="shared" si="17"/>
        <v>3153.4599839666612</v>
      </c>
      <c r="BA36" s="11">
        <f t="shared" si="17"/>
        <v>-204.23491159436745</v>
      </c>
      <c r="BB36" s="11">
        <f t="shared" si="17"/>
        <v>-6425.4408582277438</v>
      </c>
      <c r="BC36" s="11">
        <f t="shared" si="17"/>
        <v>-4054.408893795699</v>
      </c>
      <c r="BD36" s="11">
        <f t="shared" si="17"/>
        <v>-1344.9795728190791</v>
      </c>
      <c r="BE36" s="11">
        <f t="shared" si="17"/>
        <v>1623.8113013165957</v>
      </c>
      <c r="BF36" s="11">
        <f t="shared" si="17"/>
        <v>4279.4707434831207</v>
      </c>
      <c r="BG36" s="11">
        <f t="shared" si="17"/>
        <v>6109.8891971005705</v>
      </c>
      <c r="BH36" s="11">
        <f t="shared" si="17"/>
        <v>6762.0942349210509</v>
      </c>
      <c r="BI36" s="11">
        <f t="shared" si="17"/>
        <v>6110.316707594623</v>
      </c>
      <c r="BJ36" s="11">
        <f t="shared" si="17"/>
        <v>4280.2436672313206</v>
      </c>
      <c r="BK36" s="11">
        <f t="shared" si="17"/>
        <v>-3838.302810747593</v>
      </c>
    </row>
    <row r="37" spans="2:63" x14ac:dyDescent="0.25">
      <c r="B37">
        <v>1</v>
      </c>
      <c r="C37">
        <v>0</v>
      </c>
      <c r="D37">
        <v>-1</v>
      </c>
      <c r="E37">
        <v>0</v>
      </c>
      <c r="F37">
        <v>-5163</v>
      </c>
      <c r="H37" s="34"/>
      <c r="I37" s="11">
        <f t="shared" si="13"/>
        <v>2477.652634917526</v>
      </c>
      <c r="J37" s="11">
        <f t="shared" si="13"/>
        <v>1106.8615900945451</v>
      </c>
      <c r="K37" s="11">
        <f t="shared" si="13"/>
        <v>-1519.267416135239</v>
      </c>
      <c r="L37" s="11">
        <f t="shared" si="13"/>
        <v>-4358.1582230817585</v>
      </c>
      <c r="M37" s="11">
        <f t="shared" si="13"/>
        <v>2463.3225976606686</v>
      </c>
      <c r="N37" s="11">
        <f t="shared" si="13"/>
        <v>2267.2903609621217</v>
      </c>
      <c r="O37" s="11">
        <f t="shared" si="13"/>
        <v>-1109.0445182212948</v>
      </c>
      <c r="P37" s="11">
        <f t="shared" si="13"/>
        <v>4719.4141765152353</v>
      </c>
      <c r="Q37" s="11">
        <f t="shared" si="13"/>
        <v>-4187.2671134162774</v>
      </c>
      <c r="R37" s="11">
        <f t="shared" si="13"/>
        <v>-5158.3053224591577</v>
      </c>
      <c r="S37" s="11">
        <f t="shared" si="14"/>
        <v>-4042.9448374564572</v>
      </c>
      <c r="T37" s="11">
        <f t="shared" si="14"/>
        <v>5162.7157365246921</v>
      </c>
      <c r="U37" s="11">
        <f t="shared" si="14"/>
        <v>3291.6119074862982</v>
      </c>
      <c r="V37" s="11">
        <f t="shared" si="14"/>
        <v>3230.5389089472737</v>
      </c>
      <c r="W37" s="11">
        <f t="shared" si="14"/>
        <v>2864.3741085887204</v>
      </c>
      <c r="X37" s="11">
        <f t="shared" si="14"/>
        <v>-5133.6463559588547</v>
      </c>
      <c r="Y37" s="11">
        <f t="shared" si="14"/>
        <v>4973.9991427474852</v>
      </c>
      <c r="Z37" s="11">
        <f t="shared" si="14"/>
        <v>4907.0326380090346</v>
      </c>
      <c r="AA37" s="11">
        <f t="shared" si="14"/>
        <v>5158.7801888076747</v>
      </c>
      <c r="AB37" s="11">
        <f t="shared" si="14"/>
        <v>-4890.6930144482203</v>
      </c>
      <c r="AC37" s="11">
        <f t="shared" si="15"/>
        <v>5158.5859409643354</v>
      </c>
      <c r="AD37" s="11">
        <f t="shared" si="15"/>
        <v>-2315.8743987315961</v>
      </c>
      <c r="AE37" s="11">
        <f t="shared" si="15"/>
        <v>-1481.5778889748317</v>
      </c>
      <c r="AF37" s="11">
        <f t="shared" si="15"/>
        <v>4711.9131161456835</v>
      </c>
      <c r="AG37" s="11">
        <f t="shared" si="15"/>
        <v>-4873.9562094859639</v>
      </c>
      <c r="AH37" s="11">
        <f t="shared" si="15"/>
        <v>4591.2658415127971</v>
      </c>
      <c r="AI37" s="11">
        <f t="shared" si="15"/>
        <v>5142.3651497978208</v>
      </c>
      <c r="AJ37" s="11">
        <f t="shared" si="15"/>
        <v>4799.8398349886356</v>
      </c>
      <c r="AK37" s="11">
        <f t="shared" si="15"/>
        <v>4077.8789720040481</v>
      </c>
      <c r="AL37" s="11">
        <f t="shared" si="15"/>
        <v>-4978.0326733165666</v>
      </c>
      <c r="AM37" s="11">
        <f t="shared" si="16"/>
        <v>-4545.556232649803</v>
      </c>
      <c r="AN37" s="11">
        <f t="shared" si="16"/>
        <v>-3777.0941289402426</v>
      </c>
      <c r="AO37" s="11">
        <f t="shared" si="16"/>
        <v>3469.8589523423593</v>
      </c>
      <c r="AP37" s="11">
        <f t="shared" si="16"/>
        <v>4752.9336917785404</v>
      </c>
      <c r="AQ37" s="11">
        <f t="shared" si="16"/>
        <v>-5046.1732768674492</v>
      </c>
      <c r="AR37" s="11">
        <f t="shared" si="16"/>
        <v>-5074.8373361951262</v>
      </c>
      <c r="AS37" s="11">
        <f t="shared" si="16"/>
        <v>110.24932211956163</v>
      </c>
      <c r="AT37" s="11">
        <f t="shared" si="16"/>
        <v>-5010.2799844771416</v>
      </c>
      <c r="AU37" s="11">
        <f t="shared" si="16"/>
        <v>-5115.2043117720987</v>
      </c>
      <c r="AV37" s="11">
        <f t="shared" si="16"/>
        <v>-5160.5435913004603</v>
      </c>
      <c r="AW37" s="11">
        <f t="shared" si="17"/>
        <v>-5142.9023149725663</v>
      </c>
      <c r="AX37" s="11">
        <f t="shared" si="17"/>
        <v>-4913.9058519882165</v>
      </c>
      <c r="AY37" s="11">
        <f t="shared" si="17"/>
        <v>-1093.7836138402051</v>
      </c>
      <c r="AZ37" s="11">
        <f t="shared" si="17"/>
        <v>734.57900524620629</v>
      </c>
      <c r="BA37" s="11">
        <f t="shared" si="17"/>
        <v>-2979.459464065344</v>
      </c>
      <c r="BB37" s="11">
        <f t="shared" si="17"/>
        <v>-4359.2620644564231</v>
      </c>
      <c r="BC37" s="11">
        <f t="shared" si="17"/>
        <v>-3707.8399699085357</v>
      </c>
      <c r="BD37" s="11">
        <f t="shared" si="17"/>
        <v>-3652.5893738301465</v>
      </c>
      <c r="BE37" s="11">
        <f t="shared" si="17"/>
        <v>-3596.4883989000386</v>
      </c>
      <c r="BF37" s="11">
        <f t="shared" si="17"/>
        <v>-3539.5501062868893</v>
      </c>
      <c r="BG37" s="11">
        <f t="shared" si="17"/>
        <v>-3481.7877520959655</v>
      </c>
      <c r="BH37" s="11">
        <f t="shared" si="17"/>
        <v>-3423.2147842904747</v>
      </c>
      <c r="BI37" s="11">
        <f t="shared" si="17"/>
        <v>-3363.8448395609512</v>
      </c>
      <c r="BJ37" s="11">
        <f t="shared" si="17"/>
        <v>-3303.6917401335459</v>
      </c>
      <c r="BK37" s="11">
        <f t="shared" si="17"/>
        <v>5143.4150548966454</v>
      </c>
    </row>
    <row r="38" spans="2:63" x14ac:dyDescent="0.25">
      <c r="B38">
        <v>1</v>
      </c>
      <c r="C38">
        <v>1</v>
      </c>
      <c r="D38">
        <v>0</v>
      </c>
      <c r="E38">
        <v>0</v>
      </c>
      <c r="F38">
        <v>4987</v>
      </c>
      <c r="H38" s="34"/>
      <c r="I38" s="11">
        <f t="shared" si="13"/>
        <v>3312.4794180460976</v>
      </c>
      <c r="J38" s="11">
        <f t="shared" si="13"/>
        <v>-753.19973953376859</v>
      </c>
      <c r="K38" s="11">
        <f t="shared" si="13"/>
        <v>-4505.7055836106929</v>
      </c>
      <c r="L38" s="11">
        <f t="shared" si="13"/>
        <v>1752.7557477581586</v>
      </c>
      <c r="M38" s="11">
        <f t="shared" si="13"/>
        <v>-860.32710210423409</v>
      </c>
      <c r="N38" s="11">
        <f t="shared" si="13"/>
        <v>4925.445868767616</v>
      </c>
      <c r="O38" s="11">
        <f t="shared" si="13"/>
        <v>4344.4741063648862</v>
      </c>
      <c r="P38" s="11">
        <f t="shared" si="13"/>
        <v>-3428.7181818741637</v>
      </c>
      <c r="Q38" s="11">
        <f t="shared" si="13"/>
        <v>-365.81599394325519</v>
      </c>
      <c r="R38" s="11">
        <f t="shared" si="13"/>
        <v>-319.82195269663606</v>
      </c>
      <c r="S38" s="11">
        <f t="shared" si="14"/>
        <v>-3682.9412325321546</v>
      </c>
      <c r="T38" s="11">
        <f t="shared" si="14"/>
        <v>3772.2883726887826</v>
      </c>
      <c r="U38" s="11">
        <f t="shared" si="14"/>
        <v>5067.3502355252795</v>
      </c>
      <c r="V38" s="11">
        <f t="shared" si="14"/>
        <v>4632.8870031766528</v>
      </c>
      <c r="W38" s="11">
        <f t="shared" si="14"/>
        <v>-4471.8838500541306</v>
      </c>
      <c r="X38" s="11">
        <f t="shared" si="14"/>
        <v>-2604.6018952408726</v>
      </c>
      <c r="Y38" s="11">
        <f t="shared" si="14"/>
        <v>-5248.5889847259468</v>
      </c>
      <c r="Z38" s="11">
        <f t="shared" si="14"/>
        <v>-4209.483739842919</v>
      </c>
      <c r="AA38" s="11">
        <f t="shared" si="14"/>
        <v>-3927.9970421385551</v>
      </c>
      <c r="AB38" s="11">
        <f t="shared" si="14"/>
        <v>-2605.1536549986799</v>
      </c>
      <c r="AC38" s="11">
        <f t="shared" si="15"/>
        <v>34.122779712124576</v>
      </c>
      <c r="AD38" s="11">
        <f t="shared" si="15"/>
        <v>512.22059798869407</v>
      </c>
      <c r="AE38" s="11">
        <f t="shared" si="15"/>
        <v>-4721.1888638287346</v>
      </c>
      <c r="AF38" s="11">
        <f t="shared" si="15"/>
        <v>1318.4992966611071</v>
      </c>
      <c r="AG38" s="11">
        <f t="shared" si="15"/>
        <v>4567.9112725481436</v>
      </c>
      <c r="AH38" s="11">
        <f t="shared" si="15"/>
        <v>642.24841198247384</v>
      </c>
      <c r="AI38" s="11">
        <f t="shared" si="15"/>
        <v>3333.210335881648</v>
      </c>
      <c r="AJ38" s="11">
        <f t="shared" si="15"/>
        <v>-4627.0975104333074</v>
      </c>
      <c r="AK38" s="11">
        <f t="shared" si="15"/>
        <v>4485.6114318506025</v>
      </c>
      <c r="AL38" s="11">
        <f t="shared" si="15"/>
        <v>-4112.5689960258751</v>
      </c>
      <c r="AM38" s="11">
        <f t="shared" si="16"/>
        <v>4575.8648578782222</v>
      </c>
      <c r="AN38" s="11">
        <f t="shared" si="16"/>
        <v>-3887.4281687973362</v>
      </c>
      <c r="AO38" s="11">
        <f t="shared" si="16"/>
        <v>-4858.042740937256</v>
      </c>
      <c r="AP38" s="11">
        <f t="shared" si="16"/>
        <v>-4926.2968759572022</v>
      </c>
      <c r="AQ38" s="11">
        <f t="shared" si="16"/>
        <v>-4512.7153526261864</v>
      </c>
      <c r="AR38" s="11">
        <f t="shared" si="16"/>
        <v>4565.6559214237286</v>
      </c>
      <c r="AS38" s="11">
        <f t="shared" si="16"/>
        <v>-5202.525797823977</v>
      </c>
      <c r="AT38" s="11">
        <f t="shared" si="16"/>
        <v>-4903.0681367871357</v>
      </c>
      <c r="AU38" s="11">
        <f t="shared" si="16"/>
        <v>-640.39800591282301</v>
      </c>
      <c r="AV38" s="11">
        <f t="shared" si="16"/>
        <v>4952.7998651647986</v>
      </c>
      <c r="AW38" s="11">
        <f t="shared" si="17"/>
        <v>-558.0933257982955</v>
      </c>
      <c r="AX38" s="11">
        <f t="shared" si="17"/>
        <v>1667.4260666786199</v>
      </c>
      <c r="AY38" s="11">
        <f t="shared" si="17"/>
        <v>2758.8257643148027</v>
      </c>
      <c r="AZ38" s="11">
        <f t="shared" si="17"/>
        <v>-3372.0247757122315</v>
      </c>
      <c r="BA38" s="11">
        <f t="shared" si="17"/>
        <v>155.56352011220852</v>
      </c>
      <c r="BB38" s="11">
        <f t="shared" si="17"/>
        <v>-4831.9391287814369</v>
      </c>
      <c r="BC38" s="11">
        <f t="shared" si="17"/>
        <v>4074.5282002750964</v>
      </c>
      <c r="BD38" s="11">
        <f t="shared" si="17"/>
        <v>4621.5828924494281</v>
      </c>
      <c r="BE38" s="11">
        <f t="shared" si="17"/>
        <v>4925.2934296500107</v>
      </c>
      <c r="BF38" s="11">
        <f t="shared" si="17"/>
        <v>4969.6683198749306</v>
      </c>
      <c r="BG38" s="11">
        <f t="shared" si="17"/>
        <v>4752.3710906158594</v>
      </c>
      <c r="BH38" s="11">
        <f t="shared" si="17"/>
        <v>4284.8433112203811</v>
      </c>
      <c r="BI38" s="11">
        <f t="shared" si="17"/>
        <v>3591.7021484395859</v>
      </c>
      <c r="BJ38" s="11">
        <f t="shared" si="17"/>
        <v>2709.4441762975198</v>
      </c>
      <c r="BK38" s="11">
        <f t="shared" si="17"/>
        <v>3202.1423103845455</v>
      </c>
    </row>
    <row r="39" spans="2:63" x14ac:dyDescent="0.25">
      <c r="B39">
        <v>2</v>
      </c>
      <c r="C39">
        <v>-1</v>
      </c>
      <c r="D39">
        <v>1</v>
      </c>
      <c r="E39">
        <v>0</v>
      </c>
      <c r="F39">
        <v>4036</v>
      </c>
      <c r="H39" s="34"/>
      <c r="I39" s="11">
        <f t="shared" si="13"/>
        <v>2059.5356012809384</v>
      </c>
      <c r="J39" s="11">
        <f t="shared" si="13"/>
        <v>2843.855121383363</v>
      </c>
      <c r="K39" s="11">
        <f t="shared" si="13"/>
        <v>917.14325558684504</v>
      </c>
      <c r="L39" s="11">
        <f t="shared" si="13"/>
        <v>469.42913930770408</v>
      </c>
      <c r="M39" s="11">
        <f t="shared" si="13"/>
        <v>-4030.1117128741266</v>
      </c>
      <c r="N39" s="11">
        <f t="shared" si="13"/>
        <v>3990.6556815492158</v>
      </c>
      <c r="O39" s="11">
        <f t="shared" si="13"/>
        <v>-3896.0243728198034</v>
      </c>
      <c r="P39" s="11">
        <f t="shared" si="13"/>
        <v>3370.3695893815338</v>
      </c>
      <c r="Q39" s="11">
        <f t="shared" si="13"/>
        <v>-3594.4634160622782</v>
      </c>
      <c r="R39" s="11">
        <f t="shared" si="13"/>
        <v>4074.1456871667083</v>
      </c>
      <c r="S39" s="11">
        <f t="shared" si="14"/>
        <v>3962.2958294862369</v>
      </c>
      <c r="T39" s="11">
        <f t="shared" si="14"/>
        <v>762.43117723641274</v>
      </c>
      <c r="U39" s="11">
        <f t="shared" si="14"/>
        <v>-1692.7933041294843</v>
      </c>
      <c r="V39" s="11">
        <f t="shared" si="14"/>
        <v>947.46497262703974</v>
      </c>
      <c r="W39" s="11">
        <f t="shared" si="14"/>
        <v>1954.3330711366195</v>
      </c>
      <c r="X39" s="11">
        <f t="shared" si="14"/>
        <v>1264.7626953080517</v>
      </c>
      <c r="Y39" s="11">
        <f t="shared" si="14"/>
        <v>-4038.8141000987689</v>
      </c>
      <c r="Z39" s="11">
        <f t="shared" si="14"/>
        <v>-454.8715417499983</v>
      </c>
      <c r="AA39" s="11">
        <f t="shared" si="14"/>
        <v>3010.7622288295192</v>
      </c>
      <c r="AB39" s="11">
        <f t="shared" si="14"/>
        <v>2844.8596802927282</v>
      </c>
      <c r="AC39" s="11">
        <f t="shared" si="15"/>
        <v>-3915.6044793620949</v>
      </c>
      <c r="AD39" s="11">
        <f t="shared" si="15"/>
        <v>-3414.5521941126804</v>
      </c>
      <c r="AE39" s="11">
        <f t="shared" si="15"/>
        <v>-358.48088972262144</v>
      </c>
      <c r="AF39" s="11">
        <f t="shared" si="15"/>
        <v>-2511.9011241080875</v>
      </c>
      <c r="AG39" s="11">
        <f t="shared" si="15"/>
        <v>3800.6402711508249</v>
      </c>
      <c r="AH39" s="11">
        <f t="shared" si="15"/>
        <v>1991.7291010740748</v>
      </c>
      <c r="AI39" s="11">
        <f t="shared" si="15"/>
        <v>2544.4118623037707</v>
      </c>
      <c r="AJ39" s="11">
        <f t="shared" si="15"/>
        <v>-2410.3835631291872</v>
      </c>
      <c r="AK39" s="11">
        <f t="shared" si="15"/>
        <v>281.29640405807351</v>
      </c>
      <c r="AL39" s="11">
        <f t="shared" si="15"/>
        <v>1324.1703031154827</v>
      </c>
      <c r="AM39" s="11">
        <f t="shared" si="16"/>
        <v>4026.3442511105172</v>
      </c>
      <c r="AN39" s="11">
        <f t="shared" si="16"/>
        <v>4013.263828470147</v>
      </c>
      <c r="AO39" s="11">
        <f t="shared" si="16"/>
        <v>447.74553751473547</v>
      </c>
      <c r="AP39" s="11">
        <f t="shared" si="16"/>
        <v>-3202.0408227606767</v>
      </c>
      <c r="AQ39" s="11">
        <f t="shared" si="16"/>
        <v>2718.6738882188979</v>
      </c>
      <c r="AR39" s="11">
        <f t="shared" si="16"/>
        <v>-3901.1678726229002</v>
      </c>
      <c r="AS39" s="11">
        <f t="shared" si="16"/>
        <v>3349.2132502524937</v>
      </c>
      <c r="AT39" s="11">
        <f t="shared" si="16"/>
        <v>-645.01236432323844</v>
      </c>
      <c r="AU39" s="11">
        <f t="shared" si="16"/>
        <v>-3741.297831269068</v>
      </c>
      <c r="AV39" s="11">
        <f t="shared" si="16"/>
        <v>2607.2384430026168</v>
      </c>
      <c r="AW39" s="11">
        <f t="shared" si="17"/>
        <v>3636.3265769045101</v>
      </c>
      <c r="AX39" s="11">
        <f t="shared" si="17"/>
        <v>-3447.8774237606185</v>
      </c>
      <c r="AY39" s="11">
        <f t="shared" si="17"/>
        <v>-1358.3710881542995</v>
      </c>
      <c r="AZ39" s="11">
        <f t="shared" si="17"/>
        <v>-3798.2183622038301</v>
      </c>
      <c r="BA39" s="11">
        <f t="shared" si="17"/>
        <v>-2447.5622238641663</v>
      </c>
      <c r="BB39" s="11">
        <f t="shared" si="17"/>
        <v>-2108.284802042645</v>
      </c>
      <c r="BC39" s="11">
        <f t="shared" si="17"/>
        <v>-3848.2765775494486</v>
      </c>
      <c r="BD39" s="11">
        <f t="shared" si="17"/>
        <v>-3813.4020981677199</v>
      </c>
      <c r="BE39" s="11">
        <f t="shared" si="17"/>
        <v>-2285.6775766966621</v>
      </c>
      <c r="BF39" s="11">
        <f t="shared" si="17"/>
        <v>136.83144050212954</v>
      </c>
      <c r="BG39" s="11">
        <f t="shared" si="17"/>
        <v>2505.7740903829485</v>
      </c>
      <c r="BH39" s="11">
        <f t="shared" si="17"/>
        <v>3893.7695128180212</v>
      </c>
      <c r="BI39" s="11">
        <f t="shared" si="17"/>
        <v>3757.452895552045</v>
      </c>
      <c r="BJ39" s="11">
        <f t="shared" si="17"/>
        <v>2150.1889417037332</v>
      </c>
      <c r="BK39" s="11">
        <f t="shared" si="17"/>
        <v>2231.4674544530949</v>
      </c>
    </row>
    <row r="40" spans="2:63" x14ac:dyDescent="0.25">
      <c r="B40">
        <v>2</v>
      </c>
      <c r="C40">
        <v>0</v>
      </c>
      <c r="D40">
        <v>2</v>
      </c>
      <c r="E40">
        <v>0</v>
      </c>
      <c r="F40">
        <v>3994</v>
      </c>
      <c r="H40" s="34"/>
      <c r="I40" s="11">
        <f t="shared" si="13"/>
        <v>-2545.8474419203303</v>
      </c>
      <c r="J40" s="11">
        <f t="shared" si="13"/>
        <v>2493.3013906198812</v>
      </c>
      <c r="K40" s="11">
        <f t="shared" si="13"/>
        <v>2254.9148079723577</v>
      </c>
      <c r="L40" s="11">
        <f t="shared" si="13"/>
        <v>2758.3625894519619</v>
      </c>
      <c r="M40" s="11">
        <f t="shared" si="13"/>
        <v>-3855.3047085423073</v>
      </c>
      <c r="N40" s="11">
        <f t="shared" si="13"/>
        <v>-1779.5205793378118</v>
      </c>
      <c r="O40" s="11">
        <f t="shared" si="13"/>
        <v>127.91260413502958</v>
      </c>
      <c r="P40" s="11">
        <f t="shared" si="13"/>
        <v>3923.975481136375</v>
      </c>
      <c r="Q40" s="11">
        <f t="shared" si="13"/>
        <v>-3421.3475855573274</v>
      </c>
      <c r="R40" s="11">
        <f t="shared" si="13"/>
        <v>-298.90910330790354</v>
      </c>
      <c r="S40" s="11">
        <f t="shared" si="14"/>
        <v>-3944.6376353994356</v>
      </c>
      <c r="T40" s="11">
        <f t="shared" si="14"/>
        <v>-3224.0791385607522</v>
      </c>
      <c r="U40" s="11">
        <f t="shared" si="14"/>
        <v>-2644.2630775392927</v>
      </c>
      <c r="V40" s="11">
        <f t="shared" si="14"/>
        <v>-3991.6428677883041</v>
      </c>
      <c r="W40" s="11">
        <f t="shared" si="14"/>
        <v>251.01425672291757</v>
      </c>
      <c r="X40" s="11">
        <f t="shared" si="14"/>
        <v>3051.1107506716553</v>
      </c>
      <c r="Y40" s="11">
        <f t="shared" si="14"/>
        <v>-3978.6517322869245</v>
      </c>
      <c r="Z40" s="11">
        <f t="shared" si="14"/>
        <v>1245.4725311207667</v>
      </c>
      <c r="AA40" s="11">
        <f t="shared" si="14"/>
        <v>863.23072873470187</v>
      </c>
      <c r="AB40" s="11">
        <f t="shared" si="14"/>
        <v>-3386.5969062683453</v>
      </c>
      <c r="AC40" s="11">
        <f t="shared" si="15"/>
        <v>1162.5487241109777</v>
      </c>
      <c r="AD40" s="11">
        <f t="shared" si="15"/>
        <v>3993.8846085734936</v>
      </c>
      <c r="AE40" s="11">
        <f t="shared" si="15"/>
        <v>3445.8867944314034</v>
      </c>
      <c r="AF40" s="11">
        <f t="shared" si="15"/>
        <v>3993.3875047592983</v>
      </c>
      <c r="AG40" s="11">
        <f t="shared" si="15"/>
        <v>1829.5206460939698</v>
      </c>
      <c r="AH40" s="11">
        <f t="shared" si="15"/>
        <v>1739.7505015124193</v>
      </c>
      <c r="AI40" s="11">
        <f t="shared" si="15"/>
        <v>272.21708482187614</v>
      </c>
      <c r="AJ40" s="11">
        <f t="shared" si="15"/>
        <v>478.46036272686507</v>
      </c>
      <c r="AK40" s="11">
        <f t="shared" si="15"/>
        <v>548.99895500314449</v>
      </c>
      <c r="AL40" s="11">
        <f t="shared" si="15"/>
        <v>2039.0620720468935</v>
      </c>
      <c r="AM40" s="11">
        <f t="shared" si="16"/>
        <v>2691.1013227024714</v>
      </c>
      <c r="AN40" s="11">
        <f t="shared" si="16"/>
        <v>-993.00795572297659</v>
      </c>
      <c r="AO40" s="11">
        <f t="shared" si="16"/>
        <v>2566.1893759837162</v>
      </c>
      <c r="AP40" s="11">
        <f t="shared" si="16"/>
        <v>-3661.0780565938649</v>
      </c>
      <c r="AQ40" s="11">
        <f t="shared" si="16"/>
        <v>-3362.4450752040311</v>
      </c>
      <c r="AR40" s="11">
        <f t="shared" si="16"/>
        <v>-3765.5167842170727</v>
      </c>
      <c r="AS40" s="11">
        <f t="shared" si="16"/>
        <v>-2074.329214644783</v>
      </c>
      <c r="AT40" s="11">
        <f t="shared" si="16"/>
        <v>2205.6315032230555</v>
      </c>
      <c r="AU40" s="11">
        <f t="shared" si="16"/>
        <v>2411.101494174548</v>
      </c>
      <c r="AV40" s="11">
        <f t="shared" si="16"/>
        <v>2989.6855097135035</v>
      </c>
      <c r="AW40" s="11">
        <f t="shared" si="17"/>
        <v>976.99713929385086</v>
      </c>
      <c r="AX40" s="11">
        <f t="shared" si="17"/>
        <v>-427.86951683073852</v>
      </c>
      <c r="AY40" s="11">
        <f t="shared" si="17"/>
        <v>-1759.5261388761787</v>
      </c>
      <c r="AZ40" s="11">
        <f t="shared" si="17"/>
        <v>-3865.2593808691076</v>
      </c>
      <c r="BA40" s="11">
        <f t="shared" si="17"/>
        <v>-3770.0373200295803</v>
      </c>
      <c r="BB40" s="11">
        <f t="shared" si="17"/>
        <v>3027.5322716082815</v>
      </c>
      <c r="BC40" s="11">
        <f t="shared" si="17"/>
        <v>-3950.0707815347323</v>
      </c>
      <c r="BD40" s="11">
        <f t="shared" si="17"/>
        <v>-2967.8498311959602</v>
      </c>
      <c r="BE40" s="11">
        <f t="shared" si="17"/>
        <v>175.41961646594527</v>
      </c>
      <c r="BF40" s="11">
        <f t="shared" si="17"/>
        <v>3190.9567595550052</v>
      </c>
      <c r="BG40" s="11">
        <f t="shared" si="17"/>
        <v>3882.9894457201794</v>
      </c>
      <c r="BH40" s="11">
        <f t="shared" si="17"/>
        <v>1747.6120592432533</v>
      </c>
      <c r="BI40" s="11">
        <f t="shared" si="17"/>
        <v>-1660.2941374364925</v>
      </c>
      <c r="BJ40" s="11">
        <f t="shared" si="17"/>
        <v>-3859.2523229585518</v>
      </c>
      <c r="BK40" s="11">
        <f t="shared" si="17"/>
        <v>799.23273017311499</v>
      </c>
    </row>
    <row r="41" spans="2:63" x14ac:dyDescent="0.25">
      <c r="B41">
        <v>4</v>
      </c>
      <c r="C41">
        <v>0</v>
      </c>
      <c r="D41">
        <v>0</v>
      </c>
      <c r="E41">
        <v>0</v>
      </c>
      <c r="F41">
        <v>3861</v>
      </c>
      <c r="H41" s="34"/>
      <c r="I41" s="11">
        <f t="shared" si="13"/>
        <v>1177.4911975705181</v>
      </c>
      <c r="J41" s="11">
        <f t="shared" si="13"/>
        <v>3451.9291485399317</v>
      </c>
      <c r="K41" s="11">
        <f t="shared" si="13"/>
        <v>3594.7876112941904</v>
      </c>
      <c r="L41" s="11">
        <f t="shared" si="13"/>
        <v>-3660.930686560378</v>
      </c>
      <c r="M41" s="11">
        <f t="shared" si="13"/>
        <v>-2876.0301778351072</v>
      </c>
      <c r="N41" s="11">
        <f t="shared" si="13"/>
        <v>1670.7056950128447</v>
      </c>
      <c r="O41" s="11">
        <f t="shared" si="13"/>
        <v>1731.4242707113522</v>
      </c>
      <c r="P41" s="11">
        <f t="shared" si="13"/>
        <v>-3079.3330298345963</v>
      </c>
      <c r="Q41" s="11">
        <f t="shared" si="13"/>
        <v>-846.87478780371202</v>
      </c>
      <c r="R41" s="11">
        <f t="shared" si="13"/>
        <v>-40.102076334093525</v>
      </c>
      <c r="S41" s="11">
        <f t="shared" si="14"/>
        <v>1452.6517471163588</v>
      </c>
      <c r="T41" s="11">
        <f t="shared" si="14"/>
        <v>3068.2066138947239</v>
      </c>
      <c r="U41" s="11">
        <f t="shared" si="14"/>
        <v>-3320.7792465356933</v>
      </c>
      <c r="V41" s="11">
        <f t="shared" si="14"/>
        <v>-707.77613131626015</v>
      </c>
      <c r="W41" s="11">
        <f t="shared" si="14"/>
        <v>-3463.9882806332307</v>
      </c>
      <c r="X41" s="11">
        <f t="shared" si="14"/>
        <v>-2355.033161847407</v>
      </c>
      <c r="Y41" s="11">
        <f t="shared" si="14"/>
        <v>3467.9673501781763</v>
      </c>
      <c r="Z41" s="11">
        <f t="shared" si="14"/>
        <v>-3139.5462378117381</v>
      </c>
      <c r="AA41" s="11">
        <f t="shared" si="14"/>
        <v>-527.24347451347467</v>
      </c>
      <c r="AB41" s="11">
        <f t="shared" si="14"/>
        <v>3844.0594203145233</v>
      </c>
      <c r="AC41" s="11">
        <f t="shared" si="15"/>
        <v>-814.83644691003656</v>
      </c>
      <c r="AD41" s="11">
        <f t="shared" si="15"/>
        <v>2330.8067683732579</v>
      </c>
      <c r="AE41" s="11">
        <f t="shared" si="15"/>
        <v>3855.776377106245</v>
      </c>
      <c r="AF41" s="11">
        <f t="shared" si="15"/>
        <v>-2620.6720793188097</v>
      </c>
      <c r="AG41" s="11">
        <f t="shared" si="15"/>
        <v>-3521.3566296767849</v>
      </c>
      <c r="AH41" s="11">
        <f t="shared" si="15"/>
        <v>-3805.3607892329906</v>
      </c>
      <c r="AI41" s="11">
        <f t="shared" si="15"/>
        <v>-944.29952033178517</v>
      </c>
      <c r="AJ41" s="11">
        <f t="shared" si="15"/>
        <v>2288.7852066903547</v>
      </c>
      <c r="AK41" s="11">
        <f t="shared" si="15"/>
        <v>3573.7814975203428</v>
      </c>
      <c r="AL41" s="11">
        <f t="shared" si="15"/>
        <v>4.4911000522525528</v>
      </c>
      <c r="AM41" s="11">
        <f t="shared" si="16"/>
        <v>-3813.7146835721278</v>
      </c>
      <c r="AN41" s="11">
        <f t="shared" si="16"/>
        <v>3798.0567344123674</v>
      </c>
      <c r="AO41" s="11">
        <f t="shared" si="16"/>
        <v>3184.5356627969827</v>
      </c>
      <c r="AP41" s="11">
        <f t="shared" si="16"/>
        <v>1349.7022332369502</v>
      </c>
      <c r="AQ41" s="11">
        <f t="shared" si="16"/>
        <v>3821.1615813817912</v>
      </c>
      <c r="AR41" s="11">
        <f t="shared" si="16"/>
        <v>3859.2338661546478</v>
      </c>
      <c r="AS41" s="11">
        <f t="shared" si="16"/>
        <v>-2144.3038480998039</v>
      </c>
      <c r="AT41" s="11">
        <f t="shared" si="16"/>
        <v>-375.40137574886336</v>
      </c>
      <c r="AU41" s="11">
        <f t="shared" si="16"/>
        <v>-1416.9168727210181</v>
      </c>
      <c r="AV41" s="11">
        <f t="shared" si="16"/>
        <v>-2726.7765444303714</v>
      </c>
      <c r="AW41" s="11">
        <f t="shared" si="17"/>
        <v>-1587.2188575987136</v>
      </c>
      <c r="AX41" s="11">
        <f t="shared" si="17"/>
        <v>-1906.5626068706949</v>
      </c>
      <c r="AY41" s="11">
        <f t="shared" si="17"/>
        <v>-112.98306062676173</v>
      </c>
      <c r="AZ41" s="11">
        <f t="shared" si="17"/>
        <v>-3311.3858050989384</v>
      </c>
      <c r="BA41" s="11">
        <f t="shared" si="17"/>
        <v>-15.554609667104378</v>
      </c>
      <c r="BB41" s="11">
        <f t="shared" si="17"/>
        <v>1032.4671877982896</v>
      </c>
      <c r="BC41" s="11">
        <f t="shared" si="17"/>
        <v>-450.51758005080978</v>
      </c>
      <c r="BD41" s="11">
        <f t="shared" si="17"/>
        <v>2586.6276979271702</v>
      </c>
      <c r="BE41" s="11">
        <f t="shared" si="17"/>
        <v>3860.5995445606386</v>
      </c>
      <c r="BF41" s="11">
        <f t="shared" si="17"/>
        <v>2502.9957100534289</v>
      </c>
      <c r="BG41" s="11">
        <f t="shared" si="17"/>
        <v>-560.77385455560602</v>
      </c>
      <c r="BH41" s="11">
        <f t="shared" si="17"/>
        <v>-3242.2922114827347</v>
      </c>
      <c r="BI41" s="11">
        <f t="shared" si="17"/>
        <v>-3713.7037608064857</v>
      </c>
      <c r="BJ41" s="11">
        <f t="shared" si="17"/>
        <v>-1653.6710639510857</v>
      </c>
      <c r="BK41" s="11">
        <f t="shared" si="17"/>
        <v>-1416.7876173943919</v>
      </c>
    </row>
    <row r="42" spans="2:63" x14ac:dyDescent="0.25">
      <c r="B42">
        <v>2</v>
      </c>
      <c r="C42">
        <v>0</v>
      </c>
      <c r="D42">
        <v>-3</v>
      </c>
      <c r="E42">
        <v>0</v>
      </c>
      <c r="F42">
        <v>3665</v>
      </c>
      <c r="H42" s="34"/>
      <c r="I42" s="11">
        <f t="shared" si="13"/>
        <v>2184.8980861876807</v>
      </c>
      <c r="J42" s="11">
        <f t="shared" si="13"/>
        <v>1473.643151396476</v>
      </c>
      <c r="K42" s="11">
        <f t="shared" si="13"/>
        <v>-687.39309255210492</v>
      </c>
      <c r="L42" s="11">
        <f t="shared" si="13"/>
        <v>-1556.854621903399</v>
      </c>
      <c r="M42" s="11">
        <f t="shared" si="13"/>
        <v>-2908.7326945439704</v>
      </c>
      <c r="N42" s="11">
        <f t="shared" si="13"/>
        <v>-1148.5052420810023</v>
      </c>
      <c r="O42" s="11">
        <f t="shared" si="13"/>
        <v>-3156.1951097322594</v>
      </c>
      <c r="P42" s="11">
        <f t="shared" si="13"/>
        <v>-2355.6374591099507</v>
      </c>
      <c r="Q42" s="11">
        <f t="shared" si="13"/>
        <v>901.96301342638526</v>
      </c>
      <c r="R42" s="11">
        <f t="shared" si="13"/>
        <v>3636.2453758302731</v>
      </c>
      <c r="S42" s="11">
        <f t="shared" si="14"/>
        <v>3554.5818168713026</v>
      </c>
      <c r="T42" s="11">
        <f t="shared" si="14"/>
        <v>3540.7850945796108</v>
      </c>
      <c r="U42" s="11">
        <f t="shared" si="14"/>
        <v>-2530.0966634471006</v>
      </c>
      <c r="V42" s="11">
        <f t="shared" si="14"/>
        <v>-1768.0703039061707</v>
      </c>
      <c r="W42" s="11">
        <f t="shared" si="14"/>
        <v>-310.42526281197536</v>
      </c>
      <c r="X42" s="11">
        <f t="shared" si="14"/>
        <v>1087.7872554773371</v>
      </c>
      <c r="Y42" s="11">
        <f t="shared" si="14"/>
        <v>1684.7514873609668</v>
      </c>
      <c r="Z42" s="11">
        <f t="shared" si="14"/>
        <v>-3654.9237102117154</v>
      </c>
      <c r="AA42" s="11">
        <f t="shared" si="14"/>
        <v>-2961.7403988146225</v>
      </c>
      <c r="AB42" s="11">
        <f t="shared" si="14"/>
        <v>-1954.7292832733453</v>
      </c>
      <c r="AC42" s="11">
        <f t="shared" si="15"/>
        <v>3007.8330016378386</v>
      </c>
      <c r="AD42" s="11">
        <f t="shared" si="15"/>
        <v>3664.6741326699289</v>
      </c>
      <c r="AE42" s="11">
        <f t="shared" si="15"/>
        <v>-1145.7365210439609</v>
      </c>
      <c r="AF42" s="11">
        <f t="shared" si="15"/>
        <v>442.07046376524056</v>
      </c>
      <c r="AG42" s="11">
        <f t="shared" si="15"/>
        <v>2751.6529008580092</v>
      </c>
      <c r="AH42" s="11">
        <f t="shared" si="15"/>
        <v>3512.3936335020026</v>
      </c>
      <c r="AI42" s="11">
        <f t="shared" si="15"/>
        <v>3587.1082326633446</v>
      </c>
      <c r="AJ42" s="11">
        <f t="shared" si="15"/>
        <v>3600.50189863983</v>
      </c>
      <c r="AK42" s="11">
        <f t="shared" si="15"/>
        <v>418.17528413894308</v>
      </c>
      <c r="AL42" s="11">
        <f t="shared" si="15"/>
        <v>2539.8355637747459</v>
      </c>
      <c r="AM42" s="11">
        <f t="shared" si="16"/>
        <v>959.71311416209153</v>
      </c>
      <c r="AN42" s="11">
        <f t="shared" si="16"/>
        <v>-3558.3571633636484</v>
      </c>
      <c r="AO42" s="11">
        <f t="shared" si="16"/>
        <v>-2830.9030867169654</v>
      </c>
      <c r="AP42" s="11">
        <f t="shared" si="16"/>
        <v>1005.0438609566273</v>
      </c>
      <c r="AQ42" s="11">
        <f t="shared" si="16"/>
        <v>-1765.9139117709763</v>
      </c>
      <c r="AR42" s="11">
        <f t="shared" si="16"/>
        <v>-2160.5826402288003</v>
      </c>
      <c r="AS42" s="11">
        <f t="shared" si="16"/>
        <v>-2797.8018233024304</v>
      </c>
      <c r="AT42" s="11">
        <f t="shared" si="16"/>
        <v>-2667.0103908901028</v>
      </c>
      <c r="AU42" s="11">
        <f t="shared" si="16"/>
        <v>-1765.0089271556521</v>
      </c>
      <c r="AV42" s="11">
        <f t="shared" si="16"/>
        <v>3513.441400472268</v>
      </c>
      <c r="AW42" s="11">
        <f t="shared" si="17"/>
        <v>-579.83457255416636</v>
      </c>
      <c r="AX42" s="11">
        <f t="shared" si="17"/>
        <v>2645.82734468443</v>
      </c>
      <c r="AY42" s="11">
        <f t="shared" si="17"/>
        <v>2211.3517856057897</v>
      </c>
      <c r="AZ42" s="11">
        <f t="shared" si="17"/>
        <v>-2321.4601266973405</v>
      </c>
      <c r="BA42" s="11">
        <f t="shared" si="17"/>
        <v>3526.6369289386025</v>
      </c>
      <c r="BB42" s="11">
        <f t="shared" si="17"/>
        <v>-212.41838608228059</v>
      </c>
      <c r="BC42" s="11">
        <f t="shared" si="17"/>
        <v>2782.0030659093477</v>
      </c>
      <c r="BD42" s="11">
        <f t="shared" si="17"/>
        <v>2079.5187359794995</v>
      </c>
      <c r="BE42" s="11">
        <f t="shared" si="17"/>
        <v>1238.8015529997217</v>
      </c>
      <c r="BF42" s="11">
        <f t="shared" si="17"/>
        <v>315.73691622269632</v>
      </c>
      <c r="BG42" s="11">
        <f t="shared" si="17"/>
        <v>-628.31585305061139</v>
      </c>
      <c r="BH42" s="11">
        <f t="shared" si="17"/>
        <v>-1530.6022792396736</v>
      </c>
      <c r="BI42" s="11">
        <f t="shared" si="17"/>
        <v>-2331.144241051059</v>
      </c>
      <c r="BJ42" s="11">
        <f t="shared" si="17"/>
        <v>-2976.7269261208307</v>
      </c>
      <c r="BK42" s="11">
        <f t="shared" si="17"/>
        <v>3613.7343495616437</v>
      </c>
    </row>
    <row r="43" spans="2:63" x14ac:dyDescent="0.25">
      <c r="B43">
        <v>0</v>
      </c>
      <c r="C43">
        <v>1</v>
      </c>
      <c r="D43">
        <v>-2</v>
      </c>
      <c r="E43">
        <v>0</v>
      </c>
      <c r="F43">
        <v>-2689</v>
      </c>
      <c r="H43" s="34"/>
      <c r="I43" s="11">
        <f t="shared" si="13"/>
        <v>1983.6868218336704</v>
      </c>
      <c r="J43" s="11">
        <f t="shared" si="13"/>
        <v>-1422.1374682656806</v>
      </c>
      <c r="K43" s="11">
        <f t="shared" si="13"/>
        <v>-2686.6458403707047</v>
      </c>
      <c r="L43" s="11">
        <f t="shared" si="13"/>
        <v>2663.7063569419865</v>
      </c>
      <c r="M43" s="11">
        <f t="shared" si="13"/>
        <v>-1423.9470809658771</v>
      </c>
      <c r="N43" s="11">
        <f t="shared" si="13"/>
        <v>-1083.0603327130211</v>
      </c>
      <c r="O43" s="11">
        <f t="shared" si="13"/>
        <v>1514.3176451416193</v>
      </c>
      <c r="P43" s="11">
        <f t="shared" si="13"/>
        <v>42.187881547645397</v>
      </c>
      <c r="Q43" s="11">
        <f t="shared" si="13"/>
        <v>-2468.4511069152431</v>
      </c>
      <c r="R43" s="11">
        <f t="shared" si="13"/>
        <v>-37.921082572748112</v>
      </c>
      <c r="S43" s="11">
        <f t="shared" si="14"/>
        <v>-71.115239239847057</v>
      </c>
      <c r="T43" s="11">
        <f t="shared" si="14"/>
        <v>2763.3407336772866</v>
      </c>
      <c r="U43" s="11">
        <f t="shared" si="14"/>
        <v>1877.6257844032559</v>
      </c>
      <c r="V43" s="11">
        <f t="shared" si="14"/>
        <v>2595.7537054139189</v>
      </c>
      <c r="W43" s="11">
        <f t="shared" si="14"/>
        <v>-666.87607452528266</v>
      </c>
      <c r="X43" s="11">
        <f t="shared" si="14"/>
        <v>-1199.4537164177793</v>
      </c>
      <c r="Y43" s="11">
        <f t="shared" si="14"/>
        <v>-1029.8700789306868</v>
      </c>
      <c r="Z43" s="11">
        <f t="shared" si="14"/>
        <v>-403.08601258113993</v>
      </c>
      <c r="AA43" s="11">
        <f t="shared" si="14"/>
        <v>167.8217672512377</v>
      </c>
      <c r="AB43" s="11">
        <f t="shared" si="14"/>
        <v>-2686.6284363244181</v>
      </c>
      <c r="AC43" s="11">
        <f t="shared" si="15"/>
        <v>2293.6894582997061</v>
      </c>
      <c r="AD43" s="11">
        <f t="shared" si="15"/>
        <v>2597.5063615302374</v>
      </c>
      <c r="AE43" s="11">
        <f t="shared" si="15"/>
        <v>-2646.7136710870227</v>
      </c>
      <c r="AF43" s="11">
        <f t="shared" si="15"/>
        <v>-2439.932166915657</v>
      </c>
      <c r="AG43" s="11">
        <f t="shared" si="15"/>
        <v>-2216.137144486529</v>
      </c>
      <c r="AH43" s="11">
        <f t="shared" si="15"/>
        <v>1419.2057099247143</v>
      </c>
      <c r="AI43" s="11">
        <f t="shared" si="15"/>
        <v>1810.1290107272537</v>
      </c>
      <c r="AJ43" s="11">
        <f t="shared" si="15"/>
        <v>2088.8351766828373</v>
      </c>
      <c r="AK43" s="11">
        <f t="shared" si="15"/>
        <v>-1700.747975228795</v>
      </c>
      <c r="AL43" s="11">
        <f t="shared" si="15"/>
        <v>2683.8427490255781</v>
      </c>
      <c r="AM43" s="11">
        <f t="shared" si="16"/>
        <v>-184.33792001605516</v>
      </c>
      <c r="AN43" s="11">
        <f t="shared" si="16"/>
        <v>-1266.8546700932577</v>
      </c>
      <c r="AO43" s="11">
        <f t="shared" si="16"/>
        <v>-2504.6565604487173</v>
      </c>
      <c r="AP43" s="11">
        <f t="shared" si="16"/>
        <v>-904.07951194327268</v>
      </c>
      <c r="AQ43" s="11">
        <f t="shared" si="16"/>
        <v>1670.7446757159614</v>
      </c>
      <c r="AR43" s="11">
        <f t="shared" si="16"/>
        <v>1191.9781208048851</v>
      </c>
      <c r="AS43" s="11">
        <f t="shared" si="16"/>
        <v>2692.3471064500723</v>
      </c>
      <c r="AT43" s="11">
        <f t="shared" si="16"/>
        <v>-2495.6695989113164</v>
      </c>
      <c r="AU43" s="11">
        <f t="shared" si="16"/>
        <v>2448.0181060409554</v>
      </c>
      <c r="AV43" s="11">
        <f t="shared" si="16"/>
        <v>-2308.3398027212843</v>
      </c>
      <c r="AW43" s="11">
        <f t="shared" si="17"/>
        <v>2601.6208335968995</v>
      </c>
      <c r="AX43" s="11">
        <f t="shared" si="17"/>
        <v>2672.744188830744</v>
      </c>
      <c r="AY43" s="11">
        <f t="shared" si="17"/>
        <v>-367.15488084933355</v>
      </c>
      <c r="AZ43" s="11">
        <f t="shared" si="17"/>
        <v>2618.2033217068633</v>
      </c>
      <c r="BA43" s="11">
        <f t="shared" si="17"/>
        <v>-2568.001192883688</v>
      </c>
      <c r="BB43" s="11">
        <f t="shared" si="17"/>
        <v>1020.0908052933275</v>
      </c>
      <c r="BC43" s="11">
        <f t="shared" si="17"/>
        <v>2365.4802176473022</v>
      </c>
      <c r="BD43" s="11">
        <f t="shared" si="17"/>
        <v>1599.3687446113377</v>
      </c>
      <c r="BE43" s="11">
        <f t="shared" si="17"/>
        <v>530.14474239103322</v>
      </c>
      <c r="BF43" s="11">
        <f t="shared" si="17"/>
        <v>-639.55223346595403</v>
      </c>
      <c r="BG43" s="11">
        <f t="shared" si="17"/>
        <v>-1688.0410004327607</v>
      </c>
      <c r="BH43" s="11">
        <f t="shared" si="17"/>
        <v>-2416.6118068191126</v>
      </c>
      <c r="BI43" s="11">
        <f t="shared" si="17"/>
        <v>-2687.1858343554086</v>
      </c>
      <c r="BJ43" s="11">
        <f t="shared" si="17"/>
        <v>-2448.4839108063338</v>
      </c>
      <c r="BK43" s="11">
        <f t="shared" si="17"/>
        <v>1938.0987018959192</v>
      </c>
    </row>
    <row r="44" spans="2:63" x14ac:dyDescent="0.25">
      <c r="B44">
        <v>2</v>
      </c>
      <c r="C44">
        <v>0</v>
      </c>
      <c r="D44">
        <v>-1</v>
      </c>
      <c r="E44">
        <v>2</v>
      </c>
      <c r="F44">
        <v>-2602</v>
      </c>
      <c r="H44" s="34"/>
      <c r="I44" s="11">
        <f t="shared" si="13"/>
        <v>2122.5844115414634</v>
      </c>
      <c r="J44" s="11">
        <f t="shared" si="13"/>
        <v>-2057.1078378504149</v>
      </c>
      <c r="K44" s="11">
        <f t="shared" si="13"/>
        <v>2484.5416567511688</v>
      </c>
      <c r="L44" s="11">
        <f t="shared" si="13"/>
        <v>-870.98495738259874</v>
      </c>
      <c r="M44" s="11">
        <f t="shared" si="13"/>
        <v>-2596.0617445109488</v>
      </c>
      <c r="N44" s="11">
        <f t="shared" si="13"/>
        <v>-2365.5733702791031</v>
      </c>
      <c r="O44" s="11">
        <f t="shared" si="13"/>
        <v>967.21829087483252</v>
      </c>
      <c r="P44" s="11">
        <f t="shared" si="13"/>
        <v>2565.098640637068</v>
      </c>
      <c r="Q44" s="11">
        <f t="shared" si="13"/>
        <v>-2597.8384430180454</v>
      </c>
      <c r="R44" s="11">
        <f t="shared" si="13"/>
        <v>1802.3175470298956</v>
      </c>
      <c r="S44" s="11">
        <f t="shared" si="14"/>
        <v>1229.8486222169761</v>
      </c>
      <c r="T44" s="11">
        <f t="shared" si="14"/>
        <v>-2075.010372658664</v>
      </c>
      <c r="U44" s="11">
        <f t="shared" si="14"/>
        <v>-971.24473085245177</v>
      </c>
      <c r="V44" s="11">
        <f t="shared" si="14"/>
        <v>-2246.3848840822648</v>
      </c>
      <c r="W44" s="11">
        <f t="shared" si="14"/>
        <v>-1292.5076167343591</v>
      </c>
      <c r="X44" s="11">
        <f t="shared" si="14"/>
        <v>495.82145685764357</v>
      </c>
      <c r="Y44" s="11">
        <f t="shared" si="14"/>
        <v>-42.410515838746214</v>
      </c>
      <c r="Z44" s="11">
        <f t="shared" si="14"/>
        <v>-2371.2789219629003</v>
      </c>
      <c r="AA44" s="11">
        <f t="shared" si="14"/>
        <v>1243.0961630264321</v>
      </c>
      <c r="AB44" s="11">
        <f t="shared" si="14"/>
        <v>2199.0505127170713</v>
      </c>
      <c r="AC44" s="11">
        <f t="shared" si="15"/>
        <v>-741.11610327143501</v>
      </c>
      <c r="AD44" s="11">
        <f t="shared" si="15"/>
        <v>-1444.5170881174251</v>
      </c>
      <c r="AE44" s="11">
        <f t="shared" si="15"/>
        <v>2600.9773558619968</v>
      </c>
      <c r="AF44" s="11">
        <f t="shared" si="15"/>
        <v>2389.6996171410315</v>
      </c>
      <c r="AG44" s="11">
        <f t="shared" si="15"/>
        <v>1694.8779715290138</v>
      </c>
      <c r="AH44" s="11">
        <f t="shared" si="15"/>
        <v>1320.2042204903339</v>
      </c>
      <c r="AI44" s="11">
        <f t="shared" si="15"/>
        <v>-1821.0417288743872</v>
      </c>
      <c r="AJ44" s="11">
        <f t="shared" si="15"/>
        <v>-2548.2587961914742</v>
      </c>
      <c r="AK44" s="11">
        <f t="shared" si="15"/>
        <v>-2076.7121306740796</v>
      </c>
      <c r="AL44" s="11">
        <f t="shared" si="15"/>
        <v>-453.13977007407976</v>
      </c>
      <c r="AM44" s="11">
        <f t="shared" si="16"/>
        <v>2391.3387600507103</v>
      </c>
      <c r="AN44" s="11">
        <f t="shared" si="16"/>
        <v>-1933.4275519784294</v>
      </c>
      <c r="AO44" s="11">
        <f t="shared" si="16"/>
        <v>860.01525890367736</v>
      </c>
      <c r="AP44" s="11">
        <f t="shared" si="16"/>
        <v>-471.76005659657199</v>
      </c>
      <c r="AQ44" s="11">
        <f t="shared" si="16"/>
        <v>-1999.8773118398067</v>
      </c>
      <c r="AR44" s="11">
        <f t="shared" si="16"/>
        <v>2361.7830598549335</v>
      </c>
      <c r="AS44" s="11">
        <f t="shared" si="16"/>
        <v>232.26772131300396</v>
      </c>
      <c r="AT44" s="11">
        <f t="shared" si="16"/>
        <v>-795.59680862779987</v>
      </c>
      <c r="AU44" s="11">
        <f t="shared" si="16"/>
        <v>2521.0514142599336</v>
      </c>
      <c r="AV44" s="11">
        <f t="shared" si="16"/>
        <v>230.53480388624607</v>
      </c>
      <c r="AW44" s="11">
        <f t="shared" si="17"/>
        <v>-2254.1761683500777</v>
      </c>
      <c r="AX44" s="11">
        <f t="shared" si="17"/>
        <v>1884.0267023529811</v>
      </c>
      <c r="AY44" s="11">
        <f t="shared" si="17"/>
        <v>1959.450195174569</v>
      </c>
      <c r="AZ44" s="11">
        <f t="shared" si="17"/>
        <v>-2159.2294107042899</v>
      </c>
      <c r="BA44" s="11">
        <f t="shared" si="17"/>
        <v>76.006425698719696</v>
      </c>
      <c r="BB44" s="11">
        <f t="shared" si="17"/>
        <v>2539.3840914766238</v>
      </c>
      <c r="BC44" s="11">
        <f t="shared" si="17"/>
        <v>-311.0061964573589</v>
      </c>
      <c r="BD44" s="11">
        <f t="shared" si="17"/>
        <v>-1828.2933762777523</v>
      </c>
      <c r="BE44" s="11">
        <f t="shared" si="17"/>
        <v>-2579.2337302847945</v>
      </c>
      <c r="BF44" s="11">
        <f t="shared" si="17"/>
        <v>-2249.0633567240729</v>
      </c>
      <c r="BG44" s="11">
        <f t="shared" si="17"/>
        <v>-976.17635636945965</v>
      </c>
      <c r="BH44" s="11">
        <f t="shared" si="17"/>
        <v>705.88439139089405</v>
      </c>
      <c r="BI44" s="11">
        <f t="shared" si="17"/>
        <v>2092.0668792708616</v>
      </c>
      <c r="BJ44" s="11">
        <f t="shared" si="17"/>
        <v>2601.3393301084816</v>
      </c>
      <c r="BK44" s="11">
        <f t="shared" si="17"/>
        <v>-1996.9197557327561</v>
      </c>
    </row>
    <row r="45" spans="2:63" x14ac:dyDescent="0.25">
      <c r="B45" s="35">
        <v>2</v>
      </c>
      <c r="C45" s="35">
        <v>-1</v>
      </c>
      <c r="D45" s="35">
        <v>-2</v>
      </c>
      <c r="E45" s="35">
        <v>0</v>
      </c>
      <c r="F45" s="35">
        <v>2390</v>
      </c>
      <c r="H45" s="36"/>
      <c r="I45" s="11">
        <f t="shared" si="13"/>
        <v>1254.9423349094027</v>
      </c>
      <c r="J45" s="11">
        <f t="shared" si="13"/>
        <v>-2424.0781986320458</v>
      </c>
      <c r="K45" s="11">
        <f t="shared" si="13"/>
        <v>-1257.8469938898238</v>
      </c>
      <c r="L45" s="11">
        <f t="shared" si="13"/>
        <v>-2208.9827774656101</v>
      </c>
      <c r="M45" s="11">
        <f t="shared" si="13"/>
        <v>-2354.6405216171665</v>
      </c>
      <c r="N45" s="11">
        <f t="shared" si="13"/>
        <v>-2210.8843341202792</v>
      </c>
      <c r="O45" s="11">
        <f t="shared" si="13"/>
        <v>84.787517475852425</v>
      </c>
      <c r="P45" s="11">
        <f t="shared" si="13"/>
        <v>-1303.5780805550646</v>
      </c>
      <c r="Q45" s="11">
        <f t="shared" si="13"/>
        <v>2259.6954791609237</v>
      </c>
      <c r="R45" s="11">
        <f t="shared" si="13"/>
        <v>364.13423504147306</v>
      </c>
      <c r="S45" s="11">
        <f t="shared" si="14"/>
        <v>-2312.9085832997048</v>
      </c>
      <c r="T45" s="11">
        <f t="shared" si="14"/>
        <v>2113.4322665412592</v>
      </c>
      <c r="U45" s="11">
        <f t="shared" si="14"/>
        <v>1916.2122269122808</v>
      </c>
      <c r="V45" s="11">
        <f t="shared" si="14"/>
        <v>1836.7269143722399</v>
      </c>
      <c r="W45" s="11">
        <f t="shared" si="14"/>
        <v>2289.8916420148139</v>
      </c>
      <c r="X45" s="11">
        <f t="shared" si="14"/>
        <v>2421.3784863091732</v>
      </c>
      <c r="Y45" s="11">
        <f t="shared" si="14"/>
        <v>-2312.0912229641594</v>
      </c>
      <c r="Z45" s="11">
        <f t="shared" si="14"/>
        <v>1638.8690873578803</v>
      </c>
      <c r="AA45" s="11">
        <f t="shared" si="14"/>
        <v>2357.1880512718585</v>
      </c>
      <c r="AB45" s="11">
        <f t="shared" si="14"/>
        <v>2075.6170416768427</v>
      </c>
      <c r="AC45" s="11">
        <f t="shared" si="15"/>
        <v>1751.3505517092697</v>
      </c>
      <c r="AD45" s="11">
        <f t="shared" si="15"/>
        <v>-1826.6739412024685</v>
      </c>
      <c r="AE45" s="11">
        <f t="shared" si="15"/>
        <v>-1209.0060205908549</v>
      </c>
      <c r="AF45" s="11">
        <f t="shared" si="15"/>
        <v>1907.9777184167122</v>
      </c>
      <c r="AG45" s="11">
        <f t="shared" si="15"/>
        <v>-468.61775656199984</v>
      </c>
      <c r="AH45" s="11">
        <f t="shared" si="15"/>
        <v>1911.786297822345</v>
      </c>
      <c r="AI45" s="11">
        <f t="shared" si="15"/>
        <v>1975.5164122423571</v>
      </c>
      <c r="AJ45" s="11">
        <f t="shared" si="15"/>
        <v>1168.0373334432943</v>
      </c>
      <c r="AK45" s="11">
        <f t="shared" si="15"/>
        <v>-946.77974779878446</v>
      </c>
      <c r="AL45" s="11">
        <f t="shared" si="15"/>
        <v>1000.922500803826</v>
      </c>
      <c r="AM45" s="11">
        <f t="shared" si="16"/>
        <v>1201.9329915383446</v>
      </c>
      <c r="AN45" s="11">
        <f t="shared" si="16"/>
        <v>1200.6273639669769</v>
      </c>
      <c r="AO45" s="11">
        <f t="shared" si="16"/>
        <v>-2390.6037205117727</v>
      </c>
      <c r="AP45" s="11">
        <f t="shared" si="16"/>
        <v>-2031.0470769040826</v>
      </c>
      <c r="AQ45" s="11">
        <f t="shared" si="16"/>
        <v>-2159.8686789043245</v>
      </c>
      <c r="AR45" s="11">
        <f t="shared" si="16"/>
        <v>2202.2524939370778</v>
      </c>
      <c r="AS45" s="11">
        <f t="shared" si="16"/>
        <v>-1214.8945975247227</v>
      </c>
      <c r="AT45" s="11">
        <f t="shared" si="16"/>
        <v>-1910.285949524384</v>
      </c>
      <c r="AU45" s="11">
        <f t="shared" si="16"/>
        <v>-2276.7683486773685</v>
      </c>
      <c r="AV45" s="11">
        <f t="shared" si="16"/>
        <v>-2388.0443046371956</v>
      </c>
      <c r="AW45" s="11">
        <f t="shared" si="17"/>
        <v>-2205.0199920702871</v>
      </c>
      <c r="AX45" s="11">
        <f t="shared" si="17"/>
        <v>-1096.1681680423883</v>
      </c>
      <c r="AY45" s="11">
        <f t="shared" si="17"/>
        <v>-2019.3833494558853</v>
      </c>
      <c r="AZ45" s="11">
        <f t="shared" si="17"/>
        <v>1566.3581469863218</v>
      </c>
      <c r="BA45" s="11">
        <f t="shared" si="17"/>
        <v>2229.5916428341657</v>
      </c>
      <c r="BB45" s="11">
        <f t="shared" si="17"/>
        <v>1402.4659845245872</v>
      </c>
      <c r="BC45" s="11">
        <f t="shared" si="17"/>
        <v>1949.5820598181429</v>
      </c>
      <c r="BD45" s="11">
        <f t="shared" si="17"/>
        <v>2013.1938326417153</v>
      </c>
      <c r="BE45" s="11">
        <f t="shared" si="17"/>
        <v>2072.2222476511811</v>
      </c>
      <c r="BF45" s="11">
        <f t="shared" si="17"/>
        <v>2126.5329181061238</v>
      </c>
      <c r="BG45" s="11">
        <f t="shared" si="17"/>
        <v>2176.002197966759</v>
      </c>
      <c r="BH45" s="11">
        <f t="shared" si="17"/>
        <v>2220.5174633868533</v>
      </c>
      <c r="BI45" s="11">
        <f t="shared" si="17"/>
        <v>2259.9773691191599</v>
      </c>
      <c r="BJ45" s="11">
        <f t="shared" si="17"/>
        <v>2294.2920792488535</v>
      </c>
      <c r="BK45" s="11">
        <f t="shared" si="17"/>
        <v>1965.7448679793806</v>
      </c>
    </row>
    <row r="46" spans="2:63" x14ac:dyDescent="0.25">
      <c r="B46">
        <v>1</v>
      </c>
      <c r="C46">
        <v>0</v>
      </c>
      <c r="D46">
        <v>1</v>
      </c>
      <c r="E46">
        <v>0</v>
      </c>
      <c r="F46">
        <v>-2348</v>
      </c>
      <c r="H46" s="34"/>
      <c r="I46" s="11">
        <f t="shared" ref="I46:R55" si="18">IF(ABS($C46)=1,I$7,IF(ABS($C46)=2,I$7^2,1))*$F46*SIN(($B46*I$2  +  $C46*I$3  +  $D46*I$4  +  $E46*I$5)*Deg2Rad)</f>
        <v>2209.1911433863356</v>
      </c>
      <c r="J46" s="11">
        <f t="shared" si="18"/>
        <v>2215.8547972318279</v>
      </c>
      <c r="K46" s="11">
        <f t="shared" si="18"/>
        <v>-2243.1581995282809</v>
      </c>
      <c r="L46" s="11">
        <f t="shared" si="18"/>
        <v>873.48830032747287</v>
      </c>
      <c r="M46" s="11">
        <f t="shared" si="18"/>
        <v>1427.0362581732311</v>
      </c>
      <c r="N46" s="11">
        <f t="shared" si="18"/>
        <v>537.33347895185443</v>
      </c>
      <c r="O46" s="11">
        <f t="shared" si="18"/>
        <v>37.60357011990245</v>
      </c>
      <c r="P46" s="11">
        <f t="shared" si="18"/>
        <v>1808.4429188385764</v>
      </c>
      <c r="Q46" s="11">
        <f t="shared" si="18"/>
        <v>2044.2066148596675</v>
      </c>
      <c r="R46" s="11">
        <f t="shared" si="18"/>
        <v>2346.3532336354124</v>
      </c>
      <c r="S46" s="11">
        <f t="shared" ref="S46:AB55" si="19">IF(ABS($C46)=1,S$7,IF(ABS($C46)=2,S$7^2,1))*$F46*SIN(($B46*S$2  +  $C46*S$3  +  $D46*S$4  +  $E46*S$5)*Deg2Rad)</f>
        <v>-1785.6643335211168</v>
      </c>
      <c r="T46" s="11">
        <f t="shared" si="19"/>
        <v>-2093.697358994526</v>
      </c>
      <c r="U46" s="11">
        <f t="shared" si="19"/>
        <v>2196.0088761402435</v>
      </c>
      <c r="V46" s="11">
        <f t="shared" si="19"/>
        <v>1631.5213140375756</v>
      </c>
      <c r="W46" s="11">
        <f t="shared" si="19"/>
        <v>73.819851640627903</v>
      </c>
      <c r="X46" s="11">
        <f t="shared" si="19"/>
        <v>-988.80253103949462</v>
      </c>
      <c r="Y46" s="11">
        <f t="shared" si="19"/>
        <v>-1585.9139718809602</v>
      </c>
      <c r="Z46" s="11">
        <f t="shared" si="19"/>
        <v>370.74622726162886</v>
      </c>
      <c r="AA46" s="11">
        <f t="shared" si="19"/>
        <v>-255.25157995196892</v>
      </c>
      <c r="AB46" s="11">
        <f t="shared" si="19"/>
        <v>-2053.7434244760825</v>
      </c>
      <c r="AC46" s="11">
        <f t="shared" ref="AC46:AL55" si="20">IF(ABS($C46)=1,AC$7,IF(ABS($C46)=2,AC$7^2,1))*$F46*SIN(($B46*AC$2  +  $C46*AC$3  +  $D46*AC$4  +  $E46*AC$5)*Deg2Rad)</f>
        <v>-345.48087304859911</v>
      </c>
      <c r="AD46" s="11">
        <f t="shared" si="20"/>
        <v>1666.5850423425973</v>
      </c>
      <c r="AE46" s="11">
        <f t="shared" si="20"/>
        <v>-2037.2223409087655</v>
      </c>
      <c r="AF46" s="11">
        <f t="shared" si="20"/>
        <v>-1645.6847079292086</v>
      </c>
      <c r="AG46" s="11">
        <f t="shared" si="20"/>
        <v>2281.8631439021979</v>
      </c>
      <c r="AH46" s="11">
        <f t="shared" si="20"/>
        <v>524.64878073756859</v>
      </c>
      <c r="AI46" s="11">
        <f t="shared" si="20"/>
        <v>-2346.6346176881166</v>
      </c>
      <c r="AJ46" s="11">
        <f t="shared" si="20"/>
        <v>-140.89295779404372</v>
      </c>
      <c r="AK46" s="11">
        <f t="shared" si="20"/>
        <v>-2342.4215013826934</v>
      </c>
      <c r="AL46" s="11">
        <f t="shared" si="20"/>
        <v>2264.2434695579241</v>
      </c>
      <c r="AM46" s="11">
        <f t="shared" ref="AM46:AV55" si="21">IF(ABS($C46)=1,AM$7,IF(ABS($C46)=2,AM$7^2,1))*$F46*SIN(($B46*AM$2  +  $C46*AM$3  +  $D46*AM$4  +  $E46*AM$5)*Deg2Rad)</f>
        <v>848.32930078797983</v>
      </c>
      <c r="AN46" s="11">
        <f t="shared" si="21"/>
        <v>-2329.4951857449637</v>
      </c>
      <c r="AO46" s="11">
        <f t="shared" si="21"/>
        <v>2206.5431461223966</v>
      </c>
      <c r="AP46" s="11">
        <f t="shared" si="21"/>
        <v>-1964.2697139535096</v>
      </c>
      <c r="AQ46" s="11">
        <f t="shared" si="21"/>
        <v>1126.4601801023016</v>
      </c>
      <c r="AR46" s="11">
        <f t="shared" si="21"/>
        <v>1355.5734142848485</v>
      </c>
      <c r="AS46" s="11">
        <f t="shared" si="21"/>
        <v>2261.0122865314434</v>
      </c>
      <c r="AT46" s="11">
        <f t="shared" si="21"/>
        <v>2248.2560883738174</v>
      </c>
      <c r="AU46" s="11">
        <f t="shared" si="21"/>
        <v>-2225.7913349288237</v>
      </c>
      <c r="AV46" s="11">
        <f t="shared" si="21"/>
        <v>2141.1165354962986</v>
      </c>
      <c r="AW46" s="11">
        <f t="shared" ref="AW46:BK55" si="22">IF(ABS($C46)=1,AW$7,IF(ABS($C46)=2,AW$7^2,1))*$F46*SIN(($B46*AW$2  +  $C46*AW$3  +  $D46*AW$4  +  $E46*AW$5)*Deg2Rad)</f>
        <v>-2330.098689254376</v>
      </c>
      <c r="AX46" s="11">
        <f t="shared" si="22"/>
        <v>-2344.619516212254</v>
      </c>
      <c r="AY46" s="11">
        <f t="shared" si="22"/>
        <v>530.94964667568263</v>
      </c>
      <c r="AZ46" s="11">
        <f t="shared" si="22"/>
        <v>-1436.076818803258</v>
      </c>
      <c r="BA46" s="11">
        <f t="shared" si="22"/>
        <v>1358.841653311968</v>
      </c>
      <c r="BB46" s="11">
        <f t="shared" si="22"/>
        <v>2134.1183667726864</v>
      </c>
      <c r="BC46" s="11">
        <f t="shared" si="22"/>
        <v>-1778.8385949326439</v>
      </c>
      <c r="BD46" s="11">
        <f t="shared" si="22"/>
        <v>-954.90904780029473</v>
      </c>
      <c r="BE46" s="11">
        <f t="shared" si="22"/>
        <v>51.575445797655519</v>
      </c>
      <c r="BF46" s="11">
        <f t="shared" si="22"/>
        <v>1048.1999922433608</v>
      </c>
      <c r="BG46" s="11">
        <f t="shared" si="22"/>
        <v>1844.4346754779444</v>
      </c>
      <c r="BH46" s="11">
        <f t="shared" si="22"/>
        <v>2288.0591554502421</v>
      </c>
      <c r="BI46" s="11">
        <f t="shared" si="22"/>
        <v>2294.2634249894231</v>
      </c>
      <c r="BJ46" s="11">
        <f t="shared" si="22"/>
        <v>1861.8613815060232</v>
      </c>
      <c r="BK46" s="11">
        <f t="shared" si="22"/>
        <v>-2336.0970354647402</v>
      </c>
    </row>
    <row r="47" spans="2:63" x14ac:dyDescent="0.25">
      <c r="B47">
        <v>2</v>
      </c>
      <c r="C47">
        <v>-2</v>
      </c>
      <c r="D47">
        <v>0</v>
      </c>
      <c r="E47">
        <v>0</v>
      </c>
      <c r="F47">
        <v>2236</v>
      </c>
      <c r="H47" s="34"/>
      <c r="I47" s="11">
        <f t="shared" si="18"/>
        <v>2200.3682551080401</v>
      </c>
      <c r="J47" s="11">
        <f t="shared" si="18"/>
        <v>1759.2388395269245</v>
      </c>
      <c r="K47" s="11">
        <f t="shared" si="18"/>
        <v>-1948.841357816736</v>
      </c>
      <c r="L47" s="11">
        <f t="shared" si="18"/>
        <v>-1128.9093810338022</v>
      </c>
      <c r="M47" s="11">
        <f t="shared" si="18"/>
        <v>-2074.6981312262069</v>
      </c>
      <c r="N47" s="11">
        <f t="shared" si="18"/>
        <v>-1551.1176990776562</v>
      </c>
      <c r="O47" s="11">
        <f t="shared" si="18"/>
        <v>1193.2163086523713</v>
      </c>
      <c r="P47" s="11">
        <f t="shared" si="18"/>
        <v>1249.2008687691775</v>
      </c>
      <c r="Q47" s="11">
        <f t="shared" si="18"/>
        <v>-167.63850890397018</v>
      </c>
      <c r="R47" s="11">
        <f t="shared" si="18"/>
        <v>-312.54388601523107</v>
      </c>
      <c r="S47" s="11">
        <f t="shared" si="19"/>
        <v>-2167.5153392545417</v>
      </c>
      <c r="T47" s="11">
        <f t="shared" si="19"/>
        <v>1275.5859745978696</v>
      </c>
      <c r="U47" s="11">
        <f t="shared" si="19"/>
        <v>2464.6579867788118</v>
      </c>
      <c r="V47" s="11">
        <f t="shared" si="19"/>
        <v>2254.6068605707719</v>
      </c>
      <c r="W47" s="11">
        <f t="shared" si="19"/>
        <v>1964.5910745240669</v>
      </c>
      <c r="X47" s="11">
        <f t="shared" si="19"/>
        <v>-2539.9176744518768</v>
      </c>
      <c r="Y47" s="11">
        <f t="shared" si="19"/>
        <v>-1769.2846174944725</v>
      </c>
      <c r="Z47" s="11">
        <f t="shared" si="19"/>
        <v>-1422.4672967049314</v>
      </c>
      <c r="AA47" s="11">
        <f t="shared" si="19"/>
        <v>2225.0240663858576</v>
      </c>
      <c r="AB47" s="11">
        <f t="shared" si="19"/>
        <v>1198.4944450149189</v>
      </c>
      <c r="AC47" s="11">
        <f t="shared" si="20"/>
        <v>-442.46433745530089</v>
      </c>
      <c r="AD47" s="11">
        <f t="shared" si="20"/>
        <v>954.51543917628339</v>
      </c>
      <c r="AE47" s="11">
        <f t="shared" si="20"/>
        <v>-1698.6705194401218</v>
      </c>
      <c r="AF47" s="11">
        <f t="shared" si="20"/>
        <v>-470.59014024048696</v>
      </c>
      <c r="AG47" s="11">
        <f t="shared" si="20"/>
        <v>2056.7471634986459</v>
      </c>
      <c r="AH47" s="11">
        <f t="shared" si="20"/>
        <v>-2228.6115033922779</v>
      </c>
      <c r="AI47" s="11">
        <f t="shared" si="20"/>
        <v>-2216.885277122386</v>
      </c>
      <c r="AJ47" s="11">
        <f t="shared" si="20"/>
        <v>-2204.2008355360367</v>
      </c>
      <c r="AK47" s="11">
        <f t="shared" si="20"/>
        <v>-612.50817694753198</v>
      </c>
      <c r="AL47" s="11">
        <f t="shared" si="20"/>
        <v>-2088.3599766619686</v>
      </c>
      <c r="AM47" s="11">
        <f t="shared" si="21"/>
        <v>1254.5850620023821</v>
      </c>
      <c r="AN47" s="11">
        <f t="shared" si="21"/>
        <v>-79.938486299376876</v>
      </c>
      <c r="AO47" s="11">
        <f t="shared" si="21"/>
        <v>-1034.8524143853526</v>
      </c>
      <c r="AP47" s="11">
        <f t="shared" si="21"/>
        <v>-1393.4452112643967</v>
      </c>
      <c r="AQ47" s="11">
        <f t="shared" si="21"/>
        <v>-972.31059728509445</v>
      </c>
      <c r="AR47" s="11">
        <f t="shared" si="21"/>
        <v>-1461.7851587259615</v>
      </c>
      <c r="AS47" s="11">
        <f t="shared" si="21"/>
        <v>1700.808751319028</v>
      </c>
      <c r="AT47" s="11">
        <f t="shared" si="21"/>
        <v>-582.48577429696263</v>
      </c>
      <c r="AU47" s="11">
        <f t="shared" si="21"/>
        <v>-263.10292037231727</v>
      </c>
      <c r="AV47" s="11">
        <f t="shared" si="21"/>
        <v>1185.9186597313551</v>
      </c>
      <c r="AW47" s="11">
        <f t="shared" si="22"/>
        <v>-1348.2065396136013</v>
      </c>
      <c r="AX47" s="11">
        <f t="shared" si="22"/>
        <v>-2080.5928327973252</v>
      </c>
      <c r="AY47" s="11">
        <f t="shared" si="22"/>
        <v>2036.5253699046302</v>
      </c>
      <c r="AZ47" s="11">
        <f t="shared" si="22"/>
        <v>-1310.1252925657391</v>
      </c>
      <c r="BA47" s="11">
        <f t="shared" si="22"/>
        <v>-148.67741684207706</v>
      </c>
      <c r="BB47" s="11">
        <f t="shared" si="22"/>
        <v>527.57188664535408</v>
      </c>
      <c r="BC47" s="11">
        <f t="shared" si="22"/>
        <v>-2000.9914069238146</v>
      </c>
      <c r="BD47" s="11">
        <f t="shared" si="22"/>
        <v>-2228.0843989083132</v>
      </c>
      <c r="BE47" s="11">
        <f t="shared" si="22"/>
        <v>-2118.6364998127283</v>
      </c>
      <c r="BF47" s="11">
        <f t="shared" si="22"/>
        <v>-1689.179351639501</v>
      </c>
      <c r="BG47" s="11">
        <f t="shared" si="22"/>
        <v>-1004.5803630526489</v>
      </c>
      <c r="BH47" s="11">
        <f t="shared" si="22"/>
        <v>-168.24480352416307</v>
      </c>
      <c r="BI47" s="11">
        <f t="shared" si="22"/>
        <v>693.50304790478242</v>
      </c>
      <c r="BJ47" s="11">
        <f t="shared" si="22"/>
        <v>1450.5005494748632</v>
      </c>
      <c r="BK47" s="11">
        <f t="shared" si="22"/>
        <v>-2194.6446478289249</v>
      </c>
    </row>
    <row r="48" spans="2:63" x14ac:dyDescent="0.25">
      <c r="B48">
        <v>0</v>
      </c>
      <c r="C48">
        <v>1</v>
      </c>
      <c r="D48">
        <v>2</v>
      </c>
      <c r="E48">
        <v>0</v>
      </c>
      <c r="F48">
        <v>-2120</v>
      </c>
      <c r="H48" s="34"/>
      <c r="I48" s="11">
        <f t="shared" si="18"/>
        <v>1613.4258302445453</v>
      </c>
      <c r="J48" s="11">
        <f t="shared" si="18"/>
        <v>1543.5199119913934</v>
      </c>
      <c r="K48" s="11">
        <f t="shared" si="18"/>
        <v>2117.9104300349413</v>
      </c>
      <c r="L48" s="11">
        <f t="shared" si="18"/>
        <v>-2063.2690494022004</v>
      </c>
      <c r="M48" s="11">
        <f t="shared" si="18"/>
        <v>-516.64780111646871</v>
      </c>
      <c r="N48" s="11">
        <f t="shared" si="18"/>
        <v>1733.1697271880794</v>
      </c>
      <c r="O48" s="11">
        <f t="shared" si="18"/>
        <v>415.14429053438357</v>
      </c>
      <c r="P48" s="11">
        <f t="shared" si="18"/>
        <v>-1076.5630334652549</v>
      </c>
      <c r="Q48" s="11">
        <f t="shared" si="18"/>
        <v>1914.2059695414373</v>
      </c>
      <c r="R48" s="11">
        <f t="shared" si="18"/>
        <v>312.00134891315656</v>
      </c>
      <c r="S48" s="11">
        <f t="shared" si="19"/>
        <v>-207.68710725282389</v>
      </c>
      <c r="T48" s="11">
        <f t="shared" si="19"/>
        <v>1187.3501863941419</v>
      </c>
      <c r="U48" s="11">
        <f t="shared" si="19"/>
        <v>-2188.4203311954284</v>
      </c>
      <c r="V48" s="11">
        <f t="shared" si="19"/>
        <v>-1761.9482867852851</v>
      </c>
      <c r="W48" s="11">
        <f t="shared" si="19"/>
        <v>-2255.1079268850981</v>
      </c>
      <c r="X48" s="11">
        <f t="shared" si="19"/>
        <v>-1375.2947718989547</v>
      </c>
      <c r="Y48" s="11">
        <f t="shared" si="19"/>
        <v>-1229.9923983511801</v>
      </c>
      <c r="Z48" s="11">
        <f t="shared" si="19"/>
        <v>1042.0742541153093</v>
      </c>
      <c r="AA48" s="11">
        <f t="shared" si="19"/>
        <v>496.4383757937735</v>
      </c>
      <c r="AB48" s="11">
        <f t="shared" si="19"/>
        <v>-2017.2574793260819</v>
      </c>
      <c r="AC48" s="11">
        <f t="shared" si="20"/>
        <v>-1271.3580817947538</v>
      </c>
      <c r="AD48" s="11">
        <f t="shared" si="20"/>
        <v>-1970.1227044932375</v>
      </c>
      <c r="AE48" s="11">
        <f t="shared" si="20"/>
        <v>2036.8324715349022</v>
      </c>
      <c r="AF48" s="11">
        <f t="shared" si="20"/>
        <v>2042.8008705587672</v>
      </c>
      <c r="AG48" s="11">
        <f t="shared" si="20"/>
        <v>-1478.6498403005075</v>
      </c>
      <c r="AH48" s="11">
        <f t="shared" si="20"/>
        <v>-119.47621426457378</v>
      </c>
      <c r="AI48" s="11">
        <f t="shared" si="20"/>
        <v>1591.6869169062977</v>
      </c>
      <c r="AJ48" s="11">
        <f t="shared" si="20"/>
        <v>-2080.9014430741754</v>
      </c>
      <c r="AK48" s="11">
        <f t="shared" si="20"/>
        <v>-1782.5857996397667</v>
      </c>
      <c r="AL48" s="11">
        <f t="shared" si="20"/>
        <v>888.96737785097946</v>
      </c>
      <c r="AM48" s="11">
        <f t="shared" si="21"/>
        <v>-380.09105866236143</v>
      </c>
      <c r="AN48" s="11">
        <f t="shared" si="21"/>
        <v>-2090.2303169975294</v>
      </c>
      <c r="AO48" s="11">
        <f t="shared" si="21"/>
        <v>1967.837230856346</v>
      </c>
      <c r="AP48" s="11">
        <f t="shared" si="21"/>
        <v>-1574.3208704858707</v>
      </c>
      <c r="AQ48" s="11">
        <f t="shared" si="21"/>
        <v>-2056.819853606271</v>
      </c>
      <c r="AR48" s="11">
        <f t="shared" si="21"/>
        <v>828.53586718501651</v>
      </c>
      <c r="AS48" s="11">
        <f t="shared" si="21"/>
        <v>-1545.0717098062335</v>
      </c>
      <c r="AT48" s="11">
        <f t="shared" si="21"/>
        <v>-1630.5600186610002</v>
      </c>
      <c r="AU48" s="11">
        <f t="shared" si="21"/>
        <v>1864.3325037795403</v>
      </c>
      <c r="AV48" s="11">
        <f t="shared" si="21"/>
        <v>-1975.4456317991985</v>
      </c>
      <c r="AW48" s="11">
        <f t="shared" si="22"/>
        <v>2083.4728005557172</v>
      </c>
      <c r="AX48" s="11">
        <f t="shared" si="22"/>
        <v>1420.822893479748</v>
      </c>
      <c r="AY48" s="11">
        <f t="shared" si="22"/>
        <v>-1807.6919144202166</v>
      </c>
      <c r="AZ48" s="11">
        <f t="shared" si="22"/>
        <v>419.73613249998169</v>
      </c>
      <c r="BA48" s="11">
        <f t="shared" si="22"/>
        <v>1979.2664178010591</v>
      </c>
      <c r="BB48" s="11">
        <f t="shared" si="22"/>
        <v>1464.6685290314333</v>
      </c>
      <c r="BC48" s="11">
        <f t="shared" si="22"/>
        <v>-1654.837249802968</v>
      </c>
      <c r="BD48" s="11">
        <f t="shared" si="22"/>
        <v>-2076.0272818131357</v>
      </c>
      <c r="BE48" s="11">
        <f t="shared" si="22"/>
        <v>-2040.8601868159615</v>
      </c>
      <c r="BF48" s="11">
        <f t="shared" si="22"/>
        <v>-1557.0665391192022</v>
      </c>
      <c r="BG48" s="11">
        <f t="shared" si="22"/>
        <v>-730.99502762876523</v>
      </c>
      <c r="BH48" s="11">
        <f t="shared" si="22"/>
        <v>255.76536997130307</v>
      </c>
      <c r="BI48" s="11">
        <f t="shared" si="22"/>
        <v>1186.3027023205743</v>
      </c>
      <c r="BJ48" s="11">
        <f t="shared" si="22"/>
        <v>1856.0641308923255</v>
      </c>
      <c r="BK48" s="11">
        <f t="shared" si="22"/>
        <v>1487.3950770467036</v>
      </c>
    </row>
    <row r="49" spans="2:63" x14ac:dyDescent="0.25">
      <c r="B49">
        <v>0</v>
      </c>
      <c r="C49">
        <v>2</v>
      </c>
      <c r="D49">
        <v>0</v>
      </c>
      <c r="E49">
        <v>0</v>
      </c>
      <c r="F49">
        <v>-2069</v>
      </c>
      <c r="H49" s="34"/>
      <c r="I49" s="11">
        <f t="shared" si="18"/>
        <v>72.929729746313186</v>
      </c>
      <c r="J49" s="11">
        <f t="shared" si="18"/>
        <v>-2161.1821756474292</v>
      </c>
      <c r="K49" s="11">
        <f t="shared" si="18"/>
        <v>178.23082234373075</v>
      </c>
      <c r="L49" s="11">
        <f t="shared" si="18"/>
        <v>195.28030882839599</v>
      </c>
      <c r="M49" s="11">
        <f t="shared" si="18"/>
        <v>-1490.8764593976684</v>
      </c>
      <c r="N49" s="11">
        <f t="shared" si="18"/>
        <v>1068.4273625531125</v>
      </c>
      <c r="O49" s="11">
        <f t="shared" si="18"/>
        <v>-1477.9111287878825</v>
      </c>
      <c r="P49" s="11">
        <f t="shared" si="18"/>
        <v>1022.8653757844172</v>
      </c>
      <c r="Q49" s="11">
        <f t="shared" si="18"/>
        <v>74.638873470641371</v>
      </c>
      <c r="R49" s="11">
        <f t="shared" si="18"/>
        <v>-278.34072251376415</v>
      </c>
      <c r="S49" s="11">
        <f t="shared" si="19"/>
        <v>-259.6320490156935</v>
      </c>
      <c r="T49" s="11">
        <f t="shared" si="19"/>
        <v>1874.4264804579827</v>
      </c>
      <c r="U49" s="11">
        <f t="shared" si="19"/>
        <v>-1952.9896789806403</v>
      </c>
      <c r="V49" s="11">
        <f t="shared" si="19"/>
        <v>-1992.3910005341609</v>
      </c>
      <c r="W49" s="11">
        <f t="shared" si="19"/>
        <v>-2341.4914811850035</v>
      </c>
      <c r="X49" s="11">
        <f t="shared" si="19"/>
        <v>519.73830906012529</v>
      </c>
      <c r="Y49" s="11">
        <f t="shared" si="19"/>
        <v>-486.51270921827881</v>
      </c>
      <c r="Z49" s="11">
        <f t="shared" si="19"/>
        <v>-1462.2159834793533</v>
      </c>
      <c r="AA49" s="11">
        <f t="shared" si="19"/>
        <v>358.12715248812538</v>
      </c>
      <c r="AB49" s="11">
        <f t="shared" si="19"/>
        <v>545.71341294324827</v>
      </c>
      <c r="AC49" s="11">
        <f t="shared" si="20"/>
        <v>-2062.4978937674186</v>
      </c>
      <c r="AD49" s="11">
        <f t="shared" si="20"/>
        <v>243.11784341563396</v>
      </c>
      <c r="AE49" s="11">
        <f t="shared" si="20"/>
        <v>213.66129459931682</v>
      </c>
      <c r="AF49" s="11">
        <f t="shared" si="20"/>
        <v>333.40921113175949</v>
      </c>
      <c r="AG49" s="11">
        <f t="shared" si="20"/>
        <v>2041.8718482173306</v>
      </c>
      <c r="AH49" s="11">
        <f t="shared" si="20"/>
        <v>1189.646896627798</v>
      </c>
      <c r="AI49" s="11">
        <f t="shared" si="20"/>
        <v>-2071.1223561250972</v>
      </c>
      <c r="AJ49" s="11">
        <f t="shared" si="20"/>
        <v>970.73708080080655</v>
      </c>
      <c r="AK49" s="11">
        <f t="shared" si="20"/>
        <v>639.17371313112039</v>
      </c>
      <c r="AL49" s="11">
        <f t="shared" si="20"/>
        <v>-1931.9549301202378</v>
      </c>
      <c r="AM49" s="11">
        <f t="shared" si="21"/>
        <v>-230.58200166021263</v>
      </c>
      <c r="AN49" s="11">
        <f t="shared" si="21"/>
        <v>1636.0001286243016</v>
      </c>
      <c r="AO49" s="11">
        <f t="shared" si="21"/>
        <v>-17.68591901766365</v>
      </c>
      <c r="AP49" s="11">
        <f t="shared" si="21"/>
        <v>-981.26055759565804</v>
      </c>
      <c r="AQ49" s="11">
        <f t="shared" si="21"/>
        <v>-2114.1021488969454</v>
      </c>
      <c r="AR49" s="11">
        <f t="shared" si="21"/>
        <v>119.38220091537411</v>
      </c>
      <c r="AS49" s="11">
        <f t="shared" si="21"/>
        <v>-2021.5237859128588</v>
      </c>
      <c r="AT49" s="11">
        <f t="shared" si="21"/>
        <v>-635.44936433835232</v>
      </c>
      <c r="AU49" s="11">
        <f t="shared" si="21"/>
        <v>-144.14466463373347</v>
      </c>
      <c r="AV49" s="11">
        <f t="shared" si="21"/>
        <v>344.905408991169</v>
      </c>
      <c r="AW49" s="11">
        <f t="shared" si="22"/>
        <v>873.22701535904969</v>
      </c>
      <c r="AX49" s="11">
        <f t="shared" si="22"/>
        <v>1669.4972217921134</v>
      </c>
      <c r="AY49" s="11">
        <f t="shared" si="22"/>
        <v>1896.819353158264</v>
      </c>
      <c r="AZ49" s="11">
        <f t="shared" si="22"/>
        <v>-1881.2840185723658</v>
      </c>
      <c r="BA49" s="11">
        <f t="shared" si="22"/>
        <v>-133.40081035160807</v>
      </c>
      <c r="BB49" s="11">
        <f t="shared" si="22"/>
        <v>755.62727592996293</v>
      </c>
      <c r="BC49" s="11">
        <f t="shared" si="22"/>
        <v>1902.0270939555633</v>
      </c>
      <c r="BD49" s="11">
        <f t="shared" si="22"/>
        <v>1873.1015884035583</v>
      </c>
      <c r="BE49" s="11">
        <f t="shared" si="22"/>
        <v>1841.9592485480837</v>
      </c>
      <c r="BF49" s="11">
        <f t="shared" si="22"/>
        <v>1808.6369324021596</v>
      </c>
      <c r="BG49" s="11">
        <f t="shared" si="22"/>
        <v>1773.1740780010684</v>
      </c>
      <c r="BH49" s="11">
        <f t="shared" si="22"/>
        <v>1735.612656726822</v>
      </c>
      <c r="BI49" s="11">
        <f t="shared" si="22"/>
        <v>1695.9971236334359</v>
      </c>
      <c r="BJ49" s="11">
        <f t="shared" si="22"/>
        <v>1654.3743648332738</v>
      </c>
      <c r="BK49" s="11">
        <f t="shared" si="22"/>
        <v>-2071.264242012654</v>
      </c>
    </row>
    <row r="50" spans="2:63" x14ac:dyDescent="0.25">
      <c r="B50">
        <v>2</v>
      </c>
      <c r="C50">
        <v>-2</v>
      </c>
      <c r="D50">
        <v>-1</v>
      </c>
      <c r="E50">
        <v>0</v>
      </c>
      <c r="F50">
        <v>2048</v>
      </c>
      <c r="H50" s="34"/>
      <c r="I50" s="11">
        <f t="shared" si="18"/>
        <v>-2021.9909696453262</v>
      </c>
      <c r="J50" s="11">
        <f t="shared" si="18"/>
        <v>-68.904221761548754</v>
      </c>
      <c r="K50" s="11">
        <f t="shared" si="18"/>
        <v>1971.7979129264768</v>
      </c>
      <c r="L50" s="11">
        <f t="shared" si="18"/>
        <v>-1924.955189828034</v>
      </c>
      <c r="M50" s="11">
        <f t="shared" si="18"/>
        <v>-1954.2358092676425</v>
      </c>
      <c r="N50" s="11">
        <f t="shared" si="18"/>
        <v>913.48391475640585</v>
      </c>
      <c r="O50" s="11">
        <f t="shared" si="18"/>
        <v>1834.1378414531041</v>
      </c>
      <c r="P50" s="11">
        <f t="shared" si="18"/>
        <v>-901.20214302405134</v>
      </c>
      <c r="Q50" s="11">
        <f t="shared" si="18"/>
        <v>1645.6495946965076</v>
      </c>
      <c r="R50" s="11">
        <f t="shared" si="18"/>
        <v>-2056.1096453774194</v>
      </c>
      <c r="S50" s="11">
        <f t="shared" si="19"/>
        <v>1973.43737816457</v>
      </c>
      <c r="T50" s="11">
        <f t="shared" si="19"/>
        <v>1492.9803164699069</v>
      </c>
      <c r="U50" s="11">
        <f t="shared" si="19"/>
        <v>-1869.849008412056</v>
      </c>
      <c r="V50" s="11">
        <f t="shared" si="19"/>
        <v>-2050.6235194043347</v>
      </c>
      <c r="W50" s="11">
        <f t="shared" si="19"/>
        <v>-1972.5497578260724</v>
      </c>
      <c r="X50" s="11">
        <f t="shared" si="19"/>
        <v>1902.7559917836331</v>
      </c>
      <c r="Y50" s="11">
        <f t="shared" si="19"/>
        <v>2285.8399052871059</v>
      </c>
      <c r="Z50" s="11">
        <f t="shared" si="19"/>
        <v>901.2083530770002</v>
      </c>
      <c r="AA50" s="11">
        <f t="shared" si="19"/>
        <v>-1166.1693682569496</v>
      </c>
      <c r="AB50" s="11">
        <f t="shared" si="19"/>
        <v>937.98671759504191</v>
      </c>
      <c r="AC50" s="11">
        <f t="shared" si="20"/>
        <v>1290.7598944284396</v>
      </c>
      <c r="AD50" s="11">
        <f t="shared" si="20"/>
        <v>376.0437983166089</v>
      </c>
      <c r="AE50" s="11">
        <f t="shared" si="20"/>
        <v>2010.3308784011545</v>
      </c>
      <c r="AF50" s="11">
        <f t="shared" si="20"/>
        <v>-1893.765188211943</v>
      </c>
      <c r="AG50" s="11">
        <f t="shared" si="20"/>
        <v>-900.5460608982512</v>
      </c>
      <c r="AH50" s="11">
        <f t="shared" si="20"/>
        <v>1109.7851795129411</v>
      </c>
      <c r="AI50" s="11">
        <f t="shared" si="20"/>
        <v>340.76690558188318</v>
      </c>
      <c r="AJ50" s="11">
        <f t="shared" si="20"/>
        <v>-1377.8529879506682</v>
      </c>
      <c r="AK50" s="11">
        <f t="shared" si="20"/>
        <v>-1640.8612481887519</v>
      </c>
      <c r="AL50" s="11">
        <f t="shared" si="20"/>
        <v>201.27673210512518</v>
      </c>
      <c r="AM50" s="11">
        <f t="shared" si="21"/>
        <v>-1984.0009486119968</v>
      </c>
      <c r="AN50" s="11">
        <f t="shared" si="21"/>
        <v>559.32309978576802</v>
      </c>
      <c r="AO50" s="11">
        <f t="shared" si="21"/>
        <v>-1810.7160531947643</v>
      </c>
      <c r="AP50" s="11">
        <f t="shared" si="21"/>
        <v>2015.1463200351282</v>
      </c>
      <c r="AQ50" s="11">
        <f t="shared" si="21"/>
        <v>1066.4558196612352</v>
      </c>
      <c r="AR50" s="11">
        <f t="shared" si="21"/>
        <v>-2027.2619665958862</v>
      </c>
      <c r="AS50" s="11">
        <f t="shared" si="21"/>
        <v>-324.57587876276784</v>
      </c>
      <c r="AT50" s="11">
        <f t="shared" si="21"/>
        <v>-1762.9047191781515</v>
      </c>
      <c r="AU50" s="11">
        <f t="shared" si="21"/>
        <v>228.71312192908866</v>
      </c>
      <c r="AV50" s="11">
        <f t="shared" si="21"/>
        <v>1933.3627909039153</v>
      </c>
      <c r="AW50" s="11">
        <f t="shared" si="22"/>
        <v>1205.8756400936513</v>
      </c>
      <c r="AX50" s="11">
        <f t="shared" si="22"/>
        <v>-2009.0982864367734</v>
      </c>
      <c r="AY50" s="11">
        <f t="shared" si="22"/>
        <v>2006.6400912948486</v>
      </c>
      <c r="AZ50" s="11">
        <f t="shared" si="22"/>
        <v>1752.1119730734547</v>
      </c>
      <c r="BA50" s="11">
        <f t="shared" si="22"/>
        <v>1073.6627340374584</v>
      </c>
      <c r="BB50" s="11">
        <f t="shared" si="22"/>
        <v>1983.3427464139854</v>
      </c>
      <c r="BC50" s="11">
        <f t="shared" si="22"/>
        <v>-739.95061403795989</v>
      </c>
      <c r="BD50" s="11">
        <f t="shared" si="22"/>
        <v>-1039.8155045957219</v>
      </c>
      <c r="BE50" s="11">
        <f t="shared" si="22"/>
        <v>-1312.0786747036034</v>
      </c>
      <c r="BF50" s="11">
        <f t="shared" si="22"/>
        <v>-1549.5129754936902</v>
      </c>
      <c r="BG50" s="11">
        <f t="shared" si="22"/>
        <v>-1745.8157835542925</v>
      </c>
      <c r="BH50" s="11">
        <f t="shared" si="22"/>
        <v>-1895.7763022111944</v>
      </c>
      <c r="BI50" s="11">
        <f t="shared" si="22"/>
        <v>-1995.4138804963477</v>
      </c>
      <c r="BJ50" s="11">
        <f t="shared" si="22"/>
        <v>-2042.083678168558</v>
      </c>
      <c r="BK50" s="11">
        <f t="shared" si="22"/>
        <v>390.50621941984895</v>
      </c>
    </row>
    <row r="51" spans="2:63" x14ac:dyDescent="0.25">
      <c r="B51">
        <v>2</v>
      </c>
      <c r="C51">
        <v>0</v>
      </c>
      <c r="D51">
        <v>1</v>
      </c>
      <c r="E51">
        <v>-2</v>
      </c>
      <c r="F51">
        <v>-1773</v>
      </c>
      <c r="H51" s="34"/>
      <c r="I51" s="11">
        <f t="shared" si="18"/>
        <v>1064.6764073752026</v>
      </c>
      <c r="J51" s="11">
        <f t="shared" si="18"/>
        <v>342.74776417969593</v>
      </c>
      <c r="K51" s="11">
        <f t="shared" si="18"/>
        <v>127.36963491632757</v>
      </c>
      <c r="L51" s="11">
        <f t="shared" si="18"/>
        <v>-1395.5776703896065</v>
      </c>
      <c r="M51" s="11">
        <f t="shared" si="18"/>
        <v>-1269.3937990961135</v>
      </c>
      <c r="N51" s="11">
        <f t="shared" si="18"/>
        <v>1772.7156425616756</v>
      </c>
      <c r="O51" s="11">
        <f t="shared" si="18"/>
        <v>149.0329213885326</v>
      </c>
      <c r="P51" s="11">
        <f t="shared" si="18"/>
        <v>817.10048036839066</v>
      </c>
      <c r="Q51" s="11">
        <f t="shared" si="18"/>
        <v>1749.0436926346074</v>
      </c>
      <c r="R51" s="11">
        <f t="shared" si="18"/>
        <v>-1241.3130881982343</v>
      </c>
      <c r="S51" s="11">
        <f t="shared" si="19"/>
        <v>188.59038091958297</v>
      </c>
      <c r="T51" s="11">
        <f t="shared" si="19"/>
        <v>1708.4118181604895</v>
      </c>
      <c r="U51" s="11">
        <f t="shared" si="19"/>
        <v>1752.3329644074934</v>
      </c>
      <c r="V51" s="11">
        <f t="shared" si="19"/>
        <v>1668.7618368741587</v>
      </c>
      <c r="W51" s="11">
        <f t="shared" si="19"/>
        <v>1769.5530020962849</v>
      </c>
      <c r="X51" s="11">
        <f t="shared" si="19"/>
        <v>1329.3595822638563</v>
      </c>
      <c r="Y51" s="11">
        <f t="shared" si="19"/>
        <v>1605.008059122538</v>
      </c>
      <c r="Z51" s="11">
        <f t="shared" si="19"/>
        <v>-346.9731280101156</v>
      </c>
      <c r="AA51" s="11">
        <f t="shared" si="19"/>
        <v>1051.8062856260813</v>
      </c>
      <c r="AB51" s="11">
        <f t="shared" si="19"/>
        <v>-803.38078574357598</v>
      </c>
      <c r="AC51" s="11">
        <f t="shared" si="20"/>
        <v>-134.94135692188465</v>
      </c>
      <c r="AD51" s="11">
        <f t="shared" si="20"/>
        <v>-105.53299082939941</v>
      </c>
      <c r="AE51" s="11">
        <f t="shared" si="20"/>
        <v>-42.523353383000526</v>
      </c>
      <c r="AF51" s="11">
        <f t="shared" si="20"/>
        <v>-1671.9122974014645</v>
      </c>
      <c r="AG51" s="11">
        <f t="shared" si="20"/>
        <v>753.2926286665039</v>
      </c>
      <c r="AH51" s="11">
        <f t="shared" si="20"/>
        <v>-1353.6467346319555</v>
      </c>
      <c r="AI51" s="11">
        <f t="shared" si="20"/>
        <v>893.44008577426359</v>
      </c>
      <c r="AJ51" s="11">
        <f t="shared" si="20"/>
        <v>-1185.8911291773759</v>
      </c>
      <c r="AK51" s="11">
        <f t="shared" si="20"/>
        <v>-453.18887973242738</v>
      </c>
      <c r="AL51" s="11">
        <f t="shared" si="20"/>
        <v>306.73791082063741</v>
      </c>
      <c r="AM51" s="11">
        <f t="shared" si="21"/>
        <v>-944.53566402118634</v>
      </c>
      <c r="AN51" s="11">
        <f t="shared" si="21"/>
        <v>-1404.1177311039291</v>
      </c>
      <c r="AO51" s="11">
        <f t="shared" si="21"/>
        <v>1048.8256218249071</v>
      </c>
      <c r="AP51" s="11">
        <f t="shared" si="21"/>
        <v>-308.34547162426344</v>
      </c>
      <c r="AQ51" s="11">
        <f t="shared" si="21"/>
        <v>927.30050608334773</v>
      </c>
      <c r="AR51" s="11">
        <f t="shared" si="21"/>
        <v>-792.39337343231114</v>
      </c>
      <c r="AS51" s="11">
        <f t="shared" si="21"/>
        <v>-849.13458961013305</v>
      </c>
      <c r="AT51" s="11">
        <f t="shared" si="21"/>
        <v>703.68132482380179</v>
      </c>
      <c r="AU51" s="11">
        <f t="shared" si="21"/>
        <v>-1436.9516078301406</v>
      </c>
      <c r="AV51" s="11">
        <f t="shared" si="21"/>
        <v>-1358.4452005308187</v>
      </c>
      <c r="AW51" s="11">
        <f t="shared" si="22"/>
        <v>1036.1496963338543</v>
      </c>
      <c r="AX51" s="11">
        <f t="shared" si="22"/>
        <v>-512.47595232492426</v>
      </c>
      <c r="AY51" s="11">
        <f t="shared" si="22"/>
        <v>-1300.4589116489676</v>
      </c>
      <c r="AZ51" s="11">
        <f t="shared" si="22"/>
        <v>-91.925548859217372</v>
      </c>
      <c r="BA51" s="11">
        <f t="shared" si="22"/>
        <v>-44.650531626071498</v>
      </c>
      <c r="BB51" s="11">
        <f t="shared" si="22"/>
        <v>-1563.9344540001625</v>
      </c>
      <c r="BC51" s="11">
        <f t="shared" si="22"/>
        <v>415.86960424456237</v>
      </c>
      <c r="BD51" s="11">
        <f t="shared" si="22"/>
        <v>79.739879493157446</v>
      </c>
      <c r="BE51" s="11">
        <f t="shared" si="22"/>
        <v>-259.31345680786364</v>
      </c>
      <c r="BF51" s="11">
        <f t="shared" si="22"/>
        <v>-588.85923149531459</v>
      </c>
      <c r="BG51" s="11">
        <f t="shared" si="22"/>
        <v>-896.81486005496231</v>
      </c>
      <c r="BH51" s="11">
        <f t="shared" si="22"/>
        <v>-1171.8893468337417</v>
      </c>
      <c r="BI51" s="11">
        <f t="shared" si="22"/>
        <v>-1403.9972621616585</v>
      </c>
      <c r="BJ51" s="11">
        <f t="shared" si="22"/>
        <v>-1584.6285181555461</v>
      </c>
      <c r="BK51" s="11">
        <f t="shared" si="22"/>
        <v>848.67781645082277</v>
      </c>
    </row>
    <row r="52" spans="2:63" x14ac:dyDescent="0.25">
      <c r="B52">
        <v>2</v>
      </c>
      <c r="C52">
        <v>0</v>
      </c>
      <c r="D52">
        <v>0</v>
      </c>
      <c r="E52">
        <v>2</v>
      </c>
      <c r="F52">
        <v>-1595</v>
      </c>
      <c r="H52" s="34"/>
      <c r="I52" s="11">
        <f t="shared" si="18"/>
        <v>-1543.6561641172559</v>
      </c>
      <c r="J52" s="11">
        <f t="shared" si="18"/>
        <v>-1567.2273636428893</v>
      </c>
      <c r="K52" s="11">
        <f t="shared" si="18"/>
        <v>-1411.4849474107343</v>
      </c>
      <c r="L52" s="11">
        <f t="shared" si="18"/>
        <v>549.49495681328654</v>
      </c>
      <c r="M52" s="11">
        <f t="shared" si="18"/>
        <v>-1594.9142811240567</v>
      </c>
      <c r="N52" s="11">
        <f t="shared" si="18"/>
        <v>138.30652697725625</v>
      </c>
      <c r="O52" s="11">
        <f t="shared" si="18"/>
        <v>1532.6083021907282</v>
      </c>
      <c r="P52" s="11">
        <f t="shared" si="18"/>
        <v>-1521.0718939616809</v>
      </c>
      <c r="Q52" s="11">
        <f t="shared" si="18"/>
        <v>-782.9025786033244</v>
      </c>
      <c r="R52" s="11">
        <f t="shared" si="18"/>
        <v>1105.2472476917362</v>
      </c>
      <c r="S52" s="11">
        <f t="shared" si="19"/>
        <v>-728.83026996626438</v>
      </c>
      <c r="T52" s="11">
        <f t="shared" si="19"/>
        <v>1237.2362054617279</v>
      </c>
      <c r="U52" s="11">
        <f t="shared" si="19"/>
        <v>1344.8704143672883</v>
      </c>
      <c r="V52" s="11">
        <f t="shared" si="19"/>
        <v>1514.1800909751732</v>
      </c>
      <c r="W52" s="11">
        <f t="shared" si="19"/>
        <v>-1076.8846425989775</v>
      </c>
      <c r="X52" s="11">
        <f t="shared" si="19"/>
        <v>-1035.361549520874</v>
      </c>
      <c r="Y52" s="11">
        <f t="shared" si="19"/>
        <v>1372.9171451914322</v>
      </c>
      <c r="Z52" s="11">
        <f t="shared" si="19"/>
        <v>-444.28535453244803</v>
      </c>
      <c r="AA52" s="11">
        <f t="shared" si="19"/>
        <v>564.84679669921229</v>
      </c>
      <c r="AB52" s="11">
        <f t="shared" si="19"/>
        <v>1266.0075813739682</v>
      </c>
      <c r="AC52" s="11">
        <f t="shared" si="20"/>
        <v>-1467.8098881817946</v>
      </c>
      <c r="AD52" s="11">
        <f t="shared" si="20"/>
        <v>1495.5053990925119</v>
      </c>
      <c r="AE52" s="11">
        <f t="shared" si="20"/>
        <v>-955.98811537857932</v>
      </c>
      <c r="AF52" s="11">
        <f t="shared" si="20"/>
        <v>1354.4122621090312</v>
      </c>
      <c r="AG52" s="11">
        <f t="shared" si="20"/>
        <v>-1259.7910619054953</v>
      </c>
      <c r="AH52" s="11">
        <f t="shared" si="20"/>
        <v>588.82422041048494</v>
      </c>
      <c r="AI52" s="11">
        <f t="shared" si="20"/>
        <v>1169.7154448153053</v>
      </c>
      <c r="AJ52" s="11">
        <f t="shared" si="20"/>
        <v>-566.54823414313796</v>
      </c>
      <c r="AK52" s="11">
        <f t="shared" si="20"/>
        <v>1351.7417009111243</v>
      </c>
      <c r="AL52" s="11">
        <f t="shared" si="20"/>
        <v>-1588.0853038143237</v>
      </c>
      <c r="AM52" s="11">
        <f t="shared" si="21"/>
        <v>-1515.015221629224</v>
      </c>
      <c r="AN52" s="11">
        <f t="shared" si="21"/>
        <v>-799.91853624314467</v>
      </c>
      <c r="AO52" s="11">
        <f t="shared" si="21"/>
        <v>-401.54446185059334</v>
      </c>
      <c r="AP52" s="11">
        <f t="shared" si="21"/>
        <v>-1247.3799539406691</v>
      </c>
      <c r="AQ52" s="11">
        <f t="shared" si="21"/>
        <v>-1551.2130161080904</v>
      </c>
      <c r="AR52" s="11">
        <f t="shared" si="21"/>
        <v>1344.9632650261581</v>
      </c>
      <c r="AS52" s="11">
        <f t="shared" si="21"/>
        <v>1342.6892135626399</v>
      </c>
      <c r="AT52" s="11">
        <f t="shared" si="21"/>
        <v>1593.5553967577889</v>
      </c>
      <c r="AU52" s="11">
        <f t="shared" si="21"/>
        <v>1594.6817542648266</v>
      </c>
      <c r="AV52" s="11">
        <f t="shared" si="21"/>
        <v>1579.7981387675686</v>
      </c>
      <c r="AW52" s="11">
        <f t="shared" si="22"/>
        <v>1395.6324429469723</v>
      </c>
      <c r="AX52" s="11">
        <f t="shared" si="22"/>
        <v>935.68932148222734</v>
      </c>
      <c r="AY52" s="11">
        <f t="shared" si="22"/>
        <v>1401.789985291894</v>
      </c>
      <c r="AZ52" s="11">
        <f t="shared" si="22"/>
        <v>1565.8271086370264</v>
      </c>
      <c r="BA52" s="11">
        <f t="shared" si="22"/>
        <v>959.38270452936638</v>
      </c>
      <c r="BB52" s="11">
        <f t="shared" si="22"/>
        <v>1048.8828349309865</v>
      </c>
      <c r="BC52" s="11">
        <f t="shared" si="22"/>
        <v>-1208.9898700650244</v>
      </c>
      <c r="BD52" s="11">
        <f t="shared" si="22"/>
        <v>-1570.1491773635776</v>
      </c>
      <c r="BE52" s="11">
        <f t="shared" si="22"/>
        <v>-774.0628436747952</v>
      </c>
      <c r="BF52" s="11">
        <f t="shared" si="22"/>
        <v>592.53033395364457</v>
      </c>
      <c r="BG52" s="11">
        <f t="shared" si="22"/>
        <v>1522.4114105882409</v>
      </c>
      <c r="BH52" s="11">
        <f t="shared" si="22"/>
        <v>1330.2309697002345</v>
      </c>
      <c r="BI52" s="11">
        <f t="shared" si="22"/>
        <v>157.63158939913532</v>
      </c>
      <c r="BJ52" s="11">
        <f t="shared" si="22"/>
        <v>-1131.1468599614066</v>
      </c>
      <c r="BK52" s="11">
        <f t="shared" si="22"/>
        <v>1014.206977306118</v>
      </c>
    </row>
    <row r="53" spans="2:63" x14ac:dyDescent="0.25">
      <c r="B53">
        <v>4</v>
      </c>
      <c r="C53">
        <v>-1</v>
      </c>
      <c r="D53">
        <v>-1</v>
      </c>
      <c r="E53">
        <v>0</v>
      </c>
      <c r="F53">
        <v>1215</v>
      </c>
      <c r="H53" s="34"/>
      <c r="I53" s="11">
        <f t="shared" si="18"/>
        <v>1215.5510821217456</v>
      </c>
      <c r="J53" s="11">
        <f t="shared" si="18"/>
        <v>1166.5633683456713</v>
      </c>
      <c r="K53" s="11">
        <f t="shared" si="18"/>
        <v>-437.23264624973933</v>
      </c>
      <c r="L53" s="11">
        <f t="shared" si="18"/>
        <v>-1152.4095698025694</v>
      </c>
      <c r="M53" s="11">
        <f t="shared" si="18"/>
        <v>-600.03496772764879</v>
      </c>
      <c r="N53" s="11">
        <f t="shared" si="18"/>
        <v>592.68381080667325</v>
      </c>
      <c r="O53" s="11">
        <f t="shared" si="18"/>
        <v>-1198.3057946663853</v>
      </c>
      <c r="P53" s="11">
        <f t="shared" si="18"/>
        <v>-1176.9229912045846</v>
      </c>
      <c r="Q53" s="11">
        <f t="shared" si="18"/>
        <v>872.05890303429521</v>
      </c>
      <c r="R53" s="11">
        <f t="shared" si="18"/>
        <v>-1218.7549709074428</v>
      </c>
      <c r="S53" s="11">
        <f t="shared" si="19"/>
        <v>-550.399286139026</v>
      </c>
      <c r="T53" s="11">
        <f t="shared" si="19"/>
        <v>-203.70039617824349</v>
      </c>
      <c r="U53" s="11">
        <f t="shared" si="19"/>
        <v>1053.6321446084853</v>
      </c>
      <c r="V53" s="11">
        <f t="shared" si="19"/>
        <v>1275.7896751566725</v>
      </c>
      <c r="W53" s="11">
        <f t="shared" si="19"/>
        <v>-842.55894205248194</v>
      </c>
      <c r="X53" s="11">
        <f t="shared" si="19"/>
        <v>-635.01156764422626</v>
      </c>
      <c r="Y53" s="11">
        <f t="shared" si="19"/>
        <v>805.40613089568183</v>
      </c>
      <c r="Z53" s="11">
        <f t="shared" si="19"/>
        <v>-701.0311446435469</v>
      </c>
      <c r="AA53" s="11">
        <f t="shared" si="19"/>
        <v>-837.99014358733098</v>
      </c>
      <c r="AB53" s="11">
        <f t="shared" si="19"/>
        <v>-157.04562272480337</v>
      </c>
      <c r="AC53" s="11">
        <f t="shared" si="20"/>
        <v>1199.2973735218025</v>
      </c>
      <c r="AD53" s="11">
        <f t="shared" si="20"/>
        <v>-96.936322585330117</v>
      </c>
      <c r="AE53" s="11">
        <f t="shared" si="20"/>
        <v>-755.49100072313081</v>
      </c>
      <c r="AF53" s="11">
        <f t="shared" si="20"/>
        <v>1214.3657999905413</v>
      </c>
      <c r="AG53" s="11">
        <f t="shared" si="20"/>
        <v>-1150.9488521826613</v>
      </c>
      <c r="AH53" s="11">
        <f t="shared" si="20"/>
        <v>511.27919407308565</v>
      </c>
      <c r="AI53" s="11">
        <f t="shared" si="20"/>
        <v>-585.78838268867503</v>
      </c>
      <c r="AJ53" s="11">
        <f t="shared" si="20"/>
        <v>1196.3811054252178</v>
      </c>
      <c r="AK53" s="11">
        <f t="shared" si="20"/>
        <v>-1195.4742561329269</v>
      </c>
      <c r="AL53" s="11">
        <f t="shared" si="20"/>
        <v>-929.78178801953447</v>
      </c>
      <c r="AM53" s="11">
        <f t="shared" si="21"/>
        <v>-594.00462661806375</v>
      </c>
      <c r="AN53" s="11">
        <f t="shared" si="21"/>
        <v>45.329294667956979</v>
      </c>
      <c r="AO53" s="11">
        <f t="shared" si="21"/>
        <v>1220.4167786578926</v>
      </c>
      <c r="AP53" s="11">
        <f t="shared" si="21"/>
        <v>137.6791237472417</v>
      </c>
      <c r="AQ53" s="11">
        <f t="shared" si="21"/>
        <v>-1138.8033198136854</v>
      </c>
      <c r="AR53" s="11">
        <f t="shared" si="21"/>
        <v>982.23536631496916</v>
      </c>
      <c r="AS53" s="11">
        <f t="shared" si="21"/>
        <v>974.18122922525549</v>
      </c>
      <c r="AT53" s="11">
        <f t="shared" si="21"/>
        <v>-390.11425090783831</v>
      </c>
      <c r="AU53" s="11">
        <f t="shared" si="21"/>
        <v>1206.8652106132522</v>
      </c>
      <c r="AV53" s="11">
        <f t="shared" si="21"/>
        <v>-726.26281221150418</v>
      </c>
      <c r="AW53" s="11">
        <f t="shared" si="22"/>
        <v>-985.37848535460796</v>
      </c>
      <c r="AX53" s="11">
        <f t="shared" si="22"/>
        <v>474.35076347503446</v>
      </c>
      <c r="AY53" s="11">
        <f t="shared" si="22"/>
        <v>-846.33689197384217</v>
      </c>
      <c r="AZ53" s="11">
        <f t="shared" si="22"/>
        <v>-1212.9130763244837</v>
      </c>
      <c r="BA53" s="11">
        <f t="shared" si="22"/>
        <v>666.90621213765075</v>
      </c>
      <c r="BB53" s="11">
        <f t="shared" si="22"/>
        <v>-668.60173147766545</v>
      </c>
      <c r="BC53" s="11">
        <f t="shared" si="22"/>
        <v>-327.23869826019427</v>
      </c>
      <c r="BD53" s="11">
        <f t="shared" si="22"/>
        <v>396.91208939702238</v>
      </c>
      <c r="BE53" s="11">
        <f t="shared" si="22"/>
        <v>979.77858486711466</v>
      </c>
      <c r="BF53" s="11">
        <f t="shared" si="22"/>
        <v>1213.8845825893195</v>
      </c>
      <c r="BG53" s="11">
        <f t="shared" si="22"/>
        <v>1015.8981343566176</v>
      </c>
      <c r="BH53" s="11">
        <f t="shared" si="22"/>
        <v>456.29423912329548</v>
      </c>
      <c r="BI53" s="11">
        <f t="shared" si="22"/>
        <v>-265.73134609425074</v>
      </c>
      <c r="BJ53" s="11">
        <f t="shared" si="22"/>
        <v>-893.16752689464192</v>
      </c>
      <c r="BK53" s="11">
        <f t="shared" si="22"/>
        <v>-485.91574575456053</v>
      </c>
    </row>
    <row r="54" spans="2:63" x14ac:dyDescent="0.25">
      <c r="B54">
        <v>0</v>
      </c>
      <c r="C54">
        <v>0</v>
      </c>
      <c r="D54">
        <v>2</v>
      </c>
      <c r="E54">
        <v>2</v>
      </c>
      <c r="F54">
        <v>-1110</v>
      </c>
      <c r="H54" s="34"/>
      <c r="I54" s="11">
        <f t="shared" si="18"/>
        <v>-344.24088901173485</v>
      </c>
      <c r="J54" s="11">
        <f t="shared" si="18"/>
        <v>-1076.7889567803365</v>
      </c>
      <c r="K54" s="11">
        <f t="shared" si="18"/>
        <v>-1102.9282560821148</v>
      </c>
      <c r="L54" s="11">
        <f t="shared" si="18"/>
        <v>780.68395567274399</v>
      </c>
      <c r="M54" s="11">
        <f t="shared" si="18"/>
        <v>-614.26914341174495</v>
      </c>
      <c r="N54" s="11">
        <f t="shared" si="18"/>
        <v>-813.43634753079436</v>
      </c>
      <c r="O54" s="11">
        <f t="shared" si="18"/>
        <v>1097.1408087721677</v>
      </c>
      <c r="P54" s="11">
        <f t="shared" si="18"/>
        <v>958.02290797446983</v>
      </c>
      <c r="Q54" s="11">
        <f t="shared" si="18"/>
        <v>1089.5839012518343</v>
      </c>
      <c r="R54" s="11">
        <f t="shared" si="18"/>
        <v>-698.19284159781523</v>
      </c>
      <c r="S54" s="11">
        <f t="shared" si="19"/>
        <v>1076.5256419382665</v>
      </c>
      <c r="T54" s="11">
        <f t="shared" si="19"/>
        <v>-875.53479505055225</v>
      </c>
      <c r="U54" s="11">
        <f t="shared" si="19"/>
        <v>-411.13346258583357</v>
      </c>
      <c r="V54" s="11">
        <f t="shared" si="19"/>
        <v>569.18231842775504</v>
      </c>
      <c r="W54" s="11">
        <f t="shared" si="19"/>
        <v>467.79838084769739</v>
      </c>
      <c r="X54" s="11">
        <f t="shared" si="19"/>
        <v>525.39967845112562</v>
      </c>
      <c r="Y54" s="11">
        <f t="shared" si="19"/>
        <v>-526.25163693796685</v>
      </c>
      <c r="Z54" s="11">
        <f t="shared" si="19"/>
        <v>-380.74661853877689</v>
      </c>
      <c r="AA54" s="11">
        <f t="shared" si="19"/>
        <v>-475.65979059784263</v>
      </c>
      <c r="AB54" s="11">
        <f t="shared" si="19"/>
        <v>-1109.9988878612205</v>
      </c>
      <c r="AC54" s="11">
        <f t="shared" si="20"/>
        <v>1053.8772460011555</v>
      </c>
      <c r="AD54" s="11">
        <f t="shared" si="20"/>
        <v>931.37317067011747</v>
      </c>
      <c r="AE54" s="11">
        <f t="shared" si="20"/>
        <v>-1044.2242659960564</v>
      </c>
      <c r="AF54" s="11">
        <f t="shared" si="20"/>
        <v>-1064.9610058507549</v>
      </c>
      <c r="AG54" s="11">
        <f t="shared" si="20"/>
        <v>1109.9181968165708</v>
      </c>
      <c r="AH54" s="11">
        <f t="shared" si="20"/>
        <v>-1077.5081082190036</v>
      </c>
      <c r="AI54" s="11">
        <f t="shared" si="20"/>
        <v>-935.3067448608374</v>
      </c>
      <c r="AJ54" s="11">
        <f t="shared" si="20"/>
        <v>-423.52654883053594</v>
      </c>
      <c r="AK54" s="11">
        <f t="shared" si="20"/>
        <v>-803.82265532860436</v>
      </c>
      <c r="AL54" s="11">
        <f t="shared" si="20"/>
        <v>896.83546178035704</v>
      </c>
      <c r="AM54" s="11">
        <f t="shared" si="21"/>
        <v>869.96660165061007</v>
      </c>
      <c r="AN54" s="11">
        <f t="shared" si="21"/>
        <v>-918.74859196294938</v>
      </c>
      <c r="AO54" s="11">
        <f t="shared" si="21"/>
        <v>1042.2060509015162</v>
      </c>
      <c r="AP54" s="11">
        <f t="shared" si="21"/>
        <v>105.81224865834452</v>
      </c>
      <c r="AQ54" s="11">
        <f t="shared" si="21"/>
        <v>1089.7271180574578</v>
      </c>
      <c r="AR54" s="11">
        <f t="shared" si="21"/>
        <v>-1088.4463155836233</v>
      </c>
      <c r="AS54" s="11">
        <f t="shared" si="21"/>
        <v>907.97632684374923</v>
      </c>
      <c r="AT54" s="11">
        <f t="shared" si="21"/>
        <v>-1001.8513117138278</v>
      </c>
      <c r="AU54" s="11">
        <f t="shared" si="21"/>
        <v>-1074.8386062505222</v>
      </c>
      <c r="AV54" s="11">
        <f t="shared" si="21"/>
        <v>-1087.9022631357859</v>
      </c>
      <c r="AW54" s="11">
        <f t="shared" si="22"/>
        <v>-861.79443057637911</v>
      </c>
      <c r="AX54" s="11">
        <f t="shared" si="22"/>
        <v>-3.4564364840890867</v>
      </c>
      <c r="AY54" s="11">
        <f t="shared" si="22"/>
        <v>1107.2518594711578</v>
      </c>
      <c r="AZ54" s="11">
        <f t="shared" si="22"/>
        <v>1105.1026334511844</v>
      </c>
      <c r="BA54" s="11">
        <f t="shared" si="22"/>
        <v>1058.8138676789542</v>
      </c>
      <c r="BB54" s="11">
        <f t="shared" si="22"/>
        <v>-1067.4386880157551</v>
      </c>
      <c r="BC54" s="11">
        <f t="shared" si="22"/>
        <v>750.15960633958423</v>
      </c>
      <c r="BD54" s="11">
        <f t="shared" si="22"/>
        <v>-194.10140350250521</v>
      </c>
      <c r="BE54" s="11">
        <f t="shared" si="22"/>
        <v>-986.00550239042343</v>
      </c>
      <c r="BF54" s="11">
        <f t="shared" si="22"/>
        <v>-1003.9597492008711</v>
      </c>
      <c r="BG54" s="11">
        <f t="shared" si="22"/>
        <v>-233.87123407635369</v>
      </c>
      <c r="BH54" s="11">
        <f t="shared" si="22"/>
        <v>719.79090876094563</v>
      </c>
      <c r="BI54" s="11">
        <f t="shared" si="22"/>
        <v>1108.4642497990112</v>
      </c>
      <c r="BJ54" s="11">
        <f t="shared" si="22"/>
        <v>627.0656286748391</v>
      </c>
      <c r="BK54" s="11">
        <f t="shared" si="22"/>
        <v>-843.6544072349991</v>
      </c>
    </row>
    <row r="55" spans="2:63" x14ac:dyDescent="0.25">
      <c r="B55">
        <v>3</v>
      </c>
      <c r="C55">
        <v>0</v>
      </c>
      <c r="D55">
        <v>-1</v>
      </c>
      <c r="E55">
        <v>0</v>
      </c>
      <c r="F55">
        <v>-892</v>
      </c>
      <c r="H55" s="34"/>
      <c r="I55" s="11">
        <f t="shared" si="18"/>
        <v>707.13851781960318</v>
      </c>
      <c r="J55" s="11">
        <f t="shared" si="18"/>
        <v>640.86410391783306</v>
      </c>
      <c r="K55" s="11">
        <f t="shared" si="18"/>
        <v>-556.34460451159759</v>
      </c>
      <c r="L55" s="11">
        <f t="shared" si="18"/>
        <v>-890.50805539739645</v>
      </c>
      <c r="M55" s="11">
        <f t="shared" si="18"/>
        <v>889.34479501856072</v>
      </c>
      <c r="N55" s="11">
        <f t="shared" si="18"/>
        <v>-559.76844012121614</v>
      </c>
      <c r="O55" s="11">
        <f t="shared" si="18"/>
        <v>387.18800401081273</v>
      </c>
      <c r="P55" s="11">
        <f t="shared" si="18"/>
        <v>-39.285363422218083</v>
      </c>
      <c r="Q55" s="11">
        <f t="shared" si="18"/>
        <v>-661.42475686986074</v>
      </c>
      <c r="R55" s="11">
        <f t="shared" si="18"/>
        <v>-890.97938915167435</v>
      </c>
      <c r="S55" s="11">
        <f t="shared" si="19"/>
        <v>-410.60720667526334</v>
      </c>
      <c r="T55" s="11">
        <f t="shared" si="19"/>
        <v>803.68890365540392</v>
      </c>
      <c r="U55" s="11">
        <f t="shared" si="19"/>
        <v>-154.0599106442917</v>
      </c>
      <c r="V55" s="11">
        <f t="shared" si="19"/>
        <v>-491.7156608647274</v>
      </c>
      <c r="W55" s="11">
        <f t="shared" si="19"/>
        <v>-812.26987771614768</v>
      </c>
      <c r="X55" s="11">
        <f t="shared" si="19"/>
        <v>195.80709946510441</v>
      </c>
      <c r="Y55" s="11">
        <f t="shared" si="19"/>
        <v>855.66084970952602</v>
      </c>
      <c r="Z55" s="11">
        <f t="shared" si="19"/>
        <v>-634.2437184009741</v>
      </c>
      <c r="AA55" s="11">
        <f t="shared" si="19"/>
        <v>25.025098132851259</v>
      </c>
      <c r="AB55" s="11">
        <f t="shared" si="19"/>
        <v>357.45257404457885</v>
      </c>
      <c r="AC55" s="11">
        <f t="shared" si="20"/>
        <v>57.909984282091827</v>
      </c>
      <c r="AD55" s="11">
        <f t="shared" si="20"/>
        <v>-125.43548455927007</v>
      </c>
      <c r="AE55" s="11">
        <f t="shared" si="20"/>
        <v>-402.64894825056223</v>
      </c>
      <c r="AF55" s="11">
        <f t="shared" si="20"/>
        <v>890.96879225113696</v>
      </c>
      <c r="AG55" s="11">
        <f t="shared" si="20"/>
        <v>-547.24810726776673</v>
      </c>
      <c r="AH55" s="11">
        <f t="shared" si="20"/>
        <v>-823.2031193222432</v>
      </c>
      <c r="AI55" s="11">
        <f t="shared" si="20"/>
        <v>871.8464415847244</v>
      </c>
      <c r="AJ55" s="11">
        <f t="shared" si="20"/>
        <v>-570.92761093263164</v>
      </c>
      <c r="AK55" s="11">
        <f t="shared" si="20"/>
        <v>279.92018600595173</v>
      </c>
      <c r="AL55" s="11">
        <f t="shared" si="20"/>
        <v>-859.90584415022909</v>
      </c>
      <c r="AM55" s="11">
        <f t="shared" si="21"/>
        <v>-871.84273594978015</v>
      </c>
      <c r="AN55" s="11">
        <f t="shared" si="21"/>
        <v>-49.198791018476165</v>
      </c>
      <c r="AO55" s="11">
        <f t="shared" si="21"/>
        <v>-222.47322339331845</v>
      </c>
      <c r="AP55" s="11">
        <f t="shared" si="21"/>
        <v>869.97454140466311</v>
      </c>
      <c r="AQ55" s="11">
        <f t="shared" si="21"/>
        <v>-713.2522797998779</v>
      </c>
      <c r="AR55" s="11">
        <f t="shared" si="21"/>
        <v>-743.56848981968551</v>
      </c>
      <c r="AS55" s="11">
        <f t="shared" si="21"/>
        <v>847.89942241968947</v>
      </c>
      <c r="AT55" s="11">
        <f t="shared" si="21"/>
        <v>-875.07045385674724</v>
      </c>
      <c r="AU55" s="11">
        <f t="shared" si="21"/>
        <v>890.80782050398125</v>
      </c>
      <c r="AV55" s="11">
        <f t="shared" si="21"/>
        <v>-834.4311666680602</v>
      </c>
      <c r="AW55" s="11">
        <f t="shared" si="22"/>
        <v>852.13704726630317</v>
      </c>
      <c r="AX55" s="11">
        <f t="shared" si="22"/>
        <v>750.9171468140712</v>
      </c>
      <c r="AY55" s="11">
        <f t="shared" si="22"/>
        <v>-176.19405341943494</v>
      </c>
      <c r="AZ55" s="11">
        <f t="shared" si="22"/>
        <v>-324.70458872402423</v>
      </c>
      <c r="BA55" s="11">
        <f t="shared" si="22"/>
        <v>-513.28611549063999</v>
      </c>
      <c r="BB55" s="11">
        <f t="shared" si="22"/>
        <v>-681.75660271030506</v>
      </c>
      <c r="BC55" s="11">
        <f t="shared" si="22"/>
        <v>603.22384696823667</v>
      </c>
      <c r="BD55" s="11">
        <f t="shared" si="22"/>
        <v>815.25774384916087</v>
      </c>
      <c r="BE55" s="11">
        <f t="shared" si="22"/>
        <v>891.97447796769063</v>
      </c>
      <c r="BF55" s="11">
        <f t="shared" si="22"/>
        <v>820.64054157674968</v>
      </c>
      <c r="BG55" s="11">
        <f t="shared" si="22"/>
        <v>613.09600115140302</v>
      </c>
      <c r="BH55" s="11">
        <f t="shared" si="22"/>
        <v>303.78927324454821</v>
      </c>
      <c r="BI55" s="11">
        <f t="shared" si="22"/>
        <v>-55.940652533658827</v>
      </c>
      <c r="BJ55" s="11">
        <f t="shared" si="22"/>
        <v>-406.38550197515866</v>
      </c>
      <c r="BK55" s="11">
        <f t="shared" si="22"/>
        <v>858.48517608504505</v>
      </c>
    </row>
    <row r="56" spans="2:63" x14ac:dyDescent="0.25">
      <c r="B56">
        <v>2</v>
      </c>
      <c r="C56">
        <v>1</v>
      </c>
      <c r="D56">
        <v>1</v>
      </c>
      <c r="E56">
        <v>0</v>
      </c>
      <c r="F56">
        <v>-810</v>
      </c>
      <c r="H56" s="34"/>
      <c r="I56" s="11">
        <f t="shared" ref="I56:R65" si="23">IF(ABS($C56)=1,I$7,IF(ABS($C56)=2,I$7^2,1))*$F56*SIN(($B56*I$2  +  $C56*I$3  +  $D56*I$4  +  $E56*I$5)*Deg2Rad)</f>
        <v>388.5427015471796</v>
      </c>
      <c r="J56" s="11">
        <f t="shared" si="23"/>
        <v>746.00932750269465</v>
      </c>
      <c r="K56" s="11">
        <f t="shared" si="23"/>
        <v>-115.42994500144715</v>
      </c>
      <c r="L56" s="11">
        <f t="shared" si="23"/>
        <v>-17.860766619982723</v>
      </c>
      <c r="M56" s="11">
        <f t="shared" si="23"/>
        <v>596.0394620209288</v>
      </c>
      <c r="N56" s="11">
        <f t="shared" si="23"/>
        <v>-749.36696163959391</v>
      </c>
      <c r="O56" s="11">
        <f t="shared" si="23"/>
        <v>699.17166637968171</v>
      </c>
      <c r="P56" s="11">
        <f t="shared" si="23"/>
        <v>-808.46149857542991</v>
      </c>
      <c r="Q56" s="11">
        <f t="shared" si="23"/>
        <v>734.30382997043159</v>
      </c>
      <c r="R56" s="11">
        <f t="shared" si="23"/>
        <v>-813.88708792961268</v>
      </c>
      <c r="S56" s="11">
        <f t="shared" ref="S56:AB65" si="24">IF(ABS($C56)=1,S$7,IF(ABS($C56)=2,S$7^2,1))*$F56*SIN(($B56*S$2  +  $C56*S$3  +  $D56*S$4  +  $E56*S$5)*Deg2Rad)</f>
        <v>-812.77700185915421</v>
      </c>
      <c r="T56" s="11">
        <f t="shared" si="24"/>
        <v>780.40331274087794</v>
      </c>
      <c r="U56" s="11">
        <f t="shared" si="24"/>
        <v>-491.93850243804934</v>
      </c>
      <c r="V56" s="11">
        <f t="shared" si="24"/>
        <v>-816.64425424953333</v>
      </c>
      <c r="W56" s="11">
        <f t="shared" si="24"/>
        <v>-711.16343618840381</v>
      </c>
      <c r="X56" s="11">
        <f t="shared" si="24"/>
        <v>65.609943513875692</v>
      </c>
      <c r="Y56" s="11">
        <f t="shared" si="24"/>
        <v>-730.6031535738307</v>
      </c>
      <c r="Z56" s="11">
        <f t="shared" si="24"/>
        <v>-577.98920483577172</v>
      </c>
      <c r="AA56" s="11">
        <f t="shared" si="24"/>
        <v>688.51214440808712</v>
      </c>
      <c r="AB56" s="11">
        <f t="shared" si="24"/>
        <v>399.19954685344248</v>
      </c>
      <c r="AC56" s="11">
        <f t="shared" ref="AC56:AL65" si="25">IF(ABS($C56)=1,AC$7,IF(ABS($C56)=2,AC$7^2,1))*$F56*SIN(($B56*AC$2  +  $C56*AC$3  +  $D56*AC$4  +  $E56*AC$5)*Deg2Rad)</f>
        <v>-124.72981264431277</v>
      </c>
      <c r="AD56" s="11">
        <f t="shared" si="25"/>
        <v>629.85238589935909</v>
      </c>
      <c r="AE56" s="11">
        <f t="shared" si="25"/>
        <v>154.87662370013393</v>
      </c>
      <c r="AF56" s="11">
        <f t="shared" si="25"/>
        <v>395.44114387661097</v>
      </c>
      <c r="AG56" s="11">
        <f t="shared" si="25"/>
        <v>-142.05520065883826</v>
      </c>
      <c r="AH56" s="11">
        <f t="shared" si="25"/>
        <v>-77.858918386347455</v>
      </c>
      <c r="AI56" s="11">
        <f t="shared" si="25"/>
        <v>-621.22982767464043</v>
      </c>
      <c r="AJ56" s="11">
        <f t="shared" si="25"/>
        <v>732.03712072036444</v>
      </c>
      <c r="AK56" s="11">
        <f t="shared" si="25"/>
        <v>303.27376078833288</v>
      </c>
      <c r="AL56" s="11">
        <f t="shared" si="25"/>
        <v>-618.94332089546481</v>
      </c>
      <c r="AM56" s="11">
        <f t="shared" ref="AM56:AV65" si="26">IF(ABS($C56)=1,AM$7,IF(ABS($C56)=2,AM$7^2,1))*$F56*SIN(($B56*AM$2  +  $C56*AM$3  +  $D56*AM$4  +  $E56*AM$5)*Deg2Rad)</f>
        <v>809.51992530310554</v>
      </c>
      <c r="AN56" s="11">
        <f t="shared" si="26"/>
        <v>424.47490903588186</v>
      </c>
      <c r="AO56" s="11">
        <f t="shared" si="26"/>
        <v>-83.006139408626183</v>
      </c>
      <c r="AP56" s="11">
        <f t="shared" si="26"/>
        <v>-331.94535983687615</v>
      </c>
      <c r="AQ56" s="11">
        <f t="shared" si="26"/>
        <v>449.28386045379813</v>
      </c>
      <c r="AR56" s="11">
        <f t="shared" si="26"/>
        <v>-793.61413711441105</v>
      </c>
      <c r="AS56" s="11">
        <f t="shared" si="26"/>
        <v>155.49125499053972</v>
      </c>
      <c r="AT56" s="11">
        <f t="shared" si="26"/>
        <v>-368.89239974111064</v>
      </c>
      <c r="AU56" s="11">
        <f t="shared" si="26"/>
        <v>-727.92072566632044</v>
      </c>
      <c r="AV56" s="11">
        <f t="shared" si="26"/>
        <v>412.8285061035898</v>
      </c>
      <c r="AW56" s="11">
        <f t="shared" ref="AW56:BK65" si="27">IF(ABS($C56)=1,AW$7,IF(ABS($C56)=2,AW$7^2,1))*$F56*SIN(($B56*AW$2  +  $C56*AW$3  +  $D56*AW$4  +  $E56*AW$5)*Deg2Rad)</f>
        <v>809.48302547724154</v>
      </c>
      <c r="AX56" s="11">
        <f t="shared" si="27"/>
        <v>-747.26242695000178</v>
      </c>
      <c r="AY56" s="11">
        <f t="shared" si="27"/>
        <v>-589.21909260939788</v>
      </c>
      <c r="AZ56" s="11">
        <f t="shared" si="27"/>
        <v>-68.275018194660632</v>
      </c>
      <c r="BA56" s="11">
        <f t="shared" si="27"/>
        <v>448.69709304272845</v>
      </c>
      <c r="BB56" s="11">
        <f t="shared" si="27"/>
        <v>-141.93695321514247</v>
      </c>
      <c r="BC56" s="11">
        <f t="shared" si="27"/>
        <v>78.752209096737303</v>
      </c>
      <c r="BD56" s="11">
        <f t="shared" si="27"/>
        <v>562.49816859261296</v>
      </c>
      <c r="BE56" s="11">
        <f t="shared" si="27"/>
        <v>802.50847804648606</v>
      </c>
      <c r="BF56" s="11">
        <f t="shared" si="27"/>
        <v>694.78451647226905</v>
      </c>
      <c r="BG56" s="11">
        <f t="shared" si="27"/>
        <v>286.00410625495624</v>
      </c>
      <c r="BH56" s="11">
        <f t="shared" si="27"/>
        <v>-246.70443352434697</v>
      </c>
      <c r="BI56" s="11">
        <f t="shared" si="27"/>
        <v>-672.51362017033182</v>
      </c>
      <c r="BJ56" s="11">
        <f t="shared" si="27"/>
        <v>-806.91646687988953</v>
      </c>
      <c r="BK56" s="11">
        <f t="shared" si="27"/>
        <v>-670.72396852335123</v>
      </c>
    </row>
    <row r="57" spans="2:63" x14ac:dyDescent="0.25">
      <c r="B57">
        <v>4</v>
      </c>
      <c r="C57">
        <v>-1</v>
      </c>
      <c r="D57">
        <v>-2</v>
      </c>
      <c r="E57">
        <v>0</v>
      </c>
      <c r="F57">
        <v>759</v>
      </c>
      <c r="H57" s="34"/>
      <c r="I57" s="11">
        <f t="shared" si="23"/>
        <v>-700.65253787259371</v>
      </c>
      <c r="J57" s="11">
        <f t="shared" si="23"/>
        <v>256.27871208050061</v>
      </c>
      <c r="K57" s="11">
        <f t="shared" si="23"/>
        <v>-308.04575449269043</v>
      </c>
      <c r="L57" s="11">
        <f t="shared" si="23"/>
        <v>-400.15423975358806</v>
      </c>
      <c r="M57" s="11">
        <f t="shared" si="23"/>
        <v>-425.10824864237969</v>
      </c>
      <c r="N57" s="11">
        <f t="shared" si="23"/>
        <v>748.72337517673918</v>
      </c>
      <c r="O57" s="11">
        <f t="shared" si="23"/>
        <v>-201.03287741794918</v>
      </c>
      <c r="P57" s="11">
        <f t="shared" si="23"/>
        <v>754.19634515770383</v>
      </c>
      <c r="Q57" s="11">
        <f t="shared" si="23"/>
        <v>741.15131650768126</v>
      </c>
      <c r="R57" s="11">
        <f t="shared" si="23"/>
        <v>119.57307577211094</v>
      </c>
      <c r="S57" s="11">
        <f t="shared" si="24"/>
        <v>355.92948591220272</v>
      </c>
      <c r="T57" s="11">
        <f t="shared" si="24"/>
        <v>778.17163068044647</v>
      </c>
      <c r="U57" s="11">
        <f t="shared" si="24"/>
        <v>-274.08414231092871</v>
      </c>
      <c r="V57" s="11">
        <f t="shared" si="24"/>
        <v>-530.82717166654936</v>
      </c>
      <c r="W57" s="11">
        <f t="shared" si="24"/>
        <v>-427.46080632061569</v>
      </c>
      <c r="X57" s="11">
        <f t="shared" si="24"/>
        <v>-3.0651398672962573</v>
      </c>
      <c r="Y57" s="11">
        <f t="shared" si="24"/>
        <v>-805.53448239431737</v>
      </c>
      <c r="Z57" s="11">
        <f t="shared" si="24"/>
        <v>-848.91929436850467</v>
      </c>
      <c r="AA57" s="11">
        <f t="shared" si="24"/>
        <v>-75.270851852233776</v>
      </c>
      <c r="AB57" s="11">
        <f t="shared" si="24"/>
        <v>-165.2920658862746</v>
      </c>
      <c r="AC57" s="11">
        <f t="shared" si="25"/>
        <v>573.21499222746411</v>
      </c>
      <c r="AD57" s="11">
        <f t="shared" si="25"/>
        <v>-394.4783125306941</v>
      </c>
      <c r="AE57" s="11">
        <f t="shared" si="25"/>
        <v>-172.30136565014956</v>
      </c>
      <c r="AF57" s="11">
        <f t="shared" si="25"/>
        <v>397.14098426866644</v>
      </c>
      <c r="AG57" s="11">
        <f t="shared" si="25"/>
        <v>279.46201291169058</v>
      </c>
      <c r="AH57" s="11">
        <f t="shared" si="25"/>
        <v>-739.8582954421704</v>
      </c>
      <c r="AI57" s="11">
        <f t="shared" si="25"/>
        <v>675.32541568396925</v>
      </c>
      <c r="AJ57" s="11">
        <f t="shared" si="25"/>
        <v>513.56124121168375</v>
      </c>
      <c r="AK57" s="11">
        <f t="shared" si="25"/>
        <v>138.96123570242219</v>
      </c>
      <c r="AL57" s="11">
        <f t="shared" si="25"/>
        <v>317.46516485901282</v>
      </c>
      <c r="AM57" s="11">
        <f t="shared" si="26"/>
        <v>716.47356546340063</v>
      </c>
      <c r="AN57" s="11">
        <f t="shared" si="26"/>
        <v>260.00558604472053</v>
      </c>
      <c r="AO57" s="11">
        <f t="shared" si="26"/>
        <v>638.80937898369052</v>
      </c>
      <c r="AP57" s="11">
        <f t="shared" si="26"/>
        <v>-705.86567806009464</v>
      </c>
      <c r="AQ57" s="11">
        <f t="shared" si="26"/>
        <v>-161.47230439275683</v>
      </c>
      <c r="AR57" s="11">
        <f t="shared" si="26"/>
        <v>707.28100911602905</v>
      </c>
      <c r="AS57" s="11">
        <f t="shared" si="26"/>
        <v>777.07235276207189</v>
      </c>
      <c r="AT57" s="11">
        <f t="shared" si="26"/>
        <v>-628.10206506938221</v>
      </c>
      <c r="AU57" s="11">
        <f t="shared" si="26"/>
        <v>753.16723574647131</v>
      </c>
      <c r="AV57" s="11">
        <f t="shared" si="26"/>
        <v>-694.41170217543288</v>
      </c>
      <c r="AW57" s="11">
        <f t="shared" si="27"/>
        <v>623.28507149136772</v>
      </c>
      <c r="AX57" s="11">
        <f t="shared" si="27"/>
        <v>164.46193112882409</v>
      </c>
      <c r="AY57" s="11">
        <f t="shared" si="27"/>
        <v>-635.27901589170074</v>
      </c>
      <c r="AZ57" s="11">
        <f t="shared" si="27"/>
        <v>715.38479849798671</v>
      </c>
      <c r="BA57" s="11">
        <f t="shared" si="27"/>
        <v>707.49960725083918</v>
      </c>
      <c r="BB57" s="11">
        <f t="shared" si="27"/>
        <v>358.24526221381763</v>
      </c>
      <c r="BC57" s="11">
        <f t="shared" si="27"/>
        <v>-643.69071049198385</v>
      </c>
      <c r="BD57" s="11">
        <f t="shared" si="27"/>
        <v>-450.23806621087391</v>
      </c>
      <c r="BE57" s="11">
        <f t="shared" si="27"/>
        <v>-193.27627550080197</v>
      </c>
      <c r="BF57" s="11">
        <f t="shared" si="27"/>
        <v>90.948426532496441</v>
      </c>
      <c r="BG57" s="11">
        <f t="shared" si="27"/>
        <v>362.34418880091152</v>
      </c>
      <c r="BH57" s="11">
        <f t="shared" si="27"/>
        <v>582.62877586215939</v>
      </c>
      <c r="BI57" s="11">
        <f t="shared" si="27"/>
        <v>720.72954004333985</v>
      </c>
      <c r="BJ57" s="11">
        <f t="shared" si="27"/>
        <v>757.16643091441949</v>
      </c>
      <c r="BK57" s="11">
        <f t="shared" si="27"/>
        <v>694.05305326324242</v>
      </c>
    </row>
    <row r="58" spans="2:63" x14ac:dyDescent="0.25">
      <c r="B58">
        <v>0</v>
      </c>
      <c r="C58">
        <v>2</v>
      </c>
      <c r="D58">
        <v>-1</v>
      </c>
      <c r="E58">
        <v>0</v>
      </c>
      <c r="F58">
        <v>-713</v>
      </c>
      <c r="H58" s="34"/>
      <c r="I58" s="11">
        <f t="shared" si="23"/>
        <v>-276.61952822861554</v>
      </c>
      <c r="J58" s="11">
        <f t="shared" si="23"/>
        <v>-344.52335735394689</v>
      </c>
      <c r="K58" s="11">
        <f t="shared" si="23"/>
        <v>459.21085762701654</v>
      </c>
      <c r="L58" s="11">
        <f t="shared" si="23"/>
        <v>505.28305827219089</v>
      </c>
      <c r="M58" s="11">
        <f t="shared" si="23"/>
        <v>-550.75754100258507</v>
      </c>
      <c r="N58" s="11">
        <f t="shared" si="23"/>
        <v>699.30028389236088</v>
      </c>
      <c r="O58" s="11">
        <f t="shared" si="23"/>
        <v>446.11399429587863</v>
      </c>
      <c r="P58" s="11">
        <f t="shared" si="23"/>
        <v>-264.45298242374986</v>
      </c>
      <c r="Q58" s="11">
        <f t="shared" si="23"/>
        <v>-589.17386399741713</v>
      </c>
      <c r="R58" s="11">
        <f t="shared" si="23"/>
        <v>724.16198976348733</v>
      </c>
      <c r="S58" s="11">
        <f t="shared" si="24"/>
        <v>76.654705735912515</v>
      </c>
      <c r="T58" s="11">
        <f t="shared" si="24"/>
        <v>-531.11710508865633</v>
      </c>
      <c r="U58" s="11">
        <f t="shared" si="24"/>
        <v>311.20647850107378</v>
      </c>
      <c r="V58" s="11">
        <f t="shared" si="24"/>
        <v>166.47705093961611</v>
      </c>
      <c r="W58" s="11">
        <f t="shared" si="24"/>
        <v>140.3073516349576</v>
      </c>
      <c r="X58" s="11">
        <f t="shared" si="24"/>
        <v>-547.05697371836254</v>
      </c>
      <c r="Y58" s="11">
        <f t="shared" si="24"/>
        <v>-591.71628457992108</v>
      </c>
      <c r="Z58" s="11">
        <f t="shared" si="24"/>
        <v>257.73244374357847</v>
      </c>
      <c r="AA58" s="11">
        <f t="shared" si="24"/>
        <v>452.05956607844377</v>
      </c>
      <c r="AB58" s="11">
        <f t="shared" si="24"/>
        <v>125.52863688522071</v>
      </c>
      <c r="AC58" s="11">
        <f t="shared" si="25"/>
        <v>-402.01591127811429</v>
      </c>
      <c r="AD58" s="11">
        <f t="shared" si="25"/>
        <v>-482.43353191613312</v>
      </c>
      <c r="AE58" s="11">
        <f t="shared" si="25"/>
        <v>509.78215045714745</v>
      </c>
      <c r="AF58" s="11">
        <f t="shared" si="25"/>
        <v>644.67660045205002</v>
      </c>
      <c r="AG58" s="11">
        <f t="shared" si="25"/>
        <v>-154.10898905730687</v>
      </c>
      <c r="AH58" s="11">
        <f t="shared" si="25"/>
        <v>-712.58525248627575</v>
      </c>
      <c r="AI58" s="11">
        <f t="shared" si="25"/>
        <v>8.492145318074142</v>
      </c>
      <c r="AJ58" s="11">
        <f t="shared" si="25"/>
        <v>711.05304240156136</v>
      </c>
      <c r="AK58" s="11">
        <f t="shared" si="25"/>
        <v>555.25768707529767</v>
      </c>
      <c r="AL58" s="11">
        <f t="shared" si="25"/>
        <v>-423.33061895074599</v>
      </c>
      <c r="AM58" s="11">
        <f t="shared" si="26"/>
        <v>528.66795274482274</v>
      </c>
      <c r="AN58" s="11">
        <f t="shared" si="26"/>
        <v>670.734867515666</v>
      </c>
      <c r="AO58" s="11">
        <f t="shared" si="26"/>
        <v>-406.15660004993737</v>
      </c>
      <c r="AP58" s="11">
        <f t="shared" si="26"/>
        <v>-394.72995890262382</v>
      </c>
      <c r="AQ58" s="11">
        <f t="shared" si="26"/>
        <v>-612.82106207221204</v>
      </c>
      <c r="AR58" s="11">
        <f t="shared" si="26"/>
        <v>621.39713155855964</v>
      </c>
      <c r="AS58" s="11">
        <f t="shared" si="26"/>
        <v>-145.93977346589276</v>
      </c>
      <c r="AT58" s="11">
        <f t="shared" si="26"/>
        <v>711.48323004854672</v>
      </c>
      <c r="AU58" s="11">
        <f t="shared" si="26"/>
        <v>113.68115905137823</v>
      </c>
      <c r="AV58" s="11">
        <f t="shared" si="26"/>
        <v>-657.46064980132712</v>
      </c>
      <c r="AW58" s="11">
        <f t="shared" si="27"/>
        <v>-312.26858390820121</v>
      </c>
      <c r="AX58" s="11">
        <f t="shared" si="27"/>
        <v>489.44538812706401</v>
      </c>
      <c r="AY58" s="11">
        <f t="shared" si="27"/>
        <v>574.91424922533713</v>
      </c>
      <c r="AZ58" s="11">
        <f t="shared" si="27"/>
        <v>481.26745238370427</v>
      </c>
      <c r="BA58" s="11">
        <f t="shared" si="27"/>
        <v>-450.05267726769148</v>
      </c>
      <c r="BB58" s="11">
        <f t="shared" si="27"/>
        <v>-460.29337677493544</v>
      </c>
      <c r="BC58" s="11">
        <f t="shared" si="27"/>
        <v>671.73773878487748</v>
      </c>
      <c r="BD58" s="11">
        <f t="shared" si="27"/>
        <v>613.66550160546706</v>
      </c>
      <c r="BE58" s="11">
        <f t="shared" si="27"/>
        <v>532.6587828557457</v>
      </c>
      <c r="BF58" s="11">
        <f t="shared" si="27"/>
        <v>431.7450499058865</v>
      </c>
      <c r="BG58" s="11">
        <f t="shared" si="27"/>
        <v>314.6957533793755</v>
      </c>
      <c r="BH58" s="11">
        <f t="shared" si="27"/>
        <v>185.8853766671013</v>
      </c>
      <c r="BI58" s="11">
        <f t="shared" si="27"/>
        <v>50.12794835732425</v>
      </c>
      <c r="BJ58" s="11">
        <f t="shared" si="27"/>
        <v>-87.502872394305442</v>
      </c>
      <c r="BK58" s="11">
        <f t="shared" si="27"/>
        <v>-12.398819600312969</v>
      </c>
    </row>
    <row r="59" spans="2:63" x14ac:dyDescent="0.25">
      <c r="B59">
        <v>2</v>
      </c>
      <c r="C59">
        <v>2</v>
      </c>
      <c r="D59">
        <v>-1</v>
      </c>
      <c r="E59">
        <v>0</v>
      </c>
      <c r="F59">
        <v>-700</v>
      </c>
      <c r="H59" s="34"/>
      <c r="I59" s="11">
        <f t="shared" si="23"/>
        <v>680.94875635426217</v>
      </c>
      <c r="J59" s="11">
        <f t="shared" si="23"/>
        <v>-398.48548848005828</v>
      </c>
      <c r="K59" s="11">
        <f t="shared" si="23"/>
        <v>-696.42241233864274</v>
      </c>
      <c r="L59" s="11">
        <f t="shared" si="23"/>
        <v>691.14949042268597</v>
      </c>
      <c r="M59" s="11">
        <f t="shared" si="23"/>
        <v>185.96125268483155</v>
      </c>
      <c r="N59" s="11">
        <f t="shared" si="23"/>
        <v>-700.23539754545334</v>
      </c>
      <c r="O59" s="11">
        <f t="shared" si="23"/>
        <v>-300.24908743078356</v>
      </c>
      <c r="P59" s="11">
        <f t="shared" si="23"/>
        <v>698.06070249856157</v>
      </c>
      <c r="Q59" s="11">
        <f t="shared" si="23"/>
        <v>-530.71308505612387</v>
      </c>
      <c r="R59" s="11">
        <f t="shared" si="23"/>
        <v>711.29037701301093</v>
      </c>
      <c r="S59" s="11">
        <f t="shared" si="24"/>
        <v>-711.24161569926662</v>
      </c>
      <c r="T59" s="11">
        <f t="shared" si="24"/>
        <v>-234.59486366781897</v>
      </c>
      <c r="U59" s="11">
        <f t="shared" si="24"/>
        <v>85.28260404496541</v>
      </c>
      <c r="V59" s="11">
        <f t="shared" si="24"/>
        <v>-93.313374312424614</v>
      </c>
      <c r="W59" s="11">
        <f t="shared" si="24"/>
        <v>-533.13474352564344</v>
      </c>
      <c r="X59" s="11">
        <f t="shared" si="24"/>
        <v>-387.8409681166296</v>
      </c>
      <c r="Y59" s="11">
        <f t="shared" si="24"/>
        <v>-783.76341150727512</v>
      </c>
      <c r="Z59" s="11">
        <f t="shared" si="24"/>
        <v>654.92106821174639</v>
      </c>
      <c r="AA59" s="11">
        <f t="shared" si="24"/>
        <v>571.00221567217727</v>
      </c>
      <c r="AB59" s="11">
        <f t="shared" si="24"/>
        <v>-592.70079580751087</v>
      </c>
      <c r="AC59" s="11">
        <f t="shared" si="25"/>
        <v>533.94086288526944</v>
      </c>
      <c r="AD59" s="11">
        <f t="shared" si="25"/>
        <v>-285.53781225724214</v>
      </c>
      <c r="AE59" s="11">
        <f t="shared" si="25"/>
        <v>-699.92326457048432</v>
      </c>
      <c r="AF59" s="11">
        <f t="shared" si="25"/>
        <v>699.72659521538128</v>
      </c>
      <c r="AG59" s="11">
        <f t="shared" si="25"/>
        <v>-498.62941336885666</v>
      </c>
      <c r="AH59" s="11">
        <f t="shared" si="25"/>
        <v>425.02008005908016</v>
      </c>
      <c r="AI59" s="11">
        <f t="shared" si="25"/>
        <v>94.625118245224925</v>
      </c>
      <c r="AJ59" s="11">
        <f t="shared" si="25"/>
        <v>-165.57595941326991</v>
      </c>
      <c r="AK59" s="11">
        <f t="shared" si="25"/>
        <v>207.55309781592862</v>
      </c>
      <c r="AL59" s="11">
        <f t="shared" si="25"/>
        <v>-415.93985647117904</v>
      </c>
      <c r="AM59" s="11">
        <f t="shared" si="26"/>
        <v>699.9805447105856</v>
      </c>
      <c r="AN59" s="11">
        <f t="shared" si="26"/>
        <v>-604.58056895212621</v>
      </c>
      <c r="AO59" s="11">
        <f t="shared" si="26"/>
        <v>624.57697697230242</v>
      </c>
      <c r="AP59" s="11">
        <f t="shared" si="26"/>
        <v>-484.97732244262176</v>
      </c>
      <c r="AQ59" s="11">
        <f t="shared" si="26"/>
        <v>-58.605087791992794</v>
      </c>
      <c r="AR59" s="11">
        <f t="shared" si="26"/>
        <v>676.85752952052519</v>
      </c>
      <c r="AS59" s="11">
        <f t="shared" si="26"/>
        <v>-680.32167698368983</v>
      </c>
      <c r="AT59" s="11">
        <f t="shared" si="26"/>
        <v>696.17360167766503</v>
      </c>
      <c r="AU59" s="11">
        <f t="shared" si="26"/>
        <v>19.275861318544887</v>
      </c>
      <c r="AV59" s="11">
        <f t="shared" si="26"/>
        <v>-699.19545694660189</v>
      </c>
      <c r="AW59" s="11">
        <f t="shared" si="27"/>
        <v>167.60503699733741</v>
      </c>
      <c r="AX59" s="11">
        <f t="shared" si="27"/>
        <v>-334.88567006734081</v>
      </c>
      <c r="AY59" s="11">
        <f t="shared" si="27"/>
        <v>570.45301838674311</v>
      </c>
      <c r="AZ59" s="11">
        <f t="shared" si="27"/>
        <v>665.71962655296409</v>
      </c>
      <c r="BA59" s="11">
        <f t="shared" si="27"/>
        <v>-440.74648354670063</v>
      </c>
      <c r="BB59" s="11">
        <f t="shared" si="27"/>
        <v>-375.3655514297543</v>
      </c>
      <c r="BC59" s="11">
        <f t="shared" si="27"/>
        <v>-644.78934299444279</v>
      </c>
      <c r="BD59" s="11">
        <f t="shared" si="27"/>
        <v>-689.67639309405649</v>
      </c>
      <c r="BE59" s="11">
        <f t="shared" si="27"/>
        <v>-697.63569774176142</v>
      </c>
      <c r="BF59" s="11">
        <f t="shared" si="27"/>
        <v>-668.2410975832272</v>
      </c>
      <c r="BG59" s="11">
        <f t="shared" si="27"/>
        <v>-603.06649462699681</v>
      </c>
      <c r="BH59" s="11">
        <f t="shared" si="27"/>
        <v>-505.60157936717741</v>
      </c>
      <c r="BI59" s="11">
        <f t="shared" si="27"/>
        <v>-381.06497978155426</v>
      </c>
      <c r="BJ59" s="11">
        <f t="shared" si="27"/>
        <v>-236.12483691059111</v>
      </c>
      <c r="BK59" s="11">
        <f t="shared" si="27"/>
        <v>118.90413606237207</v>
      </c>
    </row>
    <row r="60" spans="2:63" x14ac:dyDescent="0.25">
      <c r="B60">
        <v>2</v>
      </c>
      <c r="C60">
        <v>1</v>
      </c>
      <c r="D60">
        <v>-2</v>
      </c>
      <c r="E60">
        <v>0</v>
      </c>
      <c r="F60">
        <v>691</v>
      </c>
      <c r="H60" s="34"/>
      <c r="I60" s="11">
        <f t="shared" si="23"/>
        <v>-383.32147051356293</v>
      </c>
      <c r="J60" s="11">
        <f t="shared" si="23"/>
        <v>334.42492229279543</v>
      </c>
      <c r="K60" s="11">
        <f t="shared" si="23"/>
        <v>-412.93286239372247</v>
      </c>
      <c r="L60" s="11">
        <f t="shared" si="23"/>
        <v>-610.91196545045636</v>
      </c>
      <c r="M60" s="11">
        <f t="shared" si="23"/>
        <v>-386.14738691843871</v>
      </c>
      <c r="N60" s="11">
        <f t="shared" si="23"/>
        <v>-411.76985184505958</v>
      </c>
      <c r="O60" s="11">
        <f t="shared" si="23"/>
        <v>510.29718179496956</v>
      </c>
      <c r="P60" s="11">
        <f t="shared" si="23"/>
        <v>-613.95244703463686</v>
      </c>
      <c r="Q60" s="11">
        <f t="shared" si="23"/>
        <v>661.17217958450726</v>
      </c>
      <c r="R60" s="11">
        <f t="shared" si="23"/>
        <v>13.368460074600911</v>
      </c>
      <c r="S60" s="11">
        <f t="shared" si="24"/>
        <v>-688.18423560752387</v>
      </c>
      <c r="T60" s="11">
        <f t="shared" si="24"/>
        <v>-625.71544693229646</v>
      </c>
      <c r="U60" s="11">
        <f t="shared" si="24"/>
        <v>687.46137130107559</v>
      </c>
      <c r="V60" s="11">
        <f t="shared" si="24"/>
        <v>690.49077150461028</v>
      </c>
      <c r="W60" s="11">
        <f t="shared" si="24"/>
        <v>234.07012229289717</v>
      </c>
      <c r="X60" s="11">
        <f t="shared" si="24"/>
        <v>-734.67440467635038</v>
      </c>
      <c r="Y60" s="11">
        <f t="shared" si="24"/>
        <v>589.52351305256639</v>
      </c>
      <c r="Z60" s="11">
        <f t="shared" si="24"/>
        <v>-739.11510825717698</v>
      </c>
      <c r="AA60" s="11">
        <f t="shared" si="24"/>
        <v>-691.20853256673547</v>
      </c>
      <c r="AB60" s="11">
        <f t="shared" si="24"/>
        <v>-488.4799864322992</v>
      </c>
      <c r="AC60" s="11">
        <f t="shared" si="25"/>
        <v>-421.92132317915588</v>
      </c>
      <c r="AD60" s="11">
        <f t="shared" si="25"/>
        <v>-576.79185740587889</v>
      </c>
      <c r="AE60" s="11">
        <f t="shared" si="25"/>
        <v>-409.23521730369589</v>
      </c>
      <c r="AF60" s="11">
        <f t="shared" si="25"/>
        <v>477.34314769640525</v>
      </c>
      <c r="AG60" s="11">
        <f t="shared" si="25"/>
        <v>691.08117467644729</v>
      </c>
      <c r="AH60" s="11">
        <f t="shared" si="25"/>
        <v>-213.8701125623455</v>
      </c>
      <c r="AI60" s="11">
        <f t="shared" si="25"/>
        <v>-398.57519250990521</v>
      </c>
      <c r="AJ60" s="11">
        <f t="shared" si="25"/>
        <v>581.0723921389216</v>
      </c>
      <c r="AK60" s="11">
        <f t="shared" si="25"/>
        <v>64.377823356108692</v>
      </c>
      <c r="AL60" s="11">
        <f t="shared" si="25"/>
        <v>-689.70089215965697</v>
      </c>
      <c r="AM60" s="11">
        <f t="shared" si="26"/>
        <v>-411.89529931768556</v>
      </c>
      <c r="AN60" s="11">
        <f t="shared" si="26"/>
        <v>259.76568798437529</v>
      </c>
      <c r="AO60" s="11">
        <f t="shared" si="26"/>
        <v>-690.60616732643325</v>
      </c>
      <c r="AP60" s="11">
        <f t="shared" si="26"/>
        <v>344.24481730053873</v>
      </c>
      <c r="AQ60" s="11">
        <f t="shared" si="26"/>
        <v>150.31700935548326</v>
      </c>
      <c r="AR60" s="11">
        <f t="shared" si="26"/>
        <v>-651.14715870332475</v>
      </c>
      <c r="AS60" s="11">
        <f t="shared" si="26"/>
        <v>403.95627821052835</v>
      </c>
      <c r="AT60" s="11">
        <f t="shared" si="26"/>
        <v>653.02960662680982</v>
      </c>
      <c r="AU60" s="11">
        <f t="shared" si="26"/>
        <v>671.22727595972026</v>
      </c>
      <c r="AV60" s="11">
        <f t="shared" si="26"/>
        <v>683.30307102901099</v>
      </c>
      <c r="AW60" s="11">
        <f t="shared" si="27"/>
        <v>690.00611811732017</v>
      </c>
      <c r="AX60" s="11">
        <f t="shared" si="27"/>
        <v>682.47731966984372</v>
      </c>
      <c r="AY60" s="11">
        <f t="shared" si="27"/>
        <v>104.36218640126002</v>
      </c>
      <c r="AZ60" s="11">
        <f t="shared" si="27"/>
        <v>-663.14304701884441</v>
      </c>
      <c r="BA60" s="11">
        <f t="shared" si="27"/>
        <v>659.4848218786567</v>
      </c>
      <c r="BB60" s="11">
        <f t="shared" si="27"/>
        <v>-173.35712500725987</v>
      </c>
      <c r="BC60" s="11">
        <f t="shared" si="27"/>
        <v>587.66987916735309</v>
      </c>
      <c r="BD60" s="11">
        <f t="shared" si="27"/>
        <v>582.78815160653323</v>
      </c>
      <c r="BE60" s="11">
        <f t="shared" si="27"/>
        <v>577.80310572246128</v>
      </c>
      <c r="BF60" s="11">
        <f t="shared" si="27"/>
        <v>572.7156252982586</v>
      </c>
      <c r="BG60" s="11">
        <f t="shared" si="27"/>
        <v>567.52661227622582</v>
      </c>
      <c r="BH60" s="11">
        <f t="shared" si="27"/>
        <v>562.23698659936179</v>
      </c>
      <c r="BI60" s="11">
        <f t="shared" si="27"/>
        <v>556.84768604840735</v>
      </c>
      <c r="BJ60" s="11">
        <f t="shared" si="27"/>
        <v>551.35966607203352</v>
      </c>
      <c r="BK60" s="11">
        <f t="shared" si="27"/>
        <v>-399.71143135750469</v>
      </c>
    </row>
    <row r="61" spans="2:63" x14ac:dyDescent="0.25">
      <c r="B61">
        <v>2</v>
      </c>
      <c r="C61">
        <v>-1</v>
      </c>
      <c r="D61">
        <v>0</v>
      </c>
      <c r="E61">
        <v>-2</v>
      </c>
      <c r="F61">
        <v>596</v>
      </c>
      <c r="H61" s="34"/>
      <c r="I61" s="11">
        <f t="shared" si="23"/>
        <v>327.92549309107028</v>
      </c>
      <c r="J61" s="11">
        <f t="shared" si="23"/>
        <v>-162.23076184627743</v>
      </c>
      <c r="K61" s="11">
        <f t="shared" si="23"/>
        <v>467.25625214129417</v>
      </c>
      <c r="L61" s="11">
        <f t="shared" si="23"/>
        <v>595.90884763975225</v>
      </c>
      <c r="M61" s="11">
        <f t="shared" si="23"/>
        <v>537.16188093446647</v>
      </c>
      <c r="N61" s="11">
        <f t="shared" si="23"/>
        <v>352.11148970625175</v>
      </c>
      <c r="O61" s="11">
        <f t="shared" si="23"/>
        <v>582.69085913524361</v>
      </c>
      <c r="P61" s="11">
        <f t="shared" si="23"/>
        <v>-49.739151469782279</v>
      </c>
      <c r="Q61" s="11">
        <f t="shared" si="23"/>
        <v>-392.29204857836925</v>
      </c>
      <c r="R61" s="11">
        <f t="shared" si="23"/>
        <v>382.70341021986474</v>
      </c>
      <c r="S61" s="11">
        <f t="shared" si="24"/>
        <v>16.342966254216257</v>
      </c>
      <c r="T61" s="11">
        <f t="shared" si="24"/>
        <v>542.4682396365813</v>
      </c>
      <c r="U61" s="11">
        <f t="shared" si="24"/>
        <v>347.75998465746142</v>
      </c>
      <c r="V61" s="11">
        <f t="shared" si="24"/>
        <v>319.46230394945087</v>
      </c>
      <c r="W61" s="11">
        <f t="shared" si="24"/>
        <v>-599.48942067385394</v>
      </c>
      <c r="X61" s="11">
        <f t="shared" si="24"/>
        <v>-199.90457655782706</v>
      </c>
      <c r="Y61" s="11">
        <f t="shared" si="24"/>
        <v>-403.17222795965989</v>
      </c>
      <c r="Z61" s="11">
        <f t="shared" si="24"/>
        <v>389.64909207343067</v>
      </c>
      <c r="AA61" s="11">
        <f t="shared" si="24"/>
        <v>-567.41980312239866</v>
      </c>
      <c r="AB61" s="11">
        <f t="shared" si="24"/>
        <v>458.39625220880066</v>
      </c>
      <c r="AC61" s="11">
        <f t="shared" si="25"/>
        <v>591.73630312680837</v>
      </c>
      <c r="AD61" s="11">
        <f t="shared" si="25"/>
        <v>289.90051382079207</v>
      </c>
      <c r="AE61" s="11">
        <f t="shared" si="25"/>
        <v>476.97711035375551</v>
      </c>
      <c r="AF61" s="11">
        <f t="shared" si="25"/>
        <v>-204.07863713145224</v>
      </c>
      <c r="AG61" s="11">
        <f t="shared" si="25"/>
        <v>-553.40603581693279</v>
      </c>
      <c r="AH61" s="11">
        <f t="shared" si="25"/>
        <v>58.299157122300038</v>
      </c>
      <c r="AI61" s="11">
        <f t="shared" si="25"/>
        <v>570.95803128475416</v>
      </c>
      <c r="AJ61" s="11">
        <f t="shared" si="25"/>
        <v>-16.275973084536954</v>
      </c>
      <c r="AK61" s="11">
        <f t="shared" si="25"/>
        <v>-267.89836067170097</v>
      </c>
      <c r="AL61" s="11">
        <f t="shared" si="25"/>
        <v>-382.26997870258788</v>
      </c>
      <c r="AM61" s="11">
        <f t="shared" si="26"/>
        <v>592.79875079167448</v>
      </c>
      <c r="AN61" s="11">
        <f t="shared" si="26"/>
        <v>-427.74571803890569</v>
      </c>
      <c r="AO61" s="11">
        <f t="shared" si="26"/>
        <v>-562.27200898993704</v>
      </c>
      <c r="AP61" s="11">
        <f t="shared" si="26"/>
        <v>-40.971065897749853</v>
      </c>
      <c r="AQ61" s="11">
        <f t="shared" si="26"/>
        <v>158.17146062557404</v>
      </c>
      <c r="AR61" s="11">
        <f t="shared" si="26"/>
        <v>520.61580046623942</v>
      </c>
      <c r="AS61" s="11">
        <f t="shared" si="26"/>
        <v>-511.81104506337419</v>
      </c>
      <c r="AT61" s="11">
        <f t="shared" si="26"/>
        <v>-9.7238682212347136</v>
      </c>
      <c r="AU61" s="11">
        <f t="shared" si="26"/>
        <v>210.30137915762961</v>
      </c>
      <c r="AV61" s="11">
        <f t="shared" si="26"/>
        <v>397.15151761891809</v>
      </c>
      <c r="AW61" s="11">
        <f t="shared" si="27"/>
        <v>542.99261938282643</v>
      </c>
      <c r="AX61" s="11">
        <f t="shared" si="27"/>
        <v>557.51791154627097</v>
      </c>
      <c r="AY61" s="11">
        <f t="shared" si="27"/>
        <v>-595.59654537204688</v>
      </c>
      <c r="AZ61" s="11">
        <f t="shared" si="27"/>
        <v>361.46954463812432</v>
      </c>
      <c r="BA61" s="11">
        <f t="shared" si="27"/>
        <v>341.58776567727591</v>
      </c>
      <c r="BB61" s="11">
        <f t="shared" si="27"/>
        <v>-414.89888792446033</v>
      </c>
      <c r="BC61" s="11">
        <f t="shared" si="27"/>
        <v>-227.93356338518996</v>
      </c>
      <c r="BD61" s="11">
        <f t="shared" si="27"/>
        <v>-257.01187064029835</v>
      </c>
      <c r="BE61" s="11">
        <f t="shared" si="27"/>
        <v>-285.35592642744984</v>
      </c>
      <c r="BF61" s="11">
        <f t="shared" si="27"/>
        <v>-312.88475579063777</v>
      </c>
      <c r="BG61" s="11">
        <f t="shared" si="27"/>
        <v>-339.51971277537774</v>
      </c>
      <c r="BH61" s="11">
        <f t="shared" si="27"/>
        <v>-365.18470510800074</v>
      </c>
      <c r="BI61" s="11">
        <f t="shared" si="27"/>
        <v>-389.80641157958394</v>
      </c>
      <c r="BJ61" s="11">
        <f t="shared" si="27"/>
        <v>-413.31449151671347</v>
      </c>
      <c r="BK61" s="11">
        <f t="shared" si="27"/>
        <v>572.3303048861452</v>
      </c>
    </row>
    <row r="62" spans="2:63" x14ac:dyDescent="0.25">
      <c r="B62">
        <v>4</v>
      </c>
      <c r="C62">
        <v>0</v>
      </c>
      <c r="D62">
        <v>1</v>
      </c>
      <c r="E62">
        <v>0</v>
      </c>
      <c r="F62">
        <v>549</v>
      </c>
      <c r="H62" s="34"/>
      <c r="I62" s="11">
        <f t="shared" si="23"/>
        <v>-341.89187030340986</v>
      </c>
      <c r="J62" s="11">
        <f t="shared" si="23"/>
        <v>509.54611968076995</v>
      </c>
      <c r="K62" s="11">
        <f t="shared" si="23"/>
        <v>-502.94557318128335</v>
      </c>
      <c r="L62" s="11">
        <f t="shared" si="23"/>
        <v>-289.02150372197809</v>
      </c>
      <c r="M62" s="11">
        <f t="shared" si="23"/>
        <v>-379.18502404284135</v>
      </c>
      <c r="N62" s="11">
        <f t="shared" si="23"/>
        <v>545.991833819313</v>
      </c>
      <c r="O62" s="11">
        <f t="shared" si="23"/>
        <v>512.87710224949865</v>
      </c>
      <c r="P62" s="11">
        <f t="shared" si="23"/>
        <v>388.50508218984464</v>
      </c>
      <c r="Q62" s="11">
        <f t="shared" si="23"/>
        <v>-515.99948062586429</v>
      </c>
      <c r="R62" s="11">
        <f t="shared" si="23"/>
        <v>548.7584574395413</v>
      </c>
      <c r="S62" s="11">
        <f t="shared" si="24"/>
        <v>-197.49774802663427</v>
      </c>
      <c r="T62" s="11">
        <f t="shared" si="24"/>
        <v>219.95906891854884</v>
      </c>
      <c r="U62" s="11">
        <f t="shared" si="24"/>
        <v>221.24701986415926</v>
      </c>
      <c r="V62" s="11">
        <f t="shared" si="24"/>
        <v>-338.46706440297032</v>
      </c>
      <c r="W62" s="11">
        <f t="shared" si="24"/>
        <v>381.09074311022266</v>
      </c>
      <c r="X62" s="11">
        <f t="shared" si="24"/>
        <v>77.310238634967078</v>
      </c>
      <c r="Y62" s="11">
        <f t="shared" si="24"/>
        <v>-52.186177232159878</v>
      </c>
      <c r="Z62" s="11">
        <f t="shared" si="24"/>
        <v>-46.780203474354302</v>
      </c>
      <c r="AA62" s="11">
        <f t="shared" si="24"/>
        <v>461.09403092314142</v>
      </c>
      <c r="AB62" s="11">
        <f t="shared" si="24"/>
        <v>539.77190536388832</v>
      </c>
      <c r="AC62" s="11">
        <f t="shared" si="25"/>
        <v>-487.40505220619553</v>
      </c>
      <c r="AD62" s="11">
        <f t="shared" si="25"/>
        <v>-525.20194118525353</v>
      </c>
      <c r="AE62" s="11">
        <f t="shared" si="25"/>
        <v>-318.41709209383413</v>
      </c>
      <c r="AF62" s="11">
        <f t="shared" si="25"/>
        <v>118.24970872522766</v>
      </c>
      <c r="AG62" s="11">
        <f t="shared" si="25"/>
        <v>249.47958996611942</v>
      </c>
      <c r="AH62" s="11">
        <f t="shared" si="25"/>
        <v>258.64828859307039</v>
      </c>
      <c r="AI62" s="11">
        <f t="shared" si="25"/>
        <v>535.83771991177878</v>
      </c>
      <c r="AJ62" s="11">
        <f t="shared" si="25"/>
        <v>-198.29403305920957</v>
      </c>
      <c r="AK62" s="11">
        <f t="shared" si="25"/>
        <v>-375.32645778035214</v>
      </c>
      <c r="AL62" s="11">
        <f t="shared" si="25"/>
        <v>529.54296140491272</v>
      </c>
      <c r="AM62" s="11">
        <f t="shared" si="26"/>
        <v>349.8559565973589</v>
      </c>
      <c r="AN62" s="11">
        <f t="shared" si="26"/>
        <v>544.2630946842462</v>
      </c>
      <c r="AO62" s="11">
        <f t="shared" si="26"/>
        <v>202.86780332097806</v>
      </c>
      <c r="AP62" s="11">
        <f t="shared" si="26"/>
        <v>363.30389029347498</v>
      </c>
      <c r="AQ62" s="11">
        <f t="shared" si="26"/>
        <v>388.26326472272785</v>
      </c>
      <c r="AR62" s="11">
        <f t="shared" si="26"/>
        <v>282.23955675497746</v>
      </c>
      <c r="AS62" s="11">
        <f t="shared" si="26"/>
        <v>-547.62709543038966</v>
      </c>
      <c r="AT62" s="11">
        <f t="shared" si="26"/>
        <v>-512.72426628587596</v>
      </c>
      <c r="AU62" s="11">
        <f t="shared" si="26"/>
        <v>-312.6462277864004</v>
      </c>
      <c r="AV62" s="11">
        <f t="shared" si="26"/>
        <v>291.4998084698226</v>
      </c>
      <c r="AW62" s="11">
        <f t="shared" si="27"/>
        <v>234.48583911742367</v>
      </c>
      <c r="AX62" s="11">
        <f t="shared" si="27"/>
        <v>-179.80655137746811</v>
      </c>
      <c r="AY62" s="11">
        <f t="shared" si="27"/>
        <v>-135.85215346611872</v>
      </c>
      <c r="AZ62" s="11">
        <f t="shared" si="27"/>
        <v>543.65290780341729</v>
      </c>
      <c r="BA62" s="11">
        <f t="shared" si="27"/>
        <v>-319.07027788580939</v>
      </c>
      <c r="BB62" s="11">
        <f t="shared" si="27"/>
        <v>534.90250986707792</v>
      </c>
      <c r="BC62" s="11">
        <f t="shared" si="27"/>
        <v>320.53200025443209</v>
      </c>
      <c r="BD62" s="11">
        <f t="shared" si="27"/>
        <v>544.24103307994108</v>
      </c>
      <c r="BE62" s="11">
        <f t="shared" si="27"/>
        <v>193.36235427404247</v>
      </c>
      <c r="BF62" s="11">
        <f t="shared" si="27"/>
        <v>-361.66049210638334</v>
      </c>
      <c r="BG62" s="11">
        <f t="shared" si="27"/>
        <v>-534.85679121053295</v>
      </c>
      <c r="BH62" s="11">
        <f t="shared" si="27"/>
        <v>-143.3728824059522</v>
      </c>
      <c r="BI62" s="11">
        <f t="shared" si="27"/>
        <v>399.47832765832703</v>
      </c>
      <c r="BJ62" s="11">
        <f t="shared" si="27"/>
        <v>520.57644638171541</v>
      </c>
      <c r="BK62" s="11">
        <f t="shared" si="27"/>
        <v>509.32024980899604</v>
      </c>
    </row>
    <row r="63" spans="2:63" x14ac:dyDescent="0.25">
      <c r="B63">
        <v>0</v>
      </c>
      <c r="C63">
        <v>0</v>
      </c>
      <c r="D63">
        <v>4</v>
      </c>
      <c r="E63">
        <v>0</v>
      </c>
      <c r="F63">
        <v>537</v>
      </c>
      <c r="H63" s="34"/>
      <c r="I63" s="11">
        <f t="shared" si="23"/>
        <v>-533.04795333323216</v>
      </c>
      <c r="J63" s="11">
        <f t="shared" si="23"/>
        <v>128.7232142680069</v>
      </c>
      <c r="K63" s="11">
        <f t="shared" si="23"/>
        <v>1.3722554766990203</v>
      </c>
      <c r="L63" s="11">
        <f t="shared" si="23"/>
        <v>193.89617316906208</v>
      </c>
      <c r="M63" s="11">
        <f t="shared" si="23"/>
        <v>-164.71743393222258</v>
      </c>
      <c r="N63" s="11">
        <f t="shared" si="23"/>
        <v>-526.32533143922387</v>
      </c>
      <c r="O63" s="11">
        <f t="shared" si="23"/>
        <v>-209.58998678910055</v>
      </c>
      <c r="P63" s="11">
        <f t="shared" si="23"/>
        <v>-279.83933533000874</v>
      </c>
      <c r="Q63" s="11">
        <f t="shared" si="23"/>
        <v>408.03922245104297</v>
      </c>
      <c r="R63" s="11">
        <f t="shared" si="23"/>
        <v>85.662969065248333</v>
      </c>
      <c r="S63" s="11">
        <f t="shared" si="24"/>
        <v>38.076824232074593</v>
      </c>
      <c r="T63" s="11">
        <f t="shared" si="24"/>
        <v>440.03896235741092</v>
      </c>
      <c r="U63" s="11">
        <f t="shared" si="24"/>
        <v>328.83453437068493</v>
      </c>
      <c r="V63" s="11">
        <f t="shared" si="24"/>
        <v>-134.45376166984286</v>
      </c>
      <c r="W63" s="11">
        <f t="shared" si="24"/>
        <v>507.73009713852946</v>
      </c>
      <c r="X63" s="11">
        <f t="shared" si="24"/>
        <v>-474.30316629530921</v>
      </c>
      <c r="Y63" s="11">
        <f t="shared" si="24"/>
        <v>433.74595929294361</v>
      </c>
      <c r="Z63" s="11">
        <f t="shared" si="24"/>
        <v>166.51585987906876</v>
      </c>
      <c r="AA63" s="11">
        <f t="shared" si="24"/>
        <v>-158.03639019394018</v>
      </c>
      <c r="AB63" s="11">
        <f t="shared" si="24"/>
        <v>188.96818024046314</v>
      </c>
      <c r="AC63" s="11">
        <f t="shared" si="25"/>
        <v>-198.21463519967338</v>
      </c>
      <c r="AD63" s="11">
        <f t="shared" si="25"/>
        <v>317.63014708367359</v>
      </c>
      <c r="AE63" s="11">
        <f t="shared" si="25"/>
        <v>237.73091882202374</v>
      </c>
      <c r="AF63" s="11">
        <f t="shared" si="25"/>
        <v>-350.4576791243145</v>
      </c>
      <c r="AG63" s="11">
        <f t="shared" si="25"/>
        <v>104.88118507081599</v>
      </c>
      <c r="AH63" s="11">
        <f t="shared" si="25"/>
        <v>257.18492632371476</v>
      </c>
      <c r="AI63" s="11">
        <f t="shared" si="25"/>
        <v>59.303944414069512</v>
      </c>
      <c r="AJ63" s="11">
        <f t="shared" si="25"/>
        <v>-412.06499302031415</v>
      </c>
      <c r="AK63" s="11">
        <f t="shared" si="25"/>
        <v>-533.61343437558537</v>
      </c>
      <c r="AL63" s="11">
        <f t="shared" si="25"/>
        <v>-471.76862429701282</v>
      </c>
      <c r="AM63" s="11">
        <f t="shared" si="26"/>
        <v>132.24207464317206</v>
      </c>
      <c r="AN63" s="11">
        <f t="shared" si="26"/>
        <v>-509.45034055055396</v>
      </c>
      <c r="AO63" s="11">
        <f t="shared" si="26"/>
        <v>-376.21165369479934</v>
      </c>
      <c r="AP63" s="11">
        <f t="shared" si="26"/>
        <v>496.41155877984841</v>
      </c>
      <c r="AQ63" s="11">
        <f t="shared" si="26"/>
        <v>291.8021731744056</v>
      </c>
      <c r="AR63" s="11">
        <f t="shared" si="26"/>
        <v>407.23489405602857</v>
      </c>
      <c r="AS63" s="11">
        <f t="shared" si="26"/>
        <v>-259.04888690263084</v>
      </c>
      <c r="AT63" s="11">
        <f t="shared" si="26"/>
        <v>-471.75249473900777</v>
      </c>
      <c r="AU63" s="11">
        <f t="shared" si="26"/>
        <v>-427.38703237517637</v>
      </c>
      <c r="AV63" s="11">
        <f t="shared" si="26"/>
        <v>-423.15822612555263</v>
      </c>
      <c r="AW63" s="11">
        <f t="shared" si="27"/>
        <v>-37.879728924962748</v>
      </c>
      <c r="AX63" s="11">
        <f t="shared" si="27"/>
        <v>358.5580007786719</v>
      </c>
      <c r="AY63" s="11">
        <f t="shared" si="27"/>
        <v>-414.95861401442284</v>
      </c>
      <c r="AZ63" s="11">
        <f t="shared" si="27"/>
        <v>-536.74309884274726</v>
      </c>
      <c r="BA63" s="11">
        <f t="shared" si="27"/>
        <v>-336.39652816037301</v>
      </c>
      <c r="BB63" s="11">
        <f t="shared" si="27"/>
        <v>-490.22987751741709</v>
      </c>
      <c r="BC63" s="11">
        <f t="shared" si="27"/>
        <v>96.114455947812118</v>
      </c>
      <c r="BD63" s="11">
        <f t="shared" si="27"/>
        <v>-358.97042919048363</v>
      </c>
      <c r="BE63" s="11">
        <f t="shared" si="27"/>
        <v>-535.55144705651537</v>
      </c>
      <c r="BF63" s="11">
        <f t="shared" si="27"/>
        <v>-296.62985802219532</v>
      </c>
      <c r="BG63" s="11">
        <f t="shared" si="27"/>
        <v>172.42924622366942</v>
      </c>
      <c r="BH63" s="11">
        <f t="shared" si="27"/>
        <v>507.71072423770352</v>
      </c>
      <c r="BI63" s="11">
        <f t="shared" si="27"/>
        <v>449.08956109039184</v>
      </c>
      <c r="BJ63" s="11">
        <f t="shared" si="27"/>
        <v>42.046440739698255</v>
      </c>
      <c r="BK63" s="11">
        <f t="shared" si="27"/>
        <v>-14.610286559483624</v>
      </c>
    </row>
    <row r="64" spans="2:63" x14ac:dyDescent="0.25">
      <c r="B64">
        <v>4</v>
      </c>
      <c r="C64">
        <v>-1</v>
      </c>
      <c r="D64">
        <v>0</v>
      </c>
      <c r="E64">
        <v>0</v>
      </c>
      <c r="F64">
        <v>520</v>
      </c>
      <c r="H64" s="34"/>
      <c r="I64" s="11">
        <f t="shared" si="23"/>
        <v>-492.88467716670419</v>
      </c>
      <c r="J64" s="11">
        <f t="shared" si="23"/>
        <v>486.49925603222476</v>
      </c>
      <c r="K64" s="11">
        <f t="shared" si="23"/>
        <v>475.51620621764482</v>
      </c>
      <c r="L64" s="11">
        <f t="shared" si="23"/>
        <v>-484.71102245684887</v>
      </c>
      <c r="M64" s="11">
        <f t="shared" si="23"/>
        <v>-220.80418820705458</v>
      </c>
      <c r="N64" s="11">
        <f t="shared" si="23"/>
        <v>-342.45198271281305</v>
      </c>
      <c r="O64" s="11">
        <f t="shared" si="23"/>
        <v>35.086166550930564</v>
      </c>
      <c r="P64" s="11">
        <f t="shared" si="23"/>
        <v>481.25370018849202</v>
      </c>
      <c r="Q64" s="11">
        <f t="shared" si="23"/>
        <v>-105.19527914205369</v>
      </c>
      <c r="R64" s="11">
        <f t="shared" si="23"/>
        <v>-40.149883391873111</v>
      </c>
      <c r="S64" s="11">
        <f t="shared" si="24"/>
        <v>227.19796666252418</v>
      </c>
      <c r="T64" s="11">
        <f t="shared" si="24"/>
        <v>-491.67038358199608</v>
      </c>
      <c r="U64" s="11">
        <f t="shared" si="24"/>
        <v>-545.90271748239195</v>
      </c>
      <c r="V64" s="11">
        <f t="shared" si="24"/>
        <v>-358.14158533907658</v>
      </c>
      <c r="W64" s="11">
        <f t="shared" si="24"/>
        <v>512.71434548145021</v>
      </c>
      <c r="X64" s="11">
        <f t="shared" si="24"/>
        <v>475.22349763128744</v>
      </c>
      <c r="Y64" s="11">
        <f t="shared" si="24"/>
        <v>191.34666012555695</v>
      </c>
      <c r="Z64" s="11">
        <f t="shared" si="24"/>
        <v>192.02544934889826</v>
      </c>
      <c r="AA64" s="11">
        <f t="shared" si="24"/>
        <v>519.51494245602998</v>
      </c>
      <c r="AB64" s="11">
        <f t="shared" si="24"/>
        <v>-20.639469046448095</v>
      </c>
      <c r="AC64" s="11">
        <f t="shared" si="25"/>
        <v>261.4262455747126</v>
      </c>
      <c r="AD64" s="11">
        <f t="shared" si="25"/>
        <v>337.44532525649743</v>
      </c>
      <c r="AE64" s="11">
        <f t="shared" si="25"/>
        <v>519.99999491613266</v>
      </c>
      <c r="AF64" s="11">
        <f t="shared" si="25"/>
        <v>321.37141523423719</v>
      </c>
      <c r="AG64" s="11">
        <f t="shared" si="25"/>
        <v>-143.06759577486221</v>
      </c>
      <c r="AH64" s="11">
        <f t="shared" si="25"/>
        <v>238.37595426008832</v>
      </c>
      <c r="AI64" s="11">
        <f t="shared" si="25"/>
        <v>-448.80347488677717</v>
      </c>
      <c r="AJ64" s="11">
        <f t="shared" si="25"/>
        <v>197.94366779622843</v>
      </c>
      <c r="AK64" s="11">
        <f t="shared" si="25"/>
        <v>269.68221872449345</v>
      </c>
      <c r="AL64" s="11">
        <f t="shared" si="25"/>
        <v>-428.39370127573267</v>
      </c>
      <c r="AM64" s="11">
        <f t="shared" si="26"/>
        <v>-109.68267036352056</v>
      </c>
      <c r="AN64" s="11">
        <f t="shared" si="26"/>
        <v>-141.20902802711359</v>
      </c>
      <c r="AO64" s="11">
        <f t="shared" si="26"/>
        <v>429.59226061181528</v>
      </c>
      <c r="AP64" s="11">
        <f t="shared" si="26"/>
        <v>428.0800118848631</v>
      </c>
      <c r="AQ64" s="11">
        <f t="shared" si="26"/>
        <v>-472.89700325705616</v>
      </c>
      <c r="AR64" s="11">
        <f t="shared" si="26"/>
        <v>-30.721389658181398</v>
      </c>
      <c r="AS64" s="11">
        <f t="shared" si="26"/>
        <v>-21.420137329514713</v>
      </c>
      <c r="AT64" s="11">
        <f t="shared" si="26"/>
        <v>518.8014982622841</v>
      </c>
      <c r="AU64" s="11">
        <f t="shared" si="26"/>
        <v>489.80242558382469</v>
      </c>
      <c r="AV64" s="11">
        <f t="shared" si="26"/>
        <v>335.90899764089664</v>
      </c>
      <c r="AW64" s="11">
        <f t="shared" si="27"/>
        <v>416.30010087142654</v>
      </c>
      <c r="AX64" s="11">
        <f t="shared" si="27"/>
        <v>286.59019947160391</v>
      </c>
      <c r="AY64" s="11">
        <f t="shared" si="27"/>
        <v>-271.61421215781417</v>
      </c>
      <c r="AZ64" s="11">
        <f t="shared" si="27"/>
        <v>465.96447980359773</v>
      </c>
      <c r="BA64" s="11">
        <f t="shared" si="27"/>
        <v>-18.842192981837325</v>
      </c>
      <c r="BB64" s="11">
        <f t="shared" si="27"/>
        <v>-518.71427399473362</v>
      </c>
      <c r="BC64" s="11">
        <f t="shared" si="27"/>
        <v>234.22848179326849</v>
      </c>
      <c r="BD64" s="11">
        <f t="shared" si="27"/>
        <v>500.95827393858957</v>
      </c>
      <c r="BE64" s="11">
        <f t="shared" si="27"/>
        <v>439.07224267761899</v>
      </c>
      <c r="BF64" s="11">
        <f t="shared" si="27"/>
        <v>89.166083546677413</v>
      </c>
      <c r="BG64" s="11">
        <f t="shared" si="27"/>
        <v>-319.23069248846707</v>
      </c>
      <c r="BH64" s="11">
        <f t="shared" si="27"/>
        <v>-518.22026075175893</v>
      </c>
      <c r="BI64" s="11">
        <f t="shared" si="27"/>
        <v>-377.27059408853904</v>
      </c>
      <c r="BJ64" s="11">
        <f t="shared" si="27"/>
        <v>11.158892223760621</v>
      </c>
      <c r="BK64" s="11">
        <f t="shared" si="27"/>
        <v>-478.33345759929421</v>
      </c>
    </row>
    <row r="65" spans="2:63" x14ac:dyDescent="0.25">
      <c r="B65">
        <v>1</v>
      </c>
      <c r="C65">
        <v>0</v>
      </c>
      <c r="D65">
        <v>-2</v>
      </c>
      <c r="E65">
        <v>0</v>
      </c>
      <c r="F65">
        <v>-487</v>
      </c>
      <c r="H65" s="34"/>
      <c r="I65" s="11">
        <f t="shared" si="23"/>
        <v>-67.077324394217811</v>
      </c>
      <c r="J65" s="11">
        <f t="shared" si="23"/>
        <v>-286.85600716690016</v>
      </c>
      <c r="K65" s="11">
        <f t="shared" si="23"/>
        <v>-228.05757116326521</v>
      </c>
      <c r="L65" s="11">
        <f t="shared" si="23"/>
        <v>-483.06817649640544</v>
      </c>
      <c r="M65" s="11">
        <f t="shared" si="23"/>
        <v>198.32300133558377</v>
      </c>
      <c r="N65" s="11">
        <f t="shared" si="23"/>
        <v>-340.19917957853227</v>
      </c>
      <c r="O65" s="11">
        <f t="shared" si="23"/>
        <v>462.77578577084131</v>
      </c>
      <c r="P65" s="11">
        <f t="shared" si="23"/>
        <v>-467.96473464436735</v>
      </c>
      <c r="Q65" s="11">
        <f t="shared" si="23"/>
        <v>-452.93278718378929</v>
      </c>
      <c r="R65" s="11">
        <f t="shared" si="23"/>
        <v>40.228788744660882</v>
      </c>
      <c r="S65" s="11">
        <f t="shared" si="24"/>
        <v>386.66417321670548</v>
      </c>
      <c r="T65" s="11">
        <f t="shared" si="24"/>
        <v>-120.76963188839298</v>
      </c>
      <c r="U65" s="11">
        <f t="shared" si="24"/>
        <v>-34.382762936401875</v>
      </c>
      <c r="V65" s="11">
        <f t="shared" si="24"/>
        <v>83.651592296579892</v>
      </c>
      <c r="W65" s="11">
        <f t="shared" si="24"/>
        <v>303.52990215251941</v>
      </c>
      <c r="X65" s="11">
        <f t="shared" si="24"/>
        <v>447.01965383483912</v>
      </c>
      <c r="Y65" s="11">
        <f t="shared" si="24"/>
        <v>-356.64612724355084</v>
      </c>
      <c r="Z65" s="11">
        <f t="shared" si="24"/>
        <v>185.32006697581602</v>
      </c>
      <c r="AA65" s="11">
        <f t="shared" si="24"/>
        <v>-302.52908957926343</v>
      </c>
      <c r="AB65" s="11">
        <f t="shared" si="24"/>
        <v>-473.46339573616535</v>
      </c>
      <c r="AC65" s="11">
        <f t="shared" si="25"/>
        <v>294.5436921949231</v>
      </c>
      <c r="AD65" s="11">
        <f t="shared" si="25"/>
        <v>432.30787636736505</v>
      </c>
      <c r="AE65" s="11">
        <f t="shared" si="25"/>
        <v>-278.58636401724812</v>
      </c>
      <c r="AF65" s="11">
        <f t="shared" si="25"/>
        <v>417.19350100159369</v>
      </c>
      <c r="AG65" s="11">
        <f t="shared" si="25"/>
        <v>183.05056723134217</v>
      </c>
      <c r="AH65" s="11">
        <f t="shared" si="25"/>
        <v>-89.809325433993124</v>
      </c>
      <c r="AI65" s="11">
        <f t="shared" si="25"/>
        <v>-56.897806687097123</v>
      </c>
      <c r="AJ65" s="11">
        <f t="shared" si="25"/>
        <v>91.697071128934354</v>
      </c>
      <c r="AK65" s="11">
        <f t="shared" si="25"/>
        <v>-416.21452725217148</v>
      </c>
      <c r="AL65" s="11">
        <f t="shared" si="25"/>
        <v>-248.99397331961728</v>
      </c>
      <c r="AM65" s="11">
        <f t="shared" si="26"/>
        <v>474.27276596357922</v>
      </c>
      <c r="AN65" s="11">
        <f t="shared" si="26"/>
        <v>-237.04031841967529</v>
      </c>
      <c r="AO65" s="11">
        <f t="shared" si="26"/>
        <v>70.678669546315717</v>
      </c>
      <c r="AP65" s="11">
        <f t="shared" si="26"/>
        <v>-378.97475999123805</v>
      </c>
      <c r="AQ65" s="11">
        <f t="shared" si="26"/>
        <v>-367.44917627279318</v>
      </c>
      <c r="AR65" s="11">
        <f t="shared" si="26"/>
        <v>-333.83089978942905</v>
      </c>
      <c r="AS65" s="11">
        <f t="shared" si="26"/>
        <v>-378.40052356143889</v>
      </c>
      <c r="AT65" s="11">
        <f t="shared" si="26"/>
        <v>238.59487752779575</v>
      </c>
      <c r="AU65" s="11">
        <f t="shared" si="26"/>
        <v>-454.69392364275978</v>
      </c>
      <c r="AV65" s="11">
        <f t="shared" si="26"/>
        <v>-124.13354529877954</v>
      </c>
      <c r="AW65" s="11">
        <f t="shared" si="27"/>
        <v>485.78635520660123</v>
      </c>
      <c r="AX65" s="11">
        <f t="shared" si="27"/>
        <v>-428.61993516078155</v>
      </c>
      <c r="AY65" s="11">
        <f t="shared" si="27"/>
        <v>-204.89672248116969</v>
      </c>
      <c r="AZ65" s="11">
        <f t="shared" si="27"/>
        <v>-251.71727837648271</v>
      </c>
      <c r="BA65" s="11">
        <f t="shared" si="27"/>
        <v>-459.20366469647229</v>
      </c>
      <c r="BB65" s="11">
        <f t="shared" si="27"/>
        <v>-425.62039809286267</v>
      </c>
      <c r="BC65" s="11">
        <f t="shared" si="27"/>
        <v>-29.561824372156348</v>
      </c>
      <c r="BD65" s="11">
        <f t="shared" si="27"/>
        <v>88.407152425804782</v>
      </c>
      <c r="BE65" s="11">
        <f t="shared" si="27"/>
        <v>201.16925597812556</v>
      </c>
      <c r="BF65" s="11">
        <f t="shared" si="27"/>
        <v>302.0831912758855</v>
      </c>
      <c r="BG65" s="11">
        <f t="shared" si="27"/>
        <v>385.20547913916243</v>
      </c>
      <c r="BH65" s="11">
        <f t="shared" si="27"/>
        <v>445.64050643041332</v>
      </c>
      <c r="BI65" s="11">
        <f t="shared" si="27"/>
        <v>479.82886061218096</v>
      </c>
      <c r="BJ65" s="11">
        <f t="shared" si="27"/>
        <v>485.75696674383397</v>
      </c>
      <c r="BK65" s="11">
        <f t="shared" si="27"/>
        <v>-39.076855776557075</v>
      </c>
    </row>
    <row r="66" spans="2:63" x14ac:dyDescent="0.25">
      <c r="B66">
        <v>2</v>
      </c>
      <c r="C66">
        <v>1</v>
      </c>
      <c r="D66">
        <v>0</v>
      </c>
      <c r="E66">
        <v>-2</v>
      </c>
      <c r="F66">
        <v>-399</v>
      </c>
      <c r="H66" s="34"/>
      <c r="I66" s="11">
        <f t="shared" ref="I66:R75" si="28">IF(ABS($C66)=1,I$7,IF(ABS($C66)=2,I$7^2,1))*$F66*SIN(($B66*I$2  +  $C66*I$3  +  $D66*I$4  +  $E66*I$5)*Deg2Rad)</f>
        <v>207.66119614548816</v>
      </c>
      <c r="J66" s="11">
        <f t="shared" si="28"/>
        <v>-414.91113855010894</v>
      </c>
      <c r="K66" s="11">
        <f t="shared" si="28"/>
        <v>-290.31113059200169</v>
      </c>
      <c r="L66" s="11">
        <f t="shared" si="28"/>
        <v>-397.86896932532744</v>
      </c>
      <c r="M66" s="11">
        <f t="shared" si="28"/>
        <v>-124.82320117557758</v>
      </c>
      <c r="N66" s="11">
        <f t="shared" si="28"/>
        <v>-35.693545937232301</v>
      </c>
      <c r="O66" s="11">
        <f t="shared" si="28"/>
        <v>-333.43056192735094</v>
      </c>
      <c r="P66" s="11">
        <f t="shared" si="28"/>
        <v>225.46166847029704</v>
      </c>
      <c r="Q66" s="11">
        <f t="shared" si="28"/>
        <v>273.2855416519871</v>
      </c>
      <c r="R66" s="11">
        <f t="shared" si="28"/>
        <v>-294.99064314682568</v>
      </c>
      <c r="S66" s="11">
        <f t="shared" ref="S66:AB75" si="29">IF(ABS($C66)=1,S$7,IF(ABS($C66)=2,S$7^2,1))*$F66*SIN(($B66*S$2  +  $C66*S$3  +  $D66*S$4  +  $E66*S$5)*Deg2Rad)</f>
        <v>-60.41696581035427</v>
      </c>
      <c r="T66" s="11">
        <f t="shared" si="29"/>
        <v>350.79095270793721</v>
      </c>
      <c r="U66" s="11">
        <f t="shared" si="29"/>
        <v>-418.52915548664987</v>
      </c>
      <c r="V66" s="11">
        <f t="shared" si="29"/>
        <v>-418.8203157408559</v>
      </c>
      <c r="W66" s="11">
        <f t="shared" si="29"/>
        <v>-197.52526630499679</v>
      </c>
      <c r="X66" s="11">
        <f t="shared" si="29"/>
        <v>-41.513693227499182</v>
      </c>
      <c r="Y66" s="11">
        <f t="shared" si="29"/>
        <v>-196.16670433771063</v>
      </c>
      <c r="Z66" s="11">
        <f t="shared" si="29"/>
        <v>421.22515177004198</v>
      </c>
      <c r="AA66" s="11">
        <f t="shared" si="29"/>
        <v>-395.3289959960166</v>
      </c>
      <c r="AB66" s="11">
        <f t="shared" si="29"/>
        <v>363.28554857919841</v>
      </c>
      <c r="AC66" s="11">
        <f t="shared" ref="AC66:AL75" si="30">IF(ABS($C66)=1,AC$7,IF(ABS($C66)=2,AC$7^2,1))*$F66*SIN(($B66*AC$2  +  $C66*AC$3  +  $D66*AC$4  +  $E66*AC$5)*Deg2Rad)</f>
        <v>-85.961812112401191</v>
      </c>
      <c r="AD66" s="11">
        <f t="shared" si="30"/>
        <v>-233.72293842606615</v>
      </c>
      <c r="AE66" s="11">
        <f t="shared" si="30"/>
        <v>-292.90535441513924</v>
      </c>
      <c r="AF66" s="11">
        <f t="shared" si="30"/>
        <v>74.495495974110653</v>
      </c>
      <c r="AG66" s="11">
        <f t="shared" si="30"/>
        <v>84.467311238017459</v>
      </c>
      <c r="AH66" s="11">
        <f t="shared" si="30"/>
        <v>-196.31142113665391</v>
      </c>
      <c r="AI66" s="11">
        <f t="shared" si="30"/>
        <v>-109.19880052986046</v>
      </c>
      <c r="AJ66" s="11">
        <f t="shared" si="30"/>
        <v>196.72401585715366</v>
      </c>
      <c r="AK66" s="11">
        <f t="shared" si="30"/>
        <v>-280.67531692607616</v>
      </c>
      <c r="AL66" s="11">
        <f t="shared" si="30"/>
        <v>193.95528742663649</v>
      </c>
      <c r="AM66" s="11">
        <f t="shared" ref="AM66:AV75" si="31">IF(ABS($C66)=1,AM$7,IF(ABS($C66)=2,AM$7^2,1))*$F66*SIN(($B66*AM$2  +  $C66*AM$3  +  $D66*AM$4  +  $E66*AM$5)*Deg2Rad)</f>
        <v>389.70275720505424</v>
      </c>
      <c r="AN66" s="11">
        <f t="shared" si="31"/>
        <v>44.300264205921813</v>
      </c>
      <c r="AO66" s="11">
        <f t="shared" si="31"/>
        <v>377.57329544373823</v>
      </c>
      <c r="AP66" s="11">
        <f t="shared" si="31"/>
        <v>-212.89232001047759</v>
      </c>
      <c r="AQ66" s="11">
        <f t="shared" si="31"/>
        <v>350.65413291450227</v>
      </c>
      <c r="AR66" s="11">
        <f t="shared" si="31"/>
        <v>336.74531630047568</v>
      </c>
      <c r="AS66" s="11">
        <f t="shared" si="31"/>
        <v>-57.343606664247886</v>
      </c>
      <c r="AT66" s="11">
        <f t="shared" si="31"/>
        <v>116.40380434200952</v>
      </c>
      <c r="AU66" s="11">
        <f t="shared" si="31"/>
        <v>166.46874511825075</v>
      </c>
      <c r="AV66" s="11">
        <f t="shared" si="31"/>
        <v>212.54897324391715</v>
      </c>
      <c r="AW66" s="11">
        <f t="shared" ref="AW66:BK75" si="32">IF(ABS($C66)=1,AW$7,IF(ABS($C66)=2,AW$7^2,1))*$F66*SIN(($B66*AW$2  +  $C66*AW$3  +  $D66*AW$4  +  $E66*AW$5)*Deg2Rad)</f>
        <v>260.19809918025379</v>
      </c>
      <c r="AX66" s="11">
        <f t="shared" si="32"/>
        <v>333.40676586916948</v>
      </c>
      <c r="AY66" s="11">
        <f t="shared" si="32"/>
        <v>179.31387805914625</v>
      </c>
      <c r="AZ66" s="11">
        <f t="shared" si="32"/>
        <v>389.22433554455085</v>
      </c>
      <c r="BA66" s="11">
        <f t="shared" si="32"/>
        <v>-249.27148393090394</v>
      </c>
      <c r="BB66" s="11">
        <f t="shared" si="32"/>
        <v>-154.05138878611444</v>
      </c>
      <c r="BC66" s="11">
        <f t="shared" si="32"/>
        <v>398.75321060994679</v>
      </c>
      <c r="BD66" s="11">
        <f t="shared" si="32"/>
        <v>398.75013253163036</v>
      </c>
      <c r="BE66" s="11">
        <f t="shared" si="32"/>
        <v>398.60232030989835</v>
      </c>
      <c r="BF66" s="11">
        <f t="shared" si="32"/>
        <v>398.30982761606697</v>
      </c>
      <c r="BG66" s="11">
        <f t="shared" si="32"/>
        <v>397.87276063603855</v>
      </c>
      <c r="BH66" s="11">
        <f t="shared" si="32"/>
        <v>397.29127803174293</v>
      </c>
      <c r="BI66" s="11">
        <f t="shared" si="32"/>
        <v>396.56559088362803</v>
      </c>
      <c r="BJ66" s="11">
        <f t="shared" si="32"/>
        <v>395.69596261383356</v>
      </c>
      <c r="BK66" s="11">
        <f t="shared" si="32"/>
        <v>-108.0924707085651</v>
      </c>
    </row>
    <row r="67" spans="2:63" x14ac:dyDescent="0.25">
      <c r="B67">
        <v>0</v>
      </c>
      <c r="C67">
        <v>0</v>
      </c>
      <c r="D67">
        <v>2</v>
      </c>
      <c r="E67">
        <v>-2</v>
      </c>
      <c r="F67">
        <v>-381</v>
      </c>
      <c r="H67" s="34"/>
      <c r="I67" s="11">
        <f t="shared" si="28"/>
        <v>-345.24035237959168</v>
      </c>
      <c r="J67" s="11">
        <f t="shared" si="28"/>
        <v>-336.65159236765203</v>
      </c>
      <c r="K67" s="11">
        <f t="shared" si="28"/>
        <v>-378.46170960038211</v>
      </c>
      <c r="L67" s="11">
        <f t="shared" si="28"/>
        <v>152.0928109098426</v>
      </c>
      <c r="M67" s="11">
        <f t="shared" si="28"/>
        <v>103.33958514807401</v>
      </c>
      <c r="N67" s="11">
        <f t="shared" si="28"/>
        <v>-198.69163195420629</v>
      </c>
      <c r="O67" s="11">
        <f t="shared" si="28"/>
        <v>-369.28800323921746</v>
      </c>
      <c r="P67" s="11">
        <f t="shared" si="28"/>
        <v>-180.37847959356986</v>
      </c>
      <c r="Q67" s="11">
        <f t="shared" si="28"/>
        <v>187.86240952903725</v>
      </c>
      <c r="R67" s="11">
        <f t="shared" si="28"/>
        <v>283.82986364045917</v>
      </c>
      <c r="S67" s="11">
        <f t="shared" si="29"/>
        <v>-361.99559614061053</v>
      </c>
      <c r="T67" s="11">
        <f t="shared" si="29"/>
        <v>-19.661046108638374</v>
      </c>
      <c r="U67" s="11">
        <f t="shared" si="29"/>
        <v>105.14735460932992</v>
      </c>
      <c r="V67" s="11">
        <f t="shared" si="29"/>
        <v>107.24675390091932</v>
      </c>
      <c r="W67" s="11">
        <f t="shared" si="29"/>
        <v>274.39199216292525</v>
      </c>
      <c r="X67" s="11">
        <f t="shared" si="29"/>
        <v>380.99520933626917</v>
      </c>
      <c r="Y67" s="11">
        <f t="shared" si="29"/>
        <v>164.46283609210971</v>
      </c>
      <c r="Z67" s="11">
        <f t="shared" si="29"/>
        <v>-13.272066742942995</v>
      </c>
      <c r="AA67" s="11">
        <f t="shared" si="29"/>
        <v>-54.726992445925319</v>
      </c>
      <c r="AB67" s="11">
        <f t="shared" si="29"/>
        <v>356.82032350558836</v>
      </c>
      <c r="AC67" s="11">
        <f t="shared" si="30"/>
        <v>292.03992896473119</v>
      </c>
      <c r="AD67" s="11">
        <f t="shared" si="30"/>
        <v>135.16983945877385</v>
      </c>
      <c r="AE67" s="11">
        <f t="shared" si="30"/>
        <v>-378.58609991064054</v>
      </c>
      <c r="AF67" s="11">
        <f t="shared" si="30"/>
        <v>-206.85383843919354</v>
      </c>
      <c r="AG67" s="11">
        <f t="shared" si="30"/>
        <v>-374.53843377151657</v>
      </c>
      <c r="AH67" s="11">
        <f t="shared" si="30"/>
        <v>-280.84547100093062</v>
      </c>
      <c r="AI67" s="11">
        <f t="shared" si="30"/>
        <v>296.41565565444768</v>
      </c>
      <c r="AJ67" s="11">
        <f t="shared" si="30"/>
        <v>177.02311892800745</v>
      </c>
      <c r="AK67" s="11">
        <f t="shared" si="30"/>
        <v>292.02837834233748</v>
      </c>
      <c r="AL67" s="11">
        <f t="shared" si="30"/>
        <v>-344.27853985296912</v>
      </c>
      <c r="AM67" s="11">
        <f t="shared" si="31"/>
        <v>347.68633303837134</v>
      </c>
      <c r="AN67" s="11">
        <f t="shared" si="31"/>
        <v>-103.1257373981236</v>
      </c>
      <c r="AO67" s="11">
        <f t="shared" si="31"/>
        <v>163.41293863185794</v>
      </c>
      <c r="AP67" s="11">
        <f t="shared" si="31"/>
        <v>-336.74706015138872</v>
      </c>
      <c r="AQ67" s="11">
        <f t="shared" si="31"/>
        <v>274.6121925237108</v>
      </c>
      <c r="AR67" s="11">
        <f t="shared" si="31"/>
        <v>-300.19262939550885</v>
      </c>
      <c r="AS67" s="11">
        <f t="shared" si="31"/>
        <v>167.27323194020178</v>
      </c>
      <c r="AT67" s="11">
        <f t="shared" si="31"/>
        <v>308.39448882138328</v>
      </c>
      <c r="AU67" s="11">
        <f t="shared" si="31"/>
        <v>299.08814294738642</v>
      </c>
      <c r="AV67" s="11">
        <f t="shared" si="31"/>
        <v>289.50900429579929</v>
      </c>
      <c r="AW67" s="11">
        <f t="shared" si="32"/>
        <v>278.12990831060313</v>
      </c>
      <c r="AX67" s="11">
        <f t="shared" si="32"/>
        <v>255.27785164026227</v>
      </c>
      <c r="AY67" s="11">
        <f t="shared" si="32"/>
        <v>-220.52875745171585</v>
      </c>
      <c r="AZ67" s="11">
        <f t="shared" si="32"/>
        <v>-24.001471105704702</v>
      </c>
      <c r="BA67" s="11">
        <f t="shared" si="32"/>
        <v>211.64235172848015</v>
      </c>
      <c r="BB67" s="11">
        <f t="shared" si="32"/>
        <v>-54.15967245607834</v>
      </c>
      <c r="BC67" s="11">
        <f t="shared" si="32"/>
        <v>203.06652696341669</v>
      </c>
      <c r="BD67" s="11">
        <f t="shared" si="32"/>
        <v>201.21368846016205</v>
      </c>
      <c r="BE67" s="11">
        <f t="shared" si="32"/>
        <v>199.35422705719466</v>
      </c>
      <c r="BF67" s="11">
        <f t="shared" si="32"/>
        <v>197.48820395840076</v>
      </c>
      <c r="BG67" s="11">
        <f t="shared" si="32"/>
        <v>195.61568058381096</v>
      </c>
      <c r="BH67" s="11">
        <f t="shared" si="32"/>
        <v>193.73671856675054</v>
      </c>
      <c r="BI67" s="11">
        <f t="shared" si="32"/>
        <v>191.85137975246474</v>
      </c>
      <c r="BJ67" s="11">
        <f t="shared" si="32"/>
        <v>189.95972619709229</v>
      </c>
      <c r="BK67" s="11">
        <f t="shared" si="32"/>
        <v>296.20795787145823</v>
      </c>
    </row>
    <row r="68" spans="2:63" x14ac:dyDescent="0.25">
      <c r="B68">
        <v>1</v>
      </c>
      <c r="C68">
        <v>1</v>
      </c>
      <c r="D68">
        <v>1</v>
      </c>
      <c r="E68">
        <v>0</v>
      </c>
      <c r="F68">
        <v>351</v>
      </c>
      <c r="H68" s="34"/>
      <c r="I68" s="11">
        <f t="shared" si="28"/>
        <v>-124.81869064142387</v>
      </c>
      <c r="J68" s="11">
        <f t="shared" si="28"/>
        <v>-305.48258460336967</v>
      </c>
      <c r="K68" s="11">
        <f t="shared" si="28"/>
        <v>330.54424367860992</v>
      </c>
      <c r="L68" s="11">
        <f t="shared" si="28"/>
        <v>-115.04201401552103</v>
      </c>
      <c r="M68" s="11">
        <f t="shared" si="28"/>
        <v>-87.297290778986735</v>
      </c>
      <c r="N68" s="11">
        <f t="shared" si="28"/>
        <v>168.95443135640636</v>
      </c>
      <c r="O68" s="11">
        <f t="shared" si="28"/>
        <v>-141.08963612398099</v>
      </c>
      <c r="P68" s="11">
        <f t="shared" si="28"/>
        <v>204.22238187544724</v>
      </c>
      <c r="Q68" s="11">
        <f t="shared" si="28"/>
        <v>-309.41086937255898</v>
      </c>
      <c r="R68" s="11">
        <f t="shared" si="28"/>
        <v>-352.59040679972435</v>
      </c>
      <c r="S68" s="11">
        <f t="shared" si="29"/>
        <v>254.88606695934945</v>
      </c>
      <c r="T68" s="11">
        <f t="shared" si="29"/>
        <v>-300.60070501313209</v>
      </c>
      <c r="U68" s="11">
        <f t="shared" si="29"/>
        <v>-236.08263782533464</v>
      </c>
      <c r="V68" s="11">
        <f t="shared" si="29"/>
        <v>-86.607124037652511</v>
      </c>
      <c r="W68" s="11">
        <f t="shared" si="29"/>
        <v>290.37546722999861</v>
      </c>
      <c r="X68" s="11">
        <f t="shared" si="29"/>
        <v>320.69969245543888</v>
      </c>
      <c r="Y68" s="11">
        <f t="shared" si="29"/>
        <v>248.94576883455036</v>
      </c>
      <c r="Z68" s="11">
        <f t="shared" si="29"/>
        <v>-395.13316287853633</v>
      </c>
      <c r="AA68" s="11">
        <f t="shared" si="29"/>
        <v>344.39979946831613</v>
      </c>
      <c r="AB68" s="11">
        <f t="shared" si="29"/>
        <v>-209.49582297553889</v>
      </c>
      <c r="AC68" s="11">
        <f t="shared" si="30"/>
        <v>272.18936851237072</v>
      </c>
      <c r="AD68" s="11">
        <f t="shared" si="30"/>
        <v>-233.85854680855081</v>
      </c>
      <c r="AE68" s="11">
        <f t="shared" si="30"/>
        <v>295.11196257673373</v>
      </c>
      <c r="AF68" s="11">
        <f t="shared" si="30"/>
        <v>-225.27578824703784</v>
      </c>
      <c r="AG68" s="11">
        <f t="shared" si="30"/>
        <v>-156.92952518124739</v>
      </c>
      <c r="AH68" s="11">
        <f t="shared" si="30"/>
        <v>-302.67942320491193</v>
      </c>
      <c r="AI68" s="11">
        <f t="shared" si="30"/>
        <v>254.76260770373074</v>
      </c>
      <c r="AJ68" s="11">
        <f t="shared" si="30"/>
        <v>-64.247587310235204</v>
      </c>
      <c r="AK68" s="11">
        <f t="shared" si="30"/>
        <v>30.863564584605996</v>
      </c>
      <c r="AL68" s="11">
        <f t="shared" si="30"/>
        <v>-268.27463833294502</v>
      </c>
      <c r="AM68" s="11">
        <f t="shared" si="31"/>
        <v>-333.92021698395394</v>
      </c>
      <c r="AN68" s="11">
        <f t="shared" si="31"/>
        <v>-192.80131069112656</v>
      </c>
      <c r="AO68" s="11">
        <f t="shared" si="31"/>
        <v>-331.86364477042838</v>
      </c>
      <c r="AP68" s="11">
        <f t="shared" si="31"/>
        <v>114.71543943208219</v>
      </c>
      <c r="AQ68" s="11">
        <f t="shared" si="31"/>
        <v>-49.897593877765956</v>
      </c>
      <c r="AR68" s="11">
        <f t="shared" si="31"/>
        <v>292.32255077899242</v>
      </c>
      <c r="AS68" s="11">
        <f t="shared" si="31"/>
        <v>-250.11546407012349</v>
      </c>
      <c r="AT68" s="11">
        <f t="shared" si="31"/>
        <v>152.20453297061465</v>
      </c>
      <c r="AU68" s="11">
        <f t="shared" si="31"/>
        <v>-123.23518289504722</v>
      </c>
      <c r="AV68" s="11">
        <f t="shared" si="31"/>
        <v>116.68692248633504</v>
      </c>
      <c r="AW68" s="11">
        <f t="shared" si="32"/>
        <v>33.121984891237879</v>
      </c>
      <c r="AX68" s="11">
        <f t="shared" si="32"/>
        <v>175.49213381002818</v>
      </c>
      <c r="AY68" s="11">
        <f t="shared" si="32"/>
        <v>253.55672965369695</v>
      </c>
      <c r="AZ68" s="11">
        <f t="shared" si="32"/>
        <v>117.74089824281877</v>
      </c>
      <c r="BA68" s="11">
        <f t="shared" si="32"/>
        <v>-194.14029625530196</v>
      </c>
      <c r="BB68" s="11">
        <f t="shared" si="32"/>
        <v>-84.759928347064076</v>
      </c>
      <c r="BC68" s="11">
        <f t="shared" si="32"/>
        <v>347.98681519859701</v>
      </c>
      <c r="BD68" s="11">
        <f t="shared" si="32"/>
        <v>292.5278819134785</v>
      </c>
      <c r="BE68" s="11">
        <f t="shared" si="32"/>
        <v>176.77285745274818</v>
      </c>
      <c r="BF68" s="11">
        <f t="shared" si="32"/>
        <v>24.581275424241106</v>
      </c>
      <c r="BG68" s="11">
        <f t="shared" si="32"/>
        <v>-132.67699924714177</v>
      </c>
      <c r="BH68" s="11">
        <f t="shared" si="32"/>
        <v>-262.58775491686077</v>
      </c>
      <c r="BI68" s="11">
        <f t="shared" si="32"/>
        <v>-338.37367857295931</v>
      </c>
      <c r="BJ68" s="11">
        <f t="shared" si="32"/>
        <v>-344.41371786497257</v>
      </c>
      <c r="BK68" s="11">
        <f t="shared" si="32"/>
        <v>270.87465546242095</v>
      </c>
    </row>
    <row r="69" spans="2:63" x14ac:dyDescent="0.25">
      <c r="B69">
        <v>3</v>
      </c>
      <c r="C69">
        <v>0</v>
      </c>
      <c r="D69">
        <v>-2</v>
      </c>
      <c r="E69">
        <v>0</v>
      </c>
      <c r="F69">
        <v>-340</v>
      </c>
      <c r="H69" s="34"/>
      <c r="I69" s="11">
        <f t="shared" si="28"/>
        <v>-325.49713171135335</v>
      </c>
      <c r="J69" s="11">
        <f t="shared" si="28"/>
        <v>339.00039096808365</v>
      </c>
      <c r="K69" s="11">
        <f t="shared" si="28"/>
        <v>337.89679547506864</v>
      </c>
      <c r="L69" s="11">
        <f t="shared" si="28"/>
        <v>-248.56806239078981</v>
      </c>
      <c r="M69" s="11">
        <f t="shared" si="28"/>
        <v>339.99990095662804</v>
      </c>
      <c r="N69" s="11">
        <f t="shared" si="28"/>
        <v>177.60764976934203</v>
      </c>
      <c r="O69" s="11">
        <f t="shared" si="28"/>
        <v>-289.99305810140163</v>
      </c>
      <c r="P69" s="11">
        <f t="shared" si="28"/>
        <v>61.236525244958024</v>
      </c>
      <c r="Q69" s="11">
        <f t="shared" si="28"/>
        <v>-328.07021550348492</v>
      </c>
      <c r="R69" s="11">
        <f t="shared" si="28"/>
        <v>29.845113961702097</v>
      </c>
      <c r="S69" s="11">
        <f t="shared" si="29"/>
        <v>151.13009681317828</v>
      </c>
      <c r="T69" s="11">
        <f t="shared" si="29"/>
        <v>70.419776962257657</v>
      </c>
      <c r="U69" s="11">
        <f t="shared" si="29"/>
        <v>-146.9863072447956</v>
      </c>
      <c r="V69" s="11">
        <f t="shared" si="29"/>
        <v>-88.984713842383769</v>
      </c>
      <c r="W69" s="11">
        <f t="shared" si="29"/>
        <v>-39.434745906242</v>
      </c>
      <c r="X69" s="11">
        <f t="shared" si="29"/>
        <v>-228.25931605608199</v>
      </c>
      <c r="Y69" s="11">
        <f t="shared" si="29"/>
        <v>-88.690732149317341</v>
      </c>
      <c r="Z69" s="11">
        <f t="shared" si="29"/>
        <v>-338.78996541759011</v>
      </c>
      <c r="AA69" s="11">
        <f t="shared" si="29"/>
        <v>251.35939964332294</v>
      </c>
      <c r="AB69" s="11">
        <f t="shared" si="29"/>
        <v>163.66495081763043</v>
      </c>
      <c r="AC69" s="11">
        <f t="shared" si="30"/>
        <v>-247.4138898960926</v>
      </c>
      <c r="AD69" s="11">
        <f t="shared" si="30"/>
        <v>236.26143358619689</v>
      </c>
      <c r="AE69" s="11">
        <f t="shared" si="30"/>
        <v>333.05874985632914</v>
      </c>
      <c r="AF69" s="11">
        <f t="shared" si="30"/>
        <v>207.31027566871057</v>
      </c>
      <c r="AG69" s="11">
        <f t="shared" si="30"/>
        <v>278.41702512891351</v>
      </c>
      <c r="AH69" s="11">
        <f t="shared" si="30"/>
        <v>295.9100827703208</v>
      </c>
      <c r="AI69" s="11">
        <f t="shared" si="30"/>
        <v>-81.030500696071442</v>
      </c>
      <c r="AJ69" s="11">
        <f t="shared" si="30"/>
        <v>-337.22534389949067</v>
      </c>
      <c r="AK69" s="11">
        <f t="shared" si="30"/>
        <v>-339.64962511443491</v>
      </c>
      <c r="AL69" s="11">
        <f t="shared" si="30"/>
        <v>-174.00554209809903</v>
      </c>
      <c r="AM69" s="11">
        <f t="shared" si="31"/>
        <v>201.57308296685429</v>
      </c>
      <c r="AN69" s="11">
        <f t="shared" si="31"/>
        <v>-122.14240843289295</v>
      </c>
      <c r="AO69" s="11">
        <f t="shared" si="31"/>
        <v>113.15324465883408</v>
      </c>
      <c r="AP69" s="11">
        <f t="shared" si="31"/>
        <v>-222.44963256474605</v>
      </c>
      <c r="AQ69" s="11">
        <f t="shared" si="31"/>
        <v>0.80608809548862725</v>
      </c>
      <c r="AR69" s="11">
        <f t="shared" si="31"/>
        <v>5.101674460866211</v>
      </c>
      <c r="AS69" s="11">
        <f t="shared" si="31"/>
        <v>281.47823517559544</v>
      </c>
      <c r="AT69" s="11">
        <f t="shared" si="31"/>
        <v>151.9516397178769</v>
      </c>
      <c r="AU69" s="11">
        <f t="shared" si="31"/>
        <v>334.60338402510581</v>
      </c>
      <c r="AV69" s="11">
        <f t="shared" si="31"/>
        <v>45.540079408267999</v>
      </c>
      <c r="AW69" s="11">
        <f t="shared" si="32"/>
        <v>-326.52879362750815</v>
      </c>
      <c r="AX69" s="11">
        <f t="shared" si="32"/>
        <v>248.10055646922444</v>
      </c>
      <c r="AY69" s="11">
        <f t="shared" si="32"/>
        <v>-138.52032167534088</v>
      </c>
      <c r="AZ69" s="11">
        <f t="shared" si="32"/>
        <v>-9.4689827108947284</v>
      </c>
      <c r="BA69" s="11">
        <f t="shared" si="32"/>
        <v>-320.36521488587653</v>
      </c>
      <c r="BB69" s="11">
        <f t="shared" si="32"/>
        <v>-316.72684893568476</v>
      </c>
      <c r="BC69" s="11">
        <f t="shared" si="32"/>
        <v>0.76974089962955428</v>
      </c>
      <c r="BD69" s="11">
        <f t="shared" si="32"/>
        <v>62.379989971460546</v>
      </c>
      <c r="BE69" s="11">
        <f t="shared" si="32"/>
        <v>121.92397087064684</v>
      </c>
      <c r="BF69" s="11">
        <f t="shared" si="32"/>
        <v>177.42935508864252</v>
      </c>
      <c r="BG69" s="11">
        <f t="shared" si="32"/>
        <v>227.05758816452195</v>
      </c>
      <c r="BH69" s="11">
        <f t="shared" si="32"/>
        <v>269.16478976910423</v>
      </c>
      <c r="BI69" s="11">
        <f t="shared" si="32"/>
        <v>302.35620542271448</v>
      </c>
      <c r="BJ69" s="11">
        <f t="shared" si="32"/>
        <v>325.53240619226921</v>
      </c>
      <c r="BK69" s="11">
        <f t="shared" si="32"/>
        <v>-90.095274264054879</v>
      </c>
    </row>
    <row r="70" spans="2:63" x14ac:dyDescent="0.25">
      <c r="B70">
        <v>4</v>
      </c>
      <c r="C70">
        <v>0</v>
      </c>
      <c r="D70">
        <v>-3</v>
      </c>
      <c r="E70">
        <v>0</v>
      </c>
      <c r="F70">
        <v>330</v>
      </c>
      <c r="H70" s="34"/>
      <c r="I70" s="11">
        <f t="shared" si="28"/>
        <v>231.41089030842221</v>
      </c>
      <c r="J70" s="11">
        <f t="shared" si="28"/>
        <v>-326.80067308319553</v>
      </c>
      <c r="K70" s="11">
        <f t="shared" si="28"/>
        <v>302.65411589386059</v>
      </c>
      <c r="L70" s="11">
        <f t="shared" si="28"/>
        <v>60.703150586553249</v>
      </c>
      <c r="M70" s="11">
        <f t="shared" si="28"/>
        <v>-290.13834848025914</v>
      </c>
      <c r="N70" s="11">
        <f t="shared" si="28"/>
        <v>31.29985420271143</v>
      </c>
      <c r="O70" s="11">
        <f t="shared" si="28"/>
        <v>237.88816885384523</v>
      </c>
      <c r="P70" s="11">
        <f t="shared" si="28"/>
        <v>320.81735768571548</v>
      </c>
      <c r="Q70" s="11">
        <f t="shared" si="28"/>
        <v>116.01130574060021</v>
      </c>
      <c r="R70" s="11">
        <f t="shared" si="28"/>
        <v>327.19223465998817</v>
      </c>
      <c r="S70" s="11">
        <f t="shared" si="29"/>
        <v>-140.24832857704527</v>
      </c>
      <c r="T70" s="11">
        <f t="shared" si="29"/>
        <v>323.54377797109674</v>
      </c>
      <c r="U70" s="11">
        <f t="shared" si="29"/>
        <v>79.801292126835833</v>
      </c>
      <c r="V70" s="11">
        <f t="shared" si="29"/>
        <v>131.91544963156545</v>
      </c>
      <c r="W70" s="11">
        <f t="shared" si="29"/>
        <v>-150.00028541526339</v>
      </c>
      <c r="X70" s="11">
        <f t="shared" si="29"/>
        <v>266.77623624471374</v>
      </c>
      <c r="Y70" s="11">
        <f t="shared" si="29"/>
        <v>283.83475429395133</v>
      </c>
      <c r="Z70" s="11">
        <f t="shared" si="29"/>
        <v>128.68923115865303</v>
      </c>
      <c r="AA70" s="11">
        <f t="shared" si="29"/>
        <v>-212.17359468593207</v>
      </c>
      <c r="AB70" s="11">
        <f t="shared" si="29"/>
        <v>324.90292069896952</v>
      </c>
      <c r="AC70" s="11">
        <f t="shared" si="30"/>
        <v>216.22853515901164</v>
      </c>
      <c r="AD70" s="11">
        <f t="shared" si="30"/>
        <v>311.39526337830495</v>
      </c>
      <c r="AE70" s="11">
        <f t="shared" si="30"/>
        <v>290.63004726333219</v>
      </c>
      <c r="AF70" s="11">
        <f t="shared" si="30"/>
        <v>156.45449709289193</v>
      </c>
      <c r="AG70" s="11">
        <f t="shared" si="30"/>
        <v>89.659450966862664</v>
      </c>
      <c r="AH70" s="11">
        <f t="shared" si="30"/>
        <v>-275.88884933059143</v>
      </c>
      <c r="AI70" s="11">
        <f t="shared" si="30"/>
        <v>312.18582741980879</v>
      </c>
      <c r="AJ70" s="11">
        <f t="shared" si="30"/>
        <v>-159.69901031494462</v>
      </c>
      <c r="AK70" s="11">
        <f t="shared" si="30"/>
        <v>214.01981346096329</v>
      </c>
      <c r="AL70" s="11">
        <f t="shared" si="30"/>
        <v>228.55074353540655</v>
      </c>
      <c r="AM70" s="11">
        <f t="shared" si="31"/>
        <v>-141.19198378434291</v>
      </c>
      <c r="AN70" s="11">
        <f t="shared" si="31"/>
        <v>144.47852588235992</v>
      </c>
      <c r="AO70" s="11">
        <f t="shared" si="31"/>
        <v>127.81334028705825</v>
      </c>
      <c r="AP70" s="11">
        <f t="shared" si="31"/>
        <v>145.42086291508707</v>
      </c>
      <c r="AQ70" s="11">
        <f t="shared" si="31"/>
        <v>-322.69745223541582</v>
      </c>
      <c r="AR70" s="11">
        <f t="shared" si="31"/>
        <v>-325.23960387664425</v>
      </c>
      <c r="AS70" s="11">
        <f t="shared" si="31"/>
        <v>277.08974786172217</v>
      </c>
      <c r="AT70" s="11">
        <f t="shared" si="31"/>
        <v>-250.87226198845309</v>
      </c>
      <c r="AU70" s="11">
        <f t="shared" si="31"/>
        <v>102.10799876469147</v>
      </c>
      <c r="AV70" s="11">
        <f t="shared" si="31"/>
        <v>328.23416331707426</v>
      </c>
      <c r="AW70" s="11">
        <f t="shared" si="32"/>
        <v>119.54871682133184</v>
      </c>
      <c r="AX70" s="11">
        <f t="shared" si="32"/>
        <v>-288.64780723334064</v>
      </c>
      <c r="AY70" s="11">
        <f t="shared" si="32"/>
        <v>195.24002504419198</v>
      </c>
      <c r="AZ70" s="11">
        <f t="shared" si="32"/>
        <v>-56.030367225539486</v>
      </c>
      <c r="BA70" s="11">
        <f t="shared" si="32"/>
        <v>317.72193965474031</v>
      </c>
      <c r="BB70" s="11">
        <f t="shared" si="32"/>
        <v>-63.40636431187702</v>
      </c>
      <c r="BC70" s="11">
        <f t="shared" si="32"/>
        <v>-237.51080177947182</v>
      </c>
      <c r="BD70" s="11">
        <f t="shared" si="32"/>
        <v>-272.28805920073762</v>
      </c>
      <c r="BE70" s="11">
        <f t="shared" si="32"/>
        <v>-299.4897044473197</v>
      </c>
      <c r="BF70" s="11">
        <f t="shared" si="32"/>
        <v>-318.35893196757507</v>
      </c>
      <c r="BG70" s="11">
        <f t="shared" si="32"/>
        <v>-328.3707611576317</v>
      </c>
      <c r="BH70" s="11">
        <f t="shared" si="32"/>
        <v>-329.24664239903302</v>
      </c>
      <c r="BI70" s="11">
        <f t="shared" si="32"/>
        <v>-320.96220687946106</v>
      </c>
      <c r="BJ70" s="11">
        <f t="shared" si="32"/>
        <v>-303.74794458403562</v>
      </c>
      <c r="BK70" s="11">
        <f t="shared" si="32"/>
        <v>309.38679663527461</v>
      </c>
    </row>
    <row r="71" spans="2:63" x14ac:dyDescent="0.25">
      <c r="B71">
        <v>2</v>
      </c>
      <c r="C71">
        <v>-1</v>
      </c>
      <c r="D71">
        <v>2</v>
      </c>
      <c r="E71">
        <v>0</v>
      </c>
      <c r="F71">
        <v>327</v>
      </c>
      <c r="H71" s="34"/>
      <c r="I71" s="11">
        <f t="shared" si="28"/>
        <v>-255.85810470135436</v>
      </c>
      <c r="J71" s="11">
        <f t="shared" si="28"/>
        <v>339.97632473176799</v>
      </c>
      <c r="K71" s="11">
        <f t="shared" si="28"/>
        <v>172.80869739406856</v>
      </c>
      <c r="L71" s="11">
        <f t="shared" si="28"/>
        <v>236.76104640679677</v>
      </c>
      <c r="M71" s="11">
        <f t="shared" si="28"/>
        <v>-324.01119604352277</v>
      </c>
      <c r="N71" s="11">
        <f t="shared" si="28"/>
        <v>61.987413611611004</v>
      </c>
      <c r="O71" s="11">
        <f t="shared" si="28"/>
        <v>-116.9048314975791</v>
      </c>
      <c r="P71" s="11">
        <f t="shared" si="28"/>
        <v>-295.10899083012845</v>
      </c>
      <c r="Q71" s="11">
        <f t="shared" si="28"/>
        <v>-283.80882115498861</v>
      </c>
      <c r="R71" s="11">
        <f t="shared" si="28"/>
        <v>-2.8964602872503851</v>
      </c>
      <c r="S71" s="11">
        <f t="shared" si="29"/>
        <v>-322.35230783064469</v>
      </c>
      <c r="T71" s="11">
        <f t="shared" si="29"/>
        <v>306.34387292228041</v>
      </c>
      <c r="U71" s="11">
        <f t="shared" si="29"/>
        <v>-71.492884398806027</v>
      </c>
      <c r="V71" s="11">
        <f t="shared" si="29"/>
        <v>-301.88203850580692</v>
      </c>
      <c r="W71" s="11">
        <f t="shared" si="29"/>
        <v>248.47380794909878</v>
      </c>
      <c r="X71" s="11">
        <f t="shared" si="29"/>
        <v>-253.68892986930101</v>
      </c>
      <c r="Y71" s="11">
        <f t="shared" si="29"/>
        <v>66.472180732782761</v>
      </c>
      <c r="Z71" s="11">
        <f t="shared" si="29"/>
        <v>-304.95423452299349</v>
      </c>
      <c r="AA71" s="11">
        <f t="shared" si="29"/>
        <v>-324.30526401907161</v>
      </c>
      <c r="AB71" s="11">
        <f t="shared" si="29"/>
        <v>208.72979475729744</v>
      </c>
      <c r="AC71" s="11">
        <f t="shared" si="30"/>
        <v>-140.46467587012424</v>
      </c>
      <c r="AD71" s="11">
        <f t="shared" si="30"/>
        <v>325.91293261729987</v>
      </c>
      <c r="AE71" s="11">
        <f t="shared" si="30"/>
        <v>273.19890188432947</v>
      </c>
      <c r="AF71" s="11">
        <f t="shared" si="30"/>
        <v>-326.71978147949278</v>
      </c>
      <c r="AG71" s="11">
        <f t="shared" si="30"/>
        <v>-125.54264537681281</v>
      </c>
      <c r="AH71" s="11">
        <f t="shared" si="30"/>
        <v>-323.68212769031919</v>
      </c>
      <c r="AI71" s="11">
        <f t="shared" si="30"/>
        <v>248.27515804042255</v>
      </c>
      <c r="AJ71" s="11">
        <f t="shared" si="30"/>
        <v>116.48982592879767</v>
      </c>
      <c r="AK71" s="11">
        <f t="shared" si="30"/>
        <v>-312.94377297882573</v>
      </c>
      <c r="AL71" s="11">
        <f t="shared" si="30"/>
        <v>326.36035182980385</v>
      </c>
      <c r="AM71" s="11">
        <f t="shared" si="31"/>
        <v>-229.0056086521528</v>
      </c>
      <c r="AN71" s="11">
        <f t="shared" si="31"/>
        <v>320.23889599905613</v>
      </c>
      <c r="AO71" s="11">
        <f t="shared" si="31"/>
        <v>212.1222609520369</v>
      </c>
      <c r="AP71" s="11">
        <f t="shared" si="31"/>
        <v>-53.481994793781517</v>
      </c>
      <c r="AQ71" s="11">
        <f t="shared" si="31"/>
        <v>337.08463385899893</v>
      </c>
      <c r="AR71" s="11">
        <f t="shared" si="31"/>
        <v>-100.07024659937618</v>
      </c>
      <c r="AS71" s="11">
        <f t="shared" si="31"/>
        <v>1.1540801912364769</v>
      </c>
      <c r="AT71" s="11">
        <f t="shared" si="31"/>
        <v>-297.22875011237983</v>
      </c>
      <c r="AU71" s="11">
        <f t="shared" si="31"/>
        <v>-267.26947602982011</v>
      </c>
      <c r="AV71" s="11">
        <f t="shared" si="31"/>
        <v>-195.45755184775672</v>
      </c>
      <c r="AW71" s="11">
        <f t="shared" si="32"/>
        <v>-292.07595183177119</v>
      </c>
      <c r="AX71" s="11">
        <f t="shared" si="32"/>
        <v>-305.52672600341958</v>
      </c>
      <c r="AY71" s="11">
        <f t="shared" si="32"/>
        <v>-39.900286535986062</v>
      </c>
      <c r="AZ71" s="11">
        <f t="shared" si="32"/>
        <v>240.26187016749026</v>
      </c>
      <c r="BA71" s="11">
        <f t="shared" si="32"/>
        <v>-312.48407880296855</v>
      </c>
      <c r="BB71" s="11">
        <f t="shared" si="32"/>
        <v>163.79299575268115</v>
      </c>
      <c r="BC71" s="11">
        <f t="shared" si="32"/>
        <v>-296.23105286557205</v>
      </c>
      <c r="BD71" s="11">
        <f t="shared" si="32"/>
        <v>-87.284081694837809</v>
      </c>
      <c r="BE71" s="11">
        <f t="shared" si="32"/>
        <v>182.91804636511517</v>
      </c>
      <c r="BF71" s="11">
        <f t="shared" si="32"/>
        <v>324.74989267939435</v>
      </c>
      <c r="BG71" s="11">
        <f t="shared" si="32"/>
        <v>238.67515723486343</v>
      </c>
      <c r="BH71" s="11">
        <f t="shared" si="32"/>
        <v>-14.899651131034457</v>
      </c>
      <c r="BI71" s="11">
        <f t="shared" si="32"/>
        <v>-258.01798295818986</v>
      </c>
      <c r="BJ71" s="11">
        <f t="shared" si="32"/>
        <v>-320.06157480599188</v>
      </c>
      <c r="BK71" s="11">
        <f t="shared" si="32"/>
        <v>273.92313552511007</v>
      </c>
    </row>
    <row r="72" spans="2:63" x14ac:dyDescent="0.25">
      <c r="B72">
        <v>0</v>
      </c>
      <c r="C72">
        <v>2</v>
      </c>
      <c r="D72">
        <v>1</v>
      </c>
      <c r="E72">
        <v>0</v>
      </c>
      <c r="F72">
        <v>-323</v>
      </c>
      <c r="H72" s="34"/>
      <c r="I72" s="11">
        <f t="shared" si="28"/>
        <v>104.02078524928521</v>
      </c>
      <c r="J72" s="11">
        <f t="shared" si="28"/>
        <v>-291.3377178546873</v>
      </c>
      <c r="K72" s="11">
        <f t="shared" si="28"/>
        <v>-247.35401284617151</v>
      </c>
      <c r="L72" s="11">
        <f t="shared" si="28"/>
        <v>-181.99494756496159</v>
      </c>
      <c r="M72" s="11">
        <f t="shared" si="28"/>
        <v>-214.57874701133477</v>
      </c>
      <c r="N72" s="11">
        <f t="shared" si="28"/>
        <v>-204.67459402611755</v>
      </c>
      <c r="O72" s="11">
        <f t="shared" si="28"/>
        <v>-248.27383255209898</v>
      </c>
      <c r="P72" s="11">
        <f t="shared" si="28"/>
        <v>-196.57191981796467</v>
      </c>
      <c r="Q72" s="11">
        <f t="shared" si="28"/>
        <v>279.47332270553835</v>
      </c>
      <c r="R72" s="11">
        <f t="shared" si="28"/>
        <v>-324.57678101238071</v>
      </c>
      <c r="S72" s="11">
        <f t="shared" si="29"/>
        <v>46.325907061360837</v>
      </c>
      <c r="T72" s="11">
        <f t="shared" si="29"/>
        <v>101.42766256129778</v>
      </c>
      <c r="U72" s="11">
        <f t="shared" si="29"/>
        <v>355.07751619765514</v>
      </c>
      <c r="V72" s="11">
        <f t="shared" si="29"/>
        <v>335.76897634987341</v>
      </c>
      <c r="W72" s="11">
        <f t="shared" si="29"/>
        <v>159.30532775243483</v>
      </c>
      <c r="X72" s="11">
        <f t="shared" si="29"/>
        <v>106.57389832994645</v>
      </c>
      <c r="Y72" s="11">
        <f t="shared" si="29"/>
        <v>347.49697621800198</v>
      </c>
      <c r="Z72" s="11">
        <f t="shared" si="29"/>
        <v>-413.16147921706784</v>
      </c>
      <c r="AA72" s="11">
        <f t="shared" si="29"/>
        <v>-277.73722465663673</v>
      </c>
      <c r="AB72" s="11">
        <f t="shared" si="29"/>
        <v>112.83261311639635</v>
      </c>
      <c r="AC72" s="11">
        <f t="shared" si="30"/>
        <v>-228.23027317240457</v>
      </c>
      <c r="AD72" s="11">
        <f t="shared" si="30"/>
        <v>157.08765993759593</v>
      </c>
      <c r="AE72" s="11">
        <f t="shared" si="30"/>
        <v>-272.40479916589629</v>
      </c>
      <c r="AF72" s="11">
        <f t="shared" si="30"/>
        <v>-232.61476487121408</v>
      </c>
      <c r="AG72" s="11">
        <f t="shared" si="30"/>
        <v>38.496073251699066</v>
      </c>
      <c r="AH72" s="11">
        <f t="shared" si="30"/>
        <v>94.916944047521625</v>
      </c>
      <c r="AI72" s="11">
        <f t="shared" si="30"/>
        <v>14.040789281846175</v>
      </c>
      <c r="AJ72" s="11">
        <f t="shared" si="30"/>
        <v>-159.39670952790144</v>
      </c>
      <c r="AK72" s="11">
        <f t="shared" si="30"/>
        <v>-322.70278517217923</v>
      </c>
      <c r="AL72" s="11">
        <f t="shared" si="30"/>
        <v>31.93135369079296</v>
      </c>
      <c r="AM72" s="11">
        <f t="shared" si="31"/>
        <v>-185.52095292619643</v>
      </c>
      <c r="AN72" s="11">
        <f t="shared" si="31"/>
        <v>182.24840776687037</v>
      </c>
      <c r="AO72" s="11">
        <f t="shared" si="31"/>
        <v>179.41085506072326</v>
      </c>
      <c r="AP72" s="11">
        <f t="shared" si="31"/>
        <v>323.14902885159086</v>
      </c>
      <c r="AQ72" s="11">
        <f t="shared" si="31"/>
        <v>-117.52228601617124</v>
      </c>
      <c r="AR72" s="11">
        <f t="shared" si="31"/>
        <v>-261.38161383391542</v>
      </c>
      <c r="AS72" s="11">
        <f t="shared" si="31"/>
        <v>-320.64760729437444</v>
      </c>
      <c r="AT72" s="11">
        <f t="shared" si="31"/>
        <v>-269.74078110962824</v>
      </c>
      <c r="AU72" s="11">
        <f t="shared" si="31"/>
        <v>-95.31899202709873</v>
      </c>
      <c r="AV72" s="11">
        <f t="shared" si="31"/>
        <v>322.06432844648361</v>
      </c>
      <c r="AW72" s="11">
        <f t="shared" si="32"/>
        <v>-131.14108716856006</v>
      </c>
      <c r="AX72" s="11">
        <f t="shared" si="32"/>
        <v>290.85450363218877</v>
      </c>
      <c r="AY72" s="11">
        <f t="shared" si="32"/>
        <v>317.41924100992162</v>
      </c>
      <c r="AZ72" s="11">
        <f t="shared" si="32"/>
        <v>322.9012758699559</v>
      </c>
      <c r="BA72" s="11">
        <f t="shared" si="32"/>
        <v>169.88875300644568</v>
      </c>
      <c r="BB72" s="11">
        <f t="shared" si="32"/>
        <v>321.17664906773302</v>
      </c>
      <c r="BC72" s="11">
        <f t="shared" si="32"/>
        <v>134.07997297637769</v>
      </c>
      <c r="BD72" s="11">
        <f t="shared" si="32"/>
        <v>53.360700344040495</v>
      </c>
      <c r="BE72" s="11">
        <f t="shared" si="32"/>
        <v>-31.012462073427663</v>
      </c>
      <c r="BF72" s="11">
        <f t="shared" si="32"/>
        <v>-113.26200070694222</v>
      </c>
      <c r="BG72" s="11">
        <f t="shared" si="32"/>
        <v>-187.75582023822349</v>
      </c>
      <c r="BH72" s="11">
        <f t="shared" si="32"/>
        <v>-249.39290530834279</v>
      </c>
      <c r="BI72" s="11">
        <f t="shared" si="32"/>
        <v>-293.95261604204239</v>
      </c>
      <c r="BJ72" s="11">
        <f t="shared" si="32"/>
        <v>-318.38369913450686</v>
      </c>
      <c r="BK72" s="11">
        <f t="shared" si="32"/>
        <v>1.2175701570336188</v>
      </c>
    </row>
    <row r="73" spans="2:63" x14ac:dyDescent="0.25">
      <c r="B73">
        <v>1</v>
      </c>
      <c r="C73">
        <v>1</v>
      </c>
      <c r="D73">
        <v>-1</v>
      </c>
      <c r="E73">
        <v>0</v>
      </c>
      <c r="F73">
        <v>299</v>
      </c>
      <c r="H73" s="34"/>
      <c r="I73" s="11">
        <f t="shared" si="28"/>
        <v>-265.08626988303672</v>
      </c>
      <c r="J73" s="11">
        <f t="shared" si="28"/>
        <v>200.34114569190336</v>
      </c>
      <c r="K73" s="11">
        <f t="shared" si="28"/>
        <v>100.22182447008618</v>
      </c>
      <c r="L73" s="11">
        <f t="shared" si="28"/>
        <v>259.68825055705963</v>
      </c>
      <c r="M73" s="11">
        <f t="shared" si="28"/>
        <v>-28.485801163862174</v>
      </c>
      <c r="N73" s="11">
        <f t="shared" si="28"/>
        <v>54.580382599856136</v>
      </c>
      <c r="O73" s="11">
        <f t="shared" si="28"/>
        <v>172.31981966299676</v>
      </c>
      <c r="P73" s="11">
        <f t="shared" si="28"/>
        <v>233.32188748347011</v>
      </c>
      <c r="Q73" s="11">
        <f t="shared" si="28"/>
        <v>239.91466439785319</v>
      </c>
      <c r="R73" s="11">
        <f t="shared" si="28"/>
        <v>301.89036998830807</v>
      </c>
      <c r="S73" s="11">
        <f t="shared" si="29"/>
        <v>224.43333407361652</v>
      </c>
      <c r="T73" s="11">
        <f t="shared" si="29"/>
        <v>148.49695660372552</v>
      </c>
      <c r="U73" s="11">
        <f t="shared" si="29"/>
        <v>-293.20776928946793</v>
      </c>
      <c r="V73" s="11">
        <f t="shared" si="29"/>
        <v>-293.42542184423667</v>
      </c>
      <c r="W73" s="11">
        <f t="shared" si="29"/>
        <v>-83.888804653851196</v>
      </c>
      <c r="X73" s="11">
        <f t="shared" si="29"/>
        <v>-1.3325654389349044</v>
      </c>
      <c r="Y73" s="11">
        <f t="shared" si="29"/>
        <v>117.07414534397446</v>
      </c>
      <c r="Z73" s="11">
        <f t="shared" si="29"/>
        <v>8.8830312358379455</v>
      </c>
      <c r="AA73" s="11">
        <f t="shared" si="29"/>
        <v>13.901276542286697</v>
      </c>
      <c r="AB73" s="11">
        <f t="shared" si="29"/>
        <v>-132.66769725603513</v>
      </c>
      <c r="AC73" s="11">
        <f t="shared" si="30"/>
        <v>-229.25769495819762</v>
      </c>
      <c r="AD73" s="11">
        <f t="shared" si="30"/>
        <v>149.48060971327268</v>
      </c>
      <c r="AE73" s="11">
        <f t="shared" si="30"/>
        <v>100.49553062568137</v>
      </c>
      <c r="AF73" s="11">
        <f t="shared" si="30"/>
        <v>282.16770724168072</v>
      </c>
      <c r="AG73" s="11">
        <f t="shared" si="30"/>
        <v>106.77350717445353</v>
      </c>
      <c r="AH73" s="11">
        <f t="shared" si="30"/>
        <v>210.58715053218705</v>
      </c>
      <c r="AI73" s="11">
        <f t="shared" si="30"/>
        <v>-228.07618144445792</v>
      </c>
      <c r="AJ73" s="11">
        <f t="shared" si="30"/>
        <v>-243.15047131374575</v>
      </c>
      <c r="AK73" s="11">
        <f t="shared" si="30"/>
        <v>-218.08899611403388</v>
      </c>
      <c r="AL73" s="11">
        <f t="shared" si="30"/>
        <v>97.852333890608719</v>
      </c>
      <c r="AM73" s="11">
        <f t="shared" si="31"/>
        <v>-126.90792486556663</v>
      </c>
      <c r="AN73" s="11">
        <f t="shared" si="31"/>
        <v>-279.36633117046665</v>
      </c>
      <c r="AO73" s="11">
        <f t="shared" si="31"/>
        <v>-200.9180913223733</v>
      </c>
      <c r="AP73" s="11">
        <f t="shared" si="31"/>
        <v>180.56036879042048</v>
      </c>
      <c r="AQ73" s="11">
        <f t="shared" si="31"/>
        <v>-281.42556402995439</v>
      </c>
      <c r="AR73" s="11">
        <f t="shared" si="31"/>
        <v>46.513570877531691</v>
      </c>
      <c r="AS73" s="11">
        <f t="shared" si="31"/>
        <v>-169.20617645720739</v>
      </c>
      <c r="AT73" s="11">
        <f t="shared" si="31"/>
        <v>26.13159804129609</v>
      </c>
      <c r="AU73" s="11">
        <f t="shared" si="31"/>
        <v>30.211055773540689</v>
      </c>
      <c r="AV73" s="11">
        <f t="shared" si="31"/>
        <v>34.196682724868587</v>
      </c>
      <c r="AW73" s="11">
        <f t="shared" si="32"/>
        <v>38.696511657084514</v>
      </c>
      <c r="AX73" s="11">
        <f t="shared" si="32"/>
        <v>47.120059411112635</v>
      </c>
      <c r="AY73" s="11">
        <f t="shared" si="32"/>
        <v>106.79266430548724</v>
      </c>
      <c r="AZ73" s="11">
        <f t="shared" si="32"/>
        <v>272.0609035275404</v>
      </c>
      <c r="BA73" s="11">
        <f t="shared" si="32"/>
        <v>180.60233985434351</v>
      </c>
      <c r="BB73" s="11">
        <f t="shared" si="32"/>
        <v>-204.46606094043429</v>
      </c>
      <c r="BC73" s="11">
        <f t="shared" si="32"/>
        <v>64.235617412388009</v>
      </c>
      <c r="BD73" s="11">
        <f t="shared" si="32"/>
        <v>64.802695885593138</v>
      </c>
      <c r="BE73" s="11">
        <f t="shared" si="32"/>
        <v>65.369529499687843</v>
      </c>
      <c r="BF73" s="11">
        <f t="shared" si="32"/>
        <v>65.936116113628515</v>
      </c>
      <c r="BG73" s="11">
        <f t="shared" si="32"/>
        <v>66.502453587073688</v>
      </c>
      <c r="BH73" s="11">
        <f t="shared" si="32"/>
        <v>67.068539780883086</v>
      </c>
      <c r="BI73" s="11">
        <f t="shared" si="32"/>
        <v>67.634372557170053</v>
      </c>
      <c r="BJ73" s="11">
        <f t="shared" si="32"/>
        <v>68.199949778025882</v>
      </c>
      <c r="BK73" s="11">
        <f t="shared" si="32"/>
        <v>-228.13305297350797</v>
      </c>
    </row>
    <row r="74" spans="2:63" x14ac:dyDescent="0.25">
      <c r="B74">
        <v>2</v>
      </c>
      <c r="C74">
        <v>0</v>
      </c>
      <c r="D74">
        <v>3</v>
      </c>
      <c r="E74">
        <v>0</v>
      </c>
      <c r="F74">
        <v>294</v>
      </c>
      <c r="H74" s="34"/>
      <c r="I74" s="11">
        <f t="shared" si="28"/>
        <v>94.932758293683889</v>
      </c>
      <c r="J74" s="11">
        <f t="shared" si="28"/>
        <v>293.62228258626408</v>
      </c>
      <c r="K74" s="11">
        <f t="shared" si="28"/>
        <v>-288.99188654117592</v>
      </c>
      <c r="L74" s="11">
        <f t="shared" si="28"/>
        <v>292.04462942655198</v>
      </c>
      <c r="M74" s="11">
        <f t="shared" si="28"/>
        <v>-288.90915598426722</v>
      </c>
      <c r="N74" s="11">
        <f t="shared" si="28"/>
        <v>203.86893686825334</v>
      </c>
      <c r="O74" s="11">
        <f t="shared" si="28"/>
        <v>293.31638997933879</v>
      </c>
      <c r="P74" s="11">
        <f t="shared" si="28"/>
        <v>-293.62532241697301</v>
      </c>
      <c r="Q74" s="11">
        <f t="shared" si="28"/>
        <v>-8.0891277434934707</v>
      </c>
      <c r="R74" s="11">
        <f t="shared" si="28"/>
        <v>-292.0593813885618</v>
      </c>
      <c r="S74" s="11">
        <f t="shared" si="29"/>
        <v>291.13820143648576</v>
      </c>
      <c r="T74" s="11">
        <f t="shared" si="29"/>
        <v>-112.11338458699294</v>
      </c>
      <c r="U74" s="11">
        <f t="shared" si="29"/>
        <v>286.48451413190656</v>
      </c>
      <c r="V74" s="11">
        <f t="shared" si="29"/>
        <v>186.63636876834781</v>
      </c>
      <c r="W74" s="11">
        <f t="shared" si="29"/>
        <v>273.81981979942623</v>
      </c>
      <c r="X74" s="11">
        <f t="shared" si="29"/>
        <v>-102.09742879927173</v>
      </c>
      <c r="Y74" s="11">
        <f t="shared" si="29"/>
        <v>175.10944694716972</v>
      </c>
      <c r="Z74" s="11">
        <f t="shared" si="29"/>
        <v>-152.94108673852156</v>
      </c>
      <c r="AA74" s="11">
        <f t="shared" si="29"/>
        <v>-259.00799787316464</v>
      </c>
      <c r="AB74" s="11">
        <f t="shared" si="29"/>
        <v>-262.27456034589676</v>
      </c>
      <c r="AC74" s="11">
        <f t="shared" si="30"/>
        <v>271.3004203823408</v>
      </c>
      <c r="AD74" s="11">
        <f t="shared" si="30"/>
        <v>-236.73061360189615</v>
      </c>
      <c r="AE74" s="11">
        <f t="shared" si="30"/>
        <v>-274.10752987927776</v>
      </c>
      <c r="AF74" s="11">
        <f t="shared" si="30"/>
        <v>172.05476567020517</v>
      </c>
      <c r="AG74" s="11">
        <f t="shared" si="30"/>
        <v>-267.64178549412532</v>
      </c>
      <c r="AH74" s="11">
        <f t="shared" si="30"/>
        <v>130.40534866752915</v>
      </c>
      <c r="AI74" s="11">
        <f t="shared" si="30"/>
        <v>-293.75839165864517</v>
      </c>
      <c r="AJ74" s="11">
        <f t="shared" si="30"/>
        <v>265.15939235375038</v>
      </c>
      <c r="AK74" s="11">
        <f t="shared" si="30"/>
        <v>257.656089284188</v>
      </c>
      <c r="AL74" s="11">
        <f t="shared" si="30"/>
        <v>-203.98765203520279</v>
      </c>
      <c r="AM74" s="11">
        <f t="shared" si="31"/>
        <v>-292.27808735437151</v>
      </c>
      <c r="AN74" s="11">
        <f t="shared" si="31"/>
        <v>17.926403517552533</v>
      </c>
      <c r="AO74" s="11">
        <f t="shared" si="31"/>
        <v>282.41340474803712</v>
      </c>
      <c r="AP74" s="11">
        <f t="shared" si="31"/>
        <v>23.298335462520207</v>
      </c>
      <c r="AQ74" s="11">
        <f t="shared" si="31"/>
        <v>-275.26052542775886</v>
      </c>
      <c r="AR74" s="11">
        <f t="shared" si="31"/>
        <v>-232.12976719603299</v>
      </c>
      <c r="AS74" s="11">
        <f t="shared" si="31"/>
        <v>-292.11012039062427</v>
      </c>
      <c r="AT74" s="11">
        <f t="shared" si="31"/>
        <v>193.32269145803528</v>
      </c>
      <c r="AU74" s="11">
        <f t="shared" si="31"/>
        <v>226.2643230521266</v>
      </c>
      <c r="AV74" s="11">
        <f t="shared" si="31"/>
        <v>-140.44575002052238</v>
      </c>
      <c r="AW74" s="11">
        <f t="shared" si="32"/>
        <v>-76.937027343360683</v>
      </c>
      <c r="AX74" s="11">
        <f t="shared" si="32"/>
        <v>-84.102268378057559</v>
      </c>
      <c r="AY74" s="11">
        <f t="shared" si="32"/>
        <v>-184.17560439324708</v>
      </c>
      <c r="AZ74" s="11">
        <f t="shared" si="32"/>
        <v>290.87886928943982</v>
      </c>
      <c r="BA74" s="11">
        <f t="shared" si="32"/>
        <v>-282.57608503066479</v>
      </c>
      <c r="BB74" s="11">
        <f t="shared" si="32"/>
        <v>-62.066867792499259</v>
      </c>
      <c r="BC74" s="11">
        <f t="shared" si="32"/>
        <v>-243.9758960418047</v>
      </c>
      <c r="BD74" s="11">
        <f t="shared" si="32"/>
        <v>38.33983285341283</v>
      </c>
      <c r="BE74" s="11">
        <f t="shared" si="32"/>
        <v>278.09856765267835</v>
      </c>
      <c r="BF74" s="11">
        <f t="shared" si="32"/>
        <v>209.16949082344331</v>
      </c>
      <c r="BG74" s="11">
        <f t="shared" si="32"/>
        <v>-91.936518547760684</v>
      </c>
      <c r="BH74" s="11">
        <f t="shared" si="32"/>
        <v>-290.99352076689712</v>
      </c>
      <c r="BI74" s="11">
        <f t="shared" si="32"/>
        <v>-167.04938751784243</v>
      </c>
      <c r="BJ74" s="11">
        <f t="shared" si="32"/>
        <v>142.31860570376139</v>
      </c>
      <c r="BK74" s="11">
        <f t="shared" si="32"/>
        <v>-287.64661554676417</v>
      </c>
    </row>
    <row r="75" spans="2:63" x14ac:dyDescent="0.25">
      <c r="B75">
        <v>2</v>
      </c>
      <c r="C75">
        <v>0</v>
      </c>
      <c r="D75">
        <v>-1</v>
      </c>
      <c r="E75">
        <v>-2</v>
      </c>
      <c r="H75" s="34"/>
      <c r="I75" s="11">
        <f t="shared" si="28"/>
        <v>0</v>
      </c>
      <c r="J75" s="11">
        <f t="shared" si="28"/>
        <v>0</v>
      </c>
      <c r="K75" s="11">
        <f t="shared" si="28"/>
        <v>0</v>
      </c>
      <c r="L75" s="11">
        <f t="shared" si="28"/>
        <v>0</v>
      </c>
      <c r="M75" s="11">
        <f t="shared" si="28"/>
        <v>0</v>
      </c>
      <c r="N75" s="11">
        <f t="shared" si="28"/>
        <v>0</v>
      </c>
      <c r="O75" s="11">
        <f t="shared" si="28"/>
        <v>0</v>
      </c>
      <c r="P75" s="11">
        <f t="shared" si="28"/>
        <v>0</v>
      </c>
      <c r="Q75" s="11">
        <f t="shared" si="28"/>
        <v>0</v>
      </c>
      <c r="R75" s="11">
        <f t="shared" si="28"/>
        <v>0</v>
      </c>
      <c r="S75" s="11">
        <f t="shared" si="29"/>
        <v>0</v>
      </c>
      <c r="T75" s="11">
        <f t="shared" si="29"/>
        <v>0</v>
      </c>
      <c r="U75" s="11">
        <f t="shared" si="29"/>
        <v>0</v>
      </c>
      <c r="V75" s="11">
        <f t="shared" si="29"/>
        <v>0</v>
      </c>
      <c r="W75" s="11">
        <f t="shared" si="29"/>
        <v>0</v>
      </c>
      <c r="X75" s="11">
        <f t="shared" si="29"/>
        <v>0</v>
      </c>
      <c r="Y75" s="11">
        <f t="shared" si="29"/>
        <v>0</v>
      </c>
      <c r="Z75" s="11">
        <f t="shared" si="29"/>
        <v>0</v>
      </c>
      <c r="AA75" s="11">
        <f t="shared" si="29"/>
        <v>0</v>
      </c>
      <c r="AB75" s="11">
        <f t="shared" si="29"/>
        <v>0</v>
      </c>
      <c r="AC75" s="11">
        <f t="shared" si="30"/>
        <v>0</v>
      </c>
      <c r="AD75" s="11">
        <f t="shared" si="30"/>
        <v>0</v>
      </c>
      <c r="AE75" s="11">
        <f t="shared" si="30"/>
        <v>0</v>
      </c>
      <c r="AF75" s="11">
        <f t="shared" si="30"/>
        <v>0</v>
      </c>
      <c r="AG75" s="11">
        <f t="shared" si="30"/>
        <v>0</v>
      </c>
      <c r="AH75" s="11">
        <f t="shared" si="30"/>
        <v>0</v>
      </c>
      <c r="AI75" s="11">
        <f t="shared" si="30"/>
        <v>0</v>
      </c>
      <c r="AJ75" s="11">
        <f t="shared" si="30"/>
        <v>0</v>
      </c>
      <c r="AK75" s="11">
        <f t="shared" si="30"/>
        <v>0</v>
      </c>
      <c r="AL75" s="11">
        <f t="shared" si="30"/>
        <v>0</v>
      </c>
      <c r="AM75" s="11">
        <f t="shared" si="31"/>
        <v>0</v>
      </c>
      <c r="AN75" s="11">
        <f t="shared" si="31"/>
        <v>0</v>
      </c>
      <c r="AO75" s="11">
        <f t="shared" si="31"/>
        <v>0</v>
      </c>
      <c r="AP75" s="11">
        <f t="shared" si="31"/>
        <v>0</v>
      </c>
      <c r="AQ75" s="11">
        <f t="shared" si="31"/>
        <v>0</v>
      </c>
      <c r="AR75" s="11">
        <f t="shared" si="31"/>
        <v>0</v>
      </c>
      <c r="AS75" s="11">
        <f t="shared" si="31"/>
        <v>0</v>
      </c>
      <c r="AT75" s="11">
        <f t="shared" si="31"/>
        <v>0</v>
      </c>
      <c r="AU75" s="11">
        <f t="shared" si="31"/>
        <v>0</v>
      </c>
      <c r="AV75" s="11">
        <f t="shared" si="31"/>
        <v>0</v>
      </c>
      <c r="AW75" s="11">
        <f t="shared" si="32"/>
        <v>0</v>
      </c>
      <c r="AX75" s="11">
        <f t="shared" si="32"/>
        <v>0</v>
      </c>
      <c r="AY75" s="11">
        <f t="shared" si="32"/>
        <v>0</v>
      </c>
      <c r="AZ75" s="11">
        <f t="shared" si="32"/>
        <v>0</v>
      </c>
      <c r="BA75" s="11">
        <f t="shared" si="32"/>
        <v>0</v>
      </c>
      <c r="BB75" s="11">
        <f t="shared" si="32"/>
        <v>0</v>
      </c>
      <c r="BC75" s="11">
        <f t="shared" si="32"/>
        <v>0</v>
      </c>
      <c r="BD75" s="11">
        <f t="shared" si="32"/>
        <v>0</v>
      </c>
      <c r="BE75" s="11">
        <f t="shared" si="32"/>
        <v>0</v>
      </c>
      <c r="BF75" s="11">
        <f t="shared" si="32"/>
        <v>0</v>
      </c>
      <c r="BG75" s="11">
        <f t="shared" si="32"/>
        <v>0</v>
      </c>
      <c r="BH75" s="11">
        <f t="shared" si="32"/>
        <v>0</v>
      </c>
      <c r="BI75" s="11">
        <f t="shared" si="32"/>
        <v>0</v>
      </c>
      <c r="BJ75" s="11">
        <f t="shared" si="32"/>
        <v>0</v>
      </c>
      <c r="BK75" s="11">
        <f t="shared" si="32"/>
        <v>0</v>
      </c>
    </row>
    <row r="77" spans="2:63" x14ac:dyDescent="0.25">
      <c r="B77" s="342" t="s">
        <v>225</v>
      </c>
      <c r="C77" s="342"/>
      <c r="D77" s="342"/>
      <c r="E77" s="342"/>
      <c r="F77" s="342"/>
      <c r="G77" s="342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</row>
    <row r="78" spans="2:63" x14ac:dyDescent="0.25">
      <c r="B78" s="343" t="s">
        <v>223</v>
      </c>
      <c r="C78" s="343"/>
      <c r="D78" s="343"/>
      <c r="E78" s="343"/>
      <c r="F78" s="31" t="s">
        <v>229</v>
      </c>
      <c r="H78" s="32" t="s">
        <v>226</v>
      </c>
    </row>
    <row r="79" spans="2:63" x14ac:dyDescent="0.25">
      <c r="B79" s="19" t="s">
        <v>231</v>
      </c>
      <c r="C79" s="19" t="s">
        <v>232</v>
      </c>
      <c r="D79" s="19" t="s">
        <v>233</v>
      </c>
      <c r="E79" s="19" t="s">
        <v>234</v>
      </c>
      <c r="F79" s="19" t="s">
        <v>222</v>
      </c>
      <c r="H79" s="33" t="s">
        <v>226</v>
      </c>
      <c r="I79" s="40" t="s">
        <v>222</v>
      </c>
      <c r="J79" s="40" t="s">
        <v>222</v>
      </c>
      <c r="K79" s="40" t="s">
        <v>222</v>
      </c>
      <c r="L79" s="40" t="s">
        <v>222</v>
      </c>
      <c r="M79" s="40" t="s">
        <v>222</v>
      </c>
      <c r="N79" s="40" t="s">
        <v>222</v>
      </c>
      <c r="O79" s="40" t="s">
        <v>222</v>
      </c>
      <c r="P79" s="40" t="s">
        <v>222</v>
      </c>
      <c r="Q79" s="40" t="s">
        <v>222</v>
      </c>
      <c r="R79" s="40" t="s">
        <v>222</v>
      </c>
      <c r="S79" s="40" t="s">
        <v>222</v>
      </c>
      <c r="T79" s="40" t="s">
        <v>222</v>
      </c>
      <c r="U79" s="40" t="s">
        <v>222</v>
      </c>
      <c r="V79" s="40" t="s">
        <v>222</v>
      </c>
      <c r="W79" s="40" t="s">
        <v>222</v>
      </c>
      <c r="X79" s="40" t="s">
        <v>222</v>
      </c>
      <c r="Y79" s="40" t="s">
        <v>222</v>
      </c>
      <c r="Z79" s="40" t="s">
        <v>222</v>
      </c>
      <c r="AA79" s="40" t="s">
        <v>222</v>
      </c>
      <c r="AB79" s="40" t="s">
        <v>222</v>
      </c>
      <c r="AC79" s="40" t="s">
        <v>222</v>
      </c>
      <c r="AD79" s="40" t="s">
        <v>222</v>
      </c>
      <c r="AE79" s="40" t="s">
        <v>222</v>
      </c>
      <c r="AF79" s="40" t="s">
        <v>222</v>
      </c>
      <c r="AG79" s="40" t="s">
        <v>222</v>
      </c>
      <c r="AH79" s="40" t="s">
        <v>222</v>
      </c>
      <c r="AI79" s="40" t="s">
        <v>222</v>
      </c>
      <c r="AJ79" s="40" t="s">
        <v>222</v>
      </c>
      <c r="AK79" s="40" t="s">
        <v>222</v>
      </c>
      <c r="AL79" s="40" t="s">
        <v>222</v>
      </c>
      <c r="AM79" s="40" t="s">
        <v>222</v>
      </c>
      <c r="AN79" s="40" t="s">
        <v>222</v>
      </c>
      <c r="AO79" s="40" t="s">
        <v>222</v>
      </c>
      <c r="AP79" s="40" t="s">
        <v>222</v>
      </c>
      <c r="AQ79" s="40" t="s">
        <v>222</v>
      </c>
      <c r="AR79" s="40" t="s">
        <v>222</v>
      </c>
      <c r="AS79" s="40" t="s">
        <v>222</v>
      </c>
      <c r="AT79" s="40" t="s">
        <v>222</v>
      </c>
      <c r="AU79" s="40" t="s">
        <v>222</v>
      </c>
      <c r="AV79" s="40" t="s">
        <v>222</v>
      </c>
      <c r="AW79" s="40" t="s">
        <v>222</v>
      </c>
      <c r="AX79" s="40" t="s">
        <v>222</v>
      </c>
      <c r="AY79" s="40" t="s">
        <v>222</v>
      </c>
      <c r="AZ79" s="40" t="s">
        <v>222</v>
      </c>
      <c r="BA79" s="40" t="s">
        <v>222</v>
      </c>
      <c r="BB79" s="40" t="s">
        <v>222</v>
      </c>
      <c r="BC79" s="40" t="s">
        <v>222</v>
      </c>
      <c r="BD79" s="40" t="s">
        <v>222</v>
      </c>
      <c r="BE79" s="40" t="s">
        <v>222</v>
      </c>
      <c r="BF79" s="40" t="s">
        <v>222</v>
      </c>
      <c r="BG79" s="40" t="s">
        <v>222</v>
      </c>
      <c r="BH79" s="40" t="s">
        <v>222</v>
      </c>
      <c r="BI79" s="40" t="s">
        <v>222</v>
      </c>
      <c r="BJ79" s="40" t="s">
        <v>222</v>
      </c>
      <c r="BK79" s="40" t="s">
        <v>222</v>
      </c>
    </row>
    <row r="80" spans="2:63" x14ac:dyDescent="0.25">
      <c r="B80">
        <v>0</v>
      </c>
      <c r="C80">
        <v>0</v>
      </c>
      <c r="D80">
        <v>0</v>
      </c>
      <c r="E80">
        <v>1</v>
      </c>
      <c r="F80">
        <v>5128122</v>
      </c>
      <c r="H80" s="34"/>
      <c r="I80" s="11">
        <f t="shared" ref="I80:R89" si="33">IF(ABS($C80)=1,I$7,IF(ABS($C80)=2,I$7^2,1))*  $F80  *  SIN(($B80*I$2  +  $C80*I$3 + $D80*I$4 + $E80*I$5)*Deg2Rad)</f>
        <v>5021070.9588858644</v>
      </c>
      <c r="J80" s="11">
        <f t="shared" si="33"/>
        <v>-5042368.3414239055</v>
      </c>
      <c r="K80" s="11">
        <f t="shared" si="33"/>
        <v>5119761.7963114837</v>
      </c>
      <c r="L80" s="11">
        <f t="shared" si="33"/>
        <v>-4530189.4692810765</v>
      </c>
      <c r="M80" s="11">
        <f t="shared" si="33"/>
        <v>-5009750.6630440019</v>
      </c>
      <c r="N80" s="11">
        <f t="shared" si="33"/>
        <v>-350818.78388394788</v>
      </c>
      <c r="O80" s="11">
        <f t="shared" si="33"/>
        <v>3712306.408453702</v>
      </c>
      <c r="P80" s="11">
        <f t="shared" si="33"/>
        <v>1919411.2796462968</v>
      </c>
      <c r="Q80" s="11">
        <f t="shared" si="33"/>
        <v>1573244.5684443761</v>
      </c>
      <c r="R80" s="11">
        <f t="shared" si="33"/>
        <v>1903012.1164136934</v>
      </c>
      <c r="S80" s="11">
        <f t="shared" ref="S80:AB89" si="34">IF(ABS($C80)=1,S$7,IF(ABS($C80)=2,S$7^2,1))*  $F80  *  SIN(($B80*S$2  +  $C80*S$3 + $D80*S$4 + $E80*S$5)*Deg2Rad)</f>
        <v>-4099264.2721602535</v>
      </c>
      <c r="T80" s="11">
        <f t="shared" si="34"/>
        <v>5010824.5377214467</v>
      </c>
      <c r="U80" s="11">
        <f t="shared" si="34"/>
        <v>-3534517.3054594398</v>
      </c>
      <c r="V80" s="11">
        <f t="shared" si="34"/>
        <v>-4291004.7216119533</v>
      </c>
      <c r="W80" s="11">
        <f t="shared" si="34"/>
        <v>-472452.20536034129</v>
      </c>
      <c r="X80" s="11">
        <f t="shared" si="34"/>
        <v>1358822.7403993653</v>
      </c>
      <c r="Y80" s="11">
        <f t="shared" si="34"/>
        <v>-3669030.9747492005</v>
      </c>
      <c r="Z80" s="11">
        <f t="shared" si="34"/>
        <v>3957795.5915499413</v>
      </c>
      <c r="AA80" s="11">
        <f t="shared" si="34"/>
        <v>3056932.2806348465</v>
      </c>
      <c r="AB80" s="11">
        <f t="shared" si="34"/>
        <v>-3288726.1060045729</v>
      </c>
      <c r="AC80" s="11">
        <f t="shared" ref="AC80:AL89" si="35">IF(ABS($C80)=1,AC$7,IF(ABS($C80)=2,AC$7^2,1))*  $F80  *  SIN(($B80*AC$2  +  $C80*AC$3 + $D80*AC$4 + $E80*AC$5)*Deg2Rad)</f>
        <v>4963341.2636103621</v>
      </c>
      <c r="AD80" s="11">
        <f t="shared" si="35"/>
        <v>-4626854.3707361873</v>
      </c>
      <c r="AE80" s="11">
        <f t="shared" si="35"/>
        <v>5119397.8412069799</v>
      </c>
      <c r="AF80" s="11">
        <f t="shared" si="35"/>
        <v>1616451.251581267</v>
      </c>
      <c r="AG80" s="11">
        <f t="shared" si="35"/>
        <v>-3466626.8735288181</v>
      </c>
      <c r="AH80" s="11">
        <f t="shared" si="35"/>
        <v>4973567.6341332104</v>
      </c>
      <c r="AI80" s="11">
        <f t="shared" si="35"/>
        <v>4564151.6624509431</v>
      </c>
      <c r="AJ80" s="11">
        <f t="shared" si="35"/>
        <v>-3708330.2451464385</v>
      </c>
      <c r="AK80" s="11">
        <f t="shared" si="35"/>
        <v>3683251.628460634</v>
      </c>
      <c r="AL80" s="11">
        <f t="shared" si="35"/>
        <v>-3452270.9623450413</v>
      </c>
      <c r="AM80" s="11">
        <f t="shared" ref="AM80:AV89" si="36">IF(ABS($C80)=1,AM$7,IF(ABS($C80)=2,AM$7^2,1))*  $F80  *  SIN(($B80*AM$2  +  $C80*AM$3 + $D80*AM$4 + $E80*AM$5)*Deg2Rad)</f>
        <v>4938416.8655756498</v>
      </c>
      <c r="AN80" s="11">
        <f t="shared" si="36"/>
        <v>-5049594.80393501</v>
      </c>
      <c r="AO80" s="11">
        <f t="shared" si="36"/>
        <v>1852998.5596639095</v>
      </c>
      <c r="AP80" s="11">
        <f t="shared" si="36"/>
        <v>-4403020.3050206183</v>
      </c>
      <c r="AQ80" s="11">
        <f t="shared" si="36"/>
        <v>1215608.7781183384</v>
      </c>
      <c r="AR80" s="11">
        <f t="shared" si="36"/>
        <v>-5093360.384753461</v>
      </c>
      <c r="AS80" s="11">
        <f t="shared" si="36"/>
        <v>-4656387.0733646853</v>
      </c>
      <c r="AT80" s="11">
        <f t="shared" si="36"/>
        <v>3456961.372416331</v>
      </c>
      <c r="AU80" s="11">
        <f t="shared" si="36"/>
        <v>-3982745.8981405897</v>
      </c>
      <c r="AV80" s="11">
        <f t="shared" si="36"/>
        <v>-3137829.4387204605</v>
      </c>
      <c r="AW80" s="11">
        <f t="shared" ref="AW80:BK89" si="37">IF(ABS($C80)=1,AW$7,IF(ABS($C80)=2,AW$7^2,1))*  $F80  *  SIN(($B80*AW$2  +  $C80*AW$3 + $D80*AW$4 + $E80*AW$5)*Deg2Rad)</f>
        <v>4668082.2764077662</v>
      </c>
      <c r="AX80" s="11">
        <f t="shared" si="37"/>
        <v>-5041240.7336482974</v>
      </c>
      <c r="AY80" s="11">
        <f t="shared" si="37"/>
        <v>2589880.7040215121</v>
      </c>
      <c r="AZ80" s="11">
        <f t="shared" si="37"/>
        <v>-2146855.8529665065</v>
      </c>
      <c r="BA80" s="11">
        <f t="shared" si="37"/>
        <v>-1621300.1577003782</v>
      </c>
      <c r="BB80" s="11">
        <f t="shared" si="37"/>
        <v>-2121411.8458902314</v>
      </c>
      <c r="BC80" s="11">
        <f t="shared" si="37"/>
        <v>-4596548.4462522101</v>
      </c>
      <c r="BD80" s="11">
        <f t="shared" si="37"/>
        <v>-3954245.8875380144</v>
      </c>
      <c r="BE80" s="11">
        <f t="shared" si="37"/>
        <v>-3102066.1978454245</v>
      </c>
      <c r="BF80" s="11">
        <f t="shared" si="37"/>
        <v>-2085240.0060842107</v>
      </c>
      <c r="BG80" s="11">
        <f t="shared" si="37"/>
        <v>-957736.78453701257</v>
      </c>
      <c r="BH80" s="11">
        <f t="shared" si="37"/>
        <v>220599.65636016565</v>
      </c>
      <c r="BI80" s="11">
        <f t="shared" si="37"/>
        <v>1387227.4619617185</v>
      </c>
      <c r="BJ80" s="11">
        <f t="shared" si="37"/>
        <v>2480226.2298113196</v>
      </c>
      <c r="BK80" s="11">
        <f t="shared" si="37"/>
        <v>4642954.8054026915</v>
      </c>
    </row>
    <row r="81" spans="2:63" x14ac:dyDescent="0.25">
      <c r="B81">
        <v>0</v>
      </c>
      <c r="C81">
        <v>0</v>
      </c>
      <c r="D81">
        <v>1</v>
      </c>
      <c r="E81">
        <v>1</v>
      </c>
      <c r="F81">
        <v>280602</v>
      </c>
      <c r="H81" s="34"/>
      <c r="I81" s="11">
        <f t="shared" si="33"/>
        <v>-277121.6573220772</v>
      </c>
      <c r="J81" s="11">
        <f t="shared" si="33"/>
        <v>-221194.20892605322</v>
      </c>
      <c r="K81" s="11">
        <f t="shared" si="33"/>
        <v>-209297.87073365977</v>
      </c>
      <c r="L81" s="11">
        <f t="shared" si="33"/>
        <v>-106688.83255675735</v>
      </c>
      <c r="M81" s="11">
        <f t="shared" si="33"/>
        <v>-268625.56722866494</v>
      </c>
      <c r="N81" s="11">
        <f t="shared" si="33"/>
        <v>257207.86473694778</v>
      </c>
      <c r="O81" s="11">
        <f t="shared" si="33"/>
        <v>212941.10221576464</v>
      </c>
      <c r="P81" s="11">
        <f t="shared" si="33"/>
        <v>-139589.14301886343</v>
      </c>
      <c r="Q81" s="11">
        <f t="shared" si="33"/>
        <v>-178473.4391613121</v>
      </c>
      <c r="R81" s="11">
        <f t="shared" si="33"/>
        <v>-264526.23255587509</v>
      </c>
      <c r="S81" s="11">
        <f t="shared" si="34"/>
        <v>221278.36881264305</v>
      </c>
      <c r="T81" s="11">
        <f t="shared" si="34"/>
        <v>-123163.44884308097</v>
      </c>
      <c r="U81" s="11">
        <f t="shared" si="34"/>
        <v>275567.46058445674</v>
      </c>
      <c r="V81" s="11">
        <f t="shared" si="34"/>
        <v>270495.22826483136</v>
      </c>
      <c r="W81" s="11">
        <f t="shared" si="34"/>
        <v>273990.02173890651</v>
      </c>
      <c r="X81" s="11">
        <f t="shared" si="34"/>
        <v>68479.666089488717</v>
      </c>
      <c r="Y81" s="11">
        <f t="shared" si="34"/>
        <v>272087.78758913011</v>
      </c>
      <c r="Z81" s="11">
        <f t="shared" si="34"/>
        <v>276313.18891301256</v>
      </c>
      <c r="AA81" s="11">
        <f t="shared" si="34"/>
        <v>61626.744656836883</v>
      </c>
      <c r="AB81" s="11">
        <f t="shared" si="34"/>
        <v>-198555.96341794904</v>
      </c>
      <c r="AC81" s="11">
        <f t="shared" si="35"/>
        <v>227439.27506215504</v>
      </c>
      <c r="AD81" s="11">
        <f t="shared" si="35"/>
        <v>133983.2873784205</v>
      </c>
      <c r="AE81" s="11">
        <f t="shared" si="35"/>
        <v>-161300.81982527705</v>
      </c>
      <c r="AF81" s="11">
        <f t="shared" si="35"/>
        <v>-168131.15595029699</v>
      </c>
      <c r="AG81" s="11">
        <f t="shared" si="35"/>
        <v>-197207.48353714423</v>
      </c>
      <c r="AH81" s="11">
        <f t="shared" si="35"/>
        <v>-220962.39551582609</v>
      </c>
      <c r="AI81" s="11">
        <f t="shared" si="35"/>
        <v>-134789.66535162803</v>
      </c>
      <c r="AJ81" s="11">
        <f t="shared" si="35"/>
        <v>54574.761890336937</v>
      </c>
      <c r="AK81" s="11">
        <f t="shared" si="35"/>
        <v>110539.5213301609</v>
      </c>
      <c r="AL81" s="11">
        <f t="shared" si="35"/>
        <v>-250132.52511485995</v>
      </c>
      <c r="AM81" s="11">
        <f t="shared" si="36"/>
        <v>-252625.32541302257</v>
      </c>
      <c r="AN81" s="11">
        <f t="shared" si="36"/>
        <v>-247913.79032568799</v>
      </c>
      <c r="AO81" s="11">
        <f t="shared" si="36"/>
        <v>230035.76400636381</v>
      </c>
      <c r="AP81" s="11">
        <f t="shared" si="36"/>
        <v>-13389.634788955082</v>
      </c>
      <c r="AQ81" s="11">
        <f t="shared" si="36"/>
        <v>-178546.72481212174</v>
      </c>
      <c r="AR81" s="11">
        <f t="shared" si="36"/>
        <v>-177899.43490223441</v>
      </c>
      <c r="AS81" s="11">
        <f t="shared" si="36"/>
        <v>-249027.19466049736</v>
      </c>
      <c r="AT81" s="11">
        <f t="shared" si="36"/>
        <v>149728.7431968654</v>
      </c>
      <c r="AU81" s="11">
        <f t="shared" si="36"/>
        <v>-171867.21431275437</v>
      </c>
      <c r="AV81" s="11">
        <f t="shared" si="36"/>
        <v>177629.7939753742</v>
      </c>
      <c r="AW81" s="11">
        <f t="shared" si="37"/>
        <v>-253339.5605790437</v>
      </c>
      <c r="AX81" s="11">
        <f t="shared" si="37"/>
        <v>-280601.65989478218</v>
      </c>
      <c r="AY81" s="11">
        <f t="shared" si="37"/>
        <v>191311.71174608963</v>
      </c>
      <c r="AZ81" s="11">
        <f t="shared" si="37"/>
        <v>207515.843565566</v>
      </c>
      <c r="BA81" s="11">
        <f t="shared" si="37"/>
        <v>-226243.17790845566</v>
      </c>
      <c r="BB81" s="11">
        <f t="shared" si="37"/>
        <v>169031.3403979899</v>
      </c>
      <c r="BC81" s="11">
        <f t="shared" si="37"/>
        <v>-101741.50352163725</v>
      </c>
      <c r="BD81" s="11">
        <f t="shared" si="37"/>
        <v>24628.945580036328</v>
      </c>
      <c r="BE81" s="11">
        <f t="shared" si="37"/>
        <v>145902.68905330068</v>
      </c>
      <c r="BF81" s="11">
        <f t="shared" si="37"/>
        <v>236983.37963675355</v>
      </c>
      <c r="BG81" s="11">
        <f t="shared" si="37"/>
        <v>279022.8101736239</v>
      </c>
      <c r="BH81" s="11">
        <f t="shared" si="37"/>
        <v>263321.35519492673</v>
      </c>
      <c r="BI81" s="11">
        <f t="shared" si="37"/>
        <v>193128.26845803132</v>
      </c>
      <c r="BJ81" s="11">
        <f t="shared" si="37"/>
        <v>82969.283478122408</v>
      </c>
      <c r="BK81" s="11">
        <f t="shared" si="37"/>
        <v>-117406.74871881993</v>
      </c>
    </row>
    <row r="82" spans="2:63" x14ac:dyDescent="0.25">
      <c r="B82">
        <v>0</v>
      </c>
      <c r="C82">
        <v>0</v>
      </c>
      <c r="D82">
        <v>1</v>
      </c>
      <c r="E82">
        <v>-1</v>
      </c>
      <c r="F82">
        <v>277693</v>
      </c>
      <c r="H82" s="34"/>
      <c r="I82" s="11">
        <f t="shared" si="33"/>
        <v>234233.03344275474</v>
      </c>
      <c r="J82" s="11">
        <f t="shared" si="33"/>
        <v>143188.03543428899</v>
      </c>
      <c r="K82" s="11">
        <f t="shared" si="33"/>
        <v>184698.33312856831</v>
      </c>
      <c r="L82" s="11">
        <f t="shared" si="33"/>
        <v>271860.35510888824</v>
      </c>
      <c r="M82" s="11">
        <f t="shared" si="33"/>
        <v>275078.28028078307</v>
      </c>
      <c r="N82" s="11">
        <f t="shared" si="33"/>
        <v>267311.1438413327</v>
      </c>
      <c r="O82" s="11">
        <f t="shared" si="33"/>
        <v>170499.96202912956</v>
      </c>
      <c r="P82" s="11">
        <f t="shared" si="33"/>
        <v>67785.220153553062</v>
      </c>
      <c r="Q82" s="11">
        <f t="shared" si="33"/>
        <v>-268515.31531690166</v>
      </c>
      <c r="R82" s="11">
        <f t="shared" si="33"/>
        <v>-253531.49106060088</v>
      </c>
      <c r="S82" s="11">
        <f t="shared" si="34"/>
        <v>-224904.37856278921</v>
      </c>
      <c r="T82" s="11">
        <f t="shared" si="34"/>
        <v>7167.3941915858668</v>
      </c>
      <c r="U82" s="11">
        <f t="shared" si="34"/>
        <v>-38696.023366167137</v>
      </c>
      <c r="V82" s="11">
        <f t="shared" si="34"/>
        <v>-39484.740758873791</v>
      </c>
      <c r="W82" s="11">
        <f t="shared" si="34"/>
        <v>255551.34681122689</v>
      </c>
      <c r="X82" s="11">
        <f t="shared" si="34"/>
        <v>195865.64027514606</v>
      </c>
      <c r="Y82" s="11">
        <f t="shared" si="34"/>
        <v>61458.701100294435</v>
      </c>
      <c r="Z82" s="11">
        <f t="shared" si="34"/>
        <v>-4837.4269871295528</v>
      </c>
      <c r="AA82" s="11">
        <f t="shared" si="34"/>
        <v>276972.14170764311</v>
      </c>
      <c r="AB82" s="11">
        <f t="shared" si="34"/>
        <v>158239.85817306369</v>
      </c>
      <c r="AC82" s="11">
        <f t="shared" si="35"/>
        <v>-117449.11015075984</v>
      </c>
      <c r="AD82" s="11">
        <f t="shared" si="35"/>
        <v>-273139.76840369072</v>
      </c>
      <c r="AE82" s="11">
        <f t="shared" si="35"/>
        <v>184995.56307404672</v>
      </c>
      <c r="AF82" s="11">
        <f t="shared" si="35"/>
        <v>-266338.00290486729</v>
      </c>
      <c r="AG82" s="11">
        <f t="shared" si="35"/>
        <v>-213606.08242270647</v>
      </c>
      <c r="AH82" s="11">
        <f t="shared" si="35"/>
        <v>111811.70033562671</v>
      </c>
      <c r="AI82" s="11">
        <f t="shared" si="35"/>
        <v>-119718.87669866494</v>
      </c>
      <c r="AJ82" s="11">
        <f t="shared" si="35"/>
        <v>269627.33177719126</v>
      </c>
      <c r="AK82" s="11">
        <f t="shared" si="35"/>
        <v>251635.65686193728</v>
      </c>
      <c r="AL82" s="11">
        <f t="shared" si="35"/>
        <v>-148463.36346927259</v>
      </c>
      <c r="AM82" s="11">
        <f t="shared" si="36"/>
        <v>150961.69714235966</v>
      </c>
      <c r="AN82" s="11">
        <f t="shared" si="36"/>
        <v>275089.35248421569</v>
      </c>
      <c r="AO82" s="11">
        <f t="shared" si="36"/>
        <v>61045.286325285771</v>
      </c>
      <c r="AP82" s="11">
        <f t="shared" si="36"/>
        <v>-237891.45781294315</v>
      </c>
      <c r="AQ82" s="11">
        <f t="shared" si="36"/>
        <v>-255506.04543418021</v>
      </c>
      <c r="AR82" s="11">
        <f t="shared" si="36"/>
        <v>121711.60306389666</v>
      </c>
      <c r="AS82" s="11">
        <f t="shared" si="36"/>
        <v>62567.625550392862</v>
      </c>
      <c r="AT82" s="11">
        <f t="shared" si="36"/>
        <v>247381.47894588084</v>
      </c>
      <c r="AU82" s="11">
        <f t="shared" si="36"/>
        <v>249883.99519313063</v>
      </c>
      <c r="AV82" s="11">
        <f t="shared" si="36"/>
        <v>252233.27354603086</v>
      </c>
      <c r="AW82" s="11">
        <f t="shared" si="37"/>
        <v>254770.83494639621</v>
      </c>
      <c r="AX82" s="11">
        <f t="shared" si="37"/>
        <v>259189.07956561545</v>
      </c>
      <c r="AY82" s="11">
        <f t="shared" si="37"/>
        <v>-84352.320473059459</v>
      </c>
      <c r="AZ82" s="11">
        <f t="shared" si="37"/>
        <v>-8751.1188210151995</v>
      </c>
      <c r="BA82" s="11">
        <f t="shared" si="37"/>
        <v>-80597.479590964795</v>
      </c>
      <c r="BB82" s="11">
        <f t="shared" si="37"/>
        <v>276987.10492171731</v>
      </c>
      <c r="BC82" s="11">
        <f t="shared" si="37"/>
        <v>266796.788219632</v>
      </c>
      <c r="BD82" s="11">
        <f t="shared" si="37"/>
        <v>267016.64254020224</v>
      </c>
      <c r="BE82" s="11">
        <f t="shared" si="37"/>
        <v>267234.29965925915</v>
      </c>
      <c r="BF82" s="11">
        <f t="shared" si="37"/>
        <v>267449.75778574729</v>
      </c>
      <c r="BG82" s="11">
        <f t="shared" si="37"/>
        <v>267663.01514668803</v>
      </c>
      <c r="BH82" s="11">
        <f t="shared" si="37"/>
        <v>267874.06998728804</v>
      </c>
      <c r="BI82" s="11">
        <f t="shared" si="37"/>
        <v>268082.92057087651</v>
      </c>
      <c r="BJ82" s="11">
        <f t="shared" si="37"/>
        <v>268289.56517880986</v>
      </c>
      <c r="BK82" s="11">
        <f t="shared" si="37"/>
        <v>-119610.22048813371</v>
      </c>
    </row>
    <row r="83" spans="2:63" x14ac:dyDescent="0.25">
      <c r="B83">
        <v>2</v>
      </c>
      <c r="C83">
        <v>0</v>
      </c>
      <c r="D83">
        <v>0</v>
      </c>
      <c r="E83">
        <v>-1</v>
      </c>
      <c r="F83">
        <v>173237</v>
      </c>
      <c r="H83" s="34"/>
      <c r="I83" s="11">
        <f t="shared" si="33"/>
        <v>60968.635590809987</v>
      </c>
      <c r="J83" s="11">
        <f t="shared" si="33"/>
        <v>-116335.89713499711</v>
      </c>
      <c r="K83" s="11">
        <f t="shared" si="33"/>
        <v>105631.93719020317</v>
      </c>
      <c r="L83" s="11">
        <f t="shared" si="33"/>
        <v>76805.650769147251</v>
      </c>
      <c r="M83" s="11">
        <f t="shared" si="33"/>
        <v>102825.00977220692</v>
      </c>
      <c r="N83" s="11">
        <f t="shared" si="33"/>
        <v>-49904.969535252523</v>
      </c>
      <c r="O83" s="11">
        <f t="shared" si="33"/>
        <v>94495.041658297705</v>
      </c>
      <c r="P83" s="11">
        <f t="shared" si="33"/>
        <v>-114951.42707096969</v>
      </c>
      <c r="Q83" s="11">
        <f t="shared" si="33"/>
        <v>-71016.332714503355</v>
      </c>
      <c r="R83" s="11">
        <f t="shared" si="33"/>
        <v>-63450.806413430371</v>
      </c>
      <c r="S83" s="11">
        <f t="shared" si="34"/>
        <v>-128700.64845648063</v>
      </c>
      <c r="T83" s="11">
        <f t="shared" si="34"/>
        <v>-168066.44695890229</v>
      </c>
      <c r="U83" s="11">
        <f t="shared" si="34"/>
        <v>-165872.03387787522</v>
      </c>
      <c r="V83" s="11">
        <f t="shared" si="34"/>
        <v>-153073.91181669515</v>
      </c>
      <c r="W83" s="11">
        <f t="shared" si="34"/>
        <v>77591.096062915633</v>
      </c>
      <c r="X83" s="11">
        <f t="shared" si="34"/>
        <v>172927.09584966645</v>
      </c>
      <c r="Y83" s="11">
        <f t="shared" si="34"/>
        <v>169223.9495393637</v>
      </c>
      <c r="Z83" s="11">
        <f t="shared" si="34"/>
        <v>-36856.492322945574</v>
      </c>
      <c r="AA83" s="11">
        <f t="shared" si="34"/>
        <v>131698.60364335222</v>
      </c>
      <c r="AB83" s="11">
        <f t="shared" si="34"/>
        <v>23495.641236951757</v>
      </c>
      <c r="AC83" s="11">
        <f t="shared" si="35"/>
        <v>-61109.789536485878</v>
      </c>
      <c r="AD83" s="11">
        <f t="shared" si="35"/>
        <v>171954.00216721307</v>
      </c>
      <c r="AE83" s="11">
        <f t="shared" si="35"/>
        <v>118473.75140092078</v>
      </c>
      <c r="AF83" s="11">
        <f t="shared" si="35"/>
        <v>9065.0940413194312</v>
      </c>
      <c r="AG83" s="11">
        <f t="shared" si="35"/>
        <v>167662.80602366035</v>
      </c>
      <c r="AH83" s="11">
        <f t="shared" si="35"/>
        <v>76018.60428935707</v>
      </c>
      <c r="AI83" s="11">
        <f t="shared" si="35"/>
        <v>-143277.45373277337</v>
      </c>
      <c r="AJ83" s="11">
        <f t="shared" si="35"/>
        <v>-152765.45645117213</v>
      </c>
      <c r="AK83" s="11">
        <f t="shared" si="35"/>
        <v>-170493.80022380859</v>
      </c>
      <c r="AL83" s="11">
        <f t="shared" si="35"/>
        <v>116549.2748762782</v>
      </c>
      <c r="AM83" s="11">
        <f t="shared" si="36"/>
        <v>-157160.63611161354</v>
      </c>
      <c r="AN83" s="11">
        <f t="shared" si="36"/>
        <v>-86042.547335544994</v>
      </c>
      <c r="AO83" s="11">
        <f t="shared" si="36"/>
        <v>130677.01694976425</v>
      </c>
      <c r="AP83" s="11">
        <f t="shared" si="36"/>
        <v>130603.61322946537</v>
      </c>
      <c r="AQ83" s="11">
        <f t="shared" si="36"/>
        <v>100369.11404659161</v>
      </c>
      <c r="AR83" s="11">
        <f t="shared" si="36"/>
        <v>137514.64569189824</v>
      </c>
      <c r="AS83" s="11">
        <f t="shared" si="36"/>
        <v>-115099.03163595556</v>
      </c>
      <c r="AT83" s="11">
        <f t="shared" si="36"/>
        <v>-110415.89395396315</v>
      </c>
      <c r="AU83" s="11">
        <f t="shared" si="36"/>
        <v>-152559.1826903531</v>
      </c>
      <c r="AV83" s="11">
        <f t="shared" si="36"/>
        <v>45599.730637223503</v>
      </c>
      <c r="AW83" s="11">
        <f t="shared" si="37"/>
        <v>169248.99312909661</v>
      </c>
      <c r="AX83" s="11">
        <f t="shared" si="37"/>
        <v>-172764.3056891695</v>
      </c>
      <c r="AY83" s="11">
        <f t="shared" si="37"/>
        <v>-85293.448686376054</v>
      </c>
      <c r="AZ83" s="11">
        <f t="shared" si="37"/>
        <v>-14429.424269052774</v>
      </c>
      <c r="BA83" s="11">
        <f t="shared" si="37"/>
        <v>54439.209010580642</v>
      </c>
      <c r="BB83" s="11">
        <f t="shared" si="37"/>
        <v>92291.946510652255</v>
      </c>
      <c r="BC83" s="11">
        <f t="shared" si="37"/>
        <v>-150525.34657951695</v>
      </c>
      <c r="BD83" s="11">
        <f t="shared" si="37"/>
        <v>-164268.4493725978</v>
      </c>
      <c r="BE83" s="11">
        <f t="shared" si="37"/>
        <v>-171807.80072280459</v>
      </c>
      <c r="BF83" s="11">
        <f t="shared" si="37"/>
        <v>-172858.66998348819</v>
      </c>
      <c r="BG83" s="11">
        <f t="shared" si="37"/>
        <v>-167381.37009532933</v>
      </c>
      <c r="BH83" s="11">
        <f t="shared" si="37"/>
        <v>-155582.75640531347</v>
      </c>
      <c r="BI83" s="11">
        <f t="shared" si="37"/>
        <v>-137908.41458104114</v>
      </c>
      <c r="BJ83" s="11">
        <f t="shared" si="37"/>
        <v>-115025.83265231835</v>
      </c>
      <c r="BK83" s="11">
        <f t="shared" si="37"/>
        <v>-140350.82555871079</v>
      </c>
    </row>
    <row r="84" spans="2:63" x14ac:dyDescent="0.25">
      <c r="B84">
        <v>2</v>
      </c>
      <c r="C84">
        <v>0</v>
      </c>
      <c r="D84">
        <v>-1</v>
      </c>
      <c r="E84">
        <v>1</v>
      </c>
      <c r="F84">
        <v>55413</v>
      </c>
      <c r="H84" s="34"/>
      <c r="I84" s="11">
        <f t="shared" si="33"/>
        <v>-22193.94878222459</v>
      </c>
      <c r="J84" s="11">
        <f t="shared" si="33"/>
        <v>-25386.585910985083</v>
      </c>
      <c r="K84" s="11">
        <f t="shared" si="33"/>
        <v>-13414.141232979575</v>
      </c>
      <c r="L84" s="11">
        <f t="shared" si="33"/>
        <v>-37435.688009208679</v>
      </c>
      <c r="M84" s="11">
        <f t="shared" si="33"/>
        <v>-15465.422682505561</v>
      </c>
      <c r="N84" s="11">
        <f t="shared" si="33"/>
        <v>48681.081206978939</v>
      </c>
      <c r="O84" s="11">
        <f t="shared" si="33"/>
        <v>23029.170749164987</v>
      </c>
      <c r="P84" s="11">
        <f t="shared" si="33"/>
        <v>54136.991854035041</v>
      </c>
      <c r="Q84" s="11">
        <f t="shared" si="33"/>
        <v>51695.428958664437</v>
      </c>
      <c r="R84" s="11">
        <f t="shared" si="33"/>
        <v>50473.538059042199</v>
      </c>
      <c r="S84" s="11">
        <f t="shared" si="34"/>
        <v>23298.527072615063</v>
      </c>
      <c r="T84" s="11">
        <f t="shared" si="34"/>
        <v>23271.959305236607</v>
      </c>
      <c r="U84" s="11">
        <f t="shared" si="34"/>
        <v>20446.358041946962</v>
      </c>
      <c r="V84" s="11">
        <f t="shared" si="34"/>
        <v>-2796.8145627746526</v>
      </c>
      <c r="W84" s="11">
        <f t="shared" si="34"/>
        <v>31839.372625366577</v>
      </c>
      <c r="X84" s="11">
        <f t="shared" si="34"/>
        <v>-24595.737166101258</v>
      </c>
      <c r="Y84" s="11">
        <f t="shared" si="34"/>
        <v>-39010.215006373415</v>
      </c>
      <c r="Z84" s="11">
        <f t="shared" si="34"/>
        <v>-49718.092575254006</v>
      </c>
      <c r="AA84" s="11">
        <f t="shared" si="34"/>
        <v>-7763.3166793877617</v>
      </c>
      <c r="AB84" s="11">
        <f t="shared" si="34"/>
        <v>54929.227448968064</v>
      </c>
      <c r="AC84" s="11">
        <f t="shared" si="35"/>
        <v>-47442.107387154858</v>
      </c>
      <c r="AD84" s="11">
        <f t="shared" si="35"/>
        <v>54849.629077497855</v>
      </c>
      <c r="AE84" s="11">
        <f t="shared" si="35"/>
        <v>-1678.8468241130911</v>
      </c>
      <c r="AF84" s="11">
        <f t="shared" si="35"/>
        <v>55207.849014392566</v>
      </c>
      <c r="AG84" s="11">
        <f t="shared" si="35"/>
        <v>55020.612392337978</v>
      </c>
      <c r="AH84" s="11">
        <f t="shared" si="35"/>
        <v>53162.010124099637</v>
      </c>
      <c r="AI84" s="11">
        <f t="shared" si="35"/>
        <v>17546.391951727503</v>
      </c>
      <c r="AJ84" s="11">
        <f t="shared" si="35"/>
        <v>29381.553692441066</v>
      </c>
      <c r="AK84" s="11">
        <f t="shared" si="35"/>
        <v>-54751.654224479345</v>
      </c>
      <c r="AL84" s="11">
        <f t="shared" si="35"/>
        <v>29598.282498914134</v>
      </c>
      <c r="AM84" s="11">
        <f t="shared" si="36"/>
        <v>7310.4280236551713</v>
      </c>
      <c r="AN84" s="11">
        <f t="shared" si="36"/>
        <v>29338.1335761216</v>
      </c>
      <c r="AO84" s="11">
        <f t="shared" si="36"/>
        <v>35975.317185178843</v>
      </c>
      <c r="AP84" s="11">
        <f t="shared" si="36"/>
        <v>41638.857712843383</v>
      </c>
      <c r="AQ84" s="11">
        <f t="shared" si="36"/>
        <v>49779.40978909882</v>
      </c>
      <c r="AR84" s="11">
        <f t="shared" si="36"/>
        <v>17250.703584237064</v>
      </c>
      <c r="AS84" s="11">
        <f t="shared" si="36"/>
        <v>-48042.400801559103</v>
      </c>
      <c r="AT84" s="11">
        <f t="shared" si="36"/>
        <v>-48080.600031319002</v>
      </c>
      <c r="AU84" s="11">
        <f t="shared" si="36"/>
        <v>44471.804517950375</v>
      </c>
      <c r="AV84" s="11">
        <f t="shared" si="36"/>
        <v>-37656.312754898099</v>
      </c>
      <c r="AW84" s="11">
        <f t="shared" si="37"/>
        <v>45067.692559809409</v>
      </c>
      <c r="AX84" s="11">
        <f t="shared" si="37"/>
        <v>44926.69332620957</v>
      </c>
      <c r="AY84" s="11">
        <f t="shared" si="37"/>
        <v>17603.047544277859</v>
      </c>
      <c r="AZ84" s="11">
        <f t="shared" si="37"/>
        <v>28815.176593539018</v>
      </c>
      <c r="BA84" s="11">
        <f t="shared" si="37"/>
        <v>15976.194035727118</v>
      </c>
      <c r="BB84" s="11">
        <f t="shared" si="37"/>
        <v>-54233.804577084884</v>
      </c>
      <c r="BC84" s="11">
        <f t="shared" si="37"/>
        <v>52249.426289513169</v>
      </c>
      <c r="BD84" s="11">
        <f t="shared" si="37"/>
        <v>55194.323319109295</v>
      </c>
      <c r="BE84" s="11">
        <f t="shared" si="37"/>
        <v>48163.297854379176</v>
      </c>
      <c r="BF84" s="11">
        <f t="shared" si="37"/>
        <v>32427.150239896131</v>
      </c>
      <c r="BG84" s="11">
        <f t="shared" si="37"/>
        <v>10830.060447860969</v>
      </c>
      <c r="BH84" s="11">
        <f t="shared" si="37"/>
        <v>-12724.474188779035</v>
      </c>
      <c r="BI84" s="11">
        <f t="shared" si="37"/>
        <v>-33979.164191963115</v>
      </c>
      <c r="BJ84" s="11">
        <f t="shared" si="37"/>
        <v>-49092.398189904314</v>
      </c>
      <c r="BK84" s="11">
        <f t="shared" si="37"/>
        <v>14108.273684172478</v>
      </c>
    </row>
    <row r="85" spans="2:63" x14ac:dyDescent="0.25">
      <c r="B85">
        <v>2</v>
      </c>
      <c r="C85">
        <v>0</v>
      </c>
      <c r="D85">
        <v>-1</v>
      </c>
      <c r="E85">
        <v>-1</v>
      </c>
      <c r="F85">
        <v>46271</v>
      </c>
      <c r="H85" s="34"/>
      <c r="I85" s="11">
        <f t="shared" si="33"/>
        <v>125.37249409196454</v>
      </c>
      <c r="J85" s="11">
        <f t="shared" si="33"/>
        <v>5062.3843758976636</v>
      </c>
      <c r="K85" s="11">
        <f t="shared" si="33"/>
        <v>6011.466944644646</v>
      </c>
      <c r="L85" s="11">
        <f t="shared" si="33"/>
        <v>-10715.566876999685</v>
      </c>
      <c r="M85" s="11">
        <f t="shared" si="33"/>
        <v>30280.295359934829</v>
      </c>
      <c r="N85" s="11">
        <f t="shared" si="33"/>
        <v>37251.945356008146</v>
      </c>
      <c r="O85" s="11">
        <f t="shared" si="33"/>
        <v>41112.275753793117</v>
      </c>
      <c r="P85" s="11">
        <f t="shared" si="33"/>
        <v>25686.240513738096</v>
      </c>
      <c r="Q85" s="11">
        <f t="shared" si="33"/>
        <v>25310.498427290699</v>
      </c>
      <c r="R85" s="11">
        <f t="shared" si="33"/>
        <v>43699.700289166547</v>
      </c>
      <c r="S85" s="11">
        <f t="shared" si="34"/>
        <v>34919.566231896097</v>
      </c>
      <c r="T85" s="11">
        <f t="shared" si="34"/>
        <v>-223.30615701916184</v>
      </c>
      <c r="U85" s="11">
        <f t="shared" si="34"/>
        <v>43804.207894385843</v>
      </c>
      <c r="V85" s="11">
        <f t="shared" si="34"/>
        <v>43282.241256233305</v>
      </c>
      <c r="W85" s="11">
        <f t="shared" si="34"/>
        <v>33083.492121567135</v>
      </c>
      <c r="X85" s="11">
        <f t="shared" si="34"/>
        <v>-38841.92009611852</v>
      </c>
      <c r="Y85" s="11">
        <f t="shared" si="34"/>
        <v>-32077.45657655278</v>
      </c>
      <c r="Z85" s="11">
        <f t="shared" si="34"/>
        <v>27996.260655782546</v>
      </c>
      <c r="AA85" s="11">
        <f t="shared" si="34"/>
        <v>-45730.92620004026</v>
      </c>
      <c r="AB85" s="11">
        <f t="shared" si="34"/>
        <v>2134.5309092490438</v>
      </c>
      <c r="AC85" s="11">
        <f t="shared" si="35"/>
        <v>22967.089971126228</v>
      </c>
      <c r="AD85" s="11">
        <f t="shared" si="35"/>
        <v>-33889.017612400756</v>
      </c>
      <c r="AE85" s="11">
        <f t="shared" si="35"/>
        <v>6776.4365044479573</v>
      </c>
      <c r="AF85" s="11">
        <f t="shared" si="35"/>
        <v>39318.748953027956</v>
      </c>
      <c r="AG85" s="11">
        <f t="shared" si="35"/>
        <v>9429.2964380824997</v>
      </c>
      <c r="AH85" s="11">
        <f t="shared" si="35"/>
        <v>-45290.202226140376</v>
      </c>
      <c r="AI85" s="11">
        <f t="shared" si="35"/>
        <v>27058.171564224478</v>
      </c>
      <c r="AJ85" s="11">
        <f t="shared" si="35"/>
        <v>-40314.761730922626</v>
      </c>
      <c r="AK85" s="11">
        <f t="shared" si="35"/>
        <v>8575.5752043383436</v>
      </c>
      <c r="AL85" s="11">
        <f t="shared" si="35"/>
        <v>41258.801767912606</v>
      </c>
      <c r="AM85" s="11">
        <f t="shared" si="36"/>
        <v>18587.690479082405</v>
      </c>
      <c r="AN85" s="11">
        <f t="shared" si="36"/>
        <v>-9532.1052135565915</v>
      </c>
      <c r="AO85" s="11">
        <f t="shared" si="36"/>
        <v>45910.985354682052</v>
      </c>
      <c r="AP85" s="11">
        <f t="shared" si="36"/>
        <v>10381.685861370479</v>
      </c>
      <c r="AQ85" s="11">
        <f t="shared" si="36"/>
        <v>46257.875336548292</v>
      </c>
      <c r="AR85" s="11">
        <f t="shared" si="36"/>
        <v>-3862.3604896903362</v>
      </c>
      <c r="AS85" s="11">
        <f t="shared" si="36"/>
        <v>8491.0485294554837</v>
      </c>
      <c r="AT85" s="11">
        <f t="shared" si="36"/>
        <v>-26565.560005888867</v>
      </c>
      <c r="AU85" s="11">
        <f t="shared" si="36"/>
        <v>-34673.598879836885</v>
      </c>
      <c r="AV85" s="11">
        <f t="shared" si="36"/>
        <v>-40755.430062418978</v>
      </c>
      <c r="AW85" s="11">
        <f t="shared" si="37"/>
        <v>-45024.564321664635</v>
      </c>
      <c r="AX85" s="11">
        <f t="shared" si="37"/>
        <v>-44755.190547608123</v>
      </c>
      <c r="AY85" s="11">
        <f t="shared" si="37"/>
        <v>-31048.424577081169</v>
      </c>
      <c r="AZ85" s="11">
        <f t="shared" si="37"/>
        <v>-14425.362104490632</v>
      </c>
      <c r="BA85" s="11">
        <f t="shared" si="37"/>
        <v>37252.072625277819</v>
      </c>
      <c r="BB85" s="11">
        <f t="shared" si="37"/>
        <v>-22634.392432065768</v>
      </c>
      <c r="BC85" s="11">
        <f t="shared" si="37"/>
        <v>-14228.246904588668</v>
      </c>
      <c r="BD85" s="11">
        <f t="shared" si="37"/>
        <v>-12750.659995022135</v>
      </c>
      <c r="BE85" s="11">
        <f t="shared" si="37"/>
        <v>-11258.862673913856</v>
      </c>
      <c r="BF85" s="11">
        <f t="shared" si="37"/>
        <v>-9754.5175261242548</v>
      </c>
      <c r="BG85" s="11">
        <f t="shared" si="37"/>
        <v>-8239.3011207908348</v>
      </c>
      <c r="BH85" s="11">
        <f t="shared" si="37"/>
        <v>-6714.9021429433269</v>
      </c>
      <c r="BI85" s="11">
        <f t="shared" si="37"/>
        <v>-5183.0195115387787</v>
      </c>
      <c r="BJ85" s="11">
        <f t="shared" si="37"/>
        <v>-3645.360485716511</v>
      </c>
      <c r="BK85" s="11">
        <f t="shared" si="37"/>
        <v>26868.410113718444</v>
      </c>
    </row>
    <row r="86" spans="2:63" x14ac:dyDescent="0.25">
      <c r="B86">
        <v>2</v>
      </c>
      <c r="C86">
        <v>0</v>
      </c>
      <c r="D86">
        <v>0</v>
      </c>
      <c r="E86">
        <v>1</v>
      </c>
      <c r="F86">
        <v>32573</v>
      </c>
      <c r="H86" s="34"/>
      <c r="I86" s="11">
        <f t="shared" si="33"/>
        <v>1619.2848756454437</v>
      </c>
      <c r="J86" s="11">
        <f t="shared" si="33"/>
        <v>11779.491957468885</v>
      </c>
      <c r="K86" s="11">
        <f t="shared" si="33"/>
        <v>-16789.744297201905</v>
      </c>
      <c r="L86" s="11">
        <f t="shared" si="33"/>
        <v>-32272.197237429064</v>
      </c>
      <c r="M86" s="11">
        <f t="shared" si="33"/>
        <v>-6627.9129642845892</v>
      </c>
      <c r="N86" s="11">
        <f t="shared" si="33"/>
        <v>-5037.8217167424582</v>
      </c>
      <c r="O86" s="11">
        <f t="shared" si="33"/>
        <v>-28123.432020642922</v>
      </c>
      <c r="P86" s="11">
        <f t="shared" si="33"/>
        <v>-32474.020305769525</v>
      </c>
      <c r="Q86" s="11">
        <f t="shared" si="33"/>
        <v>6511.0510277382118</v>
      </c>
      <c r="R86" s="11">
        <f t="shared" si="33"/>
        <v>12244.543910780105</v>
      </c>
      <c r="S86" s="11">
        <f t="shared" si="34"/>
        <v>-14217.544547843985</v>
      </c>
      <c r="T86" s="11">
        <f t="shared" si="34"/>
        <v>25459.992673503373</v>
      </c>
      <c r="U86" s="11">
        <f t="shared" si="34"/>
        <v>7828.9247861144931</v>
      </c>
      <c r="V86" s="11">
        <f t="shared" si="34"/>
        <v>25498.28694796799</v>
      </c>
      <c r="W86" s="11">
        <f t="shared" si="34"/>
        <v>19684.845881698126</v>
      </c>
      <c r="X86" s="11">
        <f t="shared" si="34"/>
        <v>26953.734744098434</v>
      </c>
      <c r="Y86" s="11">
        <f t="shared" si="34"/>
        <v>-7725.8098577072878</v>
      </c>
      <c r="Z86" s="11">
        <f t="shared" si="34"/>
        <v>-29913.821737421262</v>
      </c>
      <c r="AA86" s="11">
        <f t="shared" si="34"/>
        <v>27420.478061171842</v>
      </c>
      <c r="AB86" s="11">
        <f t="shared" si="34"/>
        <v>32543.813519797648</v>
      </c>
      <c r="AC86" s="11">
        <f t="shared" si="35"/>
        <v>-4799.0160870115496</v>
      </c>
      <c r="AD86" s="11">
        <f t="shared" si="35"/>
        <v>-23387.031284521872</v>
      </c>
      <c r="AE86" s="11">
        <f t="shared" si="35"/>
        <v>-24891.212996646445</v>
      </c>
      <c r="AF86" s="11">
        <f t="shared" si="35"/>
        <v>20827.084901732393</v>
      </c>
      <c r="AG86" s="11">
        <f t="shared" si="35"/>
        <v>-5453.5923894908728</v>
      </c>
      <c r="AH86" s="11">
        <f t="shared" si="35"/>
        <v>-26429.798935790164</v>
      </c>
      <c r="AI86" s="11">
        <f t="shared" si="35"/>
        <v>30599.768126018796</v>
      </c>
      <c r="AJ86" s="11">
        <f t="shared" si="35"/>
        <v>-14027.219733592803</v>
      </c>
      <c r="AK86" s="11">
        <f t="shared" si="35"/>
        <v>6788.7377184261723</v>
      </c>
      <c r="AL86" s="11">
        <f t="shared" si="35"/>
        <v>-21942.270616536938</v>
      </c>
      <c r="AM86" s="11">
        <f t="shared" si="36"/>
        <v>18146.189293896525</v>
      </c>
      <c r="AN86" s="11">
        <f t="shared" si="36"/>
        <v>24901.075676555993</v>
      </c>
      <c r="AO86" s="11">
        <f t="shared" si="36"/>
        <v>3744.6026755588573</v>
      </c>
      <c r="AP86" s="11">
        <f t="shared" si="36"/>
        <v>-30488.402859038582</v>
      </c>
      <c r="AQ86" s="11">
        <f t="shared" si="36"/>
        <v>28979.080007788303</v>
      </c>
      <c r="AR86" s="11">
        <f t="shared" si="36"/>
        <v>-20583.341985703235</v>
      </c>
      <c r="AS86" s="11">
        <f t="shared" si="36"/>
        <v>-4476.9302953022434</v>
      </c>
      <c r="AT86" s="11">
        <f t="shared" si="36"/>
        <v>23103.047294728509</v>
      </c>
      <c r="AU86" s="11">
        <f t="shared" si="36"/>
        <v>21020.102815647359</v>
      </c>
      <c r="AV86" s="11">
        <f t="shared" si="36"/>
        <v>-28263.119334516468</v>
      </c>
      <c r="AW86" s="11">
        <f t="shared" si="37"/>
        <v>-26153.191118672137</v>
      </c>
      <c r="AX86" s="11">
        <f t="shared" si="37"/>
        <v>29434.793443697254</v>
      </c>
      <c r="AY86" s="11">
        <f t="shared" si="37"/>
        <v>16860.126197293896</v>
      </c>
      <c r="AZ86" s="11">
        <f t="shared" si="37"/>
        <v>-26443.980915873213</v>
      </c>
      <c r="BA86" s="11">
        <f t="shared" si="37"/>
        <v>-10360.462190139911</v>
      </c>
      <c r="BB86" s="11">
        <f t="shared" si="37"/>
        <v>-9349.9911650353861</v>
      </c>
      <c r="BC86" s="11">
        <f t="shared" si="37"/>
        <v>29990.630299480545</v>
      </c>
      <c r="BD86" s="11">
        <f t="shared" si="37"/>
        <v>16000.50924880029</v>
      </c>
      <c r="BE86" s="11">
        <f t="shared" si="37"/>
        <v>-4640.2521330813815</v>
      </c>
      <c r="BF86" s="11">
        <f t="shared" si="37"/>
        <v>-23352.28440369395</v>
      </c>
      <c r="BG86" s="11">
        <f t="shared" si="37"/>
        <v>-32357.897830647151</v>
      </c>
      <c r="BH86" s="11">
        <f t="shared" si="37"/>
        <v>-27913.893061171671</v>
      </c>
      <c r="BI86" s="11">
        <f t="shared" si="37"/>
        <v>-11867.428638274054</v>
      </c>
      <c r="BJ86" s="11">
        <f t="shared" si="37"/>
        <v>9111.7537563599053</v>
      </c>
      <c r="BK86" s="11">
        <f t="shared" si="37"/>
        <v>31555.271078699225</v>
      </c>
    </row>
    <row r="87" spans="2:63" x14ac:dyDescent="0.25">
      <c r="B87">
        <v>0</v>
      </c>
      <c r="C87">
        <v>0</v>
      </c>
      <c r="D87">
        <v>2</v>
      </c>
      <c r="E87">
        <v>1</v>
      </c>
      <c r="F87">
        <v>17198</v>
      </c>
      <c r="H87" s="34"/>
      <c r="I87" s="11">
        <f t="shared" si="33"/>
        <v>14924.640887120844</v>
      </c>
      <c r="J87" s="11">
        <f t="shared" si="33"/>
        <v>-1067.3360171202748</v>
      </c>
      <c r="K87" s="11">
        <f t="shared" si="33"/>
        <v>959.68492335638018</v>
      </c>
      <c r="L87" s="11">
        <f t="shared" si="33"/>
        <v>5131.8835069072002</v>
      </c>
      <c r="M87" s="11">
        <f t="shared" si="33"/>
        <v>-16026.95130841699</v>
      </c>
      <c r="N87" s="11">
        <f t="shared" si="33"/>
        <v>11773.078003170358</v>
      </c>
      <c r="O87" s="11">
        <f t="shared" si="33"/>
        <v>-9837.7587833708585</v>
      </c>
      <c r="P87" s="11">
        <f t="shared" si="33"/>
        <v>10513.262723554188</v>
      </c>
      <c r="Q87" s="11">
        <f t="shared" si="33"/>
        <v>-17074.888959155844</v>
      </c>
      <c r="R87" s="11">
        <f t="shared" si="33"/>
        <v>-5083.7252071751918</v>
      </c>
      <c r="S87" s="11">
        <f t="shared" si="34"/>
        <v>-13372.324910758118</v>
      </c>
      <c r="T87" s="11">
        <f t="shared" si="34"/>
        <v>-13214.373260817367</v>
      </c>
      <c r="U87" s="11">
        <f t="shared" si="34"/>
        <v>-15625.758004718771</v>
      </c>
      <c r="V87" s="11">
        <f t="shared" si="34"/>
        <v>-7525.7557778077353</v>
      </c>
      <c r="W87" s="11">
        <f t="shared" si="34"/>
        <v>-8653.9644702216629</v>
      </c>
      <c r="X87" s="11">
        <f t="shared" si="34"/>
        <v>-11863.624167465499</v>
      </c>
      <c r="Y87" s="11">
        <f t="shared" si="34"/>
        <v>-5137.5019311042179</v>
      </c>
      <c r="Z87" s="11">
        <f t="shared" si="34"/>
        <v>8716.6340769385515</v>
      </c>
      <c r="AA87" s="11">
        <f t="shared" si="34"/>
        <v>-15180.100218230498</v>
      </c>
      <c r="AB87" s="11">
        <f t="shared" si="34"/>
        <v>-13211.284782747814</v>
      </c>
      <c r="AC87" s="11">
        <f t="shared" si="35"/>
        <v>1119.864313970091</v>
      </c>
      <c r="AD87" s="11">
        <f t="shared" si="35"/>
        <v>2218.9004851733516</v>
      </c>
      <c r="AE87" s="11">
        <f t="shared" si="35"/>
        <v>-4878.9641663567245</v>
      </c>
      <c r="AF87" s="11">
        <f t="shared" si="35"/>
        <v>-17187.564378188563</v>
      </c>
      <c r="AG87" s="11">
        <f t="shared" si="35"/>
        <v>12813.391996829918</v>
      </c>
      <c r="AH87" s="11">
        <f t="shared" si="35"/>
        <v>-61.607328243880303</v>
      </c>
      <c r="AI87" s="11">
        <f t="shared" si="35"/>
        <v>-14849.592548792845</v>
      </c>
      <c r="AJ87" s="11">
        <f t="shared" si="35"/>
        <v>16028.027118006803</v>
      </c>
      <c r="AK87" s="11">
        <f t="shared" si="35"/>
        <v>-17184.03385702243</v>
      </c>
      <c r="AL87" s="11">
        <f t="shared" si="35"/>
        <v>3452.9235759849803</v>
      </c>
      <c r="AM87" s="11">
        <f t="shared" si="36"/>
        <v>6653.7860156036259</v>
      </c>
      <c r="AN87" s="11">
        <f t="shared" si="36"/>
        <v>-11984.77517917556</v>
      </c>
      <c r="AO87" s="11">
        <f t="shared" si="36"/>
        <v>17195.088794247018</v>
      </c>
      <c r="AP87" s="11">
        <f t="shared" si="36"/>
        <v>15539.443582901706</v>
      </c>
      <c r="AQ87" s="11">
        <f t="shared" si="36"/>
        <v>-17178.26482260241</v>
      </c>
      <c r="AR87" s="11">
        <f t="shared" si="36"/>
        <v>5310.0523274024981</v>
      </c>
      <c r="AS87" s="11">
        <f t="shared" si="36"/>
        <v>-3088.935405048177</v>
      </c>
      <c r="AT87" s="11">
        <f t="shared" si="36"/>
        <v>-16456.716877025599</v>
      </c>
      <c r="AU87" s="11">
        <f t="shared" si="36"/>
        <v>-7155.2420773298263</v>
      </c>
      <c r="AV87" s="11">
        <f t="shared" si="36"/>
        <v>15421.195127629242</v>
      </c>
      <c r="AW87" s="11">
        <f t="shared" si="37"/>
        <v>15394.171107192069</v>
      </c>
      <c r="AX87" s="11">
        <f t="shared" si="37"/>
        <v>-16916.363439488083</v>
      </c>
      <c r="AY87" s="11">
        <f t="shared" si="37"/>
        <v>14196.019178021988</v>
      </c>
      <c r="AZ87" s="11">
        <f t="shared" si="37"/>
        <v>-16225.04618932119</v>
      </c>
      <c r="BA87" s="11">
        <f t="shared" si="37"/>
        <v>-17195.570477860005</v>
      </c>
      <c r="BB87" s="11">
        <f t="shared" si="37"/>
        <v>17008.268184135104</v>
      </c>
      <c r="BC87" s="11">
        <f t="shared" si="37"/>
        <v>6208.9876217799838</v>
      </c>
      <c r="BD87" s="11">
        <f t="shared" si="37"/>
        <v>14971.742974737801</v>
      </c>
      <c r="BE87" s="11">
        <f t="shared" si="37"/>
        <v>16942.832328976143</v>
      </c>
      <c r="BF87" s="11">
        <f t="shared" si="37"/>
        <v>11228.105913799365</v>
      </c>
      <c r="BG87" s="11">
        <f t="shared" si="37"/>
        <v>419.94813970072386</v>
      </c>
      <c r="BH87" s="11">
        <f t="shared" si="37"/>
        <v>-10578.711669224935</v>
      </c>
      <c r="BI87" s="11">
        <f t="shared" si="37"/>
        <v>-16778.526315254032</v>
      </c>
      <c r="BJ87" s="11">
        <f t="shared" si="37"/>
        <v>-15367.059704524565</v>
      </c>
      <c r="BK87" s="11">
        <f t="shared" si="37"/>
        <v>-15668.812576585611</v>
      </c>
    </row>
    <row r="88" spans="2:63" x14ac:dyDescent="0.25">
      <c r="B88">
        <v>2</v>
      </c>
      <c r="C88">
        <v>0</v>
      </c>
      <c r="D88">
        <v>1</v>
      </c>
      <c r="E88">
        <v>-1</v>
      </c>
      <c r="F88">
        <v>9266</v>
      </c>
      <c r="H88" s="34"/>
      <c r="I88" s="11">
        <f t="shared" si="33"/>
        <v>-6123.7122870838894</v>
      </c>
      <c r="J88" s="11">
        <f t="shared" si="33"/>
        <v>-9265.3972869668105</v>
      </c>
      <c r="K88" s="11">
        <f t="shared" si="33"/>
        <v>-9188.9980754303288</v>
      </c>
      <c r="L88" s="11">
        <f t="shared" si="33"/>
        <v>8466.6658213937062</v>
      </c>
      <c r="M88" s="11">
        <f t="shared" si="33"/>
        <v>4902.5144644445163</v>
      </c>
      <c r="N88" s="11">
        <f t="shared" si="33"/>
        <v>-9254.1618772897491</v>
      </c>
      <c r="O88" s="11">
        <f t="shared" si="33"/>
        <v>-7221.3625749402863</v>
      </c>
      <c r="P88" s="11">
        <f t="shared" si="33"/>
        <v>7037.8253297235806</v>
      </c>
      <c r="Q88" s="11">
        <f t="shared" si="33"/>
        <v>-9165.73658550664</v>
      </c>
      <c r="R88" s="11">
        <f t="shared" si="33"/>
        <v>-8479.3022177939438</v>
      </c>
      <c r="S88" s="11">
        <f t="shared" si="34"/>
        <v>6772.7458787339247</v>
      </c>
      <c r="T88" s="11">
        <f t="shared" si="34"/>
        <v>4320.2326240667799</v>
      </c>
      <c r="U88" s="11">
        <f t="shared" si="34"/>
        <v>5662.962487273111</v>
      </c>
      <c r="V88" s="11">
        <f t="shared" si="34"/>
        <v>2156.1745960087737</v>
      </c>
      <c r="W88" s="11">
        <f t="shared" si="34"/>
        <v>-9155.4477402881639</v>
      </c>
      <c r="X88" s="11">
        <f t="shared" si="34"/>
        <v>-8323.7370721015359</v>
      </c>
      <c r="Y88" s="11">
        <f t="shared" si="34"/>
        <v>-3043.4619489614529</v>
      </c>
      <c r="Z88" s="11">
        <f t="shared" si="34"/>
        <v>-8166.1395174391919</v>
      </c>
      <c r="AA88" s="11">
        <f t="shared" si="34"/>
        <v>-33.148039008146029</v>
      </c>
      <c r="AB88" s="11">
        <f t="shared" si="34"/>
        <v>2075.8421191483094</v>
      </c>
      <c r="AC88" s="11">
        <f t="shared" si="35"/>
        <v>-8764.9078689039216</v>
      </c>
      <c r="AD88" s="11">
        <f t="shared" si="35"/>
        <v>-8107.6098172779402</v>
      </c>
      <c r="AE88" s="11">
        <f t="shared" si="35"/>
        <v>-9234.6178791800958</v>
      </c>
      <c r="AF88" s="11">
        <f t="shared" si="35"/>
        <v>-7320.1247224541075</v>
      </c>
      <c r="AG88" s="11">
        <f t="shared" si="35"/>
        <v>-2769.3278064235164</v>
      </c>
      <c r="AH88" s="11">
        <f t="shared" si="35"/>
        <v>4080.210753524304</v>
      </c>
      <c r="AI88" s="11">
        <f t="shared" si="35"/>
        <v>-4994.5597694431717</v>
      </c>
      <c r="AJ88" s="11">
        <f t="shared" si="35"/>
        <v>-700.360488517411</v>
      </c>
      <c r="AK88" s="11">
        <f t="shared" si="35"/>
        <v>4786.2469196831071</v>
      </c>
      <c r="AL88" s="11">
        <f t="shared" si="35"/>
        <v>-4958.4468237648452</v>
      </c>
      <c r="AM88" s="11">
        <f t="shared" si="36"/>
        <v>8881.7933641436302</v>
      </c>
      <c r="AN88" s="11">
        <f t="shared" si="36"/>
        <v>-6850.3922341963271</v>
      </c>
      <c r="AO88" s="11">
        <f t="shared" si="36"/>
        <v>2411.465986008775</v>
      </c>
      <c r="AP88" s="11">
        <f t="shared" si="36"/>
        <v>-8660.6815772861955</v>
      </c>
      <c r="AQ88" s="11">
        <f t="shared" si="36"/>
        <v>-2835.985779615638</v>
      </c>
      <c r="AR88" s="11">
        <f t="shared" si="36"/>
        <v>8714.2855325147611</v>
      </c>
      <c r="AS88" s="11">
        <f t="shared" si="36"/>
        <v>-9245.1210706216771</v>
      </c>
      <c r="AT88" s="11">
        <f t="shared" si="36"/>
        <v>8449.6793938672145</v>
      </c>
      <c r="AU88" s="11">
        <f t="shared" si="36"/>
        <v>-8946.2412232508923</v>
      </c>
      <c r="AV88" s="11">
        <f t="shared" si="36"/>
        <v>9258.7832774146318</v>
      </c>
      <c r="AW88" s="11">
        <f t="shared" si="37"/>
        <v>-9086.1687149713453</v>
      </c>
      <c r="AX88" s="11">
        <f t="shared" si="37"/>
        <v>-9211.11962042501</v>
      </c>
      <c r="AY88" s="11">
        <f t="shared" si="37"/>
        <v>-2685.1670918263117</v>
      </c>
      <c r="AZ88" s="11">
        <f t="shared" si="37"/>
        <v>4310.227325315891</v>
      </c>
      <c r="BA88" s="11">
        <f t="shared" si="37"/>
        <v>-2707.2151425894417</v>
      </c>
      <c r="BB88" s="11">
        <f t="shared" si="37"/>
        <v>9247.0092988005963</v>
      </c>
      <c r="BC88" s="11">
        <f t="shared" si="37"/>
        <v>-9037.4067801414694</v>
      </c>
      <c r="BD88" s="11">
        <f t="shared" si="37"/>
        <v>-7403.0397119435829</v>
      </c>
      <c r="BE88" s="11">
        <f t="shared" si="37"/>
        <v>-4465.6997452630194</v>
      </c>
      <c r="BF88" s="11">
        <f t="shared" si="37"/>
        <v>-742.37375564263914</v>
      </c>
      <c r="BG88" s="11">
        <f t="shared" si="37"/>
        <v>3111.6138164945783</v>
      </c>
      <c r="BH88" s="11">
        <f t="shared" si="37"/>
        <v>6417.9414230972916</v>
      </c>
      <c r="BI88" s="11">
        <f t="shared" si="37"/>
        <v>8594.6784745080513</v>
      </c>
      <c r="BJ88" s="11">
        <f t="shared" si="37"/>
        <v>9258.7081031196631</v>
      </c>
      <c r="BK88" s="11">
        <f t="shared" si="37"/>
        <v>-5482.6682150593888</v>
      </c>
    </row>
    <row r="89" spans="2:63" x14ac:dyDescent="0.25">
      <c r="B89">
        <v>0</v>
      </c>
      <c r="C89">
        <v>0</v>
      </c>
      <c r="D89">
        <v>2</v>
      </c>
      <c r="E89">
        <v>-1</v>
      </c>
      <c r="F89">
        <v>8822</v>
      </c>
      <c r="H89" s="34"/>
      <c r="I89" s="11">
        <f t="shared" si="33"/>
        <v>-5278.4274497292681</v>
      </c>
      <c r="J89" s="11">
        <f t="shared" si="33"/>
        <v>-2642.1729775692497</v>
      </c>
      <c r="K89" s="11">
        <f t="shared" si="33"/>
        <v>514.79343324695731</v>
      </c>
      <c r="L89" s="11">
        <f t="shared" si="33"/>
        <v>5495.1533809188904</v>
      </c>
      <c r="M89" s="11">
        <f t="shared" si="33"/>
        <v>8806.4430213472733</v>
      </c>
      <c r="N89" s="11">
        <f t="shared" si="33"/>
        <v>5104.8517102090273</v>
      </c>
      <c r="O89" s="11">
        <f t="shared" si="33"/>
        <v>7470.4355012689248</v>
      </c>
      <c r="P89" s="11">
        <f t="shared" si="33"/>
        <v>-964.54724989541899</v>
      </c>
      <c r="Q89" s="11">
        <f t="shared" si="33"/>
        <v>-6494.7639258553654</v>
      </c>
      <c r="R89" s="11">
        <f t="shared" si="33"/>
        <v>3918.7952775699086</v>
      </c>
      <c r="S89" s="11">
        <f t="shared" si="34"/>
        <v>7235.6410139821473</v>
      </c>
      <c r="T89" s="11">
        <f t="shared" si="34"/>
        <v>8511.9134035818333</v>
      </c>
      <c r="U89" s="11">
        <f t="shared" si="34"/>
        <v>-4080.3566251694083</v>
      </c>
      <c r="V89" s="11">
        <f t="shared" si="34"/>
        <v>-5723.631666866776</v>
      </c>
      <c r="W89" s="11">
        <f t="shared" si="34"/>
        <v>-5762.6050988910465</v>
      </c>
      <c r="X89" s="11">
        <f t="shared" si="34"/>
        <v>-8494.8312865645294</v>
      </c>
      <c r="Y89" s="11">
        <f t="shared" si="34"/>
        <v>-8354.063242950604</v>
      </c>
      <c r="Z89" s="11">
        <f t="shared" si="34"/>
        <v>6609.1182246111757</v>
      </c>
      <c r="AA89" s="11">
        <f t="shared" si="34"/>
        <v>-6221.793767767299</v>
      </c>
      <c r="AB89" s="11">
        <f t="shared" si="34"/>
        <v>4355.9559625998036</v>
      </c>
      <c r="AC89" s="11">
        <f t="shared" si="35"/>
        <v>3783.3070013429401</v>
      </c>
      <c r="AD89" s="11">
        <f t="shared" si="35"/>
        <v>6092.2736772923254</v>
      </c>
      <c r="AE89" s="11">
        <f t="shared" si="35"/>
        <v>1500.9236412490295</v>
      </c>
      <c r="AF89" s="11">
        <f t="shared" si="35"/>
        <v>-6880.7724352358873</v>
      </c>
      <c r="AG89" s="11">
        <f t="shared" si="35"/>
        <v>-5296.9936154656934</v>
      </c>
      <c r="AH89" s="11">
        <f t="shared" si="35"/>
        <v>4197.3430339675606</v>
      </c>
      <c r="AI89" s="11">
        <f t="shared" si="35"/>
        <v>8062.2061152346414</v>
      </c>
      <c r="AJ89" s="11">
        <f t="shared" si="35"/>
        <v>2817.9288215881952</v>
      </c>
      <c r="AK89" s="11">
        <f t="shared" si="35"/>
        <v>635.18724992067098</v>
      </c>
      <c r="AL89" s="11">
        <f t="shared" si="35"/>
        <v>-8438.649962121448</v>
      </c>
      <c r="AM89" s="11">
        <f t="shared" si="36"/>
        <v>1304.7288775594166</v>
      </c>
      <c r="AN89" s="11">
        <f t="shared" si="36"/>
        <v>7946.3615715011301</v>
      </c>
      <c r="AO89" s="11">
        <f t="shared" si="36"/>
        <v>6407.7952683106878</v>
      </c>
      <c r="AP89" s="11">
        <f t="shared" si="36"/>
        <v>-454.06964744430775</v>
      </c>
      <c r="AQ89" s="11">
        <f t="shared" si="36"/>
        <v>-7626.9690506664683</v>
      </c>
      <c r="AR89" s="11">
        <f t="shared" si="36"/>
        <v>-4587.7484085689784</v>
      </c>
      <c r="AS89" s="11">
        <f t="shared" si="36"/>
        <v>-5574.4894023779952</v>
      </c>
      <c r="AT89" s="11">
        <f t="shared" si="36"/>
        <v>1782.2006985222847</v>
      </c>
      <c r="AU89" s="11">
        <f t="shared" si="36"/>
        <v>8606.9729880133436</v>
      </c>
      <c r="AV89" s="11">
        <f t="shared" si="36"/>
        <v>-1792.9627587690827</v>
      </c>
      <c r="AW89" s="11">
        <f t="shared" si="37"/>
        <v>-8154.4696152391043</v>
      </c>
      <c r="AX89" s="11">
        <f t="shared" si="37"/>
        <v>7521.4373302256454</v>
      </c>
      <c r="AY89" s="11">
        <f t="shared" si="37"/>
        <v>-774.04364968808</v>
      </c>
      <c r="AZ89" s="11">
        <f t="shared" si="37"/>
        <v>-3181.2336414594065</v>
      </c>
      <c r="BA89" s="11">
        <f t="shared" si="37"/>
        <v>-6968.4221393823836</v>
      </c>
      <c r="BB89" s="11">
        <f t="shared" si="37"/>
        <v>4754.1643475699539</v>
      </c>
      <c r="BC89" s="11">
        <f t="shared" si="37"/>
        <v>4606.0729874194485</v>
      </c>
      <c r="BD89" s="11">
        <f t="shared" si="37"/>
        <v>2809.9767199874273</v>
      </c>
      <c r="BE89" s="11">
        <f t="shared" si="37"/>
        <v>872.0256132783328</v>
      </c>
      <c r="BF89" s="11">
        <f t="shared" si="37"/>
        <v>-1109.9475852658263</v>
      </c>
      <c r="BG89" s="11">
        <f t="shared" si="37"/>
        <v>-3035.8877799930201</v>
      </c>
      <c r="BH89" s="11">
        <f t="shared" si="37"/>
        <v>-4808.568565122062</v>
      </c>
      <c r="BI89" s="11">
        <f t="shared" si="37"/>
        <v>-6338.5004633604412</v>
      </c>
      <c r="BJ89" s="11">
        <f t="shared" si="37"/>
        <v>-7548.4485844814726</v>
      </c>
      <c r="BK89" s="11">
        <f t="shared" si="37"/>
        <v>7935.6600344821936</v>
      </c>
    </row>
    <row r="90" spans="2:63" x14ac:dyDescent="0.25">
      <c r="B90">
        <v>2</v>
      </c>
      <c r="C90">
        <v>-1</v>
      </c>
      <c r="D90">
        <v>0</v>
      </c>
      <c r="E90">
        <v>-1</v>
      </c>
      <c r="F90">
        <v>8216</v>
      </c>
      <c r="H90" s="34"/>
      <c r="I90" s="11">
        <f t="shared" ref="I90:R99" si="38">IF(ABS($C90)=1,I$7,IF(ABS($C90)=2,I$7^2,1))*  $F90  *  SIN(($B90*I$2  +  $C90*I$3 + $D90*I$4 + $E90*I$5)*Deg2Rad)</f>
        <v>-7646.4253492158887</v>
      </c>
      <c r="J90" s="11">
        <f t="shared" si="38"/>
        <v>-8515.171977675398</v>
      </c>
      <c r="K90" s="11">
        <f t="shared" si="38"/>
        <v>4724.3393523778095</v>
      </c>
      <c r="L90" s="11">
        <f t="shared" si="38"/>
        <v>3986.5557828226956</v>
      </c>
      <c r="M90" s="11">
        <f t="shared" si="38"/>
        <v>1901.5390474269664</v>
      </c>
      <c r="N90" s="11">
        <f t="shared" si="38"/>
        <v>4388.8621823480562</v>
      </c>
      <c r="O90" s="11">
        <f t="shared" si="38"/>
        <v>6799.9483258514565</v>
      </c>
      <c r="P90" s="11">
        <f t="shared" si="38"/>
        <v>3701.1703657120825</v>
      </c>
      <c r="Q90" s="11">
        <f t="shared" si="38"/>
        <v>-3241.096352311351</v>
      </c>
      <c r="R90" s="11">
        <f t="shared" si="38"/>
        <v>-2522.2300057489174</v>
      </c>
      <c r="S90" s="11">
        <f t="shared" ref="S90:AB99" si="39">IF(ABS($C90)=1,S$7,IF(ABS($C90)=2,S$7^2,1))*  $F90  *  SIN(($B90*S$2  +  $C90*S$3 + $D90*S$4 + $E90*S$5)*Deg2Rad)</f>
        <v>-6494.9667913644698</v>
      </c>
      <c r="T90" s="11">
        <f t="shared" si="39"/>
        <v>2250.4187113773987</v>
      </c>
      <c r="U90" s="11">
        <f t="shared" si="39"/>
        <v>-8417.0995807866766</v>
      </c>
      <c r="V90" s="11">
        <f t="shared" si="39"/>
        <v>-8619.0135940210221</v>
      </c>
      <c r="W90" s="11">
        <f t="shared" si="39"/>
        <v>-8502.509968033226</v>
      </c>
      <c r="X90" s="11">
        <f t="shared" si="39"/>
        <v>-447.92456292507205</v>
      </c>
      <c r="Y90" s="11">
        <f t="shared" si="39"/>
        <v>981.50420968873084</v>
      </c>
      <c r="Z90" s="11">
        <f t="shared" si="39"/>
        <v>-9302.8796375238853</v>
      </c>
      <c r="AA90" s="11">
        <f t="shared" si="39"/>
        <v>4776.7414348614293</v>
      </c>
      <c r="AB90" s="11">
        <f t="shared" si="39"/>
        <v>-8217.5672304658074</v>
      </c>
      <c r="AC90" s="11">
        <f t="shared" ref="AC90:AL99" si="40">IF(ABS($C90)=1,AC$7,IF(ABS($C90)=2,AC$7^2,1))*  $F90  *  SIN(($B90*AC$2  +  $C90*AC$3 + $D90*AC$4 + $E90*AC$5)*Deg2Rad)</f>
        <v>3038.2778026358083</v>
      </c>
      <c r="AD90" s="11">
        <f t="shared" si="40"/>
        <v>8190.7356028615923</v>
      </c>
      <c r="AE90" s="11">
        <f t="shared" si="40"/>
        <v>5301.3382121432032</v>
      </c>
      <c r="AF90" s="11">
        <f t="shared" si="40"/>
        <v>233.46636073541663</v>
      </c>
      <c r="AG90" s="11">
        <f t="shared" si="40"/>
        <v>3551.8113972052961</v>
      </c>
      <c r="AH90" s="11">
        <f t="shared" si="40"/>
        <v>-8128.3425375258794</v>
      </c>
      <c r="AI90" s="11">
        <f t="shared" si="40"/>
        <v>-1476.4064342760344</v>
      </c>
      <c r="AJ90" s="11">
        <f t="shared" si="40"/>
        <v>-6095.0942110915557</v>
      </c>
      <c r="AK90" s="11">
        <f t="shared" si="40"/>
        <v>-2702.980282989904</v>
      </c>
      <c r="AL90" s="11">
        <f t="shared" si="40"/>
        <v>8141.7922869712702</v>
      </c>
      <c r="AM90" s="11">
        <f t="shared" ref="AM90:AV99" si="41">IF(ABS($C90)=1,AM$7,IF(ABS($C90)=2,AM$7^2,1))*  $F90  *  SIN(($B90*AM$2  +  $C90*AM$3 + $D90*AM$4 + $E90*AM$5)*Deg2Rad)</f>
        <v>3035.8532082316401</v>
      </c>
      <c r="AN90" s="11">
        <f t="shared" si="41"/>
        <v>-4607.6589361552969</v>
      </c>
      <c r="AO90" s="11">
        <f t="shared" si="41"/>
        <v>6202.7571035432738</v>
      </c>
      <c r="AP90" s="11">
        <f t="shared" si="41"/>
        <v>-6749.7068170797438</v>
      </c>
      <c r="AQ90" s="11">
        <f t="shared" si="41"/>
        <v>173.45063079711056</v>
      </c>
      <c r="AR90" s="11">
        <f t="shared" si="41"/>
        <v>4806.5023612043988</v>
      </c>
      <c r="AS90" s="11">
        <f t="shared" si="41"/>
        <v>-1516.9970156112947</v>
      </c>
      <c r="AT90" s="11">
        <f t="shared" si="41"/>
        <v>-5435.6398545818265</v>
      </c>
      <c r="AU90" s="11">
        <f t="shared" si="41"/>
        <v>4140.3849214682878</v>
      </c>
      <c r="AV90" s="11">
        <f t="shared" si="41"/>
        <v>8074.8933800738241</v>
      </c>
      <c r="AW90" s="11">
        <f t="shared" ref="AW90:BK99" si="42">IF(ABS($C90)=1,AW$7,IF(ABS($C90)=2,AW$7^2,1))*  $F90  *  SIN(($B90*AW$2  +  $C90*AW$3 + $D90*AW$4 + $E90*AW$5)*Deg2Rad)</f>
        <v>25.750791470688256</v>
      </c>
      <c r="AX90" s="11">
        <f t="shared" si="42"/>
        <v>-4250.7474099817018</v>
      </c>
      <c r="AY90" s="11">
        <f t="shared" si="42"/>
        <v>7301.6528856155692</v>
      </c>
      <c r="AZ90" s="11">
        <f t="shared" si="42"/>
        <v>7260.2862542511284</v>
      </c>
      <c r="BA90" s="11">
        <f t="shared" si="42"/>
        <v>2333.5605930577553</v>
      </c>
      <c r="BB90" s="11">
        <f t="shared" si="42"/>
        <v>-7652.2453336517374</v>
      </c>
      <c r="BC90" s="11">
        <f t="shared" si="42"/>
        <v>-8193.0148341954227</v>
      </c>
      <c r="BD90" s="11">
        <f t="shared" si="42"/>
        <v>-7967.8087326943451</v>
      </c>
      <c r="BE90" s="11">
        <f t="shared" si="42"/>
        <v>-7492.3948663207702</v>
      </c>
      <c r="BF90" s="11">
        <f t="shared" si="42"/>
        <v>-6781.7023749219106</v>
      </c>
      <c r="BG90" s="11">
        <f t="shared" si="42"/>
        <v>-5858.0486943972064</v>
      </c>
      <c r="BH90" s="11">
        <f t="shared" si="42"/>
        <v>-4750.4387360903193</v>
      </c>
      <c r="BI90" s="11">
        <f t="shared" si="42"/>
        <v>-3493.6540639121317</v>
      </c>
      <c r="BJ90" s="11">
        <f t="shared" si="42"/>
        <v>-2127.1606712837124</v>
      </c>
      <c r="BK90" s="11">
        <f t="shared" si="42"/>
        <v>-1258.9957545571206</v>
      </c>
    </row>
    <row r="91" spans="2:63" x14ac:dyDescent="0.25">
      <c r="B91">
        <v>2</v>
      </c>
      <c r="C91">
        <v>0</v>
      </c>
      <c r="D91">
        <v>-2</v>
      </c>
      <c r="E91">
        <v>-1</v>
      </c>
      <c r="F91">
        <v>4324</v>
      </c>
      <c r="H91" s="34"/>
      <c r="I91" s="11">
        <f t="shared" si="38"/>
        <v>-1543.6891818250192</v>
      </c>
      <c r="J91" s="11">
        <f t="shared" si="38"/>
        <v>3531.091720679658</v>
      </c>
      <c r="K91" s="11">
        <f t="shared" si="38"/>
        <v>-3430.5285899029645</v>
      </c>
      <c r="L91" s="11">
        <f t="shared" si="38"/>
        <v>-3457.7797587609375</v>
      </c>
      <c r="M91" s="11">
        <f t="shared" si="38"/>
        <v>3075.6588197196411</v>
      </c>
      <c r="N91" s="11">
        <f t="shared" si="38"/>
        <v>3585.6452053411999</v>
      </c>
      <c r="O91" s="11">
        <f t="shared" si="38"/>
        <v>-1589.6690435646524</v>
      </c>
      <c r="P91" s="11">
        <f t="shared" si="38"/>
        <v>-1886.5321052241338</v>
      </c>
      <c r="Q91" s="11">
        <f t="shared" si="38"/>
        <v>4323.8187805759972</v>
      </c>
      <c r="R91" s="11">
        <f t="shared" si="38"/>
        <v>1256.7039643990267</v>
      </c>
      <c r="S91" s="11">
        <f t="shared" si="39"/>
        <v>-3313.0306482310561</v>
      </c>
      <c r="T91" s="11">
        <f t="shared" si="39"/>
        <v>4204.8679240765241</v>
      </c>
      <c r="U91" s="11">
        <f t="shared" si="39"/>
        <v>-2519.9773675101173</v>
      </c>
      <c r="V91" s="11">
        <f t="shared" si="39"/>
        <v>-1526.2429172105572</v>
      </c>
      <c r="W91" s="11">
        <f t="shared" si="39"/>
        <v>-3821.621090940258</v>
      </c>
      <c r="X91" s="11">
        <f t="shared" si="39"/>
        <v>2002.6622233096248</v>
      </c>
      <c r="Y91" s="11">
        <f t="shared" si="39"/>
        <v>-1088.5149374447296</v>
      </c>
      <c r="Z91" s="11">
        <f t="shared" si="39"/>
        <v>4317.0392581789611</v>
      </c>
      <c r="AA91" s="11">
        <f t="shared" si="39"/>
        <v>2288.7195365880757</v>
      </c>
      <c r="AB91" s="11">
        <f t="shared" si="39"/>
        <v>-189.12129081713854</v>
      </c>
      <c r="AC91" s="11">
        <f t="shared" si="40"/>
        <v>4260.5790211038748</v>
      </c>
      <c r="AD91" s="11">
        <f t="shared" si="40"/>
        <v>836.45827523414505</v>
      </c>
      <c r="AE91" s="11">
        <f t="shared" si="40"/>
        <v>-3744.3321264324804</v>
      </c>
      <c r="AF91" s="11">
        <f t="shared" si="40"/>
        <v>3969.290750559273</v>
      </c>
      <c r="AG91" s="11">
        <f t="shared" si="40"/>
        <v>-4271.43950710837</v>
      </c>
      <c r="AH91" s="11">
        <f t="shared" si="40"/>
        <v>3296.0250581796295</v>
      </c>
      <c r="AI91" s="11">
        <f t="shared" si="40"/>
        <v>3436.3191996055484</v>
      </c>
      <c r="AJ91" s="11">
        <f t="shared" si="40"/>
        <v>-232.18536860613088</v>
      </c>
      <c r="AK91" s="11">
        <f t="shared" si="40"/>
        <v>3684.0112364658889</v>
      </c>
      <c r="AL91" s="11">
        <f t="shared" si="40"/>
        <v>-865.68610576556705</v>
      </c>
      <c r="AM91" s="11">
        <f t="shared" si="41"/>
        <v>1318.2736323283602</v>
      </c>
      <c r="AN91" s="11">
        <f t="shared" si="41"/>
        <v>452.24302661094418</v>
      </c>
      <c r="AO91" s="11">
        <f t="shared" si="41"/>
        <v>3861.9322731353777</v>
      </c>
      <c r="AP91" s="11">
        <f t="shared" si="41"/>
        <v>-4173.9317144645838</v>
      </c>
      <c r="AQ91" s="11">
        <f t="shared" si="41"/>
        <v>2670.1986884859248</v>
      </c>
      <c r="AR91" s="11">
        <f t="shared" si="41"/>
        <v>-3822.0371858913677</v>
      </c>
      <c r="AS91" s="11">
        <f t="shared" si="41"/>
        <v>3845.3072364562859</v>
      </c>
      <c r="AT91" s="11">
        <f t="shared" si="41"/>
        <v>4071.5964237730009</v>
      </c>
      <c r="AU91" s="11">
        <f t="shared" si="41"/>
        <v>-2501.7540521623291</v>
      </c>
      <c r="AV91" s="11">
        <f t="shared" si="41"/>
        <v>-2851.6355478496389</v>
      </c>
      <c r="AW91" s="11">
        <f t="shared" si="42"/>
        <v>4189.2726352493728</v>
      </c>
      <c r="AX91" s="11">
        <f t="shared" si="42"/>
        <v>-3913.1567728761761</v>
      </c>
      <c r="AY91" s="11">
        <f t="shared" si="42"/>
        <v>-3533.1298795062867</v>
      </c>
      <c r="AZ91" s="11">
        <f t="shared" si="42"/>
        <v>2842.9629290198254</v>
      </c>
      <c r="BA91" s="11">
        <f t="shared" si="42"/>
        <v>4323.2339886564605</v>
      </c>
      <c r="BB91" s="11">
        <f t="shared" si="42"/>
        <v>-4323.6160653216639</v>
      </c>
      <c r="BC91" s="11">
        <f t="shared" si="42"/>
        <v>1794.0832917284288</v>
      </c>
      <c r="BD91" s="11">
        <f t="shared" si="42"/>
        <v>2749.9170187808709</v>
      </c>
      <c r="BE91" s="11">
        <f t="shared" si="42"/>
        <v>3518.8986395819998</v>
      </c>
      <c r="BF91" s="11">
        <f t="shared" si="42"/>
        <v>4048.7771827223028</v>
      </c>
      <c r="BG91" s="11">
        <f t="shared" si="42"/>
        <v>4303.5483174658893</v>
      </c>
      <c r="BH91" s="11">
        <f t="shared" si="42"/>
        <v>4265.9007857540637</v>
      </c>
      <c r="BI91" s="11">
        <f t="shared" si="42"/>
        <v>3938.3926722674714</v>
      </c>
      <c r="BJ91" s="11">
        <f t="shared" si="42"/>
        <v>3343.2775869830657</v>
      </c>
      <c r="BK91" s="11">
        <f t="shared" si="42"/>
        <v>3537.3206762858058</v>
      </c>
    </row>
    <row r="92" spans="2:63" x14ac:dyDescent="0.25">
      <c r="B92">
        <v>2</v>
      </c>
      <c r="C92">
        <v>0</v>
      </c>
      <c r="D92">
        <v>1</v>
      </c>
      <c r="E92">
        <v>1</v>
      </c>
      <c r="F92">
        <v>4200</v>
      </c>
      <c r="H92" s="34"/>
      <c r="I92" s="11">
        <f t="shared" si="38"/>
        <v>1291.7093911479822</v>
      </c>
      <c r="J92" s="11">
        <f t="shared" si="38"/>
        <v>3938.3161289448317</v>
      </c>
      <c r="K92" s="11">
        <f t="shared" si="38"/>
        <v>4076.3766672223269</v>
      </c>
      <c r="L92" s="11">
        <f t="shared" si="38"/>
        <v>-3565.0674802049884</v>
      </c>
      <c r="M92" s="11">
        <f t="shared" si="38"/>
        <v>-531.8387016367667</v>
      </c>
      <c r="N92" s="11">
        <f t="shared" si="38"/>
        <v>-4126.4015319691089</v>
      </c>
      <c r="O92" s="11">
        <f t="shared" si="38"/>
        <v>-2471.2527530700709</v>
      </c>
      <c r="P92" s="11">
        <f t="shared" si="38"/>
        <v>4192.67664673937</v>
      </c>
      <c r="Q92" s="11">
        <f t="shared" si="38"/>
        <v>-3012.6669420815756</v>
      </c>
      <c r="R92" s="11">
        <f t="shared" si="38"/>
        <v>-3952.0506899810694</v>
      </c>
      <c r="S92" s="11">
        <f t="shared" si="39"/>
        <v>1899.9760588722413</v>
      </c>
      <c r="T92" s="11">
        <f t="shared" si="39"/>
        <v>-3325.2551500040522</v>
      </c>
      <c r="U92" s="11">
        <f t="shared" si="39"/>
        <v>-3192.1437153829561</v>
      </c>
      <c r="V92" s="11">
        <f t="shared" si="39"/>
        <v>-4134.3587117913376</v>
      </c>
      <c r="W92" s="11">
        <f t="shared" si="39"/>
        <v>-3960.7614575785892</v>
      </c>
      <c r="X92" s="11">
        <f t="shared" si="39"/>
        <v>-4186.0706012271576</v>
      </c>
      <c r="Y92" s="11">
        <f t="shared" si="39"/>
        <v>3998.694200031302</v>
      </c>
      <c r="Z92" s="11">
        <f t="shared" si="39"/>
        <v>-1239.9960240827729</v>
      </c>
      <c r="AA92" s="11">
        <f t="shared" si="39"/>
        <v>-4024.7197965870023</v>
      </c>
      <c r="AB92" s="11">
        <f t="shared" si="39"/>
        <v>4195.2501883910818</v>
      </c>
      <c r="AC92" s="11">
        <f t="shared" si="40"/>
        <v>2807.2402446838601</v>
      </c>
      <c r="AD92" s="11">
        <f t="shared" si="40"/>
        <v>726.02588876217408</v>
      </c>
      <c r="AE92" s="11">
        <f t="shared" si="40"/>
        <v>4117.1092991142623</v>
      </c>
      <c r="AF92" s="11">
        <f t="shared" si="40"/>
        <v>-1118.0209179274559</v>
      </c>
      <c r="AG92" s="11">
        <f t="shared" si="40"/>
        <v>-4101.1726766498596</v>
      </c>
      <c r="AH92" s="11">
        <f t="shared" si="40"/>
        <v>152.38511902345724</v>
      </c>
      <c r="AI92" s="11">
        <f t="shared" si="40"/>
        <v>-1548.2030084945513</v>
      </c>
      <c r="AJ92" s="11">
        <f t="shared" si="40"/>
        <v>-4169.0252571341462</v>
      </c>
      <c r="AK92" s="11">
        <f t="shared" si="40"/>
        <v>3525.6061167340708</v>
      </c>
      <c r="AL92" s="11">
        <f t="shared" si="40"/>
        <v>-3742.8307630176105</v>
      </c>
      <c r="AM92" s="11">
        <f t="shared" si="41"/>
        <v>-4062.3553329875058</v>
      </c>
      <c r="AN92" s="11">
        <f t="shared" si="41"/>
        <v>3887.3183099119424</v>
      </c>
      <c r="AO92" s="11">
        <f t="shared" si="41"/>
        <v>-1925.0426307526975</v>
      </c>
      <c r="AP92" s="11">
        <f t="shared" si="41"/>
        <v>547.88697643427304</v>
      </c>
      <c r="AQ92" s="11">
        <f t="shared" si="41"/>
        <v>700.6117924495428</v>
      </c>
      <c r="AR92" s="11">
        <f t="shared" si="41"/>
        <v>-4172.825012466802</v>
      </c>
      <c r="AS92" s="11">
        <f t="shared" si="41"/>
        <v>2933.9033989654076</v>
      </c>
      <c r="AT92" s="11">
        <f t="shared" si="41"/>
        <v>2065.5680393338089</v>
      </c>
      <c r="AU92" s="11">
        <f t="shared" si="41"/>
        <v>1907.1062357241799</v>
      </c>
      <c r="AV92" s="11">
        <f t="shared" si="41"/>
        <v>1214.5912010803017</v>
      </c>
      <c r="AW92" s="11">
        <f t="shared" si="42"/>
        <v>3327.511797454993</v>
      </c>
      <c r="AX92" s="11">
        <f t="shared" si="42"/>
        <v>4059.0707896322278</v>
      </c>
      <c r="AY92" s="11">
        <f t="shared" si="42"/>
        <v>2908.1720756023337</v>
      </c>
      <c r="AZ92" s="11">
        <f t="shared" si="42"/>
        <v>4095.9345516917174</v>
      </c>
      <c r="BA92" s="11">
        <f t="shared" si="42"/>
        <v>-3391.3646177183332</v>
      </c>
      <c r="BB92" s="11">
        <f t="shared" si="42"/>
        <v>2959.2667687290068</v>
      </c>
      <c r="BC92" s="11">
        <f t="shared" si="42"/>
        <v>1748.9989437063041</v>
      </c>
      <c r="BD92" s="11">
        <f t="shared" si="42"/>
        <v>-1845.5418671236077</v>
      </c>
      <c r="BE92" s="11">
        <f t="shared" si="42"/>
        <v>-4088.0649250509887</v>
      </c>
      <c r="BF92" s="11">
        <f t="shared" si="42"/>
        <v>-3335.729696556391</v>
      </c>
      <c r="BG92" s="11">
        <f t="shared" si="42"/>
        <v>-139.68628187611105</v>
      </c>
      <c r="BH92" s="11">
        <f t="shared" si="42"/>
        <v>3158.6893184303763</v>
      </c>
      <c r="BI92" s="11">
        <f t="shared" si="42"/>
        <v>4143.0539984216402</v>
      </c>
      <c r="BJ92" s="11">
        <f t="shared" si="42"/>
        <v>2092.2761780470632</v>
      </c>
      <c r="BK92" s="11">
        <f t="shared" si="42"/>
        <v>-1013.9729508306878</v>
      </c>
    </row>
    <row r="93" spans="2:63" x14ac:dyDescent="0.25">
      <c r="B93">
        <v>2</v>
      </c>
      <c r="C93">
        <v>1</v>
      </c>
      <c r="D93">
        <v>0</v>
      </c>
      <c r="E93">
        <v>-1</v>
      </c>
      <c r="F93">
        <v>-3359</v>
      </c>
      <c r="H93" s="34"/>
      <c r="I93" s="11">
        <f t="shared" si="38"/>
        <v>-3167.7690555720519</v>
      </c>
      <c r="J93" s="11">
        <f t="shared" si="38"/>
        <v>-625.10952135636205</v>
      </c>
      <c r="K93" s="11">
        <f t="shared" si="38"/>
        <v>-2161.036214217751</v>
      </c>
      <c r="L93" s="11">
        <f t="shared" si="38"/>
        <v>-1345.365259857758</v>
      </c>
      <c r="M93" s="11">
        <f t="shared" si="38"/>
        <v>-2893.401445537279</v>
      </c>
      <c r="N93" s="11">
        <f t="shared" si="38"/>
        <v>-70.840589906009839</v>
      </c>
      <c r="O93" s="11">
        <f t="shared" si="38"/>
        <v>-599.6628644472122</v>
      </c>
      <c r="P93" s="11">
        <f t="shared" si="38"/>
        <v>-2797.8172249832623</v>
      </c>
      <c r="Q93" s="11">
        <f t="shared" si="38"/>
        <v>1435.3451851364734</v>
      </c>
      <c r="R93" s="11">
        <f t="shared" si="38"/>
        <v>1448.433067471022</v>
      </c>
      <c r="S93" s="11">
        <f t="shared" si="39"/>
        <v>2375.466499169635</v>
      </c>
      <c r="T93" s="11">
        <f t="shared" si="39"/>
        <v>-2378.2261121827814</v>
      </c>
      <c r="U93" s="11">
        <f t="shared" si="39"/>
        <v>2440.9966968618605</v>
      </c>
      <c r="V93" s="11">
        <f t="shared" si="39"/>
        <v>1851.0933286495226</v>
      </c>
      <c r="W93" s="11">
        <f t="shared" si="39"/>
        <v>-1362.6651469652172</v>
      </c>
      <c r="X93" s="11">
        <f t="shared" si="39"/>
        <v>609.78896945992801</v>
      </c>
      <c r="Y93" s="11">
        <f t="shared" si="39"/>
        <v>1127.0377992589392</v>
      </c>
      <c r="Z93" s="11">
        <f t="shared" si="39"/>
        <v>-3339.2016190469308</v>
      </c>
      <c r="AA93" s="11">
        <f t="shared" si="39"/>
        <v>2396.4442157357689</v>
      </c>
      <c r="AB93" s="11">
        <f t="shared" si="39"/>
        <v>-3238.4268276821631</v>
      </c>
      <c r="AC93" s="11">
        <f t="shared" si="40"/>
        <v>2994.6579351062196</v>
      </c>
      <c r="AD93" s="11">
        <f t="shared" si="40"/>
        <v>-3300.5862974175748</v>
      </c>
      <c r="AE93" s="11">
        <f t="shared" si="40"/>
        <v>-2420.7977202757243</v>
      </c>
      <c r="AF93" s="11">
        <f t="shared" si="40"/>
        <v>446.24252072679684</v>
      </c>
      <c r="AG93" s="11">
        <f t="shared" si="40"/>
        <v>-2744.4672274152135</v>
      </c>
      <c r="AH93" s="11">
        <f t="shared" si="40"/>
        <v>-2434.5971680442422</v>
      </c>
      <c r="AI93" s="11">
        <f t="shared" si="40"/>
        <v>3296.3557448473834</v>
      </c>
      <c r="AJ93" s="11">
        <f t="shared" si="40"/>
        <v>3257.6470810087339</v>
      </c>
      <c r="AK93" s="11">
        <f t="shared" si="40"/>
        <v>-71.291510763650436</v>
      </c>
      <c r="AL93" s="11">
        <f t="shared" si="40"/>
        <v>769.3192797933757</v>
      </c>
      <c r="AM93" s="11">
        <f t="shared" si="41"/>
        <v>1581.2388564544913</v>
      </c>
      <c r="AN93" s="11">
        <f t="shared" si="41"/>
        <v>-3352.688113459868</v>
      </c>
      <c r="AO93" s="11">
        <f t="shared" si="41"/>
        <v>-2554.6777455726919</v>
      </c>
      <c r="AP93" s="11">
        <f t="shared" si="41"/>
        <v>-1521.2274063437171</v>
      </c>
      <c r="AQ93" s="11">
        <f t="shared" si="41"/>
        <v>3300.523930427526</v>
      </c>
      <c r="AR93" s="11">
        <f t="shared" si="41"/>
        <v>2118.9882998163471</v>
      </c>
      <c r="AS93" s="11">
        <f t="shared" si="41"/>
        <v>3366.4129803135793</v>
      </c>
      <c r="AT93" s="11">
        <f t="shared" si="41"/>
        <v>-2888.3189246257502</v>
      </c>
      <c r="AU93" s="11">
        <f t="shared" si="41"/>
        <v>1486.4116403288308</v>
      </c>
      <c r="AV93" s="11">
        <f t="shared" si="41"/>
        <v>3153.3150478804559</v>
      </c>
      <c r="AW93" s="11">
        <f t="shared" si="42"/>
        <v>-1408.9401104815031</v>
      </c>
      <c r="AX93" s="11">
        <f t="shared" si="42"/>
        <v>1296.0043183453422</v>
      </c>
      <c r="AY93" s="11">
        <f t="shared" si="42"/>
        <v>213.81773796337427</v>
      </c>
      <c r="AZ93" s="11">
        <f t="shared" si="42"/>
        <v>2665.9936359900503</v>
      </c>
      <c r="BA93" s="11">
        <f t="shared" si="42"/>
        <v>-1159.4191349513076</v>
      </c>
      <c r="BB93" s="11">
        <f t="shared" si="42"/>
        <v>-2464.1429934927951</v>
      </c>
      <c r="BC93" s="11">
        <f t="shared" si="42"/>
        <v>1515.7956390126067</v>
      </c>
      <c r="BD93" s="11">
        <f t="shared" si="42"/>
        <v>2111.7239726094235</v>
      </c>
      <c r="BE93" s="11">
        <f t="shared" si="42"/>
        <v>2613.2367190039367</v>
      </c>
      <c r="BF93" s="11">
        <f t="shared" si="42"/>
        <v>2997.9111788862024</v>
      </c>
      <c r="BG93" s="11">
        <f t="shared" si="42"/>
        <v>3248.5485138741274</v>
      </c>
      <c r="BH93" s="11">
        <f t="shared" si="42"/>
        <v>3353.9427085142452</v>
      </c>
      <c r="BI93" s="11">
        <f t="shared" si="42"/>
        <v>3309.3815921364117</v>
      </c>
      <c r="BJ93" s="11">
        <f t="shared" si="42"/>
        <v>3116.8575198353169</v>
      </c>
      <c r="BK93" s="11">
        <f t="shared" si="42"/>
        <v>3315.6578743156779</v>
      </c>
    </row>
    <row r="94" spans="2:63" x14ac:dyDescent="0.25">
      <c r="B94">
        <v>2</v>
      </c>
      <c r="C94">
        <v>-1</v>
      </c>
      <c r="D94">
        <v>-1</v>
      </c>
      <c r="E94">
        <v>1</v>
      </c>
      <c r="F94">
        <v>2463</v>
      </c>
      <c r="H94" s="34"/>
      <c r="I94" s="11">
        <f t="shared" si="38"/>
        <v>-2276.2350185727182</v>
      </c>
      <c r="J94" s="11">
        <f t="shared" si="38"/>
        <v>1091.6813747317908</v>
      </c>
      <c r="K94" s="11">
        <f t="shared" si="38"/>
        <v>-698.70431866750596</v>
      </c>
      <c r="L94" s="11">
        <f t="shared" si="38"/>
        <v>-1747.9191440055104</v>
      </c>
      <c r="M94" s="11">
        <f t="shared" si="38"/>
        <v>292.81904666638218</v>
      </c>
      <c r="N94" s="11">
        <f t="shared" si="38"/>
        <v>-1770.1706150731168</v>
      </c>
      <c r="O94" s="11">
        <f t="shared" si="38"/>
        <v>1811.5837598292044</v>
      </c>
      <c r="P94" s="11">
        <f t="shared" si="38"/>
        <v>-2192.7511581078766</v>
      </c>
      <c r="Q94" s="11">
        <f t="shared" si="38"/>
        <v>2319.1148045126565</v>
      </c>
      <c r="R94" s="11">
        <f t="shared" si="38"/>
        <v>2192.9584642288778</v>
      </c>
      <c r="S94" s="11">
        <f t="shared" si="39"/>
        <v>904.75897466809113</v>
      </c>
      <c r="T94" s="11">
        <f t="shared" si="39"/>
        <v>-2524.2516561312354</v>
      </c>
      <c r="U94" s="11">
        <f t="shared" si="39"/>
        <v>2012.5463855200755</v>
      </c>
      <c r="V94" s="11">
        <f t="shared" si="39"/>
        <v>1195.5012582139771</v>
      </c>
      <c r="W94" s="11">
        <f t="shared" si="39"/>
        <v>629.9101995215301</v>
      </c>
      <c r="X94" s="11">
        <f t="shared" si="39"/>
        <v>-2215.2210457557662</v>
      </c>
      <c r="Y94" s="11">
        <f t="shared" si="39"/>
        <v>-1667.8428627778221</v>
      </c>
      <c r="Z94" s="11">
        <f t="shared" si="39"/>
        <v>-1901.0615735398756</v>
      </c>
      <c r="AA94" s="11">
        <f t="shared" si="39"/>
        <v>2460.2457519001459</v>
      </c>
      <c r="AB94" s="11">
        <f t="shared" si="39"/>
        <v>-646.72792392763381</v>
      </c>
      <c r="AC94" s="11">
        <f t="shared" si="40"/>
        <v>-2417.2019623469268</v>
      </c>
      <c r="AD94" s="11">
        <f t="shared" si="40"/>
        <v>2410.3758183645218</v>
      </c>
      <c r="AE94" s="11">
        <f t="shared" si="40"/>
        <v>-201.80795510368091</v>
      </c>
      <c r="AF94" s="11">
        <f t="shared" si="40"/>
        <v>-2465.7811521869908</v>
      </c>
      <c r="AG94" s="11">
        <f t="shared" si="40"/>
        <v>1354.7869425221272</v>
      </c>
      <c r="AH94" s="11">
        <f t="shared" si="40"/>
        <v>-49.467881964474905</v>
      </c>
      <c r="AI94" s="11">
        <f t="shared" si="40"/>
        <v>-1118.4928155406474</v>
      </c>
      <c r="AJ94" s="11">
        <f t="shared" si="40"/>
        <v>762.70240487910849</v>
      </c>
      <c r="AK94" s="11">
        <f t="shared" si="40"/>
        <v>-5.7201840701064777</v>
      </c>
      <c r="AL94" s="11">
        <f t="shared" si="40"/>
        <v>2461.7386710321239</v>
      </c>
      <c r="AM94" s="11">
        <f t="shared" si="41"/>
        <v>2456.276340625483</v>
      </c>
      <c r="AN94" s="11">
        <f t="shared" si="41"/>
        <v>1302.4196112635136</v>
      </c>
      <c r="AO94" s="11">
        <f t="shared" si="41"/>
        <v>1598.3307398889051</v>
      </c>
      <c r="AP94" s="11">
        <f t="shared" si="41"/>
        <v>-2028.6991147223862</v>
      </c>
      <c r="AQ94" s="11">
        <f t="shared" si="41"/>
        <v>-2502.1450402482519</v>
      </c>
      <c r="AR94" s="11">
        <f t="shared" si="41"/>
        <v>-2361.7484711052839</v>
      </c>
      <c r="AS94" s="11">
        <f t="shared" si="41"/>
        <v>-2578.5937841298751</v>
      </c>
      <c r="AT94" s="11">
        <f t="shared" si="41"/>
        <v>-876.39396825303345</v>
      </c>
      <c r="AU94" s="11">
        <f t="shared" si="41"/>
        <v>1398.7083135070479</v>
      </c>
      <c r="AV94" s="11">
        <f t="shared" si="41"/>
        <v>-1939.6133672249359</v>
      </c>
      <c r="AW94" s="11">
        <f t="shared" si="42"/>
        <v>1831.5358898564621</v>
      </c>
      <c r="AX94" s="11">
        <f t="shared" si="42"/>
        <v>2188.8292410874974</v>
      </c>
      <c r="AY94" s="11">
        <f t="shared" si="42"/>
        <v>622.10940570617333</v>
      </c>
      <c r="AZ94" s="11">
        <f t="shared" si="42"/>
        <v>-2462.4483409422346</v>
      </c>
      <c r="BA94" s="11">
        <f t="shared" si="42"/>
        <v>634.95608733390532</v>
      </c>
      <c r="BB94" s="11">
        <f t="shared" si="42"/>
        <v>-49.69928749007893</v>
      </c>
      <c r="BC94" s="11">
        <f t="shared" si="42"/>
        <v>2388.0918771747642</v>
      </c>
      <c r="BD94" s="11">
        <f t="shared" si="42"/>
        <v>1950.398930396138</v>
      </c>
      <c r="BE94" s="11">
        <f t="shared" si="42"/>
        <v>1187.5364281436741</v>
      </c>
      <c r="BF94" s="11">
        <f t="shared" si="42"/>
        <v>226.68850209022855</v>
      </c>
      <c r="BG94" s="11">
        <f t="shared" si="42"/>
        <v>-771.95269451831621</v>
      </c>
      <c r="BH94" s="11">
        <f t="shared" si="42"/>
        <v>-1641.8941538017477</v>
      </c>
      <c r="BI94" s="11">
        <f t="shared" si="42"/>
        <v>-2238.0996520971125</v>
      </c>
      <c r="BJ94" s="11">
        <f t="shared" si="42"/>
        <v>-2461.1701197252173</v>
      </c>
      <c r="BK94" s="11">
        <f t="shared" si="42"/>
        <v>-1252.7394412714632</v>
      </c>
    </row>
    <row r="95" spans="2:63" x14ac:dyDescent="0.25">
      <c r="B95">
        <v>2</v>
      </c>
      <c r="C95">
        <v>-1</v>
      </c>
      <c r="D95">
        <v>0</v>
      </c>
      <c r="E95">
        <v>1</v>
      </c>
      <c r="F95">
        <v>2211</v>
      </c>
      <c r="H95" s="34"/>
      <c r="I95" s="11">
        <f t="shared" si="38"/>
        <v>2212.203682131124</v>
      </c>
      <c r="J95" s="11">
        <f t="shared" si="38"/>
        <v>2206.7217415546297</v>
      </c>
      <c r="K95" s="11">
        <f t="shared" si="38"/>
        <v>-1056.9179894486106</v>
      </c>
      <c r="L95" s="11">
        <f t="shared" si="38"/>
        <v>-2202.3541581294153</v>
      </c>
      <c r="M95" s="11">
        <f t="shared" si="38"/>
        <v>433.04907077579321</v>
      </c>
      <c r="N95" s="11">
        <f t="shared" si="38"/>
        <v>914.77985706108666</v>
      </c>
      <c r="O95" s="11">
        <f t="shared" si="38"/>
        <v>-1328.677150839032</v>
      </c>
      <c r="P95" s="11">
        <f t="shared" si="38"/>
        <v>2087.6978516346198</v>
      </c>
      <c r="Q95" s="11">
        <f t="shared" si="38"/>
        <v>481.98078463911679</v>
      </c>
      <c r="R95" s="11">
        <f t="shared" si="38"/>
        <v>974.32556697226573</v>
      </c>
      <c r="S95" s="11">
        <f t="shared" si="39"/>
        <v>-848.96163847285948</v>
      </c>
      <c r="T95" s="11">
        <f t="shared" si="39"/>
        <v>359.85506530389739</v>
      </c>
      <c r="U95" s="11">
        <f t="shared" si="39"/>
        <v>-621.70502409484141</v>
      </c>
      <c r="V95" s="11">
        <f t="shared" si="39"/>
        <v>835.52630550511367</v>
      </c>
      <c r="W95" s="11">
        <f t="shared" si="39"/>
        <v>-2357.6499232136821</v>
      </c>
      <c r="X95" s="11">
        <f t="shared" si="39"/>
        <v>1102.4004376792</v>
      </c>
      <c r="Y95" s="11">
        <f t="shared" si="39"/>
        <v>2341.4169310352854</v>
      </c>
      <c r="Z95" s="11">
        <f t="shared" si="39"/>
        <v>292.66978901662225</v>
      </c>
      <c r="AA95" s="11">
        <f t="shared" si="39"/>
        <v>-1350.9363401381252</v>
      </c>
      <c r="AB95" s="11">
        <f t="shared" si="39"/>
        <v>-386.64018097703865</v>
      </c>
      <c r="AC95" s="11">
        <f t="shared" si="40"/>
        <v>-1714.8327747452511</v>
      </c>
      <c r="AD95" s="11">
        <f t="shared" si="40"/>
        <v>-1492.2743830319441</v>
      </c>
      <c r="AE95" s="11">
        <f t="shared" si="40"/>
        <v>-1613.577939205202</v>
      </c>
      <c r="AF95" s="11">
        <f t="shared" si="40"/>
        <v>-1273.4501497383653</v>
      </c>
      <c r="AG95" s="11">
        <f t="shared" si="40"/>
        <v>-1905.3864016368789</v>
      </c>
      <c r="AH95" s="11">
        <f t="shared" si="40"/>
        <v>1773.3479773435074</v>
      </c>
      <c r="AI95" s="11">
        <f t="shared" si="40"/>
        <v>1998.3180617241067</v>
      </c>
      <c r="AJ95" s="11">
        <f t="shared" si="40"/>
        <v>-1406.4201147397825</v>
      </c>
      <c r="AK95" s="11">
        <f t="shared" si="40"/>
        <v>-2064.1957154644488</v>
      </c>
      <c r="AL95" s="11">
        <f t="shared" si="40"/>
        <v>503.88587879633104</v>
      </c>
      <c r="AM95" s="11">
        <f t="shared" si="41"/>
        <v>-1764.8936408453858</v>
      </c>
      <c r="AN95" s="11">
        <f t="shared" si="41"/>
        <v>535.95754005444167</v>
      </c>
      <c r="AO95" s="11">
        <f t="shared" si="41"/>
        <v>245.98790711280347</v>
      </c>
      <c r="AP95" s="11">
        <f t="shared" si="41"/>
        <v>-248.84243264743543</v>
      </c>
      <c r="AQ95" s="11">
        <f t="shared" si="41"/>
        <v>-1010.5589589708163</v>
      </c>
      <c r="AR95" s="11">
        <f t="shared" si="41"/>
        <v>-1672.5590679254096</v>
      </c>
      <c r="AS95" s="11">
        <f t="shared" si="41"/>
        <v>-1469.2716705747519</v>
      </c>
      <c r="AT95" s="11">
        <f t="shared" si="41"/>
        <v>-1782.6712300544464</v>
      </c>
      <c r="AU95" s="11">
        <f t="shared" si="41"/>
        <v>1637.2484468535663</v>
      </c>
      <c r="AV95" s="11">
        <f t="shared" si="41"/>
        <v>934.06949174267641</v>
      </c>
      <c r="AW95" s="11">
        <f t="shared" si="42"/>
        <v>-1669.9437045704037</v>
      </c>
      <c r="AX95" s="11">
        <f t="shared" si="42"/>
        <v>1748.3837272315045</v>
      </c>
      <c r="AY95" s="11">
        <f t="shared" si="42"/>
        <v>76.069504707697092</v>
      </c>
      <c r="AZ95" s="11">
        <f t="shared" si="42"/>
        <v>2056.1303983409825</v>
      </c>
      <c r="BA95" s="11">
        <f t="shared" si="42"/>
        <v>-771.53552924956477</v>
      </c>
      <c r="BB95" s="11">
        <f t="shared" si="42"/>
        <v>-1965.6433502904117</v>
      </c>
      <c r="BC95" s="11">
        <f t="shared" si="42"/>
        <v>1220.9889635794173</v>
      </c>
      <c r="BD95" s="11">
        <f t="shared" si="42"/>
        <v>-118.8422670448449</v>
      </c>
      <c r="BE95" s="11">
        <f t="shared" si="42"/>
        <v>-1411.7436131196798</v>
      </c>
      <c r="BF95" s="11">
        <f t="shared" si="42"/>
        <v>-2147.1604333343521</v>
      </c>
      <c r="BG95" s="11">
        <f t="shared" si="42"/>
        <v>-2034.6835814147239</v>
      </c>
      <c r="BH95" s="11">
        <f t="shared" si="42"/>
        <v>-1118.7292311180079</v>
      </c>
      <c r="BI95" s="11">
        <f t="shared" si="42"/>
        <v>239.00070154229576</v>
      </c>
      <c r="BJ95" s="11">
        <f t="shared" si="42"/>
        <v>1502.3513053559948</v>
      </c>
      <c r="BK95" s="11">
        <f t="shared" si="42"/>
        <v>1897.4292133040231</v>
      </c>
    </row>
    <row r="96" spans="2:63" x14ac:dyDescent="0.25">
      <c r="B96">
        <v>2</v>
      </c>
      <c r="C96">
        <v>-1</v>
      </c>
      <c r="D96">
        <v>-1</v>
      </c>
      <c r="E96">
        <v>-1</v>
      </c>
      <c r="F96">
        <v>2065</v>
      </c>
      <c r="H96" s="34"/>
      <c r="I96" s="11">
        <f t="shared" si="38"/>
        <v>2066.9630611575353</v>
      </c>
      <c r="J96" s="11">
        <f t="shared" si="38"/>
        <v>-1550.2500130294111</v>
      </c>
      <c r="K96" s="11">
        <f t="shared" si="38"/>
        <v>356.30399705482881</v>
      </c>
      <c r="L96" s="11">
        <f t="shared" si="38"/>
        <v>-382.79074915463838</v>
      </c>
      <c r="M96" s="11">
        <f t="shared" si="38"/>
        <v>632.95225004593635</v>
      </c>
      <c r="N96" s="11">
        <f t="shared" si="38"/>
        <v>-1274.1150434775316</v>
      </c>
      <c r="O96" s="11">
        <f t="shared" si="38"/>
        <v>1325.2898362238623</v>
      </c>
      <c r="P96" s="11">
        <f t="shared" si="38"/>
        <v>-669.57881027401618</v>
      </c>
      <c r="Q96" s="11">
        <f t="shared" si="38"/>
        <v>1163.325579871936</v>
      </c>
      <c r="R96" s="11">
        <f t="shared" si="38"/>
        <v>2010.6449134318182</v>
      </c>
      <c r="S96" s="11">
        <f t="shared" si="39"/>
        <v>1655.2051334947625</v>
      </c>
      <c r="T96" s="11">
        <f t="shared" si="39"/>
        <v>1853.4003908170987</v>
      </c>
      <c r="U96" s="11">
        <f t="shared" si="39"/>
        <v>1444.3650772799749</v>
      </c>
      <c r="V96" s="11">
        <f t="shared" si="39"/>
        <v>1360.7379548171543</v>
      </c>
      <c r="W96" s="11">
        <f t="shared" si="39"/>
        <v>125.97345304636009</v>
      </c>
      <c r="X96" s="11">
        <f t="shared" si="39"/>
        <v>-987.11628518820191</v>
      </c>
      <c r="Y96" s="11">
        <f t="shared" si="39"/>
        <v>1740.4518922804009</v>
      </c>
      <c r="Z96" s="11">
        <f t="shared" si="39"/>
        <v>-1383.2363411665242</v>
      </c>
      <c r="AA96" s="11">
        <f t="shared" si="39"/>
        <v>490.74031730672448</v>
      </c>
      <c r="AB96" s="11">
        <f t="shared" si="39"/>
        <v>-2057.5433375718922</v>
      </c>
      <c r="AC96" s="11">
        <f t="shared" si="40"/>
        <v>1966.2329840187501</v>
      </c>
      <c r="AD96" s="11">
        <f t="shared" si="40"/>
        <v>-1590.9471517668276</v>
      </c>
      <c r="AE96" s="11">
        <f t="shared" si="40"/>
        <v>407.63267774194122</v>
      </c>
      <c r="AF96" s="11">
        <f t="shared" si="40"/>
        <v>-1663.1151132466471</v>
      </c>
      <c r="AG96" s="11">
        <f t="shared" si="40"/>
        <v>1817.1822663541047</v>
      </c>
      <c r="AH96" s="11">
        <f t="shared" si="40"/>
        <v>1012.6157532324912</v>
      </c>
      <c r="AI96" s="11">
        <f t="shared" si="40"/>
        <v>2042.079046725034</v>
      </c>
      <c r="AJ96" s="11">
        <f t="shared" si="40"/>
        <v>-1991.1359116078845</v>
      </c>
      <c r="AK96" s="11">
        <f t="shared" si="40"/>
        <v>2064.4801481721315</v>
      </c>
      <c r="AL96" s="11">
        <f t="shared" si="40"/>
        <v>271.96178535574313</v>
      </c>
      <c r="AM96" s="11">
        <f t="shared" si="41"/>
        <v>-1842.1910478480092</v>
      </c>
      <c r="AN96" s="11">
        <f t="shared" si="41"/>
        <v>-1627.4615619128081</v>
      </c>
      <c r="AO96" s="11">
        <f t="shared" si="41"/>
        <v>2057.1527544870823</v>
      </c>
      <c r="AP96" s="11">
        <f t="shared" si="41"/>
        <v>1838.4836652108827</v>
      </c>
      <c r="AQ96" s="11">
        <f t="shared" si="41"/>
        <v>-1682.6800297722154</v>
      </c>
      <c r="AR96" s="11">
        <f t="shared" si="41"/>
        <v>2061.8975110948354</v>
      </c>
      <c r="AS96" s="11">
        <f t="shared" si="41"/>
        <v>1448.7494100406188</v>
      </c>
      <c r="AT96" s="11">
        <f t="shared" si="41"/>
        <v>1853.6035202389546</v>
      </c>
      <c r="AU96" s="11">
        <f t="shared" si="41"/>
        <v>1419.7199677214344</v>
      </c>
      <c r="AV96" s="11">
        <f t="shared" si="41"/>
        <v>821.54235887828042</v>
      </c>
      <c r="AW96" s="11">
        <f t="shared" si="42"/>
        <v>29.952150727815813</v>
      </c>
      <c r="AX96" s="11">
        <f t="shared" si="42"/>
        <v>-1371.5328609888429</v>
      </c>
      <c r="AY96" s="11">
        <f t="shared" si="42"/>
        <v>1998.6303608865353</v>
      </c>
      <c r="AZ96" s="11">
        <f t="shared" si="42"/>
        <v>-1303.5307941365636</v>
      </c>
      <c r="BA96" s="11">
        <f t="shared" si="42"/>
        <v>1624.9086920893267</v>
      </c>
      <c r="BB96" s="11">
        <f t="shared" si="42"/>
        <v>-1584.2210138485314</v>
      </c>
      <c r="BC96" s="11">
        <f t="shared" si="42"/>
        <v>-1612.8606938448465</v>
      </c>
      <c r="BD96" s="11">
        <f t="shared" si="42"/>
        <v>-1545.6872949138785</v>
      </c>
      <c r="BE96" s="11">
        <f t="shared" si="42"/>
        <v>-1474.5592014915553</v>
      </c>
      <c r="BF96" s="11">
        <f t="shared" si="42"/>
        <v>-1399.6583982427419</v>
      </c>
      <c r="BG96" s="11">
        <f t="shared" si="42"/>
        <v>-1321.1765224356843</v>
      </c>
      <c r="BH96" s="11">
        <f t="shared" si="42"/>
        <v>-1239.3143736334559</v>
      </c>
      <c r="BI96" s="11">
        <f t="shared" si="42"/>
        <v>-1154.2813999406826</v>
      </c>
      <c r="BJ96" s="11">
        <f t="shared" si="42"/>
        <v>-1066.2951621090544</v>
      </c>
      <c r="BK96" s="11">
        <f t="shared" si="42"/>
        <v>2039.6129005396403</v>
      </c>
    </row>
    <row r="97" spans="2:63" x14ac:dyDescent="0.25">
      <c r="B97">
        <v>0</v>
      </c>
      <c r="C97">
        <v>1</v>
      </c>
      <c r="D97">
        <v>-1</v>
      </c>
      <c r="E97">
        <v>-1</v>
      </c>
      <c r="F97">
        <v>-1870</v>
      </c>
      <c r="H97" s="34"/>
      <c r="I97" s="11">
        <f t="shared" si="38"/>
        <v>-326.39590218709765</v>
      </c>
      <c r="J97" s="11">
        <f t="shared" si="38"/>
        <v>15.951994672550111</v>
      </c>
      <c r="K97" s="11">
        <f t="shared" si="38"/>
        <v>-1447.2131164810719</v>
      </c>
      <c r="L97" s="11">
        <f t="shared" si="38"/>
        <v>-628.51385134498184</v>
      </c>
      <c r="M97" s="11">
        <f t="shared" si="38"/>
        <v>-1436.490151921395</v>
      </c>
      <c r="N97" s="11">
        <f t="shared" si="38"/>
        <v>-1852.2608528165281</v>
      </c>
      <c r="O97" s="11">
        <f t="shared" si="38"/>
        <v>1780.4241113898881</v>
      </c>
      <c r="P97" s="11">
        <f t="shared" si="38"/>
        <v>484.99672022685684</v>
      </c>
      <c r="Q97" s="11">
        <f t="shared" si="38"/>
        <v>-1166.2149039317385</v>
      </c>
      <c r="R97" s="11">
        <f t="shared" si="38"/>
        <v>-1734.8656405855097</v>
      </c>
      <c r="S97" s="11">
        <f t="shared" si="39"/>
        <v>1558.0280643469964</v>
      </c>
      <c r="T97" s="11">
        <f t="shared" si="39"/>
        <v>1919.3536188047972</v>
      </c>
      <c r="U97" s="11">
        <f t="shared" si="39"/>
        <v>1497.3708320666369</v>
      </c>
      <c r="V97" s="11">
        <f t="shared" si="39"/>
        <v>1896.6913776447975</v>
      </c>
      <c r="W97" s="11">
        <f t="shared" si="39"/>
        <v>-1607.6415794743998</v>
      </c>
      <c r="X97" s="11">
        <f t="shared" si="39"/>
        <v>1872.395306997591</v>
      </c>
      <c r="Y97" s="11">
        <f t="shared" si="39"/>
        <v>285.46061935274156</v>
      </c>
      <c r="Z97" s="11">
        <f t="shared" si="39"/>
        <v>243.60696467264896</v>
      </c>
      <c r="AA97" s="11">
        <f t="shared" si="39"/>
        <v>-1853.704251602923</v>
      </c>
      <c r="AB97" s="11">
        <f t="shared" si="39"/>
        <v>1485.9025943506683</v>
      </c>
      <c r="AC97" s="11">
        <f t="shared" si="40"/>
        <v>1859.0675578761229</v>
      </c>
      <c r="AD97" s="11">
        <f t="shared" si="40"/>
        <v>793.54518557048152</v>
      </c>
      <c r="AE97" s="11">
        <f t="shared" si="40"/>
        <v>-1152.6241792796525</v>
      </c>
      <c r="AF97" s="11">
        <f t="shared" si="40"/>
        <v>1238.9789724955583</v>
      </c>
      <c r="AG97" s="11">
        <f t="shared" si="40"/>
        <v>168.74290159667564</v>
      </c>
      <c r="AH97" s="11">
        <f t="shared" si="40"/>
        <v>1543.2109595800048</v>
      </c>
      <c r="AI97" s="11">
        <f t="shared" si="40"/>
        <v>539.01436440329826</v>
      </c>
      <c r="AJ97" s="11">
        <f t="shared" si="40"/>
        <v>796.35542248352135</v>
      </c>
      <c r="AK97" s="11">
        <f t="shared" si="40"/>
        <v>1813.1460744496201</v>
      </c>
      <c r="AL97" s="11">
        <f t="shared" si="40"/>
        <v>-1642.6608848366113</v>
      </c>
      <c r="AM97" s="11">
        <f t="shared" si="41"/>
        <v>-906.7955561704033</v>
      </c>
      <c r="AN97" s="11">
        <f t="shared" si="41"/>
        <v>1513.9918494188403</v>
      </c>
      <c r="AO97" s="11">
        <f t="shared" si="41"/>
        <v>1544.5388874509706</v>
      </c>
      <c r="AP97" s="11">
        <f t="shared" si="41"/>
        <v>1833.4473276010719</v>
      </c>
      <c r="AQ97" s="11">
        <f t="shared" si="41"/>
        <v>1875.5492088602111</v>
      </c>
      <c r="AR97" s="11">
        <f t="shared" si="41"/>
        <v>1479.7512977670517</v>
      </c>
      <c r="AS97" s="11">
        <f t="shared" si="41"/>
        <v>-1953.6529542520805</v>
      </c>
      <c r="AT97" s="11">
        <f t="shared" si="41"/>
        <v>1406.1540349620618</v>
      </c>
      <c r="AU97" s="11">
        <f t="shared" si="41"/>
        <v>-1436.4960357417076</v>
      </c>
      <c r="AV97" s="11">
        <f t="shared" si="41"/>
        <v>1540.7772232291004</v>
      </c>
      <c r="AW97" s="11">
        <f t="shared" si="42"/>
        <v>-1149.6781580331192</v>
      </c>
      <c r="AX97" s="11">
        <f t="shared" si="42"/>
        <v>-849.39998543417335</v>
      </c>
      <c r="AY97" s="11">
        <f t="shared" si="42"/>
        <v>-319.83234828368052</v>
      </c>
      <c r="AZ97" s="11">
        <f t="shared" si="42"/>
        <v>-1806.4131687725787</v>
      </c>
      <c r="BA97" s="11">
        <f t="shared" si="42"/>
        <v>-1545.0407104809424</v>
      </c>
      <c r="BB97" s="11">
        <f t="shared" si="42"/>
        <v>-1677.434247672569</v>
      </c>
      <c r="BC97" s="11">
        <f t="shared" si="42"/>
        <v>395.91954784474626</v>
      </c>
      <c r="BD97" s="11">
        <f t="shared" si="42"/>
        <v>1138.7405399972099</v>
      </c>
      <c r="BE97" s="11">
        <f t="shared" si="42"/>
        <v>1662.9627229873222</v>
      </c>
      <c r="BF97" s="11">
        <f t="shared" si="42"/>
        <v>1867.9536412177283</v>
      </c>
      <c r="BG97" s="11">
        <f t="shared" si="42"/>
        <v>1714.3621889327712</v>
      </c>
      <c r="BH97" s="11">
        <f t="shared" si="42"/>
        <v>1231.6726498678299</v>
      </c>
      <c r="BI97" s="11">
        <f t="shared" si="42"/>
        <v>512.54472741060715</v>
      </c>
      <c r="BJ97" s="11">
        <f t="shared" si="42"/>
        <v>-304.97391490829347</v>
      </c>
      <c r="BK97" s="11">
        <f t="shared" si="42"/>
        <v>657.35881863358793</v>
      </c>
    </row>
    <row r="98" spans="2:63" x14ac:dyDescent="0.25">
      <c r="B98">
        <v>4</v>
      </c>
      <c r="C98">
        <v>0</v>
      </c>
      <c r="D98">
        <v>-1</v>
      </c>
      <c r="E98">
        <v>-1</v>
      </c>
      <c r="F98">
        <v>1828</v>
      </c>
      <c r="H98" s="34"/>
      <c r="I98" s="11">
        <f t="shared" si="38"/>
        <v>-1806.855921888179</v>
      </c>
      <c r="J98" s="11">
        <f t="shared" si="38"/>
        <v>-1651.1296740063819</v>
      </c>
      <c r="K98" s="11">
        <f t="shared" si="38"/>
        <v>-1631.147083536081</v>
      </c>
      <c r="L98" s="11">
        <f t="shared" si="38"/>
        <v>-1382.2742998006579</v>
      </c>
      <c r="M98" s="11">
        <f t="shared" si="38"/>
        <v>-773.99131923459697</v>
      </c>
      <c r="N98" s="11">
        <f t="shared" si="38"/>
        <v>-1194.4101586734289</v>
      </c>
      <c r="O98" s="11">
        <f t="shared" si="38"/>
        <v>-1773.7660636495841</v>
      </c>
      <c r="P98" s="11">
        <f t="shared" si="38"/>
        <v>-1813.2999469600486</v>
      </c>
      <c r="Q98" s="11">
        <f t="shared" si="38"/>
        <v>824.96357850718175</v>
      </c>
      <c r="R98" s="11">
        <f t="shared" si="38"/>
        <v>1729.5145521698223</v>
      </c>
      <c r="S98" s="11">
        <f t="shared" si="39"/>
        <v>912.69062008487458</v>
      </c>
      <c r="T98" s="11">
        <f t="shared" si="39"/>
        <v>-818.17232776526896</v>
      </c>
      <c r="U98" s="11">
        <f t="shared" si="39"/>
        <v>-1212.3200812422044</v>
      </c>
      <c r="V98" s="11">
        <f t="shared" si="39"/>
        <v>-1643.1724149875834</v>
      </c>
      <c r="W98" s="11">
        <f t="shared" si="39"/>
        <v>-434.43397338872347</v>
      </c>
      <c r="X98" s="11">
        <f t="shared" si="39"/>
        <v>1434.8010729471853</v>
      </c>
      <c r="Y98" s="11">
        <f t="shared" si="39"/>
        <v>-377.77019686769881</v>
      </c>
      <c r="Z98" s="11">
        <f t="shared" si="39"/>
        <v>788.85935563150656</v>
      </c>
      <c r="AA98" s="11">
        <f t="shared" si="39"/>
        <v>154.18051147923174</v>
      </c>
      <c r="AB98" s="11">
        <f t="shared" si="39"/>
        <v>-1407.0463241406655</v>
      </c>
      <c r="AC98" s="11">
        <f t="shared" si="40"/>
        <v>1674.244436277005</v>
      </c>
      <c r="AD98" s="11">
        <f t="shared" si="40"/>
        <v>-1665.4560312529543</v>
      </c>
      <c r="AE98" s="11">
        <f t="shared" si="40"/>
        <v>-1439.1263082581891</v>
      </c>
      <c r="AF98" s="11">
        <f t="shared" si="40"/>
        <v>1797.7240490529982</v>
      </c>
      <c r="AG98" s="11">
        <f t="shared" si="40"/>
        <v>-659.13158502961392</v>
      </c>
      <c r="AH98" s="11">
        <f t="shared" si="40"/>
        <v>866.98924264790867</v>
      </c>
      <c r="AI98" s="11">
        <f t="shared" si="40"/>
        <v>1243.5510558044273</v>
      </c>
      <c r="AJ98" s="11">
        <f t="shared" si="40"/>
        <v>1349.2658922230862</v>
      </c>
      <c r="AK98" s="11">
        <f t="shared" si="40"/>
        <v>1282.6466202970807</v>
      </c>
      <c r="AL98" s="11">
        <f t="shared" si="40"/>
        <v>1630.4671477299942</v>
      </c>
      <c r="AM98" s="11">
        <f t="shared" si="41"/>
        <v>-529.16021624489201</v>
      </c>
      <c r="AN98" s="11">
        <f t="shared" si="41"/>
        <v>-1132.7441189683461</v>
      </c>
      <c r="AO98" s="11">
        <f t="shared" si="41"/>
        <v>-1710.7582307154178</v>
      </c>
      <c r="AP98" s="11">
        <f t="shared" si="41"/>
        <v>720.01630598738916</v>
      </c>
      <c r="AQ98" s="11">
        <f t="shared" si="41"/>
        <v>1228.9869846692441</v>
      </c>
      <c r="AR98" s="11">
        <f t="shared" si="41"/>
        <v>-1377.9681469401107</v>
      </c>
      <c r="AS98" s="11">
        <f t="shared" si="41"/>
        <v>-1816.9809661294291</v>
      </c>
      <c r="AT98" s="11">
        <f t="shared" si="41"/>
        <v>-1121.1131590197151</v>
      </c>
      <c r="AU98" s="11">
        <f t="shared" si="41"/>
        <v>1571.8050446506131</v>
      </c>
      <c r="AV98" s="11">
        <f t="shared" si="41"/>
        <v>-1818.6534724668954</v>
      </c>
      <c r="AW98" s="11">
        <f t="shared" si="42"/>
        <v>1827.6041884908036</v>
      </c>
      <c r="AX98" s="11">
        <f t="shared" si="42"/>
        <v>1590.9872924969493</v>
      </c>
      <c r="AY98" s="11">
        <f t="shared" si="42"/>
        <v>-1206.6468491440635</v>
      </c>
      <c r="AZ98" s="11">
        <f t="shared" si="42"/>
        <v>360.11782673656126</v>
      </c>
      <c r="BA98" s="11">
        <f t="shared" si="42"/>
        <v>1469.5076570145009</v>
      </c>
      <c r="BB98" s="11">
        <f t="shared" si="42"/>
        <v>-670.88355136928374</v>
      </c>
      <c r="BC98" s="11">
        <f t="shared" si="42"/>
        <v>459.49009024652344</v>
      </c>
      <c r="BD98" s="11">
        <f t="shared" si="42"/>
        <v>1100.8002931226199</v>
      </c>
      <c r="BE98" s="11">
        <f t="shared" si="42"/>
        <v>1574.9842716948369</v>
      </c>
      <c r="BF98" s="11">
        <f t="shared" si="42"/>
        <v>1810.0502410247127</v>
      </c>
      <c r="BG98" s="11">
        <f t="shared" si="42"/>
        <v>1770.3099040053689</v>
      </c>
      <c r="BH98" s="11">
        <f t="shared" si="42"/>
        <v>1461.796736938524</v>
      </c>
      <c r="BI98" s="11">
        <f t="shared" si="42"/>
        <v>931.34997222340462</v>
      </c>
      <c r="BJ98" s="11">
        <f t="shared" si="42"/>
        <v>259.50335021476189</v>
      </c>
      <c r="BK98" s="11">
        <f t="shared" si="42"/>
        <v>1320.7415649598358</v>
      </c>
    </row>
    <row r="99" spans="2:63" x14ac:dyDescent="0.25">
      <c r="B99">
        <v>0</v>
      </c>
      <c r="C99">
        <v>1</v>
      </c>
      <c r="D99">
        <v>0</v>
      </c>
      <c r="E99">
        <v>1</v>
      </c>
      <c r="F99">
        <v>-1794</v>
      </c>
      <c r="H99" s="34"/>
      <c r="I99" s="11">
        <f t="shared" si="38"/>
        <v>-395.90989137180469</v>
      </c>
      <c r="J99" s="11">
        <f t="shared" si="38"/>
        <v>847.28090493450395</v>
      </c>
      <c r="K99" s="11">
        <f t="shared" si="38"/>
        <v>-1793.8246012331188</v>
      </c>
      <c r="L99" s="11">
        <f t="shared" si="38"/>
        <v>1622.8098073165684</v>
      </c>
      <c r="M99" s="11">
        <f t="shared" si="38"/>
        <v>1763.3962868459919</v>
      </c>
      <c r="N99" s="11">
        <f t="shared" si="38"/>
        <v>-597.77733268669692</v>
      </c>
      <c r="O99" s="11">
        <f t="shared" si="38"/>
        <v>-1677.0711172217304</v>
      </c>
      <c r="P99" s="11">
        <f t="shared" si="38"/>
        <v>1074.5937982946455</v>
      </c>
      <c r="Q99" s="11">
        <f t="shared" si="38"/>
        <v>-520.94222406240101</v>
      </c>
      <c r="R99" s="11">
        <f t="shared" si="38"/>
        <v>-559.69686837296626</v>
      </c>
      <c r="S99" s="11">
        <f t="shared" si="39"/>
        <v>1378.4479567085355</v>
      </c>
      <c r="T99" s="11">
        <f t="shared" si="39"/>
        <v>1228.6040419022847</v>
      </c>
      <c r="U99" s="11">
        <f t="shared" si="39"/>
        <v>1801.5819627541453</v>
      </c>
      <c r="V99" s="11">
        <f t="shared" si="39"/>
        <v>1881.5920121835816</v>
      </c>
      <c r="W99" s="11">
        <f t="shared" si="39"/>
        <v>1322.9988201307287</v>
      </c>
      <c r="X99" s="11">
        <f t="shared" si="39"/>
        <v>-1781.3610813583921</v>
      </c>
      <c r="Y99" s="11">
        <f t="shared" si="39"/>
        <v>1190.481390320821</v>
      </c>
      <c r="Z99" s="11">
        <f t="shared" si="39"/>
        <v>791.6503095912791</v>
      </c>
      <c r="AA99" s="11">
        <f t="shared" si="39"/>
        <v>1528.3016835990038</v>
      </c>
      <c r="AB99" s="11">
        <f t="shared" si="39"/>
        <v>1211.4766890118085</v>
      </c>
      <c r="AC99" s="11">
        <f t="shared" si="40"/>
        <v>-1588.1151527675552</v>
      </c>
      <c r="AD99" s="11">
        <f t="shared" si="40"/>
        <v>1659.6096080877189</v>
      </c>
      <c r="AE99" s="11">
        <f t="shared" si="40"/>
        <v>-1783.144457996958</v>
      </c>
      <c r="AF99" s="11">
        <f t="shared" si="40"/>
        <v>701.76406181764048</v>
      </c>
      <c r="AG99" s="11">
        <f t="shared" si="40"/>
        <v>-227.90628375818602</v>
      </c>
      <c r="AH99" s="11">
        <f t="shared" si="40"/>
        <v>941.37397923883339</v>
      </c>
      <c r="AI99" s="11">
        <f t="shared" si="40"/>
        <v>-537.52105643375876</v>
      </c>
      <c r="AJ99" s="11">
        <f t="shared" si="40"/>
        <v>1558.5886497434878</v>
      </c>
      <c r="AK99" s="11">
        <f t="shared" si="40"/>
        <v>-1434.5963686412119</v>
      </c>
      <c r="AL99" s="11">
        <f t="shared" si="40"/>
        <v>1777.6544794148956</v>
      </c>
      <c r="AM99" s="11">
        <f t="shared" si="41"/>
        <v>-579.18292136588821</v>
      </c>
      <c r="AN99" s="11">
        <f t="shared" si="41"/>
        <v>-496.81086429930008</v>
      </c>
      <c r="AO99" s="11">
        <f t="shared" si="41"/>
        <v>-644.07443010286067</v>
      </c>
      <c r="AP99" s="11">
        <f t="shared" si="41"/>
        <v>-1268.5926811119766</v>
      </c>
      <c r="AQ99" s="11">
        <f t="shared" si="41"/>
        <v>1425.9870293814995</v>
      </c>
      <c r="AR99" s="11">
        <f t="shared" si="41"/>
        <v>-259.87114598528768</v>
      </c>
      <c r="AS99" s="11">
        <f t="shared" si="41"/>
        <v>1866.0357437005291</v>
      </c>
      <c r="AT99" s="11">
        <f t="shared" si="41"/>
        <v>-1120.0794142396765</v>
      </c>
      <c r="AU99" s="11">
        <f t="shared" si="41"/>
        <v>-1177.3601462843885</v>
      </c>
      <c r="AV99" s="11">
        <f t="shared" si="41"/>
        <v>1505.0329222248051</v>
      </c>
      <c r="AW99" s="11">
        <f t="shared" si="42"/>
        <v>371.4627489719025</v>
      </c>
      <c r="AX99" s="11">
        <f t="shared" si="42"/>
        <v>505.65549632872222</v>
      </c>
      <c r="AY99" s="11">
        <f t="shared" si="42"/>
        <v>1606.2511806297719</v>
      </c>
      <c r="AZ99" s="11">
        <f t="shared" si="42"/>
        <v>965.44744033256825</v>
      </c>
      <c r="BA99" s="11">
        <f t="shared" si="42"/>
        <v>513.01329023670519</v>
      </c>
      <c r="BB99" s="11">
        <f t="shared" si="42"/>
        <v>-1744.4576403036506</v>
      </c>
      <c r="BC99" s="11">
        <f t="shared" si="42"/>
        <v>1778.9420140160501</v>
      </c>
      <c r="BD99" s="11">
        <f t="shared" si="42"/>
        <v>1779.430738010924</v>
      </c>
      <c r="BE99" s="11">
        <f t="shared" si="42"/>
        <v>1670.9517846661024</v>
      </c>
      <c r="BF99" s="11">
        <f t="shared" si="42"/>
        <v>1460.148135971127</v>
      </c>
      <c r="BG99" s="11">
        <f t="shared" si="42"/>
        <v>1159.9288693073659</v>
      </c>
      <c r="BH99" s="11">
        <f t="shared" si="42"/>
        <v>788.67863849982302</v>
      </c>
      <c r="BI99" s="11">
        <f t="shared" si="42"/>
        <v>369.13184501695991</v>
      </c>
      <c r="BJ99" s="11">
        <f t="shared" si="42"/>
        <v>-73.019557821233903</v>
      </c>
      <c r="BK99" s="11">
        <f t="shared" si="42"/>
        <v>-601.35596445093699</v>
      </c>
    </row>
    <row r="100" spans="2:63" x14ac:dyDescent="0.25">
      <c r="B100">
        <v>0</v>
      </c>
      <c r="C100">
        <v>0</v>
      </c>
      <c r="D100">
        <v>0</v>
      </c>
      <c r="E100">
        <v>3</v>
      </c>
      <c r="F100">
        <v>-1749</v>
      </c>
      <c r="H100" s="34"/>
      <c r="I100" s="11">
        <f t="shared" ref="I100:R109" si="43">IF(ABS($C100)=1,I$7,IF(ABS($C100)=2,I$7^2,1))*  $F100  *  SIN(($B100*I$2  +  $C100*I$3 + $D100*I$4 + $E100*I$5)*Deg2Rad)</f>
        <v>1429.4844997349514</v>
      </c>
      <c r="J100" s="11">
        <f t="shared" si="43"/>
        <v>-1491.6115330215146</v>
      </c>
      <c r="K100" s="11">
        <f t="shared" si="43"/>
        <v>1723.3937315136548</v>
      </c>
      <c r="L100" s="11">
        <f t="shared" si="43"/>
        <v>-187.8667561918667</v>
      </c>
      <c r="M100" s="11">
        <f t="shared" si="43"/>
        <v>-1396.7505607868229</v>
      </c>
      <c r="N100" s="11">
        <f t="shared" si="43"/>
        <v>356.71144725133325</v>
      </c>
      <c r="O100" s="11">
        <f t="shared" si="43"/>
        <v>-1144.331282177098</v>
      </c>
      <c r="P100" s="11">
        <f t="shared" si="43"/>
        <v>-1597.0644202429701</v>
      </c>
      <c r="Q100" s="11">
        <f t="shared" si="43"/>
        <v>-1407.7092403494041</v>
      </c>
      <c r="R100" s="11">
        <f t="shared" si="43"/>
        <v>-1589.6077177673303</v>
      </c>
      <c r="S100" s="11">
        <f t="shared" ref="S100:AB109" si="44">IF(ABS($C100)=1,S$7,IF(ABS($C100)=2,S$7^2,1))*  $F100  *  SIN(($B100*S$2  +  $C100*S$3 + $D100*S$4 + $E100*S$5)*Deg2Rad)</f>
        <v>620.80224601793077</v>
      </c>
      <c r="T100" s="11">
        <f t="shared" si="44"/>
        <v>1399.8472069726054</v>
      </c>
      <c r="U100" s="11">
        <f t="shared" si="44"/>
        <v>1325.7694987227953</v>
      </c>
      <c r="V100" s="11">
        <f t="shared" si="44"/>
        <v>291.72416206147466</v>
      </c>
      <c r="W100" s="11">
        <f t="shared" si="44"/>
        <v>477.93362744102018</v>
      </c>
      <c r="X100" s="11">
        <f t="shared" si="44"/>
        <v>-1260.1667118236865</v>
      </c>
      <c r="Y100" s="11">
        <f t="shared" si="44"/>
        <v>1191.7913456309022</v>
      </c>
      <c r="Z100" s="11">
        <f t="shared" si="44"/>
        <v>-833.40438002038104</v>
      </c>
      <c r="AA100" s="11">
        <f t="shared" si="44"/>
        <v>-1645.8513984850847</v>
      </c>
      <c r="AB100" s="11">
        <f t="shared" si="44"/>
        <v>1519.7026983439489</v>
      </c>
      <c r="AC100" s="11">
        <f t="shared" ref="AC100:AL109" si="45">IF(ABS($C100)=1,AC$7,IF(ABS($C100)=2,AC$7^2,1))*  $F100  *  SIN(($B100*AC$2  +  $C100*AC$3 + $D100*AC$4 + $E100*AC$5)*Deg2Rad)</f>
        <v>1264.6364598144835</v>
      </c>
      <c r="AD100" s="11">
        <f t="shared" si="45"/>
        <v>-404.33912129849318</v>
      </c>
      <c r="AE100" s="11">
        <f t="shared" si="45"/>
        <v>1722.2815134018676</v>
      </c>
      <c r="AF100" s="11">
        <f t="shared" si="45"/>
        <v>-1434.8129574271688</v>
      </c>
      <c r="AG100" s="11">
        <f t="shared" si="45"/>
        <v>1385.7833372873172</v>
      </c>
      <c r="AH100" s="11">
        <f t="shared" si="45"/>
        <v>1293.4610611654393</v>
      </c>
      <c r="AI100" s="11">
        <f t="shared" si="45"/>
        <v>262.40621372680721</v>
      </c>
      <c r="AJ100" s="11">
        <f t="shared" si="45"/>
        <v>1148.7818271921042</v>
      </c>
      <c r="AK100" s="11">
        <f t="shared" si="45"/>
        <v>-1176.4327522487679</v>
      </c>
      <c r="AL100" s="11">
        <f t="shared" si="45"/>
        <v>1397.83339189138</v>
      </c>
      <c r="AM100" s="11">
        <f t="shared" ref="AM100:AV109" si="46">IF(ABS($C100)=1,AM$7,IF(ABS($C100)=2,AM$7^2,1))*  $F100  *  SIN(($B100*AM$2  +  $C100*AM$3 + $D100*AM$4 + $E100*AM$5)*Deg2Rad)</f>
        <v>1195.0592868745259</v>
      </c>
      <c r="AN100" s="11">
        <f t="shared" si="46"/>
        <v>-1512.8536026903907</v>
      </c>
      <c r="AO100" s="11">
        <f t="shared" si="46"/>
        <v>-1565.8886051604238</v>
      </c>
      <c r="AP100" s="11">
        <f t="shared" si="46"/>
        <v>76.893458003566849</v>
      </c>
      <c r="AQ100" s="11">
        <f t="shared" si="46"/>
        <v>-1150.6013226946127</v>
      </c>
      <c r="AR100" s="11">
        <f t="shared" si="46"/>
        <v>-1643.2598805330867</v>
      </c>
      <c r="AS100" s="11">
        <f t="shared" si="46"/>
        <v>-473.14569032041129</v>
      </c>
      <c r="AT100" s="11">
        <f t="shared" si="46"/>
        <v>-1393.9207612766481</v>
      </c>
      <c r="AU100" s="11">
        <f t="shared" si="46"/>
        <v>797.72431551325928</v>
      </c>
      <c r="AV100" s="11">
        <f t="shared" si="46"/>
        <v>1607.8304874886976</v>
      </c>
      <c r="AW100" s="11">
        <f t="shared" ref="AW100:BK109" si="47">IF(ABS($C100)=1,AW$7,IF(ABS($C100)=2,AW$7^2,1))*  $F100  *  SIN(($B100*AW$2  +  $C100*AW$3 + $D100*AW$4 + $E100*AW$5)*Deg2Rad)</f>
        <v>500.74265154028598</v>
      </c>
      <c r="AX100" s="11">
        <f t="shared" si="47"/>
        <v>-1488.304343605965</v>
      </c>
      <c r="AY100" s="11">
        <f t="shared" si="47"/>
        <v>-1748.7330793337303</v>
      </c>
      <c r="AZ100" s="11">
        <f t="shared" si="47"/>
        <v>1683.3090192754792</v>
      </c>
      <c r="BA100" s="11">
        <f t="shared" si="47"/>
        <v>1437.7965383356579</v>
      </c>
      <c r="BB100" s="11">
        <f t="shared" si="47"/>
        <v>1675.3107538162164</v>
      </c>
      <c r="BC100" s="11">
        <f t="shared" si="47"/>
        <v>-335.03683688001479</v>
      </c>
      <c r="BD100" s="11">
        <f t="shared" si="47"/>
        <v>838.41819052167091</v>
      </c>
      <c r="BE100" s="11">
        <f t="shared" si="47"/>
        <v>1625.4173612324134</v>
      </c>
      <c r="BF100" s="11">
        <f t="shared" si="47"/>
        <v>1663.2056179643764</v>
      </c>
      <c r="BG100" s="11">
        <f t="shared" si="47"/>
        <v>934.36505007065205</v>
      </c>
      <c r="BH100" s="11">
        <f t="shared" si="47"/>
        <v>-225.15659078715811</v>
      </c>
      <c r="BI100" s="11">
        <f t="shared" si="47"/>
        <v>-1280.895794473262</v>
      </c>
      <c r="BJ100" s="11">
        <f t="shared" si="47"/>
        <v>-1746.2259550568069</v>
      </c>
      <c r="BK100" s="11">
        <f t="shared" si="47"/>
        <v>441.69437024096328</v>
      </c>
    </row>
    <row r="101" spans="2:63" x14ac:dyDescent="0.25">
      <c r="B101">
        <v>0</v>
      </c>
      <c r="C101">
        <v>1</v>
      </c>
      <c r="D101">
        <v>-1</v>
      </c>
      <c r="E101">
        <v>1</v>
      </c>
      <c r="F101">
        <v>-1565</v>
      </c>
      <c r="H101" s="34"/>
      <c r="I101" s="11">
        <f t="shared" si="43"/>
        <v>864.62260428390141</v>
      </c>
      <c r="J101" s="11">
        <f t="shared" si="43"/>
        <v>-595.27777013591208</v>
      </c>
      <c r="K101" s="11">
        <f t="shared" si="43"/>
        <v>1090.3227967042699</v>
      </c>
      <c r="L101" s="11">
        <f t="shared" si="43"/>
        <v>1515.3826625408133</v>
      </c>
      <c r="M101" s="11">
        <f t="shared" si="43"/>
        <v>1511.0069165136651</v>
      </c>
      <c r="N101" s="11">
        <f t="shared" si="43"/>
        <v>-1565.4855639282464</v>
      </c>
      <c r="O101" s="11">
        <f t="shared" si="43"/>
        <v>407.87756378788458</v>
      </c>
      <c r="P101" s="11">
        <f t="shared" si="43"/>
        <v>-757.36013907274912</v>
      </c>
      <c r="Q101" s="11">
        <f t="shared" si="43"/>
        <v>-1509.6484183227212</v>
      </c>
      <c r="R101" s="11">
        <f t="shared" si="43"/>
        <v>-1482.5054475703535</v>
      </c>
      <c r="S101" s="11">
        <f t="shared" si="44"/>
        <v>-1220.4996415175171</v>
      </c>
      <c r="T101" s="11">
        <f t="shared" si="44"/>
        <v>-1420.8043319839219</v>
      </c>
      <c r="U101" s="11">
        <f t="shared" si="44"/>
        <v>-999.2566938863697</v>
      </c>
      <c r="V101" s="11">
        <f t="shared" si="44"/>
        <v>-1025.2384821225232</v>
      </c>
      <c r="W101" s="11">
        <f t="shared" si="44"/>
        <v>-1504.9354715976256</v>
      </c>
      <c r="X101" s="11">
        <f t="shared" si="44"/>
        <v>1047.9404548192033</v>
      </c>
      <c r="Y101" s="11">
        <f t="shared" si="44"/>
        <v>-1660.7834331333279</v>
      </c>
      <c r="Z101" s="11">
        <f t="shared" si="44"/>
        <v>1693.7769727899608</v>
      </c>
      <c r="AA101" s="11">
        <f t="shared" si="44"/>
        <v>-247.86302454341919</v>
      </c>
      <c r="AB101" s="11">
        <f t="shared" si="44"/>
        <v>1156.2312273742716</v>
      </c>
      <c r="AC101" s="11">
        <f t="shared" si="45"/>
        <v>-1445.3046123533984</v>
      </c>
      <c r="AD101" s="11">
        <f t="shared" si="45"/>
        <v>-1518.3260338578475</v>
      </c>
      <c r="AE101" s="11">
        <f t="shared" si="45"/>
        <v>1101.5341931672947</v>
      </c>
      <c r="AF101" s="11">
        <f t="shared" si="45"/>
        <v>1533.592763901325</v>
      </c>
      <c r="AG101" s="11">
        <f t="shared" si="45"/>
        <v>-1541.5169126257388</v>
      </c>
      <c r="AH101" s="11">
        <f t="shared" si="45"/>
        <v>-1556.2857903598117</v>
      </c>
      <c r="AI101" s="11">
        <f t="shared" si="45"/>
        <v>-1480.5015467785504</v>
      </c>
      <c r="AJ101" s="11">
        <f t="shared" si="45"/>
        <v>1384.2536518847328</v>
      </c>
      <c r="AK101" s="11">
        <f t="shared" si="45"/>
        <v>-432.11765953059694</v>
      </c>
      <c r="AL101" s="11">
        <f t="shared" si="45"/>
        <v>616.64836093545318</v>
      </c>
      <c r="AM101" s="11">
        <f t="shared" si="46"/>
        <v>1359.2282893011532</v>
      </c>
      <c r="AN101" s="11">
        <f t="shared" si="46"/>
        <v>-874.51645153814525</v>
      </c>
      <c r="AO101" s="11">
        <f t="shared" si="46"/>
        <v>352.09366238919205</v>
      </c>
      <c r="AP101" s="11">
        <f t="shared" si="46"/>
        <v>-455.2264465117704</v>
      </c>
      <c r="AQ101" s="11">
        <f t="shared" si="46"/>
        <v>1572.2393061107423</v>
      </c>
      <c r="AR101" s="11">
        <f t="shared" si="46"/>
        <v>-1425.8727825506139</v>
      </c>
      <c r="AS101" s="11">
        <f t="shared" si="46"/>
        <v>1148.9241012130083</v>
      </c>
      <c r="AT101" s="11">
        <f t="shared" si="46"/>
        <v>-918.78498960979596</v>
      </c>
      <c r="AU101" s="11">
        <f t="shared" si="46"/>
        <v>-730.93743522043803</v>
      </c>
      <c r="AV101" s="11">
        <f t="shared" si="46"/>
        <v>-532.96855353632645</v>
      </c>
      <c r="AW101" s="11">
        <f t="shared" si="47"/>
        <v>-296.99057822548554</v>
      </c>
      <c r="AX101" s="11">
        <f t="shared" si="47"/>
        <v>161.0038506284917</v>
      </c>
      <c r="AY101" s="11">
        <f t="shared" si="47"/>
        <v>1214.0491249268205</v>
      </c>
      <c r="AZ101" s="11">
        <f t="shared" si="47"/>
        <v>-1289.8172992538182</v>
      </c>
      <c r="BA101" s="11">
        <f t="shared" si="47"/>
        <v>-502.95789082324501</v>
      </c>
      <c r="BB101" s="11">
        <f t="shared" si="47"/>
        <v>-399.47368938936785</v>
      </c>
      <c r="BC101" s="11">
        <f t="shared" si="47"/>
        <v>1013.8689380128166</v>
      </c>
      <c r="BD101" s="11">
        <f t="shared" si="47"/>
        <v>1037.5669824956483</v>
      </c>
      <c r="BE101" s="11">
        <f t="shared" si="47"/>
        <v>1060.8470780810715</v>
      </c>
      <c r="BF101" s="11">
        <f t="shared" si="47"/>
        <v>1083.6998472976666</v>
      </c>
      <c r="BG101" s="11">
        <f t="shared" si="47"/>
        <v>1106.1160848079892</v>
      </c>
      <c r="BH101" s="11">
        <f t="shared" si="47"/>
        <v>1128.0867611175797</v>
      </c>
      <c r="BI101" s="11">
        <f t="shared" si="47"/>
        <v>1149.6030262111253</v>
      </c>
      <c r="BJ101" s="11">
        <f t="shared" si="47"/>
        <v>1170.6562131156588</v>
      </c>
      <c r="BK101" s="11">
        <f t="shared" si="47"/>
        <v>-1478.9473363978691</v>
      </c>
    </row>
    <row r="102" spans="2:63" x14ac:dyDescent="0.25">
      <c r="B102">
        <v>1</v>
      </c>
      <c r="C102">
        <v>0</v>
      </c>
      <c r="D102">
        <v>0</v>
      </c>
      <c r="E102">
        <v>1</v>
      </c>
      <c r="F102">
        <v>-1491</v>
      </c>
      <c r="H102" s="34"/>
      <c r="I102" s="11">
        <f t="shared" si="43"/>
        <v>1179.5326559371335</v>
      </c>
      <c r="J102" s="11">
        <f t="shared" si="43"/>
        <v>951.32375764603046</v>
      </c>
      <c r="K102" s="11">
        <f t="shared" si="43"/>
        <v>-770.64774776363697</v>
      </c>
      <c r="L102" s="11">
        <f t="shared" si="43"/>
        <v>-1468.003763082557</v>
      </c>
      <c r="M102" s="11">
        <f t="shared" si="43"/>
        <v>1048.8168521608823</v>
      </c>
      <c r="N102" s="11">
        <f t="shared" si="43"/>
        <v>1489.5953279528787</v>
      </c>
      <c r="O102" s="11">
        <f t="shared" si="43"/>
        <v>-896.48983566676316</v>
      </c>
      <c r="P102" s="11">
        <f t="shared" si="43"/>
        <v>881.50905244247258</v>
      </c>
      <c r="Q102" s="11">
        <f t="shared" si="43"/>
        <v>-378.30695875646205</v>
      </c>
      <c r="R102" s="11">
        <f t="shared" si="43"/>
        <v>556.89352481004005</v>
      </c>
      <c r="S102" s="11">
        <f t="shared" si="44"/>
        <v>1449.2236162258748</v>
      </c>
      <c r="T102" s="11">
        <f t="shared" si="44"/>
        <v>-1346.4918381076882</v>
      </c>
      <c r="U102" s="11">
        <f t="shared" si="44"/>
        <v>1307.3413409069833</v>
      </c>
      <c r="V102" s="11">
        <f t="shared" si="44"/>
        <v>873.04168428169339</v>
      </c>
      <c r="W102" s="11">
        <f t="shared" si="44"/>
        <v>-1389.7802749868854</v>
      </c>
      <c r="X102" s="11">
        <f t="shared" si="44"/>
        <v>1398.9513262116832</v>
      </c>
      <c r="Y102" s="11">
        <f t="shared" si="44"/>
        <v>738.75568346938451</v>
      </c>
      <c r="Z102" s="11">
        <f t="shared" si="44"/>
        <v>-209.74381528188911</v>
      </c>
      <c r="AA102" s="11">
        <f t="shared" si="44"/>
        <v>1466.6446280970754</v>
      </c>
      <c r="AB102" s="11">
        <f t="shared" si="44"/>
        <v>659.87193961503579</v>
      </c>
      <c r="AC102" s="11">
        <f t="shared" si="45"/>
        <v>-822.54393091114366</v>
      </c>
      <c r="AD102" s="11">
        <f t="shared" si="45"/>
        <v>1223.9190606241775</v>
      </c>
      <c r="AE102" s="11">
        <f t="shared" si="45"/>
        <v>-470.93487550493313</v>
      </c>
      <c r="AF102" s="11">
        <f t="shared" si="45"/>
        <v>-724.22276611937059</v>
      </c>
      <c r="AG102" s="11">
        <f t="shared" si="45"/>
        <v>-655.60274731632558</v>
      </c>
      <c r="AH102" s="11">
        <f t="shared" si="45"/>
        <v>-280.20812411066589</v>
      </c>
      <c r="AI102" s="11">
        <f t="shared" si="45"/>
        <v>-1366.4574851649202</v>
      </c>
      <c r="AJ102" s="11">
        <f t="shared" si="45"/>
        <v>1466.4912849902983</v>
      </c>
      <c r="AK102" s="11">
        <f t="shared" si="45"/>
        <v>722.16118712914772</v>
      </c>
      <c r="AL102" s="11">
        <f t="shared" si="45"/>
        <v>-1004.0673640813094</v>
      </c>
      <c r="AM102" s="11">
        <f t="shared" si="46"/>
        <v>-1207.9388653461256</v>
      </c>
      <c r="AN102" s="11">
        <f t="shared" si="46"/>
        <v>-387.16050550768705</v>
      </c>
      <c r="AO102" s="11">
        <f t="shared" si="46"/>
        <v>-1478.9456567720574</v>
      </c>
      <c r="AP102" s="11">
        <f t="shared" si="46"/>
        <v>1343.2278501114729</v>
      </c>
      <c r="AQ102" s="11">
        <f t="shared" si="46"/>
        <v>-923.51467968655015</v>
      </c>
      <c r="AR102" s="11">
        <f t="shared" si="46"/>
        <v>1307.3025238382079</v>
      </c>
      <c r="AS102" s="11">
        <f t="shared" si="46"/>
        <v>-1308.2502257324149</v>
      </c>
      <c r="AT102" s="11">
        <f t="shared" si="46"/>
        <v>-1031.621660855631</v>
      </c>
      <c r="AU102" s="11">
        <f t="shared" si="46"/>
        <v>1043.7131287789232</v>
      </c>
      <c r="AV102" s="11">
        <f t="shared" si="46"/>
        <v>-1124.5617094171389</v>
      </c>
      <c r="AW102" s="11">
        <f t="shared" si="47"/>
        <v>757.25005398693747</v>
      </c>
      <c r="AX102" s="11">
        <f t="shared" si="47"/>
        <v>459.74024179433866</v>
      </c>
      <c r="AY102" s="11">
        <f t="shared" si="47"/>
        <v>-762.40255654945133</v>
      </c>
      <c r="AZ102" s="11">
        <f t="shared" si="47"/>
        <v>948.64191011988657</v>
      </c>
      <c r="BA102" s="11">
        <f t="shared" si="47"/>
        <v>472.8169720686077</v>
      </c>
      <c r="BB102" s="11">
        <f t="shared" si="47"/>
        <v>-523.59226654374424</v>
      </c>
      <c r="BC102" s="11">
        <f t="shared" si="47"/>
        <v>-621.70479111447844</v>
      </c>
      <c r="BD102" s="11">
        <f t="shared" si="47"/>
        <v>-1143.2361446645477</v>
      </c>
      <c r="BE102" s="11">
        <f t="shared" si="47"/>
        <v>-1443.402151680559</v>
      </c>
      <c r="BF102" s="11">
        <f t="shared" si="47"/>
        <v>-1464.0815285839963</v>
      </c>
      <c r="BG102" s="11">
        <f t="shared" si="47"/>
        <v>-1201.2701180050751</v>
      </c>
      <c r="BH102" s="11">
        <f t="shared" si="47"/>
        <v>-705.8562156371986</v>
      </c>
      <c r="BI102" s="11">
        <f t="shared" si="47"/>
        <v>-73.76704586438612</v>
      </c>
      <c r="BJ102" s="11">
        <f t="shared" si="47"/>
        <v>572.60567131479456</v>
      </c>
      <c r="BK102" s="11">
        <f t="shared" si="47"/>
        <v>-1403.3625577708633</v>
      </c>
    </row>
    <row r="103" spans="2:63" x14ac:dyDescent="0.25">
      <c r="B103">
        <v>0</v>
      </c>
      <c r="C103">
        <v>1</v>
      </c>
      <c r="D103">
        <v>1</v>
      </c>
      <c r="E103">
        <v>1</v>
      </c>
      <c r="F103">
        <v>-1475</v>
      </c>
      <c r="H103" s="34"/>
      <c r="I103" s="11">
        <f t="shared" si="43"/>
        <v>-206.15073183632327</v>
      </c>
      <c r="J103" s="11">
        <f t="shared" si="43"/>
        <v>1484.8304464814323</v>
      </c>
      <c r="K103" s="11">
        <f t="shared" si="43"/>
        <v>1056.8076122096786</v>
      </c>
      <c r="L103" s="11">
        <f t="shared" si="43"/>
        <v>624.65450374619013</v>
      </c>
      <c r="M103" s="11">
        <f t="shared" si="43"/>
        <v>1466.7613013648077</v>
      </c>
      <c r="N103" s="11">
        <f t="shared" si="43"/>
        <v>1145.0865235000788</v>
      </c>
      <c r="O103" s="11">
        <f t="shared" si="43"/>
        <v>-660.38973971393534</v>
      </c>
      <c r="P103" s="11">
        <f t="shared" si="43"/>
        <v>-1036.6577420949641</v>
      </c>
      <c r="Q103" s="11">
        <f t="shared" si="43"/>
        <v>960.83948712481163</v>
      </c>
      <c r="R103" s="11">
        <f t="shared" si="43"/>
        <v>1434.1009893653486</v>
      </c>
      <c r="S103" s="11">
        <f t="shared" si="44"/>
        <v>-1116.0107492752056</v>
      </c>
      <c r="T103" s="11">
        <f t="shared" si="44"/>
        <v>858.65885785606258</v>
      </c>
      <c r="U103" s="11">
        <f t="shared" si="44"/>
        <v>-1468.1962741833834</v>
      </c>
      <c r="V103" s="11">
        <f t="shared" si="44"/>
        <v>-1078.8295795245367</v>
      </c>
      <c r="W103" s="11">
        <f t="shared" si="44"/>
        <v>755.197092615629</v>
      </c>
      <c r="X103" s="11">
        <f t="shared" si="44"/>
        <v>1562.0145449429319</v>
      </c>
      <c r="Y103" s="11">
        <f t="shared" si="44"/>
        <v>541.51730195946527</v>
      </c>
      <c r="Z103" s="11">
        <f t="shared" si="44"/>
        <v>-751.21989089820602</v>
      </c>
      <c r="AA103" s="11">
        <f t="shared" si="44"/>
        <v>-1405.8797391270273</v>
      </c>
      <c r="AB103" s="11">
        <f t="shared" si="44"/>
        <v>894.33282548499415</v>
      </c>
      <c r="AC103" s="11">
        <f t="shared" si="45"/>
        <v>-301.87634126805739</v>
      </c>
      <c r="AD103" s="11">
        <f t="shared" si="45"/>
        <v>-778.64532057588667</v>
      </c>
      <c r="AE103" s="11">
        <f t="shared" si="45"/>
        <v>784.34996498166765</v>
      </c>
      <c r="AF103" s="11">
        <f t="shared" si="45"/>
        <v>-786.56841145253532</v>
      </c>
      <c r="AG103" s="11">
        <f t="shared" si="45"/>
        <v>1471.2770009151109</v>
      </c>
      <c r="AH103" s="11">
        <f t="shared" si="45"/>
        <v>517.04243747196028</v>
      </c>
      <c r="AI103" s="11">
        <f t="shared" si="45"/>
        <v>1419.810705428722</v>
      </c>
      <c r="AJ103" s="11">
        <f t="shared" si="45"/>
        <v>71.299334822514993</v>
      </c>
      <c r="AK103" s="11">
        <f t="shared" si="45"/>
        <v>1248.4485036393537</v>
      </c>
      <c r="AL103" s="11">
        <f t="shared" si="45"/>
        <v>193.40780793141948</v>
      </c>
      <c r="AM103" s="11">
        <f t="shared" si="46"/>
        <v>-567.05759443387831</v>
      </c>
      <c r="AN103" s="11">
        <f t="shared" si="46"/>
        <v>46.792799190943406</v>
      </c>
      <c r="AO103" s="11">
        <f t="shared" si="46"/>
        <v>-1211.0983934999776</v>
      </c>
      <c r="AP103" s="11">
        <f t="shared" si="46"/>
        <v>1411.7515211370232</v>
      </c>
      <c r="AQ103" s="11">
        <f t="shared" si="46"/>
        <v>-78.14398669048694</v>
      </c>
      <c r="AR103" s="11">
        <f t="shared" si="46"/>
        <v>1113.202781387017</v>
      </c>
      <c r="AS103" s="11">
        <f t="shared" si="46"/>
        <v>797.37766292000651</v>
      </c>
      <c r="AT103" s="11">
        <f t="shared" si="46"/>
        <v>1353.9822460027935</v>
      </c>
      <c r="AU103" s="11">
        <f t="shared" si="46"/>
        <v>-1196.080325198385</v>
      </c>
      <c r="AV103" s="11">
        <f t="shared" si="46"/>
        <v>1059.0280154111626</v>
      </c>
      <c r="AW103" s="11">
        <f t="shared" si="47"/>
        <v>-330.81586321683221</v>
      </c>
      <c r="AX103" s="11">
        <f t="shared" si="47"/>
        <v>665.88913154618024</v>
      </c>
      <c r="AY103" s="11">
        <f t="shared" si="47"/>
        <v>1432.9253983070519</v>
      </c>
      <c r="AZ103" s="11">
        <f t="shared" si="47"/>
        <v>-246.32309184392318</v>
      </c>
      <c r="BA103" s="11">
        <f t="shared" si="47"/>
        <v>1162.4880602015292</v>
      </c>
      <c r="BB103" s="11">
        <f t="shared" si="47"/>
        <v>-993.23620663618419</v>
      </c>
      <c r="BC103" s="11">
        <f t="shared" si="47"/>
        <v>1203.8253872818993</v>
      </c>
      <c r="BD103" s="11">
        <f t="shared" si="47"/>
        <v>679.96283139897776</v>
      </c>
      <c r="BE103" s="11">
        <f t="shared" si="47"/>
        <v>4.8463378087682809</v>
      </c>
      <c r="BF103" s="11">
        <f t="shared" si="47"/>
        <v>-671.34810391074029</v>
      </c>
      <c r="BG103" s="11">
        <f t="shared" si="47"/>
        <v>-1198.2047412520144</v>
      </c>
      <c r="BH103" s="11">
        <f t="shared" si="47"/>
        <v>-1458.5272196396609</v>
      </c>
      <c r="BI103" s="11">
        <f t="shared" si="47"/>
        <v>-1394.4082654417264</v>
      </c>
      <c r="BJ103" s="11">
        <f t="shared" si="47"/>
        <v>-1020.1108338432887</v>
      </c>
      <c r="BK103" s="11">
        <f t="shared" si="47"/>
        <v>1387.1692923571916</v>
      </c>
    </row>
    <row r="104" spans="2:63" x14ac:dyDescent="0.25">
      <c r="B104">
        <v>0</v>
      </c>
      <c r="C104">
        <v>1</v>
      </c>
      <c r="D104">
        <v>1</v>
      </c>
      <c r="E104">
        <v>-1</v>
      </c>
      <c r="F104">
        <v>-1410</v>
      </c>
      <c r="H104" s="34"/>
      <c r="I104" s="11">
        <f t="shared" si="43"/>
        <v>737.10459912132751</v>
      </c>
      <c r="J104" s="11">
        <f t="shared" si="43"/>
        <v>-1456.9118557031252</v>
      </c>
      <c r="K104" s="11">
        <f t="shared" si="43"/>
        <v>-891.55050502808194</v>
      </c>
      <c r="L104" s="11">
        <f t="shared" si="43"/>
        <v>-1392.4589862698258</v>
      </c>
      <c r="M104" s="11">
        <f t="shared" si="43"/>
        <v>-1210.2575284392799</v>
      </c>
      <c r="N104" s="11">
        <f t="shared" si="43"/>
        <v>1205.7923261684125</v>
      </c>
      <c r="O104" s="11">
        <f t="shared" si="43"/>
        <v>-1229.4350731782292</v>
      </c>
      <c r="P104" s="11">
        <f t="shared" si="43"/>
        <v>-16.643930574483303</v>
      </c>
      <c r="Q104" s="11">
        <f t="shared" si="43"/>
        <v>1373.069096588644</v>
      </c>
      <c r="R104" s="11">
        <f t="shared" si="43"/>
        <v>1258.8823848237789</v>
      </c>
      <c r="S104" s="11">
        <f t="shared" si="44"/>
        <v>1202.5801564928033</v>
      </c>
      <c r="T104" s="11">
        <f t="shared" si="44"/>
        <v>-1243.2513834327819</v>
      </c>
      <c r="U104" s="11">
        <f t="shared" si="44"/>
        <v>-540.93784019268196</v>
      </c>
      <c r="V104" s="11">
        <f t="shared" si="44"/>
        <v>-560.63587679660202</v>
      </c>
      <c r="W104" s="11">
        <f t="shared" si="44"/>
        <v>466.95048697890303</v>
      </c>
      <c r="X104" s="11">
        <f t="shared" si="44"/>
        <v>1179.3347762982298</v>
      </c>
      <c r="Y104" s="11">
        <f t="shared" si="44"/>
        <v>-1427.2727102655506</v>
      </c>
      <c r="Z104" s="11">
        <f t="shared" si="44"/>
        <v>1541.9758993443786</v>
      </c>
      <c r="AA104" s="11">
        <f t="shared" si="44"/>
        <v>20.956163609847209</v>
      </c>
      <c r="AB104" s="11">
        <f t="shared" si="44"/>
        <v>1255.4957291266412</v>
      </c>
      <c r="AC104" s="11">
        <f t="shared" si="45"/>
        <v>-420.13292822700231</v>
      </c>
      <c r="AD104" s="11">
        <f t="shared" si="45"/>
        <v>1397.9140049810908</v>
      </c>
      <c r="AE104" s="11">
        <f t="shared" si="45"/>
        <v>-883.69913521658157</v>
      </c>
      <c r="AF104" s="11">
        <f t="shared" si="45"/>
        <v>-1317.2571721691572</v>
      </c>
      <c r="AG104" s="11">
        <f t="shared" si="45"/>
        <v>11.250398608379179</v>
      </c>
      <c r="AH104" s="11">
        <f t="shared" si="45"/>
        <v>-1059.9003812330525</v>
      </c>
      <c r="AI104" s="11">
        <f t="shared" si="45"/>
        <v>-480.51437887829451</v>
      </c>
      <c r="AJ104" s="11">
        <f t="shared" si="45"/>
        <v>-1410.2450784075472</v>
      </c>
      <c r="AK104" s="11">
        <f t="shared" si="45"/>
        <v>-788.87707635587299</v>
      </c>
      <c r="AL104" s="11">
        <f t="shared" si="45"/>
        <v>1409.3091125785702</v>
      </c>
      <c r="AM104" s="11">
        <f t="shared" si="46"/>
        <v>1139.0664968579188</v>
      </c>
      <c r="AN104" s="11">
        <f t="shared" si="46"/>
        <v>441.91358528967049</v>
      </c>
      <c r="AO104" s="11">
        <f t="shared" si="46"/>
        <v>-305.51704973969805</v>
      </c>
      <c r="AP104" s="11">
        <f t="shared" si="46"/>
        <v>-1000.7950715665183</v>
      </c>
      <c r="AQ104" s="11">
        <f t="shared" si="46"/>
        <v>-736.43855024890229</v>
      </c>
      <c r="AR104" s="11">
        <f t="shared" si="46"/>
        <v>-1248.9783795604151</v>
      </c>
      <c r="AS104" s="11">
        <f t="shared" si="46"/>
        <v>467.6310143960481</v>
      </c>
      <c r="AT104" s="11">
        <f t="shared" si="46"/>
        <v>-437.0225935999834</v>
      </c>
      <c r="AU104" s="11">
        <f t="shared" si="46"/>
        <v>-570.04409590424973</v>
      </c>
      <c r="AV104" s="11">
        <f t="shared" si="46"/>
        <v>-694.55708111448507</v>
      </c>
      <c r="AW104" s="11">
        <f t="shared" si="47"/>
        <v>-827.11992086455234</v>
      </c>
      <c r="AX104" s="11">
        <f t="shared" si="47"/>
        <v>-1046.8529048898999</v>
      </c>
      <c r="AY104" s="11">
        <f t="shared" si="47"/>
        <v>376.08008406900308</v>
      </c>
      <c r="AZ104" s="11">
        <f t="shared" si="47"/>
        <v>-1210.0786161393214</v>
      </c>
      <c r="BA104" s="11">
        <f t="shared" si="47"/>
        <v>366.24321885804653</v>
      </c>
      <c r="BB104" s="11">
        <f t="shared" si="47"/>
        <v>162.23796013308367</v>
      </c>
      <c r="BC104" s="11">
        <f t="shared" si="47"/>
        <v>-1344.8075687598025</v>
      </c>
      <c r="BD104" s="11">
        <f t="shared" si="47"/>
        <v>-1350.7044813749183</v>
      </c>
      <c r="BE104" s="11">
        <f t="shared" si="47"/>
        <v>-1356.3239007550217</v>
      </c>
      <c r="BF104" s="11">
        <f t="shared" si="47"/>
        <v>-1361.6646724695784</v>
      </c>
      <c r="BG104" s="11">
        <f t="shared" si="47"/>
        <v>-1366.7256993345065</v>
      </c>
      <c r="BH104" s="11">
        <f t="shared" si="47"/>
        <v>-1371.5059416370045</v>
      </c>
      <c r="BI104" s="11">
        <f t="shared" si="47"/>
        <v>-1376.0044173496137</v>
      </c>
      <c r="BJ104" s="11">
        <f t="shared" si="47"/>
        <v>-1380.2202023323657</v>
      </c>
      <c r="BK104" s="11">
        <f t="shared" si="47"/>
        <v>-477.63935507757685</v>
      </c>
    </row>
    <row r="105" spans="2:63" x14ac:dyDescent="0.25">
      <c r="B105">
        <v>0</v>
      </c>
      <c r="C105">
        <v>1</v>
      </c>
      <c r="D105">
        <v>0</v>
      </c>
      <c r="E105">
        <v>-1</v>
      </c>
      <c r="F105">
        <v>-1344</v>
      </c>
      <c r="H105" s="34"/>
      <c r="I105" s="11">
        <f t="shared" si="43"/>
        <v>-250.25799580518088</v>
      </c>
      <c r="J105" s="11">
        <f t="shared" si="43"/>
        <v>-1038.5771712581247</v>
      </c>
      <c r="K105" s="11">
        <f t="shared" si="43"/>
        <v>1337.2541628180079</v>
      </c>
      <c r="L105" s="11">
        <f t="shared" si="43"/>
        <v>-1156.2405086623594</v>
      </c>
      <c r="M105" s="11">
        <f t="shared" si="43"/>
        <v>-1096.3465499941685</v>
      </c>
      <c r="N105" s="11">
        <f t="shared" si="43"/>
        <v>-270.60679122722598</v>
      </c>
      <c r="O105" s="11">
        <f t="shared" si="43"/>
        <v>538.28413440099484</v>
      </c>
      <c r="P105" s="11">
        <f t="shared" si="43"/>
        <v>-167.92954302828605</v>
      </c>
      <c r="Q105" s="11">
        <f t="shared" si="43"/>
        <v>436.30962189752</v>
      </c>
      <c r="R105" s="11">
        <f t="shared" si="43"/>
        <v>585.91227219092764</v>
      </c>
      <c r="S105" s="11">
        <f t="shared" si="44"/>
        <v>-1133.2132257413336</v>
      </c>
      <c r="T105" s="11">
        <f t="shared" si="44"/>
        <v>-408.76454272580702</v>
      </c>
      <c r="U105" s="11">
        <f t="shared" si="44"/>
        <v>-344.5378952069014</v>
      </c>
      <c r="V105" s="11">
        <f t="shared" si="44"/>
        <v>-626.93606836477272</v>
      </c>
      <c r="W105" s="11">
        <f t="shared" si="44"/>
        <v>1165.0886568084068</v>
      </c>
      <c r="X105" s="11">
        <f t="shared" si="44"/>
        <v>-1418.7482245312194</v>
      </c>
      <c r="Y105" s="11">
        <f t="shared" si="44"/>
        <v>1104.5600426814631</v>
      </c>
      <c r="Z105" s="11">
        <f t="shared" si="44"/>
        <v>1266.7863890093586</v>
      </c>
      <c r="AA105" s="11">
        <f t="shared" si="44"/>
        <v>1005.7906652441092</v>
      </c>
      <c r="AB105" s="11">
        <f t="shared" si="44"/>
        <v>1136.9264642049636</v>
      </c>
      <c r="AC105" s="11">
        <f t="shared" si="45"/>
        <v>734.18704997924385</v>
      </c>
      <c r="AD105" s="11">
        <f t="shared" si="45"/>
        <v>-1175.0253917920256</v>
      </c>
      <c r="AE105" s="11">
        <f t="shared" si="45"/>
        <v>1343.9706598591772</v>
      </c>
      <c r="AF105" s="11">
        <f t="shared" si="45"/>
        <v>-319.76203555883137</v>
      </c>
      <c r="AG105" s="11">
        <f t="shared" si="45"/>
        <v>-1343.5747642683154</v>
      </c>
      <c r="AH105" s="11">
        <f t="shared" si="45"/>
        <v>-80.55121977431665</v>
      </c>
      <c r="AI105" s="11">
        <f t="shared" si="45"/>
        <v>1276.555064935817</v>
      </c>
      <c r="AJ105" s="11">
        <f t="shared" si="45"/>
        <v>-718.86763458318717</v>
      </c>
      <c r="AK105" s="11">
        <f t="shared" si="45"/>
        <v>-772.87447889373186</v>
      </c>
      <c r="AL105" s="11">
        <f t="shared" si="45"/>
        <v>307.05820395861849</v>
      </c>
      <c r="AM105" s="11">
        <f t="shared" si="46"/>
        <v>-289.46348693427592</v>
      </c>
      <c r="AN105" s="11">
        <f t="shared" si="46"/>
        <v>793.03235574288692</v>
      </c>
      <c r="AO105" s="11">
        <f t="shared" si="46"/>
        <v>493.18116879714682</v>
      </c>
      <c r="AP105" s="11">
        <f t="shared" si="46"/>
        <v>-386.10671094270737</v>
      </c>
      <c r="AQ105" s="11">
        <f t="shared" si="46"/>
        <v>539.59041273077924</v>
      </c>
      <c r="AR105" s="11">
        <f t="shared" si="46"/>
        <v>-117.62975957778406</v>
      </c>
      <c r="AS105" s="11">
        <f t="shared" si="46"/>
        <v>-782.01812958273365</v>
      </c>
      <c r="AT105" s="11">
        <f t="shared" si="46"/>
        <v>-1120.9802900388108</v>
      </c>
      <c r="AU105" s="11">
        <f t="shared" si="46"/>
        <v>-809.22837803526215</v>
      </c>
      <c r="AV105" s="11">
        <f t="shared" si="46"/>
        <v>989.86290913378548</v>
      </c>
      <c r="AW105" s="11">
        <f t="shared" si="47"/>
        <v>807.47397347594745</v>
      </c>
      <c r="AX105" s="11">
        <f t="shared" si="47"/>
        <v>-817.78720735512184</v>
      </c>
      <c r="AY105" s="11">
        <f t="shared" si="47"/>
        <v>65.903509789562918</v>
      </c>
      <c r="AZ105" s="11">
        <f t="shared" si="47"/>
        <v>1331.173676217978</v>
      </c>
      <c r="BA105" s="11">
        <f t="shared" si="47"/>
        <v>-466.45035852673089</v>
      </c>
      <c r="BB105" s="11">
        <f t="shared" si="47"/>
        <v>-1100.4678252497183</v>
      </c>
      <c r="BC105" s="11">
        <f t="shared" si="47"/>
        <v>-675.50507226370087</v>
      </c>
      <c r="BD105" s="11">
        <f t="shared" si="47"/>
        <v>-413.92344065290104</v>
      </c>
      <c r="BE105" s="11">
        <f t="shared" si="47"/>
        <v>-133.51184490243841</v>
      </c>
      <c r="BF105" s="11">
        <f t="shared" si="47"/>
        <v>152.97336689379102</v>
      </c>
      <c r="BG105" s="11">
        <f t="shared" si="47"/>
        <v>432.49955046903301</v>
      </c>
      <c r="BH105" s="11">
        <f t="shared" si="47"/>
        <v>692.3506400217484</v>
      </c>
      <c r="BI105" s="11">
        <f t="shared" si="47"/>
        <v>920.70562114349798</v>
      </c>
      <c r="BJ105" s="11">
        <f t="shared" si="47"/>
        <v>1107.1762864288457</v>
      </c>
      <c r="BK105" s="11">
        <f t="shared" si="47"/>
        <v>1262.2321837296872</v>
      </c>
    </row>
    <row r="106" spans="2:63" x14ac:dyDescent="0.25">
      <c r="B106">
        <v>1</v>
      </c>
      <c r="C106">
        <v>0</v>
      </c>
      <c r="D106">
        <v>0</v>
      </c>
      <c r="E106">
        <v>-1</v>
      </c>
      <c r="F106">
        <v>-1335</v>
      </c>
      <c r="H106" s="34"/>
      <c r="I106" s="11">
        <f t="shared" si="43"/>
        <v>-643.81926920072726</v>
      </c>
      <c r="J106" s="11">
        <f t="shared" si="43"/>
        <v>-427.14659181163785</v>
      </c>
      <c r="K106" s="11">
        <f t="shared" si="43"/>
        <v>555.27079682808483</v>
      </c>
      <c r="L106" s="11">
        <f t="shared" si="43"/>
        <v>930.49503953533929</v>
      </c>
      <c r="M106" s="11">
        <f t="shared" si="43"/>
        <v>-1249.4093227775281</v>
      </c>
      <c r="N106" s="11">
        <f t="shared" si="43"/>
        <v>1313.3501633068879</v>
      </c>
      <c r="O106" s="11">
        <f t="shared" si="43"/>
        <v>-1026.8883157230341</v>
      </c>
      <c r="P106" s="11">
        <f t="shared" si="43"/>
        <v>1315.5380358118016</v>
      </c>
      <c r="Q106" s="11">
        <f t="shared" si="43"/>
        <v>479.14605221189458</v>
      </c>
      <c r="R106" s="11">
        <f t="shared" si="43"/>
        <v>-492.18898015116974</v>
      </c>
      <c r="S106" s="11">
        <f t="shared" si="44"/>
        <v>-59.273218249633992</v>
      </c>
      <c r="T106" s="11">
        <f t="shared" si="44"/>
        <v>1334.8433450229065</v>
      </c>
      <c r="U106" s="11">
        <f t="shared" si="44"/>
        <v>699.48928775874788</v>
      </c>
      <c r="V106" s="11">
        <f t="shared" si="44"/>
        <v>678.76368754405587</v>
      </c>
      <c r="W106" s="11">
        <f t="shared" si="44"/>
        <v>-1311.9559730159988</v>
      </c>
      <c r="X106" s="11">
        <f t="shared" si="44"/>
        <v>840.70568344737171</v>
      </c>
      <c r="Y106" s="11">
        <f t="shared" si="44"/>
        <v>-1175.0250772009135</v>
      </c>
      <c r="Z106" s="11">
        <f t="shared" si="44"/>
        <v>-1261.3902024852171</v>
      </c>
      <c r="AA106" s="11">
        <f t="shared" si="44"/>
        <v>149.87470917499741</v>
      </c>
      <c r="AB106" s="11">
        <f t="shared" si="44"/>
        <v>1282.9793940934503</v>
      </c>
      <c r="AC106" s="11">
        <f t="shared" si="45"/>
        <v>1185.3396382597127</v>
      </c>
      <c r="AD106" s="11">
        <f t="shared" si="45"/>
        <v>-1281.5951253425765</v>
      </c>
      <c r="AE106" s="11">
        <f t="shared" si="45"/>
        <v>566.25131976802174</v>
      </c>
      <c r="AF106" s="11">
        <f t="shared" si="45"/>
        <v>178.57314578328752</v>
      </c>
      <c r="AG106" s="11">
        <f t="shared" si="45"/>
        <v>1144.0666716193296</v>
      </c>
      <c r="AH106" s="11">
        <f t="shared" si="45"/>
        <v>840.81560173476259</v>
      </c>
      <c r="AI106" s="11">
        <f t="shared" si="45"/>
        <v>1148.3438820677557</v>
      </c>
      <c r="AJ106" s="11">
        <f t="shared" si="45"/>
        <v>180.60090725725658</v>
      </c>
      <c r="AK106" s="11">
        <f t="shared" si="45"/>
        <v>-1187.9026575272462</v>
      </c>
      <c r="AL106" s="11">
        <f t="shared" si="45"/>
        <v>898.439899012517</v>
      </c>
      <c r="AM106" s="11">
        <f t="shared" si="46"/>
        <v>1330.6570837031759</v>
      </c>
      <c r="AN106" s="11">
        <f t="shared" si="46"/>
        <v>768.19899433355079</v>
      </c>
      <c r="AO106" s="11">
        <f t="shared" si="46"/>
        <v>-1092.5715302601136</v>
      </c>
      <c r="AP106" s="11">
        <f t="shared" si="46"/>
        <v>-1080.6505126839718</v>
      </c>
      <c r="AQ106" s="11">
        <f t="shared" si="46"/>
        <v>-251.23215194700981</v>
      </c>
      <c r="AR106" s="11">
        <f t="shared" si="46"/>
        <v>-1287.1187716940635</v>
      </c>
      <c r="AS106" s="11">
        <f t="shared" si="46"/>
        <v>272.9490087346594</v>
      </c>
      <c r="AT106" s="11">
        <f t="shared" si="46"/>
        <v>875.67733858675876</v>
      </c>
      <c r="AU106" s="11">
        <f t="shared" si="46"/>
        <v>739.99819407351833</v>
      </c>
      <c r="AV106" s="11">
        <f t="shared" si="46"/>
        <v>595.54225346913768</v>
      </c>
      <c r="AW106" s="11">
        <f t="shared" si="47"/>
        <v>421.0841000752697</v>
      </c>
      <c r="AX106" s="11">
        <f t="shared" si="47"/>
        <v>73.686544111466446</v>
      </c>
      <c r="AY106" s="11">
        <f t="shared" si="47"/>
        <v>665.77307327096446</v>
      </c>
      <c r="AZ106" s="11">
        <f t="shared" si="47"/>
        <v>-231.48891698960261</v>
      </c>
      <c r="BA106" s="11">
        <f t="shared" si="47"/>
        <v>-420.79599426246949</v>
      </c>
      <c r="BB106" s="11">
        <f t="shared" si="47"/>
        <v>633.19258314716706</v>
      </c>
      <c r="BC106" s="11">
        <f t="shared" si="47"/>
        <v>-626.61970169169706</v>
      </c>
      <c r="BD106" s="11">
        <f t="shared" si="47"/>
        <v>-647.88372781409191</v>
      </c>
      <c r="BE106" s="11">
        <f t="shared" si="47"/>
        <v>-668.93487265575595</v>
      </c>
      <c r="BF106" s="11">
        <f t="shared" si="47"/>
        <v>-689.76621924243886</v>
      </c>
      <c r="BG106" s="11">
        <f t="shared" si="47"/>
        <v>-710.37092282196568</v>
      </c>
      <c r="BH106" s="11">
        <f t="shared" si="47"/>
        <v>-730.74221311238432</v>
      </c>
      <c r="BI106" s="11">
        <f t="shared" si="47"/>
        <v>-750.87339652541959</v>
      </c>
      <c r="BJ106" s="11">
        <f t="shared" si="47"/>
        <v>-770.75785836896102</v>
      </c>
      <c r="BK106" s="11">
        <f t="shared" si="47"/>
        <v>1150.2050685249669</v>
      </c>
    </row>
    <row r="107" spans="2:63" x14ac:dyDescent="0.25">
      <c r="B107">
        <v>0</v>
      </c>
      <c r="C107">
        <v>0</v>
      </c>
      <c r="D107">
        <v>3</v>
      </c>
      <c r="E107">
        <v>1</v>
      </c>
      <c r="F107">
        <v>1107</v>
      </c>
      <c r="H107" s="34"/>
      <c r="I107" s="11">
        <f t="shared" si="43"/>
        <v>-703.30799443283263</v>
      </c>
      <c r="J107" s="11">
        <f t="shared" si="43"/>
        <v>781.5253273669058</v>
      </c>
      <c r="K107" s="11">
        <f t="shared" si="43"/>
        <v>738.39451245611008</v>
      </c>
      <c r="L107" s="11">
        <f t="shared" si="43"/>
        <v>929.144265582907</v>
      </c>
      <c r="M107" s="11">
        <f t="shared" si="43"/>
        <v>-997.22843920065588</v>
      </c>
      <c r="N107" s="11">
        <f t="shared" si="43"/>
        <v>-505.31531056718575</v>
      </c>
      <c r="O107" s="11">
        <f t="shared" si="43"/>
        <v>-966.80891007400726</v>
      </c>
      <c r="P107" s="11">
        <f t="shared" si="43"/>
        <v>-790.05391508270441</v>
      </c>
      <c r="Q107" s="11">
        <f t="shared" si="43"/>
        <v>-481.41014335814555</v>
      </c>
      <c r="R107" s="11">
        <f t="shared" si="43"/>
        <v>1069.7846381319991</v>
      </c>
      <c r="S107" s="11">
        <f t="shared" si="44"/>
        <v>848.26438590941393</v>
      </c>
      <c r="T107" s="11">
        <f t="shared" si="44"/>
        <v>890.44060203681363</v>
      </c>
      <c r="U107" s="11">
        <f t="shared" si="44"/>
        <v>549.30889814316004</v>
      </c>
      <c r="V107" s="11">
        <f t="shared" si="44"/>
        <v>-426.74289332863566</v>
      </c>
      <c r="W107" s="11">
        <f t="shared" si="44"/>
        <v>-741.29348106817292</v>
      </c>
      <c r="X107" s="11">
        <f t="shared" si="44"/>
        <v>1059.2331110241475</v>
      </c>
      <c r="Y107" s="11">
        <f t="shared" si="44"/>
        <v>-727.52966408304781</v>
      </c>
      <c r="Z107" s="11">
        <f t="shared" si="44"/>
        <v>-361.54591700549412</v>
      </c>
      <c r="AA107" s="11">
        <f t="shared" si="44"/>
        <v>1031.7709240457386</v>
      </c>
      <c r="AB107" s="11">
        <f t="shared" si="44"/>
        <v>-910.57756251960177</v>
      </c>
      <c r="AC107" s="11">
        <f t="shared" si="45"/>
        <v>-805.40253986980963</v>
      </c>
      <c r="AD107" s="11">
        <f t="shared" si="45"/>
        <v>-759.86589267429679</v>
      </c>
      <c r="AE107" s="11">
        <f t="shared" si="45"/>
        <v>1026.7531568393781</v>
      </c>
      <c r="AF107" s="11">
        <f t="shared" si="45"/>
        <v>-599.97997374327997</v>
      </c>
      <c r="AG107" s="11">
        <f t="shared" si="45"/>
        <v>696.96986972328295</v>
      </c>
      <c r="AH107" s="11">
        <f t="shared" si="45"/>
        <v>876.58247893858686</v>
      </c>
      <c r="AI107" s="11">
        <f t="shared" si="45"/>
        <v>584.63770777730679</v>
      </c>
      <c r="AJ107" s="11">
        <f t="shared" si="45"/>
        <v>892.46989730979783</v>
      </c>
      <c r="AK107" s="11">
        <f t="shared" si="45"/>
        <v>352.7445197937173</v>
      </c>
      <c r="AL107" s="11">
        <f t="shared" si="45"/>
        <v>1104.5866583030888</v>
      </c>
      <c r="AM107" s="11">
        <f t="shared" si="46"/>
        <v>354.45369209351873</v>
      </c>
      <c r="AN107" s="11">
        <f t="shared" si="46"/>
        <v>-490.21227020967962</v>
      </c>
      <c r="AO107" s="11">
        <f t="shared" si="46"/>
        <v>930.2207728921627</v>
      </c>
      <c r="AP107" s="11">
        <f t="shared" si="46"/>
        <v>-889.57865814859235</v>
      </c>
      <c r="AQ107" s="11">
        <f t="shared" si="46"/>
        <v>-619.44535649275019</v>
      </c>
      <c r="AR107" s="11">
        <f t="shared" si="46"/>
        <v>1070.8354177553406</v>
      </c>
      <c r="AS107" s="11">
        <f t="shared" si="46"/>
        <v>738.76582945235521</v>
      </c>
      <c r="AT107" s="11">
        <f t="shared" si="46"/>
        <v>-29.328451593182535</v>
      </c>
      <c r="AU107" s="11">
        <f t="shared" si="46"/>
        <v>-218.82408750761903</v>
      </c>
      <c r="AV107" s="11">
        <f t="shared" si="46"/>
        <v>-254.1839721768755</v>
      </c>
      <c r="AW107" s="11">
        <f t="shared" si="47"/>
        <v>-982.02656719170977</v>
      </c>
      <c r="AX107" s="11">
        <f t="shared" si="47"/>
        <v>-1034.4679102043813</v>
      </c>
      <c r="AY107" s="11">
        <f t="shared" si="47"/>
        <v>1028.4336791837056</v>
      </c>
      <c r="AZ107" s="11">
        <f t="shared" si="47"/>
        <v>1104.8418909880882</v>
      </c>
      <c r="BA107" s="11">
        <f t="shared" si="47"/>
        <v>-914.05522642039</v>
      </c>
      <c r="BB107" s="11">
        <f t="shared" si="47"/>
        <v>378.68729548680278</v>
      </c>
      <c r="BC107" s="11">
        <f t="shared" si="47"/>
        <v>991.43085615272344</v>
      </c>
      <c r="BD107" s="11">
        <f t="shared" si="47"/>
        <v>994.87924450174148</v>
      </c>
      <c r="BE107" s="11">
        <f t="shared" si="47"/>
        <v>221.94114311250974</v>
      </c>
      <c r="BF107" s="11">
        <f t="shared" si="47"/>
        <v>-724.19597311375708</v>
      </c>
      <c r="BG107" s="11">
        <f t="shared" si="47"/>
        <v>-1105.1831251047436</v>
      </c>
      <c r="BH107" s="11">
        <f t="shared" si="47"/>
        <v>-623.70455398014235</v>
      </c>
      <c r="BI107" s="11">
        <f t="shared" si="47"/>
        <v>344.50222257932694</v>
      </c>
      <c r="BJ107" s="11">
        <f t="shared" si="47"/>
        <v>1043.8654457383498</v>
      </c>
      <c r="BK107" s="11">
        <f t="shared" si="47"/>
        <v>449.45834973792688</v>
      </c>
    </row>
    <row r="108" spans="2:63" x14ac:dyDescent="0.25">
      <c r="B108">
        <v>4</v>
      </c>
      <c r="C108">
        <v>0</v>
      </c>
      <c r="D108">
        <v>0</v>
      </c>
      <c r="E108">
        <v>-1</v>
      </c>
      <c r="F108">
        <v>1021</v>
      </c>
      <c r="H108" s="34"/>
      <c r="I108" s="11">
        <f t="shared" si="43"/>
        <v>888.77286081430884</v>
      </c>
      <c r="J108" s="11">
        <f t="shared" si="43"/>
        <v>-283.48844661457667</v>
      </c>
      <c r="K108" s="11">
        <f t="shared" si="43"/>
        <v>317.68626528576698</v>
      </c>
      <c r="L108" s="11">
        <f t="shared" si="43"/>
        <v>-167.09017018499705</v>
      </c>
      <c r="M108" s="11">
        <f t="shared" si="43"/>
        <v>-503.00720770343628</v>
      </c>
      <c r="N108" s="11">
        <f t="shared" si="43"/>
        <v>503.73479136253712</v>
      </c>
      <c r="O108" s="11">
        <f t="shared" si="43"/>
        <v>-344.75759349821794</v>
      </c>
      <c r="P108" s="11">
        <f t="shared" si="43"/>
        <v>985.64120941921658</v>
      </c>
      <c r="Q108" s="11">
        <f t="shared" si="43"/>
        <v>-518.75029146288091</v>
      </c>
      <c r="R108" s="11">
        <f t="shared" si="43"/>
        <v>-369.01855111374641</v>
      </c>
      <c r="S108" s="11">
        <f t="shared" si="44"/>
        <v>-525.38237310955355</v>
      </c>
      <c r="T108" s="11">
        <f t="shared" si="44"/>
        <v>-778.15893096601405</v>
      </c>
      <c r="U108" s="11">
        <f t="shared" si="44"/>
        <v>995.24705708385738</v>
      </c>
      <c r="V108" s="11">
        <f t="shared" si="44"/>
        <v>942.33964792014751</v>
      </c>
      <c r="W108" s="11">
        <f t="shared" si="44"/>
        <v>-870.57258684889757</v>
      </c>
      <c r="X108" s="11">
        <f t="shared" si="44"/>
        <v>-386.11760540002689</v>
      </c>
      <c r="Y108" s="11">
        <f t="shared" si="44"/>
        <v>961.81082286354058</v>
      </c>
      <c r="Z108" s="11">
        <f t="shared" si="44"/>
        <v>986.58549529374602</v>
      </c>
      <c r="AA108" s="11">
        <f t="shared" si="44"/>
        <v>714.87201940393777</v>
      </c>
      <c r="AB108" s="11">
        <f t="shared" si="44"/>
        <v>-841.22581386319803</v>
      </c>
      <c r="AC108" s="11">
        <f t="shared" si="45"/>
        <v>911.75154272761642</v>
      </c>
      <c r="AD108" s="11">
        <f t="shared" si="45"/>
        <v>1000.1840767853021</v>
      </c>
      <c r="AE108" s="11">
        <f t="shared" si="45"/>
        <v>6.4480611771799712</v>
      </c>
      <c r="AF108" s="11">
        <f t="shared" si="45"/>
        <v>421.33706313320522</v>
      </c>
      <c r="AG108" s="11">
        <f t="shared" si="45"/>
        <v>969.25240787116491</v>
      </c>
      <c r="AH108" s="11">
        <f t="shared" si="45"/>
        <v>412.69133681423466</v>
      </c>
      <c r="AI108" s="11">
        <f t="shared" si="45"/>
        <v>-767.27131542337713</v>
      </c>
      <c r="AJ108" s="11">
        <f t="shared" si="45"/>
        <v>-176.56373296579758</v>
      </c>
      <c r="AK108" s="11">
        <f t="shared" si="45"/>
        <v>-935.10338943923773</v>
      </c>
      <c r="AL108" s="11">
        <f t="shared" si="45"/>
        <v>686.46236772198915</v>
      </c>
      <c r="AM108" s="11">
        <f t="shared" si="46"/>
        <v>-425.17475205431595</v>
      </c>
      <c r="AN108" s="11">
        <f t="shared" si="46"/>
        <v>-355.88617246422325</v>
      </c>
      <c r="AO108" s="11">
        <f t="shared" si="46"/>
        <v>-993.82152221036142</v>
      </c>
      <c r="AP108" s="11">
        <f t="shared" si="46"/>
        <v>638.3568986781454</v>
      </c>
      <c r="AQ108" s="11">
        <f t="shared" si="46"/>
        <v>1016.3429396038401</v>
      </c>
      <c r="AR108" s="11">
        <f t="shared" si="46"/>
        <v>149.29378950400326</v>
      </c>
      <c r="AS108" s="11">
        <f t="shared" si="46"/>
        <v>-533.39875159242433</v>
      </c>
      <c r="AT108" s="11">
        <f t="shared" si="46"/>
        <v>-611.69008300168991</v>
      </c>
      <c r="AU108" s="11">
        <f t="shared" si="46"/>
        <v>973.66078085232868</v>
      </c>
      <c r="AV108" s="11">
        <f t="shared" si="46"/>
        <v>-128.02579284977486</v>
      </c>
      <c r="AW108" s="11">
        <f t="shared" si="47"/>
        <v>-1020.9948998113302</v>
      </c>
      <c r="AX108" s="11">
        <f t="shared" si="47"/>
        <v>965.20668644261286</v>
      </c>
      <c r="AY108" s="11">
        <f t="shared" si="47"/>
        <v>-489.6328959243761</v>
      </c>
      <c r="AZ108" s="11">
        <f t="shared" si="47"/>
        <v>-575.42970978203971</v>
      </c>
      <c r="BA108" s="11">
        <f t="shared" si="47"/>
        <v>318.89310205288319</v>
      </c>
      <c r="BB108" s="11">
        <f t="shared" si="47"/>
        <v>655.55562077779609</v>
      </c>
      <c r="BC108" s="11">
        <f t="shared" si="47"/>
        <v>856.0932152534217</v>
      </c>
      <c r="BD108" s="11">
        <f t="shared" si="47"/>
        <v>1020.0172179785073</v>
      </c>
      <c r="BE108" s="11">
        <f t="shared" si="47"/>
        <v>804.03451871834784</v>
      </c>
      <c r="BF108" s="11">
        <f t="shared" si="47"/>
        <v>288.58814678206909</v>
      </c>
      <c r="BG108" s="11">
        <f t="shared" si="47"/>
        <v>-334.34324515547587</v>
      </c>
      <c r="BH108" s="11">
        <f t="shared" si="47"/>
        <v>-832.74807287392355</v>
      </c>
      <c r="BI108" s="11">
        <f t="shared" si="47"/>
        <v>-1020.9948283830897</v>
      </c>
      <c r="BJ108" s="11">
        <f t="shared" si="47"/>
        <v>-828.9707696765704</v>
      </c>
      <c r="BK108" s="11">
        <f t="shared" si="47"/>
        <v>-700.84849485470136</v>
      </c>
    </row>
    <row r="109" spans="2:63" x14ac:dyDescent="0.25">
      <c r="B109" s="35">
        <v>4</v>
      </c>
      <c r="C109" s="35">
        <v>0</v>
      </c>
      <c r="D109" s="35">
        <v>-1</v>
      </c>
      <c r="E109" s="35">
        <v>1</v>
      </c>
      <c r="F109" s="35">
        <v>883</v>
      </c>
      <c r="H109" s="36"/>
      <c r="I109" s="11">
        <f t="shared" si="43"/>
        <v>853.97050141601051</v>
      </c>
      <c r="J109" s="11">
        <f t="shared" si="43"/>
        <v>880.3660397022386</v>
      </c>
      <c r="K109" s="11">
        <f t="shared" si="43"/>
        <v>828.20653530434436</v>
      </c>
      <c r="L109" s="11">
        <f t="shared" si="43"/>
        <v>-103.96412642877114</v>
      </c>
      <c r="M109" s="11">
        <f t="shared" si="43"/>
        <v>673.62488051832372</v>
      </c>
      <c r="N109" s="11">
        <f t="shared" si="43"/>
        <v>-662.79281287285858</v>
      </c>
      <c r="O109" s="11">
        <f t="shared" si="43"/>
        <v>-172.03457125806116</v>
      </c>
      <c r="P109" s="11">
        <f t="shared" si="43"/>
        <v>-552.90509772411451</v>
      </c>
      <c r="Q109" s="11">
        <f t="shared" si="43"/>
        <v>783.64406260884073</v>
      </c>
      <c r="R109" s="11">
        <f t="shared" si="43"/>
        <v>802.38680568367442</v>
      </c>
      <c r="S109" s="11">
        <f t="shared" si="44"/>
        <v>-857.4646727823939</v>
      </c>
      <c r="T109" s="11">
        <f t="shared" si="44"/>
        <v>687.62158850078401</v>
      </c>
      <c r="U109" s="11">
        <f t="shared" si="44"/>
        <v>-689.27165319623032</v>
      </c>
      <c r="V109" s="11">
        <f t="shared" si="44"/>
        <v>-36.796964216314016</v>
      </c>
      <c r="W109" s="11">
        <f t="shared" si="44"/>
        <v>-48.919908685689954</v>
      </c>
      <c r="X109" s="11">
        <f t="shared" si="44"/>
        <v>875.32976472735038</v>
      </c>
      <c r="Y109" s="11">
        <f t="shared" si="44"/>
        <v>-859.3507985032561</v>
      </c>
      <c r="Z109" s="11">
        <f t="shared" si="44"/>
        <v>708.94332545736677</v>
      </c>
      <c r="AA109" s="11">
        <f t="shared" si="44"/>
        <v>863.77509662909722</v>
      </c>
      <c r="AB109" s="11">
        <f t="shared" si="44"/>
        <v>-675.3451530517641</v>
      </c>
      <c r="AC109" s="11">
        <f t="shared" si="45"/>
        <v>-533.91240660983055</v>
      </c>
      <c r="AD109" s="11">
        <f t="shared" si="45"/>
        <v>788.54194947018607</v>
      </c>
      <c r="AE109" s="11">
        <f t="shared" si="45"/>
        <v>627.04800889563091</v>
      </c>
      <c r="AF109" s="11">
        <f t="shared" si="45"/>
        <v>791.5635509814058</v>
      </c>
      <c r="AG109" s="11">
        <f t="shared" si="45"/>
        <v>793.15267695104455</v>
      </c>
      <c r="AH109" s="11">
        <f t="shared" si="45"/>
        <v>-736.4713764237016</v>
      </c>
      <c r="AI109" s="11">
        <f t="shared" si="45"/>
        <v>174.25919591278043</v>
      </c>
      <c r="AJ109" s="11">
        <f t="shared" si="45"/>
        <v>565.23187492262184</v>
      </c>
      <c r="AK109" s="11">
        <f t="shared" si="45"/>
        <v>-648.49874674479679</v>
      </c>
      <c r="AL109" s="11">
        <f t="shared" si="45"/>
        <v>471.21111000914487</v>
      </c>
      <c r="AM109" s="11">
        <f t="shared" si="46"/>
        <v>657.15287433084586</v>
      </c>
      <c r="AN109" s="11">
        <f t="shared" si="46"/>
        <v>275.96700463484888</v>
      </c>
      <c r="AO109" s="11">
        <f t="shared" si="46"/>
        <v>-820.23488539123207</v>
      </c>
      <c r="AP109" s="11">
        <f t="shared" si="46"/>
        <v>549.48243193228984</v>
      </c>
      <c r="AQ109" s="11">
        <f t="shared" si="46"/>
        <v>225.87276252197077</v>
      </c>
      <c r="AR109" s="11">
        <f t="shared" si="46"/>
        <v>781.60009744139268</v>
      </c>
      <c r="AS109" s="11">
        <f t="shared" si="46"/>
        <v>643.23396103261837</v>
      </c>
      <c r="AT109" s="11">
        <f t="shared" si="46"/>
        <v>-743.88562641203464</v>
      </c>
      <c r="AU109" s="11">
        <f t="shared" si="46"/>
        <v>-597.79128496462613</v>
      </c>
      <c r="AV109" s="11">
        <f t="shared" si="46"/>
        <v>-306.98481516177532</v>
      </c>
      <c r="AW109" s="11">
        <f t="shared" si="47"/>
        <v>-594.08173928773613</v>
      </c>
      <c r="AX109" s="11">
        <f t="shared" si="47"/>
        <v>-560.16934717204936</v>
      </c>
      <c r="AY109" s="11">
        <f t="shared" si="47"/>
        <v>292.7241325172854</v>
      </c>
      <c r="AZ109" s="11">
        <f t="shared" si="47"/>
        <v>771.23798429603744</v>
      </c>
      <c r="BA109" s="11">
        <f t="shared" si="47"/>
        <v>252.87523661417518</v>
      </c>
      <c r="BB109" s="11">
        <f t="shared" si="47"/>
        <v>-831.85565418804515</v>
      </c>
      <c r="BC109" s="11">
        <f t="shared" si="47"/>
        <v>-813.97895145400537</v>
      </c>
      <c r="BD109" s="11">
        <f t="shared" si="47"/>
        <v>-792.80258315973037</v>
      </c>
      <c r="BE109" s="11">
        <f t="shared" si="47"/>
        <v>-227.78808215252747</v>
      </c>
      <c r="BF109" s="11">
        <f t="shared" si="47"/>
        <v>493.48202130013613</v>
      </c>
      <c r="BG109" s="11">
        <f t="shared" si="47"/>
        <v>876.23867046816429</v>
      </c>
      <c r="BH109" s="11">
        <f t="shared" si="47"/>
        <v>657.92260307552522</v>
      </c>
      <c r="BI109" s="11">
        <f t="shared" si="47"/>
        <v>-11.70808857061275</v>
      </c>
      <c r="BJ109" s="11">
        <f t="shared" si="47"/>
        <v>-673.30739237461182</v>
      </c>
      <c r="BK109" s="11">
        <f t="shared" si="47"/>
        <v>61.383550391538243</v>
      </c>
    </row>
    <row r="110" spans="2:63" x14ac:dyDescent="0.25">
      <c r="B110">
        <v>0</v>
      </c>
      <c r="C110">
        <v>0</v>
      </c>
      <c r="D110">
        <v>1</v>
      </c>
      <c r="E110">
        <v>-3</v>
      </c>
      <c r="F110">
        <v>777</v>
      </c>
      <c r="H110" s="34"/>
      <c r="I110" s="11">
        <f t="shared" ref="I110:R119" si="48">IF(ABS($C110)=1,I$7,IF(ABS($C110)=2,I$7^2,1))*  $F110  *  SIN(($B110*I$2  +  $C110*I$3 + $D110*I$4 + $E110*I$5)*Deg2Rad)</f>
        <v>-435.12022507148305</v>
      </c>
      <c r="J110" s="11">
        <f t="shared" si="48"/>
        <v>-135.64895901383682</v>
      </c>
      <c r="K110" s="11">
        <f t="shared" si="48"/>
        <v>-447.3016353807721</v>
      </c>
      <c r="L110" s="11">
        <f t="shared" si="48"/>
        <v>-557.7455809934504</v>
      </c>
      <c r="M110" s="11">
        <f t="shared" si="48"/>
        <v>-655.03986426557492</v>
      </c>
      <c r="N110" s="11">
        <f t="shared" si="48"/>
        <v>769.67971828555312</v>
      </c>
      <c r="O110" s="11">
        <f t="shared" si="48"/>
        <v>-635.53364763467755</v>
      </c>
      <c r="P110" s="11">
        <f t="shared" si="48"/>
        <v>659.57761020826047</v>
      </c>
      <c r="Q110" s="11">
        <f t="shared" si="48"/>
        <v>-725.5863371655721</v>
      </c>
      <c r="R110" s="11">
        <f t="shared" si="48"/>
        <v>-295.5402702736049</v>
      </c>
      <c r="S110" s="11">
        <f t="shared" ref="S110:AB119" si="49">IF(ABS($C110)=1,S$7,IF(ABS($C110)=2,S$7^2,1))*  $F110  *  SIN(($B110*S$2  +  $C110*S$3 + $D110*S$4 + $E110*S$5)*Deg2Rad)</f>
        <v>-262.86349990281201</v>
      </c>
      <c r="T110" s="11">
        <f t="shared" si="49"/>
        <v>304.563601446814</v>
      </c>
      <c r="U110" s="11">
        <f t="shared" si="49"/>
        <v>-773.86283539413364</v>
      </c>
      <c r="V110" s="11">
        <f t="shared" si="49"/>
        <v>-660.5559789476971</v>
      </c>
      <c r="W110" s="11">
        <f t="shared" si="49"/>
        <v>647.1248897253422</v>
      </c>
      <c r="X110" s="11">
        <f t="shared" si="49"/>
        <v>752.54606384240981</v>
      </c>
      <c r="Y110" s="11">
        <f t="shared" si="49"/>
        <v>-761.61002578173668</v>
      </c>
      <c r="Z110" s="11">
        <f t="shared" si="49"/>
        <v>-759.94552875369834</v>
      </c>
      <c r="AA110" s="11">
        <f t="shared" si="49"/>
        <v>277.76134184602989</v>
      </c>
      <c r="AB110" s="11">
        <f t="shared" si="49"/>
        <v>706.93679002013539</v>
      </c>
      <c r="AC110" s="11">
        <f t="shared" ref="AC110:AL119" si="50">IF(ABS($C110)=1,AC$7,IF(ABS($C110)=2,AC$7^2,1))*  $F110  *  SIN(($B110*AC$2  +  $C110*AC$3 + $D110*AC$4 + $E110*AC$5)*Deg2Rad)</f>
        <v>-55.652839090946657</v>
      </c>
      <c r="AD110" s="11">
        <f t="shared" si="50"/>
        <v>589.07946577395921</v>
      </c>
      <c r="AE110" s="11">
        <f t="shared" si="50"/>
        <v>-581.56678802572594</v>
      </c>
      <c r="AF110" s="11">
        <f t="shared" si="50"/>
        <v>-728.71183967135801</v>
      </c>
      <c r="AG110" s="11">
        <f t="shared" si="50"/>
        <v>443.2284708935303</v>
      </c>
      <c r="AH110" s="11">
        <f t="shared" si="50"/>
        <v>60.44021679147113</v>
      </c>
      <c r="AI110" s="11">
        <f t="shared" si="50"/>
        <v>764.68659261377195</v>
      </c>
      <c r="AJ110" s="11">
        <f t="shared" si="50"/>
        <v>-220.30401296271467</v>
      </c>
      <c r="AK110" s="11">
        <f t="shared" si="50"/>
        <v>-350.80415670997888</v>
      </c>
      <c r="AL110" s="11">
        <f t="shared" si="50"/>
        <v>614.86959972186071</v>
      </c>
      <c r="AM110" s="11">
        <f t="shared" ref="AM110:AV119" si="51">IF(ABS($C110)=1,AM$7,IF(ABS($C110)=2,AM$7^2,1))*  $F110  *  SIN(($B110*AM$2  +  $C110*AM$3 + $D110*AM$4 + $E110*AM$5)*Deg2Rad)</f>
        <v>-22.572076100003013</v>
      </c>
      <c r="AN110" s="11">
        <f t="shared" si="51"/>
        <v>-759.37337674715138</v>
      </c>
      <c r="AO110" s="11">
        <f t="shared" si="51"/>
        <v>-384.57129141326374</v>
      </c>
      <c r="AP110" s="11">
        <f t="shared" si="51"/>
        <v>668.62631666230584</v>
      </c>
      <c r="AQ110" s="11">
        <f t="shared" si="51"/>
        <v>-774.74545015404192</v>
      </c>
      <c r="AR110" s="11">
        <f t="shared" si="51"/>
        <v>-170.09405362063541</v>
      </c>
      <c r="AS110" s="11">
        <f t="shared" si="51"/>
        <v>462.34239949462216</v>
      </c>
      <c r="AT110" s="11">
        <f t="shared" si="51"/>
        <v>-288.44959723075942</v>
      </c>
      <c r="AU110" s="11">
        <f t="shared" si="51"/>
        <v>187.33298275161582</v>
      </c>
      <c r="AV110" s="11">
        <f t="shared" si="51"/>
        <v>-137.30509919219213</v>
      </c>
      <c r="AW110" s="11">
        <f t="shared" ref="AW110:BK119" si="52">IF(ABS($C110)=1,AW$7,IF(ABS($C110)=2,AW$7^2,1))*  $F110  *  SIN(($B110*AW$2  +  $C110*AW$3 + $D110*AW$4 + $E110*AW$5)*Deg2Rad)</f>
        <v>-235.56115485075134</v>
      </c>
      <c r="AX110" s="11">
        <f t="shared" si="52"/>
        <v>-575.98886184923504</v>
      </c>
      <c r="AY110" s="11">
        <f t="shared" si="52"/>
        <v>-760.99602893713086</v>
      </c>
      <c r="AZ110" s="11">
        <f t="shared" si="52"/>
        <v>-606.42725099719155</v>
      </c>
      <c r="BA110" s="11">
        <f t="shared" si="52"/>
        <v>265.61271113435402</v>
      </c>
      <c r="BB110" s="11">
        <f t="shared" si="52"/>
        <v>551.46535099196387</v>
      </c>
      <c r="BC110" s="11">
        <f t="shared" si="52"/>
        <v>-624.3235123814361</v>
      </c>
      <c r="BD110" s="11">
        <f t="shared" si="52"/>
        <v>-350.85320315349378</v>
      </c>
      <c r="BE110" s="11">
        <f t="shared" si="52"/>
        <v>-2.9837514647588974</v>
      </c>
      <c r="BF110" s="11">
        <f t="shared" si="52"/>
        <v>345.51841085084834</v>
      </c>
      <c r="BG110" s="11">
        <f t="shared" si="52"/>
        <v>620.75268437242335</v>
      </c>
      <c r="BH110" s="11">
        <f t="shared" si="52"/>
        <v>764.35507600711128</v>
      </c>
      <c r="BI110" s="11">
        <f t="shared" si="52"/>
        <v>745.87440361763026</v>
      </c>
      <c r="BJ110" s="11">
        <f t="shared" si="52"/>
        <v>569.22953174794327</v>
      </c>
      <c r="BK110" s="11">
        <f t="shared" si="52"/>
        <v>753.13189439781559</v>
      </c>
    </row>
    <row r="111" spans="2:63" x14ac:dyDescent="0.25">
      <c r="B111">
        <v>4</v>
      </c>
      <c r="C111">
        <v>0</v>
      </c>
      <c r="D111">
        <v>-2</v>
      </c>
      <c r="E111">
        <v>1</v>
      </c>
      <c r="F111">
        <v>671</v>
      </c>
      <c r="H111" s="34"/>
      <c r="I111" s="11">
        <f t="shared" si="48"/>
        <v>-546.31540145388635</v>
      </c>
      <c r="J111" s="11">
        <f t="shared" si="48"/>
        <v>482.34552674826131</v>
      </c>
      <c r="K111" s="11">
        <f t="shared" si="48"/>
        <v>-609.38333401591581</v>
      </c>
      <c r="L111" s="11">
        <f t="shared" si="48"/>
        <v>364.93015167387756</v>
      </c>
      <c r="M111" s="11">
        <f t="shared" si="48"/>
        <v>476.56138291136733</v>
      </c>
      <c r="N111" s="11">
        <f t="shared" si="48"/>
        <v>-586.8444352624681</v>
      </c>
      <c r="O111" s="11">
        <f t="shared" si="48"/>
        <v>-667.92036912931417</v>
      </c>
      <c r="P111" s="11">
        <f t="shared" si="48"/>
        <v>487.68968881043071</v>
      </c>
      <c r="Q111" s="11">
        <f t="shared" si="48"/>
        <v>581.56567768009563</v>
      </c>
      <c r="R111" s="11">
        <f t="shared" si="48"/>
        <v>-304.29087474128517</v>
      </c>
      <c r="S111" s="11">
        <f t="shared" si="49"/>
        <v>654.33497977268121</v>
      </c>
      <c r="T111" s="11">
        <f t="shared" si="49"/>
        <v>-533.14059034367324</v>
      </c>
      <c r="U111" s="11">
        <f t="shared" si="49"/>
        <v>670.00268407246051</v>
      </c>
      <c r="V111" s="11">
        <f t="shared" si="49"/>
        <v>521.56332548251419</v>
      </c>
      <c r="W111" s="11">
        <f t="shared" si="49"/>
        <v>649.41254222996645</v>
      </c>
      <c r="X111" s="11">
        <f t="shared" si="49"/>
        <v>-622.43205949117771</v>
      </c>
      <c r="Y111" s="11">
        <f t="shared" si="49"/>
        <v>472.99227531066828</v>
      </c>
      <c r="Z111" s="11">
        <f t="shared" si="49"/>
        <v>654.00684205025027</v>
      </c>
      <c r="AA111" s="11">
        <f t="shared" si="49"/>
        <v>-533.75616611748046</v>
      </c>
      <c r="AB111" s="11">
        <f t="shared" si="49"/>
        <v>-549.93789303578183</v>
      </c>
      <c r="AC111" s="11">
        <f t="shared" si="50"/>
        <v>153.34967175486884</v>
      </c>
      <c r="AD111" s="11">
        <f t="shared" si="50"/>
        <v>-662.38661407787617</v>
      </c>
      <c r="AE111" s="11">
        <f t="shared" si="50"/>
        <v>-666.25918597587395</v>
      </c>
      <c r="AF111" s="11">
        <f t="shared" si="50"/>
        <v>99.297585171287125</v>
      </c>
      <c r="AG111" s="11">
        <f t="shared" si="50"/>
        <v>-324.14943339149255</v>
      </c>
      <c r="AH111" s="11">
        <f t="shared" si="50"/>
        <v>635.68490660122836</v>
      </c>
      <c r="AI111" s="11">
        <f t="shared" si="50"/>
        <v>-661.21493221277512</v>
      </c>
      <c r="AJ111" s="11">
        <f t="shared" si="50"/>
        <v>-204.31608743165515</v>
      </c>
      <c r="AK111" s="11">
        <f t="shared" si="50"/>
        <v>601.18745712814064</v>
      </c>
      <c r="AL111" s="11">
        <f t="shared" si="50"/>
        <v>642.06959959372205</v>
      </c>
      <c r="AM111" s="11">
        <f t="shared" si="51"/>
        <v>-670.9772992344524</v>
      </c>
      <c r="AN111" s="11">
        <f t="shared" si="51"/>
        <v>395.38728135754457</v>
      </c>
      <c r="AO111" s="11">
        <f t="shared" si="51"/>
        <v>-655.97343000289436</v>
      </c>
      <c r="AP111" s="11">
        <f t="shared" si="51"/>
        <v>266.61026033048898</v>
      </c>
      <c r="AQ111" s="11">
        <f t="shared" si="51"/>
        <v>-416.86034494252937</v>
      </c>
      <c r="AR111" s="11">
        <f t="shared" si="51"/>
        <v>583.42226691485075</v>
      </c>
      <c r="AS111" s="11">
        <f t="shared" si="51"/>
        <v>-63.76186083979961</v>
      </c>
      <c r="AT111" s="11">
        <f t="shared" si="51"/>
        <v>-198.80722127389856</v>
      </c>
      <c r="AU111" s="11">
        <f t="shared" si="51"/>
        <v>-554.93334443259198</v>
      </c>
      <c r="AV111" s="11">
        <f t="shared" si="51"/>
        <v>560.54254252238457</v>
      </c>
      <c r="AW111" s="11">
        <f t="shared" si="52"/>
        <v>460.1391618783544</v>
      </c>
      <c r="AX111" s="11">
        <f t="shared" si="52"/>
        <v>-324.3075584864506</v>
      </c>
      <c r="AY111" s="11">
        <f t="shared" si="52"/>
        <v>78.407939402787733</v>
      </c>
      <c r="AZ111" s="11">
        <f t="shared" si="52"/>
        <v>-412.33805944805431</v>
      </c>
      <c r="BA111" s="11">
        <f t="shared" si="52"/>
        <v>528.35510166604843</v>
      </c>
      <c r="BB111" s="11">
        <f t="shared" si="52"/>
        <v>-499.58053709146691</v>
      </c>
      <c r="BC111" s="11">
        <f t="shared" si="52"/>
        <v>-281.16803286914029</v>
      </c>
      <c r="BD111" s="11">
        <f t="shared" si="52"/>
        <v>-584.78913398439761</v>
      </c>
      <c r="BE111" s="11">
        <f t="shared" si="52"/>
        <v>-666.68939251407687</v>
      </c>
      <c r="BF111" s="11">
        <f t="shared" si="52"/>
        <v>-495.81659959567185</v>
      </c>
      <c r="BG111" s="11">
        <f t="shared" si="52"/>
        <v>-136.95660267348492</v>
      </c>
      <c r="BH111" s="11">
        <f t="shared" si="52"/>
        <v>273.83003169239208</v>
      </c>
      <c r="BI111" s="11">
        <f t="shared" si="52"/>
        <v>580.79492618264476</v>
      </c>
      <c r="BJ111" s="11">
        <f t="shared" si="52"/>
        <v>667.55336860582452</v>
      </c>
      <c r="BK111" s="11">
        <f t="shared" si="52"/>
        <v>-669.04389110963211</v>
      </c>
    </row>
    <row r="112" spans="2:63" x14ac:dyDescent="0.25">
      <c r="B112">
        <v>2</v>
      </c>
      <c r="C112">
        <v>0</v>
      </c>
      <c r="D112">
        <v>0</v>
      </c>
      <c r="E112">
        <v>-3</v>
      </c>
      <c r="F112">
        <v>607</v>
      </c>
      <c r="H112" s="34"/>
      <c r="I112" s="11">
        <f t="shared" si="48"/>
        <v>-422.12417891074284</v>
      </c>
      <c r="J112" s="11">
        <f t="shared" si="48"/>
        <v>541.66482382915433</v>
      </c>
      <c r="K112" s="11">
        <f t="shared" si="48"/>
        <v>-422.54002354263918</v>
      </c>
      <c r="L112" s="11">
        <f t="shared" si="48"/>
        <v>299.55521071375779</v>
      </c>
      <c r="M112" s="11">
        <f t="shared" si="48"/>
        <v>-531.29614448304471</v>
      </c>
      <c r="N112" s="11">
        <f t="shared" si="48"/>
        <v>-252.56754071606491</v>
      </c>
      <c r="O112" s="11">
        <f t="shared" si="48"/>
        <v>492.23320802510784</v>
      </c>
      <c r="P112" s="11">
        <f t="shared" si="48"/>
        <v>25.311010229996992</v>
      </c>
      <c r="Q112" s="11">
        <f t="shared" si="48"/>
        <v>-525.31896112976654</v>
      </c>
      <c r="R112" s="11">
        <f t="shared" si="48"/>
        <v>-550.35980326620734</v>
      </c>
      <c r="S112" s="11">
        <f t="shared" si="49"/>
        <v>515.65811586161442</v>
      </c>
      <c r="T112" s="11">
        <f t="shared" si="49"/>
        <v>596.79191083608043</v>
      </c>
      <c r="U112" s="11">
        <f t="shared" si="49"/>
        <v>-203.88500838552207</v>
      </c>
      <c r="V112" s="11">
        <f t="shared" si="49"/>
        <v>-45.724264494557339</v>
      </c>
      <c r="W112" s="11">
        <f t="shared" si="49"/>
        <v>167.67952624417217</v>
      </c>
      <c r="X112" s="11">
        <f t="shared" si="49"/>
        <v>539.37482852374046</v>
      </c>
      <c r="Y112" s="11">
        <f t="shared" si="49"/>
        <v>115.74449058436284</v>
      </c>
      <c r="Z112" s="11">
        <f t="shared" si="49"/>
        <v>606.85434942166012</v>
      </c>
      <c r="AA112" s="11">
        <f t="shared" si="49"/>
        <v>-243.98255716373947</v>
      </c>
      <c r="AB112" s="11">
        <f t="shared" si="49"/>
        <v>-577.24072019123378</v>
      </c>
      <c r="AC112" s="11">
        <f t="shared" si="50"/>
        <v>463.51353825610545</v>
      </c>
      <c r="AD112" s="11">
        <f t="shared" si="50"/>
        <v>-321.06487760475733</v>
      </c>
      <c r="AE112" s="11">
        <f t="shared" si="50"/>
        <v>-360.73905877314121</v>
      </c>
      <c r="AF112" s="11">
        <f t="shared" si="50"/>
        <v>-337.2120329544527</v>
      </c>
      <c r="AG112" s="11">
        <f t="shared" si="50"/>
        <v>202.71891344411216</v>
      </c>
      <c r="AH112" s="11">
        <f t="shared" si="50"/>
        <v>23.056151131972161</v>
      </c>
      <c r="AI112" s="11">
        <f t="shared" si="50"/>
        <v>16.423846916141372</v>
      </c>
      <c r="AJ112" s="11">
        <f t="shared" si="50"/>
        <v>310.48427109127022</v>
      </c>
      <c r="AK112" s="11">
        <f t="shared" si="50"/>
        <v>-88.569883721786042</v>
      </c>
      <c r="AL112" s="11">
        <f t="shared" si="50"/>
        <v>485.33781448273601</v>
      </c>
      <c r="AM112" s="11">
        <f t="shared" si="51"/>
        <v>603.23184695281691</v>
      </c>
      <c r="AN112" s="11">
        <f t="shared" si="51"/>
        <v>102.28059816316396</v>
      </c>
      <c r="AO112" s="11">
        <f t="shared" si="51"/>
        <v>606.83609371539649</v>
      </c>
      <c r="AP112" s="11">
        <f t="shared" si="51"/>
        <v>133.96731789290607</v>
      </c>
      <c r="AQ112" s="11">
        <f t="shared" si="51"/>
        <v>84.287824885622356</v>
      </c>
      <c r="AR112" s="11">
        <f t="shared" si="51"/>
        <v>-554.05427768035156</v>
      </c>
      <c r="AS112" s="11">
        <f t="shared" si="51"/>
        <v>606.87282847425377</v>
      </c>
      <c r="AT112" s="11">
        <f t="shared" si="51"/>
        <v>-501.0391556217055</v>
      </c>
      <c r="AU112" s="11">
        <f t="shared" si="51"/>
        <v>-171.08785585587543</v>
      </c>
      <c r="AV112" s="11">
        <f t="shared" si="51"/>
        <v>606.95294811957217</v>
      </c>
      <c r="AW112" s="11">
        <f t="shared" si="52"/>
        <v>-292.17724403952587</v>
      </c>
      <c r="AX112" s="11">
        <f t="shared" si="52"/>
        <v>580.81672920745336</v>
      </c>
      <c r="AY112" s="11">
        <f t="shared" si="52"/>
        <v>-606.99755631725316</v>
      </c>
      <c r="AZ112" s="11">
        <f t="shared" si="52"/>
        <v>427.11193560502574</v>
      </c>
      <c r="BA112" s="11">
        <f t="shared" si="52"/>
        <v>498.29793594515604</v>
      </c>
      <c r="BB112" s="11">
        <f t="shared" si="52"/>
        <v>599.63270119736876</v>
      </c>
      <c r="BC112" s="11">
        <f t="shared" si="52"/>
        <v>81.260292139455188</v>
      </c>
      <c r="BD112" s="11">
        <f t="shared" si="52"/>
        <v>-80.417772213387039</v>
      </c>
      <c r="BE112" s="11">
        <f t="shared" si="52"/>
        <v>-236.39055515509099</v>
      </c>
      <c r="BF112" s="11">
        <f t="shared" si="52"/>
        <v>-375.59248504886546</v>
      </c>
      <c r="BG112" s="11">
        <f t="shared" si="52"/>
        <v>-488.14780730488479</v>
      </c>
      <c r="BH112" s="11">
        <f t="shared" si="52"/>
        <v>-566.07122501475442</v>
      </c>
      <c r="BI112" s="11">
        <f t="shared" si="52"/>
        <v>-603.83442006714552</v>
      </c>
      <c r="BJ112" s="11">
        <f t="shared" si="52"/>
        <v>-598.758262602738</v>
      </c>
      <c r="BK112" s="11">
        <f t="shared" si="52"/>
        <v>40.906493636021722</v>
      </c>
    </row>
    <row r="113" spans="2:63" x14ac:dyDescent="0.25">
      <c r="B113">
        <v>2</v>
      </c>
      <c r="C113">
        <v>0</v>
      </c>
      <c r="D113">
        <v>2</v>
      </c>
      <c r="E113">
        <v>-1</v>
      </c>
      <c r="F113">
        <v>596</v>
      </c>
      <c r="H113" s="34"/>
      <c r="I113" s="11">
        <f t="shared" si="48"/>
        <v>526.86118357406588</v>
      </c>
      <c r="J113" s="11">
        <f t="shared" si="48"/>
        <v>-390.0617029951643</v>
      </c>
      <c r="K113" s="11">
        <f t="shared" si="48"/>
        <v>471.91939549228516</v>
      </c>
      <c r="L113" s="11">
        <f t="shared" si="48"/>
        <v>573.6652391920253</v>
      </c>
      <c r="M113" s="11">
        <f t="shared" si="48"/>
        <v>274.99991701941917</v>
      </c>
      <c r="N113" s="11">
        <f t="shared" si="48"/>
        <v>-228.42258781874705</v>
      </c>
      <c r="O113" s="11">
        <f t="shared" si="48"/>
        <v>-418.06151754398144</v>
      </c>
      <c r="P113" s="11">
        <f t="shared" si="48"/>
        <v>-501.39854330363323</v>
      </c>
      <c r="Q113" s="11">
        <f t="shared" si="48"/>
        <v>-391.58886409705917</v>
      </c>
      <c r="R113" s="11">
        <f t="shared" si="48"/>
        <v>261.9708104401945</v>
      </c>
      <c r="S113" s="11">
        <f t="shared" si="49"/>
        <v>-428.34650609503433</v>
      </c>
      <c r="T113" s="11">
        <f t="shared" si="49"/>
        <v>446.04625832476808</v>
      </c>
      <c r="U113" s="11">
        <f t="shared" si="49"/>
        <v>-21.975385915535828</v>
      </c>
      <c r="V113" s="11">
        <f t="shared" si="49"/>
        <v>343.2905965261902</v>
      </c>
      <c r="W113" s="11">
        <f t="shared" si="49"/>
        <v>92.098741298506596</v>
      </c>
      <c r="X113" s="11">
        <f t="shared" si="49"/>
        <v>337.11394306123617</v>
      </c>
      <c r="Y113" s="11">
        <f t="shared" si="49"/>
        <v>-377.44220746413396</v>
      </c>
      <c r="Z113" s="11">
        <f t="shared" si="49"/>
        <v>-555.22803981750064</v>
      </c>
      <c r="AA113" s="11">
        <f t="shared" si="49"/>
        <v>-450.31049788888981</v>
      </c>
      <c r="AB113" s="11">
        <f t="shared" si="49"/>
        <v>185.12905744538602</v>
      </c>
      <c r="AC113" s="11">
        <f t="shared" si="50"/>
        <v>-508.24808500023516</v>
      </c>
      <c r="AD113" s="11">
        <f t="shared" si="50"/>
        <v>252.90658999219883</v>
      </c>
      <c r="AE113" s="11">
        <f t="shared" si="50"/>
        <v>330.80855686276573</v>
      </c>
      <c r="AF113" s="11">
        <f t="shared" si="50"/>
        <v>-568.81972884400511</v>
      </c>
      <c r="AG113" s="11">
        <f t="shared" si="50"/>
        <v>-559.32231549310757</v>
      </c>
      <c r="AH113" s="11">
        <f t="shared" si="50"/>
        <v>-583.57369872866423</v>
      </c>
      <c r="AI113" s="11">
        <f t="shared" si="50"/>
        <v>510.70101272121133</v>
      </c>
      <c r="AJ113" s="11">
        <f t="shared" si="50"/>
        <v>477.20021574964528</v>
      </c>
      <c r="AK113" s="11">
        <f t="shared" si="50"/>
        <v>367.0094360475656</v>
      </c>
      <c r="AL113" s="11">
        <f t="shared" si="50"/>
        <v>-570.00032581974335</v>
      </c>
      <c r="AM113" s="11">
        <f t="shared" si="51"/>
        <v>-315.89292611607209</v>
      </c>
      <c r="AN113" s="11">
        <f t="shared" si="51"/>
        <v>-542.61291947174936</v>
      </c>
      <c r="AO113" s="11">
        <f t="shared" si="51"/>
        <v>-192.038590079171</v>
      </c>
      <c r="AP113" s="11">
        <f t="shared" si="51"/>
        <v>75.527045984988121</v>
      </c>
      <c r="AQ113" s="11">
        <f t="shared" si="51"/>
        <v>-563.70122744488049</v>
      </c>
      <c r="AR113" s="11">
        <f t="shared" si="51"/>
        <v>132.03142715483895</v>
      </c>
      <c r="AS113" s="11">
        <f t="shared" si="51"/>
        <v>-332.78195375728546</v>
      </c>
      <c r="AT113" s="11">
        <f t="shared" si="51"/>
        <v>91.849351214650255</v>
      </c>
      <c r="AU113" s="11">
        <f t="shared" si="51"/>
        <v>-595.66840918078697</v>
      </c>
      <c r="AV113" s="11">
        <f t="shared" si="51"/>
        <v>111.0495943706741</v>
      </c>
      <c r="AW113" s="11">
        <f t="shared" si="52"/>
        <v>586.40426486849424</v>
      </c>
      <c r="AX113" s="11">
        <f t="shared" si="52"/>
        <v>-570.82765515794392</v>
      </c>
      <c r="AY113" s="11">
        <f t="shared" si="52"/>
        <v>-43.599966861229554</v>
      </c>
      <c r="AZ113" s="11">
        <f t="shared" si="52"/>
        <v>-460.97180916548081</v>
      </c>
      <c r="BA113" s="11">
        <f t="shared" si="52"/>
        <v>-471.51056032285697</v>
      </c>
      <c r="BB113" s="11">
        <f t="shared" si="52"/>
        <v>250.49965253530354</v>
      </c>
      <c r="BC113" s="11">
        <f t="shared" si="52"/>
        <v>-340.35385894850378</v>
      </c>
      <c r="BD113" s="11">
        <f t="shared" si="52"/>
        <v>25.557684080949176</v>
      </c>
      <c r="BE113" s="11">
        <f t="shared" si="52"/>
        <v>381.02443549130913</v>
      </c>
      <c r="BF113" s="11">
        <f t="shared" si="52"/>
        <v>580.77595003080182</v>
      </c>
      <c r="BG113" s="11">
        <f t="shared" si="52"/>
        <v>543.17873781063724</v>
      </c>
      <c r="BH113" s="11">
        <f t="shared" si="52"/>
        <v>283.59784700394977</v>
      </c>
      <c r="BI113" s="11">
        <f t="shared" si="52"/>
        <v>-91.882450269341078</v>
      </c>
      <c r="BJ113" s="11">
        <f t="shared" si="52"/>
        <v>-429.81266892455818</v>
      </c>
      <c r="BK113" s="11">
        <f t="shared" si="52"/>
        <v>478.06138014688491</v>
      </c>
    </row>
    <row r="114" spans="2:63" x14ac:dyDescent="0.25">
      <c r="B114">
        <v>2</v>
      </c>
      <c r="C114">
        <v>-1</v>
      </c>
      <c r="D114">
        <v>1</v>
      </c>
      <c r="E114">
        <v>-1</v>
      </c>
      <c r="F114">
        <v>491</v>
      </c>
      <c r="H114" s="34"/>
      <c r="I114" s="11">
        <f t="shared" si="48"/>
        <v>363.11173433481207</v>
      </c>
      <c r="J114" s="11">
        <f t="shared" si="48"/>
        <v>-306.21468965480636</v>
      </c>
      <c r="K114" s="11">
        <f t="shared" si="48"/>
        <v>-483.74371431729901</v>
      </c>
      <c r="L114" s="11">
        <f t="shared" si="48"/>
        <v>457.5791228432517</v>
      </c>
      <c r="M114" s="11">
        <f t="shared" si="48"/>
        <v>76.088878695733598</v>
      </c>
      <c r="N114" s="11">
        <f t="shared" si="48"/>
        <v>479.25496562795217</v>
      </c>
      <c r="O114" s="11">
        <f t="shared" si="48"/>
        <v>-233.78468452229063</v>
      </c>
      <c r="P114" s="11">
        <f t="shared" si="48"/>
        <v>-279.019827681111</v>
      </c>
      <c r="Q114" s="11">
        <f t="shared" si="48"/>
        <v>-485.5307450010564</v>
      </c>
      <c r="R114" s="11">
        <f t="shared" si="48"/>
        <v>-466.00501152338637</v>
      </c>
      <c r="S114" s="11">
        <f t="shared" si="49"/>
        <v>382.61288714682951</v>
      </c>
      <c r="T114" s="11">
        <f t="shared" si="49"/>
        <v>-504.6521156998088</v>
      </c>
      <c r="U114" s="11">
        <f t="shared" si="49"/>
        <v>474.9870588950975</v>
      </c>
      <c r="V114" s="11">
        <f t="shared" si="49"/>
        <v>357.3801614875814</v>
      </c>
      <c r="W114" s="11">
        <f t="shared" si="49"/>
        <v>279.84514312570951</v>
      </c>
      <c r="X114" s="11">
        <f t="shared" si="49"/>
        <v>281.30963539413375</v>
      </c>
      <c r="Y114" s="11">
        <f t="shared" si="49"/>
        <v>-475.18194116584084</v>
      </c>
      <c r="Z114" s="11">
        <f t="shared" si="49"/>
        <v>-392.99287366284545</v>
      </c>
      <c r="AA114" s="11">
        <f t="shared" si="49"/>
        <v>-489.14698879600826</v>
      </c>
      <c r="AB114" s="11">
        <f t="shared" si="49"/>
        <v>-488.99404630047167</v>
      </c>
      <c r="AC114" s="11">
        <f t="shared" si="50"/>
        <v>-236.11393458875946</v>
      </c>
      <c r="AD114" s="11">
        <f t="shared" si="50"/>
        <v>-414.38775970827413</v>
      </c>
      <c r="AE114" s="11">
        <f t="shared" si="50"/>
        <v>-490.77017338456983</v>
      </c>
      <c r="AF114" s="11">
        <f t="shared" si="50"/>
        <v>411.3744298849665</v>
      </c>
      <c r="AG114" s="11">
        <f t="shared" si="50"/>
        <v>-452.92981259000533</v>
      </c>
      <c r="AH114" s="11">
        <f t="shared" si="50"/>
        <v>355.29903012480406</v>
      </c>
      <c r="AI114" s="11">
        <f t="shared" si="50"/>
        <v>-480.66870592604533</v>
      </c>
      <c r="AJ114" s="11">
        <f t="shared" si="50"/>
        <v>82.324197586250691</v>
      </c>
      <c r="AK114" s="11">
        <f t="shared" si="50"/>
        <v>-375.67595923858261</v>
      </c>
      <c r="AL114" s="11">
        <f t="shared" si="50"/>
        <v>193.20347100256154</v>
      </c>
      <c r="AM114" s="11">
        <f t="shared" si="51"/>
        <v>165.99188489832417</v>
      </c>
      <c r="AN114" s="11">
        <f t="shared" si="51"/>
        <v>-137.12123712380148</v>
      </c>
      <c r="AO114" s="11">
        <f t="shared" si="51"/>
        <v>126.34596520210297</v>
      </c>
      <c r="AP114" s="11">
        <f t="shared" si="51"/>
        <v>-57.09392638045906</v>
      </c>
      <c r="AQ114" s="11">
        <f t="shared" si="51"/>
        <v>412.50508739160881</v>
      </c>
      <c r="AR114" s="11">
        <f t="shared" si="51"/>
        <v>-180.15255010117579</v>
      </c>
      <c r="AS114" s="11">
        <f t="shared" si="51"/>
        <v>-455.5759559599918</v>
      </c>
      <c r="AT114" s="11">
        <f t="shared" si="51"/>
        <v>-268.58692475015528</v>
      </c>
      <c r="AU114" s="11">
        <f t="shared" si="51"/>
        <v>144.25586696596756</v>
      </c>
      <c r="AV114" s="11">
        <f t="shared" si="51"/>
        <v>21.765410749119898</v>
      </c>
      <c r="AW114" s="11">
        <f t="shared" si="52"/>
        <v>-10.199124125757097</v>
      </c>
      <c r="AX114" s="11">
        <f t="shared" si="52"/>
        <v>-173.4856713760264</v>
      </c>
      <c r="AY114" s="11">
        <f t="shared" si="52"/>
        <v>376.31111694672938</v>
      </c>
      <c r="AZ114" s="11">
        <f t="shared" si="52"/>
        <v>-489.17956122247625</v>
      </c>
      <c r="BA114" s="11">
        <f t="shared" si="52"/>
        <v>-158.73496410738349</v>
      </c>
      <c r="BB114" s="11">
        <f t="shared" si="52"/>
        <v>-60.050083481380192</v>
      </c>
      <c r="BC114" s="11">
        <f t="shared" si="52"/>
        <v>-339.38301231787995</v>
      </c>
      <c r="BD114" s="11">
        <f t="shared" si="52"/>
        <v>-172.06030738448317</v>
      </c>
      <c r="BE114" s="11">
        <f t="shared" si="52"/>
        <v>23.164243617652499</v>
      </c>
      <c r="BF114" s="11">
        <f t="shared" si="52"/>
        <v>214.63237722669805</v>
      </c>
      <c r="BG114" s="11">
        <f t="shared" si="52"/>
        <v>371.29498743318919</v>
      </c>
      <c r="BH114" s="11">
        <f t="shared" si="52"/>
        <v>467.74715143453517</v>
      </c>
      <c r="BI114" s="11">
        <f t="shared" si="52"/>
        <v>488.34787525890368</v>
      </c>
      <c r="BJ114" s="11">
        <f t="shared" si="52"/>
        <v>429.75648778842685</v>
      </c>
      <c r="BK114" s="11">
        <f t="shared" si="52"/>
        <v>-485.98729505058128</v>
      </c>
    </row>
    <row r="115" spans="2:63" x14ac:dyDescent="0.25">
      <c r="B115">
        <v>2</v>
      </c>
      <c r="C115">
        <v>0</v>
      </c>
      <c r="D115">
        <v>-2</v>
      </c>
      <c r="E115">
        <v>1</v>
      </c>
      <c r="F115">
        <v>-451</v>
      </c>
      <c r="H115" s="34"/>
      <c r="I115" s="11">
        <f t="shared" si="48"/>
        <v>-315.38920319741169</v>
      </c>
      <c r="J115" s="11">
        <f t="shared" si="48"/>
        <v>437.09231245488633</v>
      </c>
      <c r="K115" s="11">
        <f t="shared" si="48"/>
        <v>-386.76754641776898</v>
      </c>
      <c r="L115" s="11">
        <f t="shared" si="48"/>
        <v>21.955888817468587</v>
      </c>
      <c r="M115" s="11">
        <f t="shared" si="48"/>
        <v>159.2094157846617</v>
      </c>
      <c r="N115" s="11">
        <f t="shared" si="48"/>
        <v>-336.08159425346349</v>
      </c>
      <c r="O115" s="11">
        <f t="shared" si="48"/>
        <v>-426.90503948345645</v>
      </c>
      <c r="P115" s="11">
        <f t="shared" si="48"/>
        <v>423.33816126635821</v>
      </c>
      <c r="Q115" s="11">
        <f t="shared" si="48"/>
        <v>-363.67832209027648</v>
      </c>
      <c r="R115" s="11">
        <f t="shared" si="48"/>
        <v>202.43312449256678</v>
      </c>
      <c r="S115" s="11">
        <f t="shared" si="49"/>
        <v>182.33474262968747</v>
      </c>
      <c r="T115" s="11">
        <f t="shared" si="49"/>
        <v>442.59977831371805</v>
      </c>
      <c r="U115" s="11">
        <f t="shared" si="49"/>
        <v>379.15015257364712</v>
      </c>
      <c r="V115" s="11">
        <f t="shared" si="49"/>
        <v>322.95285383127168</v>
      </c>
      <c r="W115" s="11">
        <f t="shared" si="49"/>
        <v>430.54667770180043</v>
      </c>
      <c r="X115" s="11">
        <f t="shared" si="49"/>
        <v>24.706445774837846</v>
      </c>
      <c r="Y115" s="11">
        <f t="shared" si="49"/>
        <v>-439.05443491666415</v>
      </c>
      <c r="Z115" s="11">
        <f t="shared" si="49"/>
        <v>111.24368232751017</v>
      </c>
      <c r="AA115" s="11">
        <f t="shared" si="49"/>
        <v>297.21834379046425</v>
      </c>
      <c r="AB115" s="11">
        <f t="shared" si="49"/>
        <v>-439.91872262564272</v>
      </c>
      <c r="AC115" s="11">
        <f t="shared" si="50"/>
        <v>425.64692188235466</v>
      </c>
      <c r="AD115" s="11">
        <f t="shared" si="50"/>
        <v>399.10293372027633</v>
      </c>
      <c r="AE115" s="11">
        <f t="shared" si="50"/>
        <v>-361.62553497709763</v>
      </c>
      <c r="AF115" s="11">
        <f t="shared" si="50"/>
        <v>-224.70433050064975</v>
      </c>
      <c r="AG115" s="11">
        <f t="shared" si="50"/>
        <v>-31.513868852324503</v>
      </c>
      <c r="AH115" s="11">
        <f t="shared" si="50"/>
        <v>164.99258821451653</v>
      </c>
      <c r="AI115" s="11">
        <f t="shared" si="50"/>
        <v>431.57963998046699</v>
      </c>
      <c r="AJ115" s="11">
        <f t="shared" si="50"/>
        <v>-450.98608665079547</v>
      </c>
      <c r="AK115" s="11">
        <f t="shared" si="50"/>
        <v>-223.80317293827071</v>
      </c>
      <c r="AL115" s="11">
        <f t="shared" si="50"/>
        <v>-431.47871376164318</v>
      </c>
      <c r="AM115" s="11">
        <f t="shared" si="51"/>
        <v>340.46089913395309</v>
      </c>
      <c r="AN115" s="11">
        <f t="shared" si="51"/>
        <v>-109.68769412728733</v>
      </c>
      <c r="AO115" s="11">
        <f t="shared" si="51"/>
        <v>-434.31118212707753</v>
      </c>
      <c r="AP115" s="11">
        <f t="shared" si="51"/>
        <v>-102.84011691470641</v>
      </c>
      <c r="AQ115" s="11">
        <f t="shared" si="51"/>
        <v>-83.8227977155464</v>
      </c>
      <c r="AR115" s="11">
        <f t="shared" si="51"/>
        <v>-436.57157205260592</v>
      </c>
      <c r="AS115" s="11">
        <f t="shared" si="51"/>
        <v>417.20668543556155</v>
      </c>
      <c r="AT115" s="11">
        <f t="shared" si="51"/>
        <v>112.50060336887374</v>
      </c>
      <c r="AU115" s="11">
        <f t="shared" si="51"/>
        <v>-413.7792775116103</v>
      </c>
      <c r="AV115" s="11">
        <f t="shared" si="51"/>
        <v>-253.44158954143757</v>
      </c>
      <c r="AW115" s="11">
        <f t="shared" si="52"/>
        <v>371.374758950993</v>
      </c>
      <c r="AX115" s="11">
        <f t="shared" si="52"/>
        <v>-311.57532828994607</v>
      </c>
      <c r="AY115" s="11">
        <f t="shared" si="52"/>
        <v>-46.140554258825524</v>
      </c>
      <c r="AZ115" s="11">
        <f t="shared" si="52"/>
        <v>65.802981183888377</v>
      </c>
      <c r="BA115" s="11">
        <f t="shared" si="52"/>
        <v>-355.6831980236949</v>
      </c>
      <c r="BB115" s="11">
        <f t="shared" si="52"/>
        <v>292.08490440091055</v>
      </c>
      <c r="BC115" s="11">
        <f t="shared" si="52"/>
        <v>-212.59053410739031</v>
      </c>
      <c r="BD115" s="11">
        <f t="shared" si="52"/>
        <v>-287.50556589816256</v>
      </c>
      <c r="BE115" s="11">
        <f t="shared" si="52"/>
        <v>-350.91533919982561</v>
      </c>
      <c r="BF115" s="11">
        <f t="shared" si="52"/>
        <v>-400.28235241559429</v>
      </c>
      <c r="BG115" s="11">
        <f t="shared" si="52"/>
        <v>-433.63106032034989</v>
      </c>
      <c r="BH115" s="11">
        <f t="shared" si="52"/>
        <v>-449.62693047329617</v>
      </c>
      <c r="BI115" s="11">
        <f t="shared" si="52"/>
        <v>-447.6298478900917</v>
      </c>
      <c r="BJ115" s="11">
        <f t="shared" si="52"/>
        <v>-427.71973085448565</v>
      </c>
      <c r="BK115" s="11">
        <f t="shared" si="52"/>
        <v>435.34648073354708</v>
      </c>
    </row>
    <row r="116" spans="2:63" x14ac:dyDescent="0.25">
      <c r="B116">
        <v>0</v>
      </c>
      <c r="C116">
        <v>0</v>
      </c>
      <c r="D116">
        <v>3</v>
      </c>
      <c r="E116">
        <v>-1</v>
      </c>
      <c r="F116">
        <v>439</v>
      </c>
      <c r="H116" s="34"/>
      <c r="I116" s="11">
        <f t="shared" si="48"/>
        <v>120.92332261800739</v>
      </c>
      <c r="J116" s="11">
        <f t="shared" si="48"/>
        <v>-400.7179101967298</v>
      </c>
      <c r="K116" s="11">
        <f t="shared" si="48"/>
        <v>-328.1913001721183</v>
      </c>
      <c r="L116" s="11">
        <f t="shared" si="48"/>
        <v>-9.0469510035244625</v>
      </c>
      <c r="M116" s="11">
        <f t="shared" si="48"/>
        <v>438.9245168401535</v>
      </c>
      <c r="N116" s="11">
        <f t="shared" si="48"/>
        <v>-251.83242090204746</v>
      </c>
      <c r="O116" s="11">
        <f t="shared" si="48"/>
        <v>-195.13890708001992</v>
      </c>
      <c r="P116" s="11">
        <f t="shared" si="48"/>
        <v>-12.064926481144239</v>
      </c>
      <c r="Q116" s="11">
        <f t="shared" si="48"/>
        <v>75.884054012811873</v>
      </c>
      <c r="R116" s="11">
        <f t="shared" si="48"/>
        <v>385.18705073190733</v>
      </c>
      <c r="S116" s="11">
        <f t="shared" si="49"/>
        <v>-364.45861616851431</v>
      </c>
      <c r="T116" s="11">
        <f t="shared" si="49"/>
        <v>-212.78688889192804</v>
      </c>
      <c r="U116" s="11">
        <f t="shared" si="49"/>
        <v>391.53337560612982</v>
      </c>
      <c r="V116" s="11">
        <f t="shared" si="49"/>
        <v>438.94285055146804</v>
      </c>
      <c r="W116" s="11">
        <f t="shared" si="49"/>
        <v>-229.16222756335685</v>
      </c>
      <c r="X116" s="11">
        <f t="shared" si="49"/>
        <v>426.25820311798753</v>
      </c>
      <c r="Y116" s="11">
        <f t="shared" si="49"/>
        <v>337.65175768486813</v>
      </c>
      <c r="Z116" s="11">
        <f t="shared" si="49"/>
        <v>434.69130439826267</v>
      </c>
      <c r="AA116" s="11">
        <f t="shared" si="49"/>
        <v>-33.896260378350689</v>
      </c>
      <c r="AB116" s="11">
        <f t="shared" si="49"/>
        <v>181.61253672864393</v>
      </c>
      <c r="AC116" s="11">
        <f t="shared" si="50"/>
        <v>425.60492835973656</v>
      </c>
      <c r="AD116" s="11">
        <f t="shared" si="50"/>
        <v>-59.135294221800436</v>
      </c>
      <c r="AE116" s="11">
        <f t="shared" si="50"/>
        <v>-385.30505585385384</v>
      </c>
      <c r="AF116" s="11">
        <f t="shared" si="50"/>
        <v>30.075274953497249</v>
      </c>
      <c r="AG116" s="11">
        <f t="shared" si="50"/>
        <v>363.58290444533168</v>
      </c>
      <c r="AH116" s="11">
        <f t="shared" si="50"/>
        <v>-433.06017656797553</v>
      </c>
      <c r="AI116" s="11">
        <f t="shared" si="50"/>
        <v>167.06612449278725</v>
      </c>
      <c r="AJ116" s="11">
        <f t="shared" si="50"/>
        <v>-275.68267679416454</v>
      </c>
      <c r="AK116" s="11">
        <f t="shared" si="50"/>
        <v>-420.34824537649706</v>
      </c>
      <c r="AL116" s="11">
        <f t="shared" si="50"/>
        <v>12.15312313447858</v>
      </c>
      <c r="AM116" s="11">
        <f t="shared" si="51"/>
        <v>-336.00208217695513</v>
      </c>
      <c r="AN116" s="11">
        <f t="shared" si="51"/>
        <v>317.72178938370132</v>
      </c>
      <c r="AO116" s="11">
        <f t="shared" si="51"/>
        <v>432.93156318556561</v>
      </c>
      <c r="AP116" s="11">
        <f t="shared" si="51"/>
        <v>397.36722926145723</v>
      </c>
      <c r="AQ116" s="11">
        <f t="shared" si="51"/>
        <v>-50.468454119267605</v>
      </c>
      <c r="AR116" s="11">
        <f t="shared" si="51"/>
        <v>-438.8807276508067</v>
      </c>
      <c r="AS116" s="11">
        <f t="shared" si="51"/>
        <v>-438.86897260408858</v>
      </c>
      <c r="AT116" s="11">
        <f t="shared" si="51"/>
        <v>-438.079808331327</v>
      </c>
      <c r="AU116" s="11">
        <f t="shared" si="51"/>
        <v>438.982713820946</v>
      </c>
      <c r="AV116" s="11">
        <f t="shared" si="51"/>
        <v>-438.8915662965814</v>
      </c>
      <c r="AW116" s="11">
        <f t="shared" si="52"/>
        <v>408.67560985096674</v>
      </c>
      <c r="AX116" s="11">
        <f t="shared" si="52"/>
        <v>326.34592312429572</v>
      </c>
      <c r="AY116" s="11">
        <f t="shared" si="52"/>
        <v>58.185224684178877</v>
      </c>
      <c r="AZ116" s="11">
        <f t="shared" si="52"/>
        <v>305.39719382317003</v>
      </c>
      <c r="BA116" s="11">
        <f t="shared" si="52"/>
        <v>-438.57493144665267</v>
      </c>
      <c r="BB116" s="11">
        <f t="shared" si="52"/>
        <v>-211.95150188709223</v>
      </c>
      <c r="BC116" s="11">
        <f t="shared" si="52"/>
        <v>-83.376402328198026</v>
      </c>
      <c r="BD116" s="11">
        <f t="shared" si="52"/>
        <v>-263.66992617288707</v>
      </c>
      <c r="BE116" s="11">
        <f t="shared" si="52"/>
        <v>-390.73210835466449</v>
      </c>
      <c r="BF116" s="11">
        <f t="shared" si="52"/>
        <v>-438.9108370441237</v>
      </c>
      <c r="BG116" s="11">
        <f t="shared" si="52"/>
        <v>-398.4794877258106</v>
      </c>
      <c r="BH116" s="11">
        <f t="shared" si="52"/>
        <v>-277.60059528029996</v>
      </c>
      <c r="BI116" s="11">
        <f t="shared" si="52"/>
        <v>-100.67795014789669</v>
      </c>
      <c r="BJ116" s="11">
        <f t="shared" si="52"/>
        <v>96.570192246609977</v>
      </c>
      <c r="BK116" s="11">
        <f t="shared" si="52"/>
        <v>194.46231143127466</v>
      </c>
    </row>
    <row r="117" spans="2:63" x14ac:dyDescent="0.25">
      <c r="B117">
        <v>2</v>
      </c>
      <c r="C117">
        <v>0</v>
      </c>
      <c r="D117">
        <v>2</v>
      </c>
      <c r="E117">
        <v>1</v>
      </c>
      <c r="F117">
        <v>422</v>
      </c>
      <c r="H117" s="34"/>
      <c r="I117" s="11">
        <f t="shared" si="48"/>
        <v>-263.69579739411404</v>
      </c>
      <c r="J117" s="11">
        <f t="shared" si="48"/>
        <v>372.13531625206269</v>
      </c>
      <c r="K117" s="11">
        <f t="shared" si="48"/>
        <v>-361.34194005624926</v>
      </c>
      <c r="L117" s="11">
        <f t="shared" si="48"/>
        <v>-133.0339781589787</v>
      </c>
      <c r="M117" s="11">
        <f t="shared" si="48"/>
        <v>-20.68177372283947</v>
      </c>
      <c r="N117" s="11">
        <f t="shared" si="48"/>
        <v>-213.42647142583155</v>
      </c>
      <c r="O117" s="11">
        <f t="shared" si="48"/>
        <v>314.65787695782785</v>
      </c>
      <c r="P117" s="11">
        <f t="shared" si="48"/>
        <v>-413.91179063553534</v>
      </c>
      <c r="Q117" s="11">
        <f t="shared" si="48"/>
        <v>-410.8589038913982</v>
      </c>
      <c r="R117" s="11">
        <f t="shared" si="48"/>
        <v>-126.83506258757792</v>
      </c>
      <c r="S117" s="11">
        <f t="shared" si="49"/>
        <v>-197.54900960669895</v>
      </c>
      <c r="T117" s="11">
        <f t="shared" si="49"/>
        <v>-170.94002313231931</v>
      </c>
      <c r="U117" s="11">
        <f t="shared" si="49"/>
        <v>420.41159025477356</v>
      </c>
      <c r="V117" s="11">
        <f t="shared" si="49"/>
        <v>218.8086686002228</v>
      </c>
      <c r="W117" s="11">
        <f t="shared" si="49"/>
        <v>-12.392873588499961</v>
      </c>
      <c r="X117" s="11">
        <f t="shared" si="49"/>
        <v>383.01031155448868</v>
      </c>
      <c r="Y117" s="11">
        <f t="shared" si="49"/>
        <v>-320.13751276253089</v>
      </c>
      <c r="Z117" s="11">
        <f t="shared" si="49"/>
        <v>225.77264148163238</v>
      </c>
      <c r="AA117" s="11">
        <f t="shared" si="49"/>
        <v>172.38245149543835</v>
      </c>
      <c r="AB117" s="11">
        <f t="shared" si="49"/>
        <v>418.01925932384103</v>
      </c>
      <c r="AC117" s="11">
        <f t="shared" si="50"/>
        <v>421.64260670958004</v>
      </c>
      <c r="AD117" s="11">
        <f t="shared" si="50"/>
        <v>184.8599245001335</v>
      </c>
      <c r="AE117" s="11">
        <f t="shared" si="50"/>
        <v>-191.77332691682125</v>
      </c>
      <c r="AF117" s="11">
        <f t="shared" si="50"/>
        <v>-398.09591216140683</v>
      </c>
      <c r="AG117" s="11">
        <f t="shared" si="50"/>
        <v>111.13873524404768</v>
      </c>
      <c r="AH117" s="11">
        <f t="shared" si="50"/>
        <v>323.6236568619002</v>
      </c>
      <c r="AI117" s="11">
        <f t="shared" si="50"/>
        <v>-387.82975679827854</v>
      </c>
      <c r="AJ117" s="11">
        <f t="shared" si="50"/>
        <v>-268.04834893239519</v>
      </c>
      <c r="AK117" s="11">
        <f t="shared" si="50"/>
        <v>-340.58287907466297</v>
      </c>
      <c r="AL117" s="11">
        <f t="shared" si="50"/>
        <v>84.967352813627528</v>
      </c>
      <c r="AM117" s="11">
        <f t="shared" si="51"/>
        <v>376.91394195084217</v>
      </c>
      <c r="AN117" s="11">
        <f t="shared" si="51"/>
        <v>420.78078966552005</v>
      </c>
      <c r="AO117" s="11">
        <f t="shared" si="51"/>
        <v>-369.66604507225395</v>
      </c>
      <c r="AP117" s="11">
        <f t="shared" si="51"/>
        <v>343.12668023745471</v>
      </c>
      <c r="AQ117" s="11">
        <f t="shared" si="51"/>
        <v>-291.15916239540348</v>
      </c>
      <c r="AR117" s="11">
        <f t="shared" si="51"/>
        <v>-185.97805730770975</v>
      </c>
      <c r="AS117" s="11">
        <f t="shared" si="51"/>
        <v>419.26959376691792</v>
      </c>
      <c r="AT117" s="11">
        <f t="shared" si="51"/>
        <v>-409.29727276848081</v>
      </c>
      <c r="AU117" s="11">
        <f t="shared" si="51"/>
        <v>100.8092423013854</v>
      </c>
      <c r="AV117" s="11">
        <f t="shared" si="51"/>
        <v>421.0675641139859</v>
      </c>
      <c r="AW117" s="11">
        <f t="shared" si="52"/>
        <v>-329.73920558595563</v>
      </c>
      <c r="AX117" s="11">
        <f t="shared" si="52"/>
        <v>420.7494830864988</v>
      </c>
      <c r="AY117" s="11">
        <f t="shared" si="52"/>
        <v>351.78660463813156</v>
      </c>
      <c r="AZ117" s="11">
        <f t="shared" si="52"/>
        <v>-415.37998875738975</v>
      </c>
      <c r="BA117" s="11">
        <f t="shared" si="52"/>
        <v>-421.95381675630642</v>
      </c>
      <c r="BB117" s="11">
        <f t="shared" si="52"/>
        <v>405.09217369122064</v>
      </c>
      <c r="BC117" s="11">
        <f t="shared" si="52"/>
        <v>-129.09496825823149</v>
      </c>
      <c r="BD117" s="11">
        <f t="shared" si="52"/>
        <v>-417.42317732161285</v>
      </c>
      <c r="BE117" s="11">
        <f t="shared" si="52"/>
        <v>-240.26790410540141</v>
      </c>
      <c r="BF117" s="11">
        <f t="shared" si="52"/>
        <v>204.81868380363576</v>
      </c>
      <c r="BG117" s="11">
        <f t="shared" si="52"/>
        <v>421.50464771133807</v>
      </c>
      <c r="BH117" s="11">
        <f t="shared" si="52"/>
        <v>168.15573604512898</v>
      </c>
      <c r="BI117" s="11">
        <f t="shared" si="52"/>
        <v>-272.70963812828177</v>
      </c>
      <c r="BJ117" s="11">
        <f t="shared" si="52"/>
        <v>-409.46676219901752</v>
      </c>
      <c r="BK117" s="11">
        <f t="shared" si="52"/>
        <v>-410.20089631343495</v>
      </c>
    </row>
    <row r="118" spans="2:63" x14ac:dyDescent="0.25">
      <c r="B118">
        <v>2</v>
      </c>
      <c r="C118">
        <v>0</v>
      </c>
      <c r="D118">
        <v>-3</v>
      </c>
      <c r="E118">
        <v>-1</v>
      </c>
      <c r="F118">
        <v>421</v>
      </c>
      <c r="H118" s="34"/>
      <c r="I118" s="11">
        <f t="shared" si="48"/>
        <v>279.93849478437062</v>
      </c>
      <c r="J118" s="11">
        <f t="shared" si="48"/>
        <v>409.85018586419596</v>
      </c>
      <c r="K118" s="11">
        <f t="shared" si="48"/>
        <v>417.36165321598224</v>
      </c>
      <c r="L118" s="11">
        <f t="shared" si="48"/>
        <v>-420.49478800202616</v>
      </c>
      <c r="M118" s="11">
        <f t="shared" si="48"/>
        <v>321.58850526911999</v>
      </c>
      <c r="N118" s="11">
        <f t="shared" si="48"/>
        <v>-104.26991992373283</v>
      </c>
      <c r="O118" s="11">
        <f t="shared" si="48"/>
        <v>-405.0401254845674</v>
      </c>
      <c r="P118" s="11">
        <f t="shared" si="48"/>
        <v>130.20676514873051</v>
      </c>
      <c r="Q118" s="11">
        <f t="shared" si="48"/>
        <v>223.79785464239924</v>
      </c>
      <c r="R118" s="11">
        <f t="shared" si="48"/>
        <v>-407.40338814802533</v>
      </c>
      <c r="S118" s="11">
        <f t="shared" si="49"/>
        <v>327.3171670959095</v>
      </c>
      <c r="T118" s="11">
        <f t="shared" si="49"/>
        <v>-192.68550981955082</v>
      </c>
      <c r="U118" s="11">
        <f t="shared" si="49"/>
        <v>0.63853239310088217</v>
      </c>
      <c r="V118" s="11">
        <f t="shared" si="49"/>
        <v>-197.36136683070083</v>
      </c>
      <c r="W118" s="11">
        <f t="shared" si="49"/>
        <v>-74.154230109941508</v>
      </c>
      <c r="X118" s="11">
        <f t="shared" si="49"/>
        <v>13.960556739623172</v>
      </c>
      <c r="Y118" s="11">
        <f t="shared" si="49"/>
        <v>402.70906800479577</v>
      </c>
      <c r="Z118" s="11">
        <f t="shared" si="49"/>
        <v>291.04940679833459</v>
      </c>
      <c r="AA118" s="11">
        <f t="shared" si="49"/>
        <v>125.33676412997747</v>
      </c>
      <c r="AB118" s="11">
        <f t="shared" si="49"/>
        <v>-56.099508670559736</v>
      </c>
      <c r="AC118" s="11">
        <f t="shared" si="50"/>
        <v>319.70098289518643</v>
      </c>
      <c r="AD118" s="11">
        <f t="shared" si="50"/>
        <v>176.45836948791828</v>
      </c>
      <c r="AE118" s="11">
        <f t="shared" si="50"/>
        <v>391.54531030989114</v>
      </c>
      <c r="AF118" s="11">
        <f t="shared" si="50"/>
        <v>83.543764952416552</v>
      </c>
      <c r="AG118" s="11">
        <f t="shared" si="50"/>
        <v>-44.933943439731117</v>
      </c>
      <c r="AH118" s="11">
        <f t="shared" si="50"/>
        <v>18.288641121142732</v>
      </c>
      <c r="AI118" s="11">
        <f t="shared" si="50"/>
        <v>-264.70045782624891</v>
      </c>
      <c r="AJ118" s="11">
        <f t="shared" si="50"/>
        <v>342.53326387903547</v>
      </c>
      <c r="AK118" s="11">
        <f t="shared" si="50"/>
        <v>-333.8296032126409</v>
      </c>
      <c r="AL118" s="11">
        <f t="shared" si="50"/>
        <v>-420.06595871901152</v>
      </c>
      <c r="AM118" s="11">
        <f t="shared" si="51"/>
        <v>-361.57121097775598</v>
      </c>
      <c r="AN118" s="11">
        <f t="shared" si="51"/>
        <v>170.53355777153274</v>
      </c>
      <c r="AO118" s="11">
        <f t="shared" si="51"/>
        <v>206.59849450905276</v>
      </c>
      <c r="AP118" s="11">
        <f t="shared" si="51"/>
        <v>288.43040424914972</v>
      </c>
      <c r="AQ118" s="11">
        <f t="shared" si="51"/>
        <v>-109.62107028596836</v>
      </c>
      <c r="AR118" s="11">
        <f t="shared" si="51"/>
        <v>-366.60863999972162</v>
      </c>
      <c r="AS118" s="11">
        <f t="shared" si="51"/>
        <v>381.57037753995581</v>
      </c>
      <c r="AT118" s="11">
        <f t="shared" si="51"/>
        <v>31.624408880999436</v>
      </c>
      <c r="AU118" s="11">
        <f t="shared" si="51"/>
        <v>-158.83772415340596</v>
      </c>
      <c r="AV118" s="11">
        <f t="shared" si="51"/>
        <v>245.90440867011552</v>
      </c>
      <c r="AW118" s="11">
        <f t="shared" si="52"/>
        <v>-405.97865979658951</v>
      </c>
      <c r="AX118" s="11">
        <f t="shared" si="52"/>
        <v>-342.09608418341435</v>
      </c>
      <c r="AY118" s="11">
        <f t="shared" si="52"/>
        <v>-388.799364210867</v>
      </c>
      <c r="AZ118" s="11">
        <f t="shared" si="52"/>
        <v>-378.55769013268593</v>
      </c>
      <c r="BA118" s="11">
        <f t="shared" si="52"/>
        <v>348.09939741792181</v>
      </c>
      <c r="BB118" s="11">
        <f t="shared" si="52"/>
        <v>-196.08217768998276</v>
      </c>
      <c r="BC118" s="11">
        <f t="shared" si="52"/>
        <v>387.34908068011833</v>
      </c>
      <c r="BD118" s="11">
        <f t="shared" si="52"/>
        <v>419.41137961651151</v>
      </c>
      <c r="BE118" s="11">
        <f t="shared" si="52"/>
        <v>352.99286258712016</v>
      </c>
      <c r="BF118" s="11">
        <f t="shared" si="52"/>
        <v>203.6890762799066</v>
      </c>
      <c r="BG118" s="11">
        <f t="shared" si="52"/>
        <v>6.5576262261327081</v>
      </c>
      <c r="BH118" s="11">
        <f t="shared" si="52"/>
        <v>-192.11360174750749</v>
      </c>
      <c r="BI118" s="11">
        <f t="shared" si="52"/>
        <v>-345.67517085616618</v>
      </c>
      <c r="BJ118" s="11">
        <f t="shared" si="52"/>
        <v>-418.06971746686258</v>
      </c>
      <c r="BK118" s="11">
        <f t="shared" si="52"/>
        <v>-239.77843797246612</v>
      </c>
    </row>
    <row r="119" spans="2:63" x14ac:dyDescent="0.25">
      <c r="B119">
        <v>2</v>
      </c>
      <c r="C119">
        <v>1</v>
      </c>
      <c r="D119">
        <v>-1</v>
      </c>
      <c r="E119">
        <v>1</v>
      </c>
      <c r="F119">
        <v>-366</v>
      </c>
      <c r="H119" s="34"/>
      <c r="I119" s="11">
        <f t="shared" si="48"/>
        <v>-333.08442564917965</v>
      </c>
      <c r="J119" s="11">
        <f t="shared" si="48"/>
        <v>374.5375670949677</v>
      </c>
      <c r="K119" s="11">
        <f t="shared" si="48"/>
        <v>73.20771693129393</v>
      </c>
      <c r="L119" s="11">
        <f t="shared" si="48"/>
        <v>234.24234244784881</v>
      </c>
      <c r="M119" s="11">
        <f t="shared" si="48"/>
        <v>231.5855783479457</v>
      </c>
      <c r="N119" s="11">
        <f t="shared" si="48"/>
        <v>356.72926432990943</v>
      </c>
      <c r="O119" s="11">
        <f t="shared" si="48"/>
        <v>-11.376467221945351</v>
      </c>
      <c r="P119" s="11">
        <f t="shared" si="48"/>
        <v>365.76181030671989</v>
      </c>
      <c r="Q119" s="11">
        <f t="shared" si="48"/>
        <v>-339.8752820179426</v>
      </c>
      <c r="R119" s="11">
        <f t="shared" si="48"/>
        <v>-346.03703991517182</v>
      </c>
      <c r="S119" s="11">
        <f t="shared" si="49"/>
        <v>-175.78703960659712</v>
      </c>
      <c r="T119" s="11">
        <f t="shared" si="49"/>
        <v>-219.52708975652081</v>
      </c>
      <c r="U119" s="11">
        <f t="shared" si="49"/>
        <v>52.070487935143916</v>
      </c>
      <c r="V119" s="11">
        <f t="shared" si="49"/>
        <v>211.10320097609736</v>
      </c>
      <c r="W119" s="11">
        <f t="shared" si="49"/>
        <v>389.0303152767853</v>
      </c>
      <c r="X119" s="11">
        <f t="shared" si="49"/>
        <v>-367.59732257611904</v>
      </c>
      <c r="Y119" s="11">
        <f t="shared" si="49"/>
        <v>-304.83191514300006</v>
      </c>
      <c r="Z119" s="11">
        <f t="shared" si="49"/>
        <v>-69.210059265206709</v>
      </c>
      <c r="AA119" s="11">
        <f t="shared" si="49"/>
        <v>356.6844192095765</v>
      </c>
      <c r="AB119" s="11">
        <f t="shared" si="49"/>
        <v>0.42813176153531035</v>
      </c>
      <c r="AC119" s="11">
        <f t="shared" si="50"/>
        <v>104.26433748167081</v>
      </c>
      <c r="AD119" s="11">
        <f t="shared" si="50"/>
        <v>-364.31453529774438</v>
      </c>
      <c r="AE119" s="11">
        <f t="shared" si="50"/>
        <v>-7.8407831951737146</v>
      </c>
      <c r="AF119" s="11">
        <f t="shared" si="50"/>
        <v>361.33212034332757</v>
      </c>
      <c r="AG119" s="11">
        <f t="shared" si="50"/>
        <v>-267.79966916572209</v>
      </c>
      <c r="AH119" s="11">
        <f t="shared" si="50"/>
        <v>204.32476237229122</v>
      </c>
      <c r="AI119" s="11">
        <f t="shared" si="50"/>
        <v>-328.90089919427078</v>
      </c>
      <c r="AJ119" s="11">
        <f t="shared" si="50"/>
        <v>-263.35206553382864</v>
      </c>
      <c r="AK119" s="11">
        <f t="shared" si="50"/>
        <v>112.23864626123436</v>
      </c>
      <c r="AL119" s="11">
        <f t="shared" si="50"/>
        <v>144.40864254465569</v>
      </c>
      <c r="AM119" s="11">
        <f t="shared" si="51"/>
        <v>359.61235099401341</v>
      </c>
      <c r="AN119" s="11">
        <f t="shared" si="51"/>
        <v>364.1524545187757</v>
      </c>
      <c r="AO119" s="11">
        <f t="shared" si="51"/>
        <v>-239.87961329516943</v>
      </c>
      <c r="AP119" s="11">
        <f t="shared" si="51"/>
        <v>-166.97969154177889</v>
      </c>
      <c r="AQ119" s="11">
        <f t="shared" si="51"/>
        <v>173.81521080343765</v>
      </c>
      <c r="AR119" s="11">
        <f t="shared" si="51"/>
        <v>-344.37692550506216</v>
      </c>
      <c r="AS119" s="11">
        <f t="shared" si="51"/>
        <v>183.65904617054952</v>
      </c>
      <c r="AT119" s="11">
        <f t="shared" si="51"/>
        <v>-229.02607099872651</v>
      </c>
      <c r="AU119" s="11">
        <f t="shared" si="51"/>
        <v>228.33532172511795</v>
      </c>
      <c r="AV119" s="11">
        <f t="shared" si="51"/>
        <v>-246.59345385057969</v>
      </c>
      <c r="AW119" s="11">
        <f t="shared" si="52"/>
        <v>143.40965852511221</v>
      </c>
      <c r="AX119" s="11">
        <f t="shared" si="52"/>
        <v>56.509515578479991</v>
      </c>
      <c r="AY119" s="11">
        <f t="shared" si="52"/>
        <v>287.27948001498839</v>
      </c>
      <c r="AZ119" s="11">
        <f t="shared" si="52"/>
        <v>-160.29312260952099</v>
      </c>
      <c r="BA119" s="11">
        <f t="shared" si="52"/>
        <v>-116.92501399403596</v>
      </c>
      <c r="BB119" s="11">
        <f t="shared" si="52"/>
        <v>-140.3751857136198</v>
      </c>
      <c r="BC119" s="11">
        <f t="shared" si="52"/>
        <v>-220.42599762981632</v>
      </c>
      <c r="BD119" s="11">
        <f t="shared" si="52"/>
        <v>-324.71801619067139</v>
      </c>
      <c r="BE119" s="11">
        <f t="shared" si="52"/>
        <v>-365.59181434593933</v>
      </c>
      <c r="BF119" s="11">
        <f t="shared" si="52"/>
        <v>-335.06465020875982</v>
      </c>
      <c r="BG119" s="11">
        <f t="shared" si="52"/>
        <v>-239.09856188001072</v>
      </c>
      <c r="BH119" s="11">
        <f t="shared" si="52"/>
        <v>-96.435965207798461</v>
      </c>
      <c r="BI119" s="11">
        <f t="shared" si="52"/>
        <v>65.060786666953049</v>
      </c>
      <c r="BJ119" s="11">
        <f t="shared" si="52"/>
        <v>213.85098884280515</v>
      </c>
      <c r="BK119" s="11">
        <f t="shared" si="52"/>
        <v>-317.31603404596336</v>
      </c>
    </row>
    <row r="120" spans="2:63" x14ac:dyDescent="0.25">
      <c r="B120">
        <v>2</v>
      </c>
      <c r="C120">
        <v>1</v>
      </c>
      <c r="D120">
        <v>0</v>
      </c>
      <c r="E120">
        <v>1</v>
      </c>
      <c r="F120">
        <v>-351</v>
      </c>
      <c r="H120" s="34"/>
      <c r="I120" s="11">
        <f t="shared" ref="I120:R129" si="53">IF(ABS($C120)=1,I$7,IF(ABS($C120)=2,I$7^2,1))*  $F120  *  SIN(($B120*I$2  +  $C120*I$3 + $D120*I$4 + $E120*I$5)*Deg2Rad)</f>
        <v>350.5765847536411</v>
      </c>
      <c r="J120" s="11">
        <f t="shared" si="53"/>
        <v>189.59639567959624</v>
      </c>
      <c r="K120" s="11">
        <f t="shared" si="53"/>
        <v>193.72176747210429</v>
      </c>
      <c r="L120" s="11">
        <f t="shared" si="53"/>
        <v>345.13068060884683</v>
      </c>
      <c r="M120" s="11">
        <f t="shared" si="53"/>
        <v>200.24587083812517</v>
      </c>
      <c r="N120" s="11">
        <f t="shared" si="53"/>
        <v>40.583079405035001</v>
      </c>
      <c r="O120" s="11">
        <f t="shared" si="53"/>
        <v>348.08237812648838</v>
      </c>
      <c r="P120" s="11">
        <f t="shared" si="53"/>
        <v>-345.40311511516381</v>
      </c>
      <c r="Q120" s="11">
        <f t="shared" si="53"/>
        <v>-64.137592489718344</v>
      </c>
      <c r="R120" s="11">
        <f t="shared" si="53"/>
        <v>-111.2553675504012</v>
      </c>
      <c r="S120" s="11">
        <f t="shared" ref="S120:AB129" si="54">IF(ABS($C120)=1,S$7,IF(ABS($C120)=2,S$7^2,1))*  $F120  *  SIN(($B120*S$2  +  $C120*S$3 + $D120*S$4 + $E120*S$5)*Deg2Rad)</f>
        <v>174.08816073301477</v>
      </c>
      <c r="T120" s="11">
        <f t="shared" si="54"/>
        <v>334.80765498774036</v>
      </c>
      <c r="U120" s="11">
        <f t="shared" si="54"/>
        <v>-252.99097788985728</v>
      </c>
      <c r="V120" s="11">
        <f t="shared" si="54"/>
        <v>-364.93198649611048</v>
      </c>
      <c r="W120" s="11">
        <f t="shared" si="54"/>
        <v>-76.294593164447392</v>
      </c>
      <c r="X120" s="11">
        <f t="shared" si="54"/>
        <v>243.69320021016878</v>
      </c>
      <c r="Y120" s="11">
        <f t="shared" si="54"/>
        <v>353.28952900919626</v>
      </c>
      <c r="Z120" s="11">
        <f t="shared" si="54"/>
        <v>255.8250218546724</v>
      </c>
      <c r="AA120" s="11">
        <f t="shared" si="54"/>
        <v>-163.14126070270686</v>
      </c>
      <c r="AB120" s="11">
        <f t="shared" si="54"/>
        <v>31.927085284724637</v>
      </c>
      <c r="AC120" s="11">
        <f t="shared" ref="AC120:AL129" si="55">IF(ABS($C120)=1,AC$7,IF(ABS($C120)=2,AC$7^2,1))*  $F120  *  SIN(($B120*AC$2  +  $C120*AC$3 + $D120*AC$4 + $E120*AC$5)*Deg2Rad)</f>
        <v>-195.74708068918096</v>
      </c>
      <c r="AD120" s="11">
        <f t="shared" si="55"/>
        <v>265.6913536002653</v>
      </c>
      <c r="AE120" s="11">
        <f t="shared" si="55"/>
        <v>279.56955057111372</v>
      </c>
      <c r="AF120" s="11">
        <f t="shared" si="55"/>
        <v>245.7438175641241</v>
      </c>
      <c r="AG120" s="11">
        <f t="shared" si="55"/>
        <v>-226.62187006028225</v>
      </c>
      <c r="AH120" s="11">
        <f t="shared" si="55"/>
        <v>109.83266769077052</v>
      </c>
      <c r="AI120" s="11">
        <f t="shared" si="55"/>
        <v>-145.65696437941614</v>
      </c>
      <c r="AJ120" s="11">
        <f t="shared" si="55"/>
        <v>70.128221960937339</v>
      </c>
      <c r="AK120" s="11">
        <f t="shared" si="55"/>
        <v>-350.5711342218703</v>
      </c>
      <c r="AL120" s="11">
        <f t="shared" si="55"/>
        <v>347.7740753024845</v>
      </c>
      <c r="AM120" s="11">
        <f t="shared" ref="AM120:AV129" si="56">IF(ABS($C120)=1,AM$7,IF(ABS($C120)=2,AM$7^2,1))*  $F120  *  SIN(($B120*AM$2  +  $C120*AM$3 + $D120*AM$4 + $E120*AM$5)*Deg2Rad)</f>
        <v>-302.00172639534725</v>
      </c>
      <c r="AN120" s="11">
        <f t="shared" si="56"/>
        <v>321.33853825931357</v>
      </c>
      <c r="AO120" s="11">
        <f t="shared" si="56"/>
        <v>-42.017984914866616</v>
      </c>
      <c r="AP120" s="11">
        <f t="shared" si="56"/>
        <v>-200.15568296287444</v>
      </c>
      <c r="AQ120" s="11">
        <f t="shared" si="56"/>
        <v>357.79271470563134</v>
      </c>
      <c r="AR120" s="11">
        <f t="shared" si="56"/>
        <v>-278.32507284772151</v>
      </c>
      <c r="AS120" s="11">
        <f t="shared" si="56"/>
        <v>-147.07201838550387</v>
      </c>
      <c r="AT120" s="11">
        <f t="shared" si="56"/>
        <v>-205.55369224741199</v>
      </c>
      <c r="AU120" s="11">
        <f t="shared" si="56"/>
        <v>275.7151897769233</v>
      </c>
      <c r="AV120" s="11">
        <f t="shared" si="56"/>
        <v>199.26350652379526</v>
      </c>
      <c r="AW120" s="11">
        <f t="shared" ref="AW120:BK129" si="57">IF(ABS($C120)=1,AW$7,IF(ABS($C120)=2,AW$7^2,1))*  $F120  *  SIN(($B120*AW$2  +  $C120*AW$3 + $D120*AW$4 + $E120*AW$5)*Deg2Rad)</f>
        <v>-143.20625690053336</v>
      </c>
      <c r="AX120" s="11">
        <f t="shared" si="57"/>
        <v>-9.7064278324587807</v>
      </c>
      <c r="AY120" s="11">
        <f t="shared" si="57"/>
        <v>316.52807349585959</v>
      </c>
      <c r="AZ120" s="11">
        <f t="shared" si="57"/>
        <v>18.548569416161907</v>
      </c>
      <c r="BA120" s="11">
        <f t="shared" si="57"/>
        <v>101.05067051552807</v>
      </c>
      <c r="BB120" s="11">
        <f t="shared" si="57"/>
        <v>-349.45508473295155</v>
      </c>
      <c r="BC120" s="11">
        <f t="shared" si="57"/>
        <v>-344.89992346247737</v>
      </c>
      <c r="BD120" s="11">
        <f t="shared" si="57"/>
        <v>-309.51862341469058</v>
      </c>
      <c r="BE120" s="11">
        <f t="shared" si="57"/>
        <v>-138.91430940286895</v>
      </c>
      <c r="BF120" s="11">
        <f t="shared" si="57"/>
        <v>92.379099121066631</v>
      </c>
      <c r="BG120" s="11">
        <f t="shared" si="57"/>
        <v>283.31373890411766</v>
      </c>
      <c r="BH120" s="11">
        <f t="shared" si="57"/>
        <v>350.47376767824591</v>
      </c>
      <c r="BI120" s="11">
        <f t="shared" si="57"/>
        <v>264.51821575203655</v>
      </c>
      <c r="BJ120" s="11">
        <f t="shared" si="57"/>
        <v>62.999510930283357</v>
      </c>
      <c r="BK120" s="11">
        <f t="shared" si="57"/>
        <v>-177.38678510134801</v>
      </c>
    </row>
    <row r="121" spans="2:63" x14ac:dyDescent="0.25">
      <c r="B121">
        <v>4</v>
      </c>
      <c r="C121">
        <v>0</v>
      </c>
      <c r="D121">
        <v>0</v>
      </c>
      <c r="E121">
        <v>1</v>
      </c>
      <c r="F121">
        <v>331</v>
      </c>
      <c r="H121" s="34"/>
      <c r="I121" s="11">
        <f t="shared" si="53"/>
        <v>-329.16937206806961</v>
      </c>
      <c r="J121" s="11">
        <f t="shared" si="53"/>
        <v>199.68984164608619</v>
      </c>
      <c r="K121" s="11">
        <f t="shared" si="53"/>
        <v>-138.17155980292267</v>
      </c>
      <c r="L121" s="11">
        <f t="shared" si="53"/>
        <v>-239.98015823979176</v>
      </c>
      <c r="M121" s="11">
        <f t="shared" si="53"/>
        <v>268.41008587656825</v>
      </c>
      <c r="N121" s="11">
        <f t="shared" si="53"/>
        <v>122.47827150442473</v>
      </c>
      <c r="O121" s="11">
        <f t="shared" si="53"/>
        <v>316.57395687861259</v>
      </c>
      <c r="P121" s="11">
        <f t="shared" si="53"/>
        <v>170.06184174550205</v>
      </c>
      <c r="Q121" s="11">
        <f t="shared" si="53"/>
        <v>29.973086223853407</v>
      </c>
      <c r="R121" s="11">
        <f t="shared" si="53"/>
        <v>126.0177145058704</v>
      </c>
      <c r="S121" s="11">
        <f t="shared" si="54"/>
        <v>319.97531140545993</v>
      </c>
      <c r="T121" s="11">
        <f t="shared" si="54"/>
        <v>140.39990634637189</v>
      </c>
      <c r="U121" s="11">
        <f t="shared" si="54"/>
        <v>89.878635691835527</v>
      </c>
      <c r="V121" s="11">
        <f t="shared" si="54"/>
        <v>-239.04906198281631</v>
      </c>
      <c r="W121" s="11">
        <f t="shared" si="54"/>
        <v>-309.1704858269365</v>
      </c>
      <c r="X121" s="11">
        <f t="shared" si="54"/>
        <v>-264.18013490342486</v>
      </c>
      <c r="Y121" s="11">
        <f t="shared" si="54"/>
        <v>103.60837169631098</v>
      </c>
      <c r="Z121" s="11">
        <f t="shared" si="54"/>
        <v>22.45511119744463</v>
      </c>
      <c r="AA121" s="11">
        <f t="shared" si="54"/>
        <v>-159.17329195491814</v>
      </c>
      <c r="AB121" s="11">
        <f t="shared" si="54"/>
        <v>-232.99221027972899</v>
      </c>
      <c r="AC121" s="11">
        <f t="shared" si="55"/>
        <v>-330.7143417413821</v>
      </c>
      <c r="AD121" s="11">
        <f t="shared" si="55"/>
        <v>-151.92435802404725</v>
      </c>
      <c r="AE121" s="11">
        <f t="shared" si="55"/>
        <v>36.455903231752323</v>
      </c>
      <c r="AF121" s="11">
        <f t="shared" si="55"/>
        <v>289.83483133651765</v>
      </c>
      <c r="AG121" s="11">
        <f t="shared" si="55"/>
        <v>130.69006164922885</v>
      </c>
      <c r="AH121" s="11">
        <f t="shared" si="55"/>
        <v>25.185427998147251</v>
      </c>
      <c r="AI121" s="11">
        <f t="shared" si="55"/>
        <v>322.5592094412338</v>
      </c>
      <c r="AJ121" s="11">
        <f t="shared" si="55"/>
        <v>328.29476172777311</v>
      </c>
      <c r="AK121" s="11">
        <f t="shared" si="55"/>
        <v>-123.19485031789996</v>
      </c>
      <c r="AL121" s="11">
        <f t="shared" si="55"/>
        <v>-223.11499479519867</v>
      </c>
      <c r="AM121" s="11">
        <f t="shared" si="56"/>
        <v>-38.370590322334913</v>
      </c>
      <c r="AN121" s="11">
        <f t="shared" si="56"/>
        <v>1.8491310988575049</v>
      </c>
      <c r="AO121" s="11">
        <f t="shared" si="56"/>
        <v>-186.93362758086025</v>
      </c>
      <c r="AP121" s="11">
        <f t="shared" si="56"/>
        <v>-325.58433508946916</v>
      </c>
      <c r="AQ121" s="11">
        <f t="shared" si="56"/>
        <v>307.00555292998371</v>
      </c>
      <c r="AR121" s="11">
        <f t="shared" si="56"/>
        <v>28.514587237521614</v>
      </c>
      <c r="AS121" s="11">
        <f t="shared" si="56"/>
        <v>326.9533731882089</v>
      </c>
      <c r="AT121" s="11">
        <f t="shared" si="56"/>
        <v>245.84696924209945</v>
      </c>
      <c r="AU121" s="11">
        <f t="shared" si="56"/>
        <v>-162.61540594156426</v>
      </c>
      <c r="AV121" s="11">
        <f t="shared" si="56"/>
        <v>-328.28430902433081</v>
      </c>
      <c r="AW121" s="11">
        <f t="shared" si="57"/>
        <v>218.34003525424848</v>
      </c>
      <c r="AX121" s="11">
        <f t="shared" si="57"/>
        <v>-252.99376715814779</v>
      </c>
      <c r="AY121" s="11">
        <f t="shared" si="57"/>
        <v>175.45489142008344</v>
      </c>
      <c r="AZ121" s="11">
        <f t="shared" si="57"/>
        <v>-329.06565488085675</v>
      </c>
      <c r="BA121" s="11">
        <f t="shared" si="57"/>
        <v>-105.91274906363545</v>
      </c>
      <c r="BB121" s="11">
        <f t="shared" si="57"/>
        <v>-51.358570846879793</v>
      </c>
      <c r="BC121" s="11">
        <f t="shared" si="57"/>
        <v>-311.78618966434084</v>
      </c>
      <c r="BD121" s="11">
        <f t="shared" si="57"/>
        <v>-48.294558691923832</v>
      </c>
      <c r="BE121" s="11">
        <f t="shared" si="57"/>
        <v>266.42895425245774</v>
      </c>
      <c r="BF121" s="11">
        <f t="shared" si="57"/>
        <v>298.51903792711215</v>
      </c>
      <c r="BG121" s="11">
        <f t="shared" si="57"/>
        <v>13.933857727602566</v>
      </c>
      <c r="BH121" s="11">
        <f t="shared" si="57"/>
        <v>-285.43265133856579</v>
      </c>
      <c r="BI121" s="11">
        <f t="shared" si="57"/>
        <v>-282.00621021828948</v>
      </c>
      <c r="BJ121" s="11">
        <f t="shared" si="57"/>
        <v>20.578340398039</v>
      </c>
      <c r="BK121" s="11">
        <f t="shared" si="57"/>
        <v>330.34812143273723</v>
      </c>
    </row>
    <row r="122" spans="2:63" x14ac:dyDescent="0.25">
      <c r="B122">
        <v>2</v>
      </c>
      <c r="C122">
        <v>-1</v>
      </c>
      <c r="D122">
        <v>1</v>
      </c>
      <c r="E122">
        <v>1</v>
      </c>
      <c r="F122">
        <v>315</v>
      </c>
      <c r="H122" s="34"/>
      <c r="I122" s="11">
        <f t="shared" si="53"/>
        <v>-298.2984343162442</v>
      </c>
      <c r="J122" s="11">
        <f t="shared" si="53"/>
        <v>277.29314410263157</v>
      </c>
      <c r="K122" s="11">
        <f t="shared" si="53"/>
        <v>302.17339670664893</v>
      </c>
      <c r="L122" s="11">
        <f t="shared" si="53"/>
        <v>-259.2206874686803</v>
      </c>
      <c r="M122" s="11">
        <f t="shared" si="53"/>
        <v>85.568493652121177</v>
      </c>
      <c r="N122" s="11">
        <f t="shared" si="53"/>
        <v>313.99761640677963</v>
      </c>
      <c r="O122" s="11">
        <f t="shared" si="53"/>
        <v>-269.57461462273631</v>
      </c>
      <c r="P122" s="11">
        <f t="shared" si="53"/>
        <v>-308.85229169340261</v>
      </c>
      <c r="Q122" s="11">
        <f t="shared" si="53"/>
        <v>-222.53074591216449</v>
      </c>
      <c r="R122" s="11">
        <f t="shared" si="53"/>
        <v>-291.5798700346798</v>
      </c>
      <c r="S122" s="11">
        <f t="shared" si="54"/>
        <v>126.15199003783725</v>
      </c>
      <c r="T122" s="11">
        <f t="shared" si="54"/>
        <v>298.4496354490646</v>
      </c>
      <c r="U122" s="11">
        <f t="shared" si="54"/>
        <v>-113.27912671915374</v>
      </c>
      <c r="V122" s="11">
        <f t="shared" si="54"/>
        <v>-310.25925799315837</v>
      </c>
      <c r="W122" s="11">
        <f t="shared" si="54"/>
        <v>124.23042559767164</v>
      </c>
      <c r="X122" s="11">
        <f t="shared" si="54"/>
        <v>9.8928936814411372</v>
      </c>
      <c r="Y122" s="11">
        <f t="shared" si="54"/>
        <v>-135.59860749694275</v>
      </c>
      <c r="Z122" s="11">
        <f t="shared" si="54"/>
        <v>297.27373296791137</v>
      </c>
      <c r="AA122" s="11">
        <f t="shared" si="54"/>
        <v>-63.524781205379732</v>
      </c>
      <c r="AB122" s="11">
        <f t="shared" si="54"/>
        <v>-27.012107046707609</v>
      </c>
      <c r="AC122" s="11">
        <f t="shared" si="55"/>
        <v>-2.2167560185156492</v>
      </c>
      <c r="AD122" s="11">
        <f t="shared" si="55"/>
        <v>36.016393899169735</v>
      </c>
      <c r="AE122" s="11">
        <f t="shared" si="55"/>
        <v>311.58992228425859</v>
      </c>
      <c r="AF122" s="11">
        <f t="shared" si="55"/>
        <v>108.19050838638039</v>
      </c>
      <c r="AG122" s="11">
        <f t="shared" si="55"/>
        <v>-146.59746020440775</v>
      </c>
      <c r="AH122" s="11">
        <f t="shared" si="55"/>
        <v>-303.69418031085564</v>
      </c>
      <c r="AI122" s="11">
        <f t="shared" si="55"/>
        <v>127.29659419024203</v>
      </c>
      <c r="AJ122" s="11">
        <f t="shared" si="55"/>
        <v>-312.69230064047912</v>
      </c>
      <c r="AK122" s="11">
        <f t="shared" si="55"/>
        <v>210.46268304376372</v>
      </c>
      <c r="AL122" s="11">
        <f t="shared" si="55"/>
        <v>-276.79249500009337</v>
      </c>
      <c r="AM122" s="11">
        <f t="shared" si="56"/>
        <v>62.872446527864419</v>
      </c>
      <c r="AN122" s="11">
        <f t="shared" si="56"/>
        <v>-21.240559218373715</v>
      </c>
      <c r="AO122" s="11">
        <f t="shared" si="56"/>
        <v>-146.22563236974202</v>
      </c>
      <c r="AP122" s="11">
        <f t="shared" si="56"/>
        <v>292.85840858415378</v>
      </c>
      <c r="AQ122" s="11">
        <f t="shared" si="56"/>
        <v>147.63461011539562</v>
      </c>
      <c r="AR122" s="11">
        <f t="shared" si="56"/>
        <v>44.792891100461041</v>
      </c>
      <c r="AS122" s="11">
        <f t="shared" si="56"/>
        <v>73.249440412322627</v>
      </c>
      <c r="AT122" s="11">
        <f t="shared" si="56"/>
        <v>246.67839749462433</v>
      </c>
      <c r="AU122" s="11">
        <f t="shared" si="56"/>
        <v>275.33387283970433</v>
      </c>
      <c r="AV122" s="11">
        <f t="shared" si="56"/>
        <v>307.93326181192077</v>
      </c>
      <c r="AW122" s="11">
        <f t="shared" si="57"/>
        <v>241.51760316033074</v>
      </c>
      <c r="AX122" s="11">
        <f t="shared" si="57"/>
        <v>209.94838742705048</v>
      </c>
      <c r="AY122" s="11">
        <f t="shared" si="57"/>
        <v>-58.414302914713154</v>
      </c>
      <c r="AZ122" s="11">
        <f t="shared" si="57"/>
        <v>-224.59533795717147</v>
      </c>
      <c r="BA122" s="11">
        <f t="shared" si="57"/>
        <v>-260.61962226099706</v>
      </c>
      <c r="BB122" s="11">
        <f t="shared" si="57"/>
        <v>-261.0883362011885</v>
      </c>
      <c r="BC122" s="11">
        <f t="shared" si="57"/>
        <v>-48.597322659174182</v>
      </c>
      <c r="BD122" s="11">
        <f t="shared" si="57"/>
        <v>-268.62826561736199</v>
      </c>
      <c r="BE122" s="11">
        <f t="shared" si="57"/>
        <v>-298.96447839183975</v>
      </c>
      <c r="BF122" s="11">
        <f t="shared" si="57"/>
        <v>-118.18374866017292</v>
      </c>
      <c r="BG122" s="11">
        <f t="shared" si="57"/>
        <v>146.05366411993836</v>
      </c>
      <c r="BH122" s="11">
        <f t="shared" si="57"/>
        <v>307.15369593250159</v>
      </c>
      <c r="BI122" s="11">
        <f t="shared" si="57"/>
        <v>251.35386433810365</v>
      </c>
      <c r="BJ122" s="11">
        <f t="shared" si="57"/>
        <v>18.057842372232319</v>
      </c>
      <c r="BK122" s="11">
        <f t="shared" si="57"/>
        <v>163.89420563554671</v>
      </c>
    </row>
    <row r="123" spans="2:63" x14ac:dyDescent="0.25">
      <c r="B123">
        <v>2</v>
      </c>
      <c r="C123">
        <v>-2</v>
      </c>
      <c r="D123">
        <v>0</v>
      </c>
      <c r="E123">
        <v>-1</v>
      </c>
      <c r="F123">
        <v>302</v>
      </c>
      <c r="H123" s="34"/>
      <c r="I123" s="11">
        <f t="shared" si="53"/>
        <v>-116.40913470151008</v>
      </c>
      <c r="J123" s="11">
        <f t="shared" si="53"/>
        <v>-177.01473840720175</v>
      </c>
      <c r="K123" s="11">
        <f t="shared" si="53"/>
        <v>162.84165480875788</v>
      </c>
      <c r="L123" s="11">
        <f t="shared" si="53"/>
        <v>158.85192814570431</v>
      </c>
      <c r="M123" s="11">
        <f t="shared" si="53"/>
        <v>-50.678457228107668</v>
      </c>
      <c r="N123" s="11">
        <f t="shared" si="53"/>
        <v>-223.9059434915367</v>
      </c>
      <c r="O123" s="11">
        <f t="shared" si="53"/>
        <v>296.22826278733515</v>
      </c>
      <c r="P123" s="11">
        <f t="shared" si="53"/>
        <v>-62.626774589730807</v>
      </c>
      <c r="Q123" s="11">
        <f t="shared" si="53"/>
        <v>-114.4057141289216</v>
      </c>
      <c r="R123" s="11">
        <f t="shared" si="53"/>
        <v>-74.033219532429101</v>
      </c>
      <c r="S123" s="11">
        <f t="shared" si="54"/>
        <v>-252.46369310668831</v>
      </c>
      <c r="T123" s="11">
        <f t="shared" si="54"/>
        <v>226.05221718772918</v>
      </c>
      <c r="U123" s="11">
        <f t="shared" si="54"/>
        <v>-247.02349754585612</v>
      </c>
      <c r="V123" s="11">
        <f t="shared" si="54"/>
        <v>-279.48691744728296</v>
      </c>
      <c r="W123" s="11">
        <f t="shared" si="54"/>
        <v>284.52703559969683</v>
      </c>
      <c r="X123" s="11">
        <f t="shared" si="54"/>
        <v>-340.48427123403417</v>
      </c>
      <c r="Y123" s="11">
        <f t="shared" si="54"/>
        <v>-344.99012256364006</v>
      </c>
      <c r="Z123" s="11">
        <f t="shared" si="54"/>
        <v>-139.2491878889069</v>
      </c>
      <c r="AA123" s="11">
        <f t="shared" si="54"/>
        <v>-260.23124548444372</v>
      </c>
      <c r="AB123" s="11">
        <f t="shared" si="54"/>
        <v>39.393136880271392</v>
      </c>
      <c r="AC123" s="11">
        <f t="shared" si="55"/>
        <v>271.8316610900028</v>
      </c>
      <c r="AD123" s="11">
        <f t="shared" si="55"/>
        <v>301.3287667993169</v>
      </c>
      <c r="AE123" s="11">
        <f t="shared" si="55"/>
        <v>182.67459379225559</v>
      </c>
      <c r="AF123" s="11">
        <f t="shared" si="55"/>
        <v>-32.966076237046558</v>
      </c>
      <c r="AG123" s="11">
        <f t="shared" si="55"/>
        <v>-124.06010604680185</v>
      </c>
      <c r="AH123" s="11">
        <f t="shared" si="55"/>
        <v>47.515048059998634</v>
      </c>
      <c r="AI123" s="11">
        <f t="shared" si="55"/>
        <v>173.8751545317061</v>
      </c>
      <c r="AJ123" s="11">
        <f t="shared" si="55"/>
        <v>-168.4696881972767</v>
      </c>
      <c r="AK123" s="11">
        <f t="shared" si="55"/>
        <v>266.25575046673248</v>
      </c>
      <c r="AL123" s="11">
        <f t="shared" si="55"/>
        <v>135.66663041697319</v>
      </c>
      <c r="AM123" s="11">
        <f t="shared" si="56"/>
        <v>286.53461167779989</v>
      </c>
      <c r="AN123" s="11">
        <f t="shared" si="56"/>
        <v>299.16744145701546</v>
      </c>
      <c r="AO123" s="11">
        <f t="shared" si="56"/>
        <v>228.1829970528635</v>
      </c>
      <c r="AP123" s="11">
        <f t="shared" si="56"/>
        <v>-106.46459413956957</v>
      </c>
      <c r="AQ123" s="11">
        <f t="shared" si="56"/>
        <v>-197.38132119376613</v>
      </c>
      <c r="AR123" s="11">
        <f t="shared" si="56"/>
        <v>-249.92145706501901</v>
      </c>
      <c r="AS123" s="11">
        <f t="shared" si="56"/>
        <v>120.48718031883682</v>
      </c>
      <c r="AT123" s="11">
        <f t="shared" si="56"/>
        <v>254.42229949382846</v>
      </c>
      <c r="AU123" s="11">
        <f t="shared" si="56"/>
        <v>255.03278837239574</v>
      </c>
      <c r="AV123" s="11">
        <f t="shared" si="56"/>
        <v>-29.71971721181923</v>
      </c>
      <c r="AW123" s="11">
        <f t="shared" si="57"/>
        <v>-294.29986208741065</v>
      </c>
      <c r="AX123" s="11">
        <f t="shared" si="57"/>
        <v>159.32061255246833</v>
      </c>
      <c r="AY123" s="11">
        <f t="shared" si="57"/>
        <v>-300.86633091952223</v>
      </c>
      <c r="AZ123" s="11">
        <f t="shared" si="57"/>
        <v>-263.16953040212252</v>
      </c>
      <c r="BA123" s="11">
        <f t="shared" si="57"/>
        <v>76.530458249703003</v>
      </c>
      <c r="BB123" s="11">
        <f t="shared" si="57"/>
        <v>-56.80852490671311</v>
      </c>
      <c r="BC123" s="11">
        <f t="shared" si="57"/>
        <v>-239.92539314058214</v>
      </c>
      <c r="BD123" s="11">
        <f t="shared" si="57"/>
        <v>-207.6795261254457</v>
      </c>
      <c r="BE123" s="11">
        <f t="shared" si="57"/>
        <v>-170.11266002275232</v>
      </c>
      <c r="BF123" s="11">
        <f t="shared" si="57"/>
        <v>-128.18730617604106</v>
      </c>
      <c r="BG123" s="11">
        <f t="shared" si="57"/>
        <v>-82.977645545087782</v>
      </c>
      <c r="BH123" s="11">
        <f t="shared" si="57"/>
        <v>-35.642006821522358</v>
      </c>
      <c r="BI123" s="11">
        <f t="shared" si="57"/>
        <v>12.606811418356886</v>
      </c>
      <c r="BJ123" s="11">
        <f t="shared" si="57"/>
        <v>60.532614135768178</v>
      </c>
      <c r="BK123" s="11">
        <f t="shared" si="57"/>
        <v>179.81463494575598</v>
      </c>
    </row>
    <row r="124" spans="2:63" x14ac:dyDescent="0.25">
      <c r="B124">
        <v>0</v>
      </c>
      <c r="C124">
        <v>0</v>
      </c>
      <c r="D124">
        <v>1</v>
      </c>
      <c r="E124">
        <v>3</v>
      </c>
      <c r="F124">
        <v>-283</v>
      </c>
      <c r="H124" s="34"/>
      <c r="I124" s="11">
        <f t="shared" si="53"/>
        <v>-274.08207532782041</v>
      </c>
      <c r="J124" s="11">
        <f t="shared" si="53"/>
        <v>-270.6502783743764</v>
      </c>
      <c r="K124" s="11">
        <f t="shared" si="53"/>
        <v>-231.1941413504681</v>
      </c>
      <c r="L124" s="11">
        <f t="shared" si="53"/>
        <v>156.37201799819556</v>
      </c>
      <c r="M124" s="11">
        <f t="shared" si="53"/>
        <v>-212.05559910299928</v>
      </c>
      <c r="N124" s="11">
        <f t="shared" si="53"/>
        <v>-241.53603101024513</v>
      </c>
      <c r="O124" s="11">
        <f t="shared" si="53"/>
        <v>194.41653077177554</v>
      </c>
      <c r="P124" s="11">
        <f t="shared" si="53"/>
        <v>271.75392421826785</v>
      </c>
      <c r="Q124" s="11">
        <f t="shared" si="53"/>
        <v>18.585457171217143</v>
      </c>
      <c r="R124" s="11">
        <f t="shared" si="53"/>
        <v>128.23977742636154</v>
      </c>
      <c r="S124" s="11">
        <f t="shared" si="54"/>
        <v>-105.1278640267173</v>
      </c>
      <c r="T124" s="11">
        <f t="shared" si="54"/>
        <v>-218.65765730407909</v>
      </c>
      <c r="U124" s="11">
        <f t="shared" si="54"/>
        <v>-67.167090105451322</v>
      </c>
      <c r="V124" s="11">
        <f t="shared" si="54"/>
        <v>178.18776890088685</v>
      </c>
      <c r="W124" s="11">
        <f t="shared" si="54"/>
        <v>-282.8459643624019</v>
      </c>
      <c r="X124" s="11">
        <f t="shared" si="54"/>
        <v>80.875687337396215</v>
      </c>
      <c r="Y124" s="11">
        <f t="shared" si="54"/>
        <v>75.696502927856457</v>
      </c>
      <c r="Z124" s="11">
        <f t="shared" si="54"/>
        <v>101.68928639203155</v>
      </c>
      <c r="AA124" s="11">
        <f t="shared" si="54"/>
        <v>246.30312637896014</v>
      </c>
      <c r="AB124" s="11">
        <f t="shared" si="54"/>
        <v>232.32884865503706</v>
      </c>
      <c r="AC124" s="11">
        <f t="shared" si="55"/>
        <v>281.05391646855071</v>
      </c>
      <c r="AD124" s="11">
        <f t="shared" si="55"/>
        <v>-108.60765117574647</v>
      </c>
      <c r="AE124" s="11">
        <f t="shared" si="55"/>
        <v>-134.61537874017648</v>
      </c>
      <c r="AF124" s="11">
        <f t="shared" si="55"/>
        <v>0.31535519429865511</v>
      </c>
      <c r="AG124" s="11">
        <f t="shared" si="55"/>
        <v>-183.46309989962563</v>
      </c>
      <c r="AH124" s="11">
        <f t="shared" si="55"/>
        <v>-278.83134426902842</v>
      </c>
      <c r="AI124" s="11">
        <f t="shared" si="55"/>
        <v>-280.86418517264633</v>
      </c>
      <c r="AJ124" s="11">
        <f t="shared" si="55"/>
        <v>279.82764891789662</v>
      </c>
      <c r="AK124" s="11">
        <f t="shared" si="55"/>
        <v>263.52476715531452</v>
      </c>
      <c r="AL124" s="11">
        <f t="shared" si="55"/>
        <v>-104.07900153933819</v>
      </c>
      <c r="AM124" s="11">
        <f t="shared" si="56"/>
        <v>-281.71435310108438</v>
      </c>
      <c r="AN124" s="11">
        <f t="shared" si="56"/>
        <v>-189.32272847669267</v>
      </c>
      <c r="AO124" s="11">
        <f t="shared" si="56"/>
        <v>-280.62429571175318</v>
      </c>
      <c r="AP124" s="11">
        <f t="shared" si="56"/>
        <v>-255.25040336701042</v>
      </c>
      <c r="AQ124" s="11">
        <f t="shared" si="56"/>
        <v>59.281886902002249</v>
      </c>
      <c r="AR124" s="11">
        <f t="shared" si="56"/>
        <v>-225.10508202633619</v>
      </c>
      <c r="AS124" s="11">
        <f t="shared" si="56"/>
        <v>-262.2187378565846</v>
      </c>
      <c r="AT124" s="11">
        <f t="shared" si="56"/>
        <v>224.586788370584</v>
      </c>
      <c r="AU124" s="11">
        <f t="shared" si="56"/>
        <v>183.11880251301514</v>
      </c>
      <c r="AV124" s="11">
        <f t="shared" si="56"/>
        <v>167.05364216056211</v>
      </c>
      <c r="AW124" s="11">
        <f t="shared" si="57"/>
        <v>-76.225434907898006</v>
      </c>
      <c r="AX124" s="11">
        <f t="shared" si="57"/>
        <v>-263.82487046791579</v>
      </c>
      <c r="AY124" s="11">
        <f t="shared" si="57"/>
        <v>-275.00557338942673</v>
      </c>
      <c r="AZ124" s="11">
        <f t="shared" si="57"/>
        <v>-280.77461637040858</v>
      </c>
      <c r="BA124" s="11">
        <f t="shared" si="57"/>
        <v>282.98472018377504</v>
      </c>
      <c r="BB124" s="11">
        <f t="shared" si="57"/>
        <v>58.024936790013342</v>
      </c>
      <c r="BC124" s="11">
        <f t="shared" si="57"/>
        <v>147.35535808849997</v>
      </c>
      <c r="BD124" s="11">
        <f t="shared" si="57"/>
        <v>281.51690410639492</v>
      </c>
      <c r="BE124" s="11">
        <f t="shared" si="57"/>
        <v>193.42181278253568</v>
      </c>
      <c r="BF124" s="11">
        <f t="shared" si="57"/>
        <v>-47.379141210703672</v>
      </c>
      <c r="BG124" s="11">
        <f t="shared" si="57"/>
        <v>-250.77442452486119</v>
      </c>
      <c r="BH124" s="11">
        <f t="shared" si="57"/>
        <v>-256.18415346115438</v>
      </c>
      <c r="BI124" s="11">
        <f t="shared" si="57"/>
        <v>-59.337365442303401</v>
      </c>
      <c r="BJ124" s="11">
        <f t="shared" si="57"/>
        <v>184.35607057371399</v>
      </c>
      <c r="BK124" s="11">
        <f t="shared" si="57"/>
        <v>-273.33437474235973</v>
      </c>
    </row>
    <row r="125" spans="2:63" x14ac:dyDescent="0.25">
      <c r="B125">
        <v>2</v>
      </c>
      <c r="C125">
        <v>1</v>
      </c>
      <c r="D125">
        <v>1</v>
      </c>
      <c r="E125">
        <v>-1</v>
      </c>
      <c r="F125">
        <v>-229</v>
      </c>
      <c r="H125" s="34"/>
      <c r="I125" s="11">
        <f t="shared" si="53"/>
        <v>174.68330871580397</v>
      </c>
      <c r="J125" s="11">
        <f t="shared" si="53"/>
        <v>147.12634196790174</v>
      </c>
      <c r="K125" s="11">
        <f t="shared" si="53"/>
        <v>228.1559585661349</v>
      </c>
      <c r="L125" s="11">
        <f t="shared" si="53"/>
        <v>-204.62109297025745</v>
      </c>
      <c r="M125" s="11">
        <f t="shared" si="53"/>
        <v>-187.59066847034723</v>
      </c>
      <c r="N125" s="11">
        <f t="shared" si="53"/>
        <v>-217.32181406475831</v>
      </c>
      <c r="O125" s="11">
        <f t="shared" si="53"/>
        <v>220.16856438572231</v>
      </c>
      <c r="P125" s="11">
        <f t="shared" si="53"/>
        <v>206.28125531951309</v>
      </c>
      <c r="Q125" s="11">
        <f t="shared" si="53"/>
        <v>227.65832692190423</v>
      </c>
      <c r="R125" s="11">
        <f t="shared" si="53"/>
        <v>205.01544878182557</v>
      </c>
      <c r="S125" s="11">
        <f t="shared" si="54"/>
        <v>-158.9930034761833</v>
      </c>
      <c r="T125" s="11">
        <f t="shared" si="54"/>
        <v>-127.30170451284577</v>
      </c>
      <c r="U125" s="11">
        <f t="shared" si="54"/>
        <v>-34.436040600864068</v>
      </c>
      <c r="V125" s="11">
        <f t="shared" si="54"/>
        <v>70.181155642463864</v>
      </c>
      <c r="W125" s="11">
        <f t="shared" si="54"/>
        <v>-187.34295595454685</v>
      </c>
      <c r="X125" s="11">
        <f t="shared" si="54"/>
        <v>82.554357998634273</v>
      </c>
      <c r="Y125" s="11">
        <f t="shared" si="54"/>
        <v>-238.25952603514585</v>
      </c>
      <c r="Z125" s="11">
        <f t="shared" si="54"/>
        <v>-52.20916120184993</v>
      </c>
      <c r="AA125" s="11">
        <f t="shared" si="54"/>
        <v>-228.27805702977099</v>
      </c>
      <c r="AB125" s="11">
        <f t="shared" si="54"/>
        <v>-214.41441178467502</v>
      </c>
      <c r="AC125" s="11">
        <f t="shared" si="55"/>
        <v>210.25972982812615</v>
      </c>
      <c r="AD125" s="11">
        <f t="shared" si="55"/>
        <v>206.3334580282893</v>
      </c>
      <c r="AE125" s="11">
        <f t="shared" si="55"/>
        <v>226.94554948444303</v>
      </c>
      <c r="AF125" s="11">
        <f t="shared" si="55"/>
        <v>-169.18991667419633</v>
      </c>
      <c r="AG125" s="11">
        <f t="shared" si="55"/>
        <v>-122.89422570841576</v>
      </c>
      <c r="AH125" s="11">
        <f t="shared" si="55"/>
        <v>226.49885363226119</v>
      </c>
      <c r="AI125" s="11">
        <f t="shared" si="55"/>
        <v>-50.899377583938296</v>
      </c>
      <c r="AJ125" s="11">
        <f t="shared" si="55"/>
        <v>71.992849438823754</v>
      </c>
      <c r="AK125" s="11">
        <f t="shared" si="55"/>
        <v>-212.20397203465234</v>
      </c>
      <c r="AL125" s="11">
        <f t="shared" si="55"/>
        <v>228.89278004251329</v>
      </c>
      <c r="AM125" s="11">
        <f t="shared" si="56"/>
        <v>52.921476648966774</v>
      </c>
      <c r="AN125" s="11">
        <f t="shared" si="56"/>
        <v>-213.01607025732969</v>
      </c>
      <c r="AO125" s="11">
        <f t="shared" si="56"/>
        <v>-60.808639524000021</v>
      </c>
      <c r="AP125" s="11">
        <f t="shared" si="56"/>
        <v>-131.29202687444976</v>
      </c>
      <c r="AQ125" s="11">
        <f t="shared" si="56"/>
        <v>76.077422649031647</v>
      </c>
      <c r="AR125" s="11">
        <f t="shared" si="56"/>
        <v>-71.590357849246359</v>
      </c>
      <c r="AS125" s="11">
        <f t="shared" si="56"/>
        <v>195.67107515148894</v>
      </c>
      <c r="AT125" s="11">
        <f t="shared" si="56"/>
        <v>-60.302967085622477</v>
      </c>
      <c r="AU125" s="11">
        <f t="shared" si="56"/>
        <v>51.858423019370832</v>
      </c>
      <c r="AV125" s="11">
        <f t="shared" si="56"/>
        <v>-28.150041771661478</v>
      </c>
      <c r="AW125" s="11">
        <f t="shared" si="57"/>
        <v>92.373345855151499</v>
      </c>
      <c r="AX125" s="11">
        <f t="shared" si="57"/>
        <v>125.25854174961273</v>
      </c>
      <c r="AY125" s="11">
        <f t="shared" si="57"/>
        <v>64.304994896923091</v>
      </c>
      <c r="AZ125" s="11">
        <f t="shared" si="57"/>
        <v>-113.06340191468348</v>
      </c>
      <c r="BA125" s="11">
        <f t="shared" si="57"/>
        <v>59.928161988894139</v>
      </c>
      <c r="BB125" s="11">
        <f t="shared" si="57"/>
        <v>56.83743014200968</v>
      </c>
      <c r="BC125" s="11">
        <f t="shared" si="57"/>
        <v>214.04206335199493</v>
      </c>
      <c r="BD125" s="11">
        <f t="shared" si="57"/>
        <v>228.1727678280987</v>
      </c>
      <c r="BE125" s="11">
        <f t="shared" si="57"/>
        <v>198.8624267193951</v>
      </c>
      <c r="BF125" s="11">
        <f t="shared" si="57"/>
        <v>131.69134300135329</v>
      </c>
      <c r="BG125" s="11">
        <f t="shared" si="57"/>
        <v>39.447997959201594</v>
      </c>
      <c r="BH125" s="11">
        <f t="shared" si="57"/>
        <v>-60.305705622448144</v>
      </c>
      <c r="BI125" s="11">
        <f t="shared" si="57"/>
        <v>-148.57799555409943</v>
      </c>
      <c r="BJ125" s="11">
        <f t="shared" si="57"/>
        <v>-208.56300988467325</v>
      </c>
      <c r="BK125" s="11">
        <f t="shared" si="57"/>
        <v>-35.943597152081985</v>
      </c>
    </row>
    <row r="126" spans="2:63" x14ac:dyDescent="0.25">
      <c r="B126">
        <v>1</v>
      </c>
      <c r="C126">
        <v>1</v>
      </c>
      <c r="D126">
        <v>0</v>
      </c>
      <c r="E126">
        <v>-1</v>
      </c>
      <c r="F126">
        <v>223</v>
      </c>
      <c r="H126" s="34"/>
      <c r="I126" s="11">
        <f t="shared" si="53"/>
        <v>-193.63749551428015</v>
      </c>
      <c r="J126" s="11">
        <f t="shared" si="53"/>
        <v>219.46472828826006</v>
      </c>
      <c r="K126" s="11">
        <f t="shared" si="53"/>
        <v>-83.9239968528383</v>
      </c>
      <c r="L126" s="11">
        <f t="shared" si="53"/>
        <v>-147.70680813001439</v>
      </c>
      <c r="M126" s="11">
        <f t="shared" si="53"/>
        <v>222.87623634015227</v>
      </c>
      <c r="N126" s="11">
        <f t="shared" si="53"/>
        <v>222.15157278967422</v>
      </c>
      <c r="O126" s="11">
        <f t="shared" si="53"/>
        <v>213.38632257113179</v>
      </c>
      <c r="P126" s="11">
        <f t="shared" si="53"/>
        <v>202.81812480785226</v>
      </c>
      <c r="Q126" s="11">
        <f t="shared" si="53"/>
        <v>-83.97053520524247</v>
      </c>
      <c r="R126" s="11">
        <f t="shared" si="53"/>
        <v>96.688246433139057</v>
      </c>
      <c r="S126" s="11">
        <f t="shared" si="54"/>
        <v>23.847311224655527</v>
      </c>
      <c r="T126" s="11">
        <f t="shared" si="54"/>
        <v>115.89725103032326</v>
      </c>
      <c r="U126" s="11">
        <f t="shared" si="54"/>
        <v>-204.87846367120582</v>
      </c>
      <c r="V126" s="11">
        <f t="shared" si="54"/>
        <v>-204.77347189385381</v>
      </c>
      <c r="W126" s="11">
        <f t="shared" si="54"/>
        <v>-187.1664314767593</v>
      </c>
      <c r="X126" s="11">
        <f t="shared" si="54"/>
        <v>-167.40694581647747</v>
      </c>
      <c r="Y126" s="11">
        <f t="shared" si="54"/>
        <v>-134.23470251953916</v>
      </c>
      <c r="Z126" s="11">
        <f t="shared" si="54"/>
        <v>-11.033805347312832</v>
      </c>
      <c r="AA126" s="11">
        <f t="shared" si="54"/>
        <v>222.99844546986185</v>
      </c>
      <c r="AB126" s="11">
        <f t="shared" si="54"/>
        <v>-32.597875398678518</v>
      </c>
      <c r="AC126" s="11">
        <f t="shared" si="55"/>
        <v>-215.5697954377344</v>
      </c>
      <c r="AD126" s="11">
        <f t="shared" si="55"/>
        <v>209.79040992186023</v>
      </c>
      <c r="AE126" s="11">
        <f t="shared" si="55"/>
        <v>-84.019549785174007</v>
      </c>
      <c r="AF126" s="11">
        <f t="shared" si="55"/>
        <v>11.921894242463068</v>
      </c>
      <c r="AG126" s="11">
        <f t="shared" si="55"/>
        <v>-211.20779255229334</v>
      </c>
      <c r="AH126" s="11">
        <f t="shared" si="55"/>
        <v>207.54462265417001</v>
      </c>
      <c r="AI126" s="11">
        <f t="shared" si="55"/>
        <v>-215.73668603975241</v>
      </c>
      <c r="AJ126" s="11">
        <f t="shared" si="55"/>
        <v>-82.685506876546441</v>
      </c>
      <c r="AK126" s="11">
        <f t="shared" si="55"/>
        <v>-69.500820911084176</v>
      </c>
      <c r="AL126" s="11">
        <f t="shared" si="55"/>
        <v>51.0110471403963</v>
      </c>
      <c r="AM126" s="11">
        <f t="shared" si="56"/>
        <v>-30.351056957985936</v>
      </c>
      <c r="AN126" s="11">
        <f t="shared" si="56"/>
        <v>-107.29975559178492</v>
      </c>
      <c r="AO126" s="11">
        <f t="shared" si="56"/>
        <v>182.78882089263286</v>
      </c>
      <c r="AP126" s="11">
        <f t="shared" si="56"/>
        <v>82.858154372292361</v>
      </c>
      <c r="AQ126" s="11">
        <f t="shared" si="56"/>
        <v>-169.67441927670757</v>
      </c>
      <c r="AR126" s="11">
        <f t="shared" si="56"/>
        <v>-65.368259157078327</v>
      </c>
      <c r="AS126" s="11">
        <f t="shared" si="56"/>
        <v>78.672438956060617</v>
      </c>
      <c r="AT126" s="11">
        <f t="shared" si="56"/>
        <v>188.93000346202288</v>
      </c>
      <c r="AU126" s="11">
        <f t="shared" si="56"/>
        <v>189.69750736559737</v>
      </c>
      <c r="AV126" s="11">
        <f t="shared" si="56"/>
        <v>190.44057158296232</v>
      </c>
      <c r="AW126" s="11">
        <f t="shared" si="57"/>
        <v>191.27153390431513</v>
      </c>
      <c r="AX126" s="11">
        <f t="shared" si="57"/>
        <v>192.80468973957261</v>
      </c>
      <c r="AY126" s="11">
        <f t="shared" si="57"/>
        <v>-12.565329993187788</v>
      </c>
      <c r="AZ126" s="11">
        <f t="shared" si="57"/>
        <v>-205.72369159365158</v>
      </c>
      <c r="BA126" s="11">
        <f t="shared" si="57"/>
        <v>77.183597840976972</v>
      </c>
      <c r="BB126" s="11">
        <f t="shared" si="57"/>
        <v>-173.48914796067214</v>
      </c>
      <c r="BC126" s="11">
        <f t="shared" si="57"/>
        <v>195.83209946583671</v>
      </c>
      <c r="BD126" s="11">
        <f t="shared" si="57"/>
        <v>195.93042830737448</v>
      </c>
      <c r="BE126" s="11">
        <f t="shared" si="57"/>
        <v>196.02858947831322</v>
      </c>
      <c r="BF126" s="11">
        <f t="shared" si="57"/>
        <v>196.12658289463943</v>
      </c>
      <c r="BG126" s="11">
        <f t="shared" si="57"/>
        <v>196.22440847254046</v>
      </c>
      <c r="BH126" s="11">
        <f t="shared" si="57"/>
        <v>196.32206612836075</v>
      </c>
      <c r="BI126" s="11">
        <f t="shared" si="57"/>
        <v>196.41955577847747</v>
      </c>
      <c r="BJ126" s="11">
        <f t="shared" si="57"/>
        <v>196.51687733960622</v>
      </c>
      <c r="BK126" s="11">
        <f t="shared" si="57"/>
        <v>-215.7287223360369</v>
      </c>
    </row>
    <row r="127" spans="2:63" x14ac:dyDescent="0.25">
      <c r="B127">
        <v>1</v>
      </c>
      <c r="C127">
        <v>1</v>
      </c>
      <c r="D127">
        <v>0</v>
      </c>
      <c r="E127">
        <v>1</v>
      </c>
      <c r="F127">
        <v>223</v>
      </c>
      <c r="H127" s="34"/>
      <c r="I127" s="11">
        <f t="shared" si="53"/>
        <v>133.42293336466676</v>
      </c>
      <c r="J127" s="11">
        <f t="shared" si="53"/>
        <v>-231.73190376509331</v>
      </c>
      <c r="K127" s="11">
        <f t="shared" si="53"/>
        <v>106.92387194689196</v>
      </c>
      <c r="L127" s="11">
        <f t="shared" si="53"/>
        <v>221.16415461314247</v>
      </c>
      <c r="M127" s="11">
        <f t="shared" si="53"/>
        <v>-206.44018691692156</v>
      </c>
      <c r="N127" s="11">
        <f t="shared" si="53"/>
        <v>217.3115111627134</v>
      </c>
      <c r="O127" s="11">
        <f t="shared" si="53"/>
        <v>54.662779055505119</v>
      </c>
      <c r="P127" s="11">
        <f t="shared" si="53"/>
        <v>81.531580545584532</v>
      </c>
      <c r="Q127" s="11">
        <f t="shared" si="53"/>
        <v>52.832311506561147</v>
      </c>
      <c r="R127" s="11">
        <f t="shared" si="53"/>
        <v>-70.128106334740849</v>
      </c>
      <c r="S127" s="11">
        <f t="shared" si="54"/>
        <v>-221.74874626988699</v>
      </c>
      <c r="T127" s="11">
        <f t="shared" si="54"/>
        <v>-187.64078268315725</v>
      </c>
      <c r="U127" s="11">
        <f t="shared" si="54"/>
        <v>-123.46885939817675</v>
      </c>
      <c r="V127" s="11">
        <f t="shared" si="54"/>
        <v>-22.101883424055476</v>
      </c>
      <c r="W127" s="11">
        <f t="shared" si="54"/>
        <v>-211.06452766021707</v>
      </c>
      <c r="X127" s="11">
        <f t="shared" si="54"/>
        <v>-57.202958499796289</v>
      </c>
      <c r="Y127" s="11">
        <f t="shared" si="54"/>
        <v>-193.70346954088822</v>
      </c>
      <c r="Z127" s="11">
        <f t="shared" si="54"/>
        <v>250.42263270955462</v>
      </c>
      <c r="AA127" s="11">
        <f t="shared" si="54"/>
        <v>59.053446141839267</v>
      </c>
      <c r="AB127" s="11">
        <f t="shared" si="54"/>
        <v>211.36301675589033</v>
      </c>
      <c r="AC127" s="11">
        <f t="shared" si="55"/>
        <v>216.33717784013817</v>
      </c>
      <c r="AD127" s="11">
        <f t="shared" si="55"/>
        <v>-190.03699794807983</v>
      </c>
      <c r="AE127" s="11">
        <f t="shared" si="55"/>
        <v>59.40115789759404</v>
      </c>
      <c r="AF127" s="11">
        <f t="shared" si="55"/>
        <v>-123.8273285841488</v>
      </c>
      <c r="AG127" s="11">
        <f t="shared" si="55"/>
        <v>-89.829939265643986</v>
      </c>
      <c r="AH127" s="11">
        <f t="shared" si="55"/>
        <v>-221.5397814402408</v>
      </c>
      <c r="AI127" s="11">
        <f t="shared" si="55"/>
        <v>79.829998681650366</v>
      </c>
      <c r="AJ127" s="11">
        <f t="shared" si="55"/>
        <v>-203.1374356257497</v>
      </c>
      <c r="AK127" s="11">
        <f t="shared" si="55"/>
        <v>-209.62180553462622</v>
      </c>
      <c r="AL127" s="11">
        <f t="shared" si="55"/>
        <v>220.95934926081716</v>
      </c>
      <c r="AM127" s="11">
        <f t="shared" si="56"/>
        <v>140.62933128087994</v>
      </c>
      <c r="AN127" s="11">
        <f t="shared" si="56"/>
        <v>167.90842443087755</v>
      </c>
      <c r="AO127" s="11">
        <f t="shared" si="56"/>
        <v>222.32296560527521</v>
      </c>
      <c r="AP127" s="11">
        <f t="shared" si="56"/>
        <v>142.99681955030096</v>
      </c>
      <c r="AQ127" s="11">
        <f t="shared" si="56"/>
        <v>-222.40618898997687</v>
      </c>
      <c r="AR127" s="11">
        <f t="shared" si="56"/>
        <v>112.83039054044323</v>
      </c>
      <c r="AS127" s="11">
        <f t="shared" si="56"/>
        <v>116.25362815841775</v>
      </c>
      <c r="AT127" s="11">
        <f t="shared" si="56"/>
        <v>134.95170874811427</v>
      </c>
      <c r="AU127" s="11">
        <f t="shared" si="56"/>
        <v>-153.6196243269697</v>
      </c>
      <c r="AV127" s="11">
        <f t="shared" si="56"/>
        <v>159.90191307006535</v>
      </c>
      <c r="AW127" s="11">
        <f t="shared" si="57"/>
        <v>-211.93344811281884</v>
      </c>
      <c r="AX127" s="11">
        <f t="shared" si="57"/>
        <v>-220.13809048821841</v>
      </c>
      <c r="AY127" s="11">
        <f t="shared" si="57"/>
        <v>-200.38598732972585</v>
      </c>
      <c r="AZ127" s="11">
        <f t="shared" si="57"/>
        <v>-68.146087073143491</v>
      </c>
      <c r="BA127" s="11">
        <f t="shared" si="57"/>
        <v>-63.984779499821578</v>
      </c>
      <c r="BB127" s="11">
        <f t="shared" si="57"/>
        <v>-219.93355642794231</v>
      </c>
      <c r="BC127" s="11">
        <f t="shared" si="57"/>
        <v>-34.272190694696732</v>
      </c>
      <c r="BD127" s="11">
        <f t="shared" si="57"/>
        <v>67.240896048442735</v>
      </c>
      <c r="BE127" s="11">
        <f t="shared" si="57"/>
        <v>154.7231515628884</v>
      </c>
      <c r="BF127" s="11">
        <f t="shared" si="57"/>
        <v>209.92009860750699</v>
      </c>
      <c r="BG127" s="11">
        <f t="shared" si="57"/>
        <v>221.31407426073912</v>
      </c>
      <c r="BH127" s="11">
        <f t="shared" si="57"/>
        <v>186.52756137766576</v>
      </c>
      <c r="BI127" s="11">
        <f t="shared" si="57"/>
        <v>112.81929178906012</v>
      </c>
      <c r="BJ127" s="11">
        <f t="shared" si="57"/>
        <v>15.569602164874908</v>
      </c>
      <c r="BK127" s="11">
        <f t="shared" si="57"/>
        <v>94.139607113690829</v>
      </c>
    </row>
    <row r="128" spans="2:63" x14ac:dyDescent="0.25">
      <c r="B128">
        <v>0</v>
      </c>
      <c r="C128">
        <v>1</v>
      </c>
      <c r="D128">
        <v>-2</v>
      </c>
      <c r="E128">
        <v>-1</v>
      </c>
      <c r="F128">
        <v>-220</v>
      </c>
      <c r="H128" s="34"/>
      <c r="I128" s="11">
        <f t="shared" si="53"/>
        <v>112.77704820946292</v>
      </c>
      <c r="J128" s="11">
        <f t="shared" si="53"/>
        <v>172.49387941730086</v>
      </c>
      <c r="K128" s="11">
        <f t="shared" si="53"/>
        <v>21.734873824567952</v>
      </c>
      <c r="L128" s="11">
        <f t="shared" si="53"/>
        <v>75.496407770930404</v>
      </c>
      <c r="M128" s="11">
        <f t="shared" si="53"/>
        <v>-157.51009126421445</v>
      </c>
      <c r="N128" s="11">
        <f t="shared" si="53"/>
        <v>-102.18354995232863</v>
      </c>
      <c r="O128" s="11">
        <f t="shared" si="53"/>
        <v>-46.189905948323307</v>
      </c>
      <c r="P128" s="11">
        <f t="shared" si="53"/>
        <v>-85.558536539436759</v>
      </c>
      <c r="Q128" s="11">
        <f t="shared" si="53"/>
        <v>-219.41064611116619</v>
      </c>
      <c r="R128" s="11">
        <f t="shared" si="53"/>
        <v>-79.56348195207336</v>
      </c>
      <c r="S128" s="11">
        <f t="shared" si="54"/>
        <v>-181.04093260402149</v>
      </c>
      <c r="T128" s="11">
        <f t="shared" si="54"/>
        <v>-40.486047764962365</v>
      </c>
      <c r="U128" s="11">
        <f t="shared" si="54"/>
        <v>-230.21924412911611</v>
      </c>
      <c r="V128" s="11">
        <f t="shared" si="54"/>
        <v>-192.36096383059734</v>
      </c>
      <c r="W128" s="11">
        <f t="shared" si="54"/>
        <v>-75.400214375145282</v>
      </c>
      <c r="X128" s="11">
        <f t="shared" si="54"/>
        <v>-151.24597093671659</v>
      </c>
      <c r="Y128" s="11">
        <f t="shared" si="54"/>
        <v>-215.93225216864752</v>
      </c>
      <c r="Z128" s="11">
        <f t="shared" si="54"/>
        <v>-170.14721363669577</v>
      </c>
      <c r="AA128" s="11">
        <f t="shared" si="54"/>
        <v>119.90684730687873</v>
      </c>
      <c r="AB128" s="11">
        <f t="shared" si="54"/>
        <v>162.10825572332033</v>
      </c>
      <c r="AC128" s="11">
        <f t="shared" si="55"/>
        <v>158.55768901497797</v>
      </c>
      <c r="AD128" s="11">
        <f t="shared" si="55"/>
        <v>41.157876680026391</v>
      </c>
      <c r="AE128" s="11">
        <f t="shared" si="55"/>
        <v>-51.42178480905234</v>
      </c>
      <c r="AF128" s="11">
        <f t="shared" si="55"/>
        <v>218.7821173843094</v>
      </c>
      <c r="AG128" s="11">
        <f t="shared" si="55"/>
        <v>217.97998435054538</v>
      </c>
      <c r="AH128" s="11">
        <f t="shared" si="55"/>
        <v>-209.59719210882602</v>
      </c>
      <c r="AI128" s="11">
        <f t="shared" si="55"/>
        <v>-212.46816882225468</v>
      </c>
      <c r="AJ128" s="11">
        <f t="shared" si="55"/>
        <v>218.26964485994017</v>
      </c>
      <c r="AK128" s="11">
        <f t="shared" si="55"/>
        <v>-25.614018514605483</v>
      </c>
      <c r="AL128" s="11">
        <f t="shared" si="55"/>
        <v>-152.68283219007765</v>
      </c>
      <c r="AM128" s="11">
        <f t="shared" si="56"/>
        <v>207.340392783303</v>
      </c>
      <c r="AN128" s="11">
        <f t="shared" si="56"/>
        <v>209.19334218626992</v>
      </c>
      <c r="AO128" s="11">
        <f t="shared" si="56"/>
        <v>220.97982864751805</v>
      </c>
      <c r="AP128" s="11">
        <f t="shared" si="56"/>
        <v>-140.02461029885313</v>
      </c>
      <c r="AQ128" s="11">
        <f t="shared" si="56"/>
        <v>175.84947286495893</v>
      </c>
      <c r="AR128" s="11">
        <f t="shared" si="56"/>
        <v>207.20170881101291</v>
      </c>
      <c r="AS128" s="11">
        <f t="shared" si="56"/>
        <v>-153.66705342078475</v>
      </c>
      <c r="AT128" s="11">
        <f t="shared" si="56"/>
        <v>95.824746557765778</v>
      </c>
      <c r="AU128" s="11">
        <f t="shared" si="56"/>
        <v>-196.6265291845063</v>
      </c>
      <c r="AV128" s="11">
        <f t="shared" si="56"/>
        <v>-80.479264504432933</v>
      </c>
      <c r="AW128" s="11">
        <f t="shared" si="57"/>
        <v>138.29457646337872</v>
      </c>
      <c r="AX128" s="11">
        <f t="shared" si="57"/>
        <v>-62.665608405157585</v>
      </c>
      <c r="AY128" s="11">
        <f t="shared" si="57"/>
        <v>-84.215708781336176</v>
      </c>
      <c r="AZ128" s="11">
        <f t="shared" si="57"/>
        <v>173.51421814934034</v>
      </c>
      <c r="BA128" s="11">
        <f t="shared" si="57"/>
        <v>-220.3330961610942</v>
      </c>
      <c r="BB128" s="11">
        <f t="shared" si="57"/>
        <v>-8.3302162432635125</v>
      </c>
      <c r="BC128" s="11">
        <f t="shared" si="57"/>
        <v>179.34191933403949</v>
      </c>
      <c r="BD128" s="11">
        <f t="shared" si="57"/>
        <v>219.56638523327214</v>
      </c>
      <c r="BE128" s="11">
        <f t="shared" si="57"/>
        <v>164.92855870640471</v>
      </c>
      <c r="BF128" s="11">
        <f t="shared" si="57"/>
        <v>39.034384915260098</v>
      </c>
      <c r="BG128" s="11">
        <f t="shared" si="57"/>
        <v>-103.72433396709812</v>
      </c>
      <c r="BH128" s="11">
        <f t="shared" si="57"/>
        <v>-201.66958178532263</v>
      </c>
      <c r="BI128" s="11">
        <f t="shared" si="57"/>
        <v>-212.4847314818654</v>
      </c>
      <c r="BJ128" s="11">
        <f t="shared" si="57"/>
        <v>-131.49717713235296</v>
      </c>
      <c r="BK128" s="11">
        <f t="shared" si="57"/>
        <v>-205.56321152297198</v>
      </c>
    </row>
    <row r="129" spans="2:63" x14ac:dyDescent="0.25">
      <c r="B129">
        <v>2</v>
      </c>
      <c r="C129">
        <v>1</v>
      </c>
      <c r="D129">
        <v>-1</v>
      </c>
      <c r="E129">
        <v>-1</v>
      </c>
      <c r="F129">
        <v>-220</v>
      </c>
      <c r="H129" s="34"/>
      <c r="I129" s="11">
        <f t="shared" si="53"/>
        <v>220.18814706856597</v>
      </c>
      <c r="J129" s="11">
        <f t="shared" si="53"/>
        <v>-195.63699414144466</v>
      </c>
      <c r="K129" s="11">
        <f t="shared" si="53"/>
        <v>-19.151320271424414</v>
      </c>
      <c r="L129" s="11">
        <f t="shared" si="53"/>
        <v>61.003633668573102</v>
      </c>
      <c r="M129" s="11">
        <f t="shared" si="53"/>
        <v>-197.64188879603563</v>
      </c>
      <c r="N129" s="11">
        <f t="shared" si="53"/>
        <v>205.66197943407502</v>
      </c>
      <c r="O129" s="11">
        <f t="shared" si="53"/>
        <v>-219.37629516614925</v>
      </c>
      <c r="P129" s="11">
        <f t="shared" si="53"/>
        <v>164.87984262170693</v>
      </c>
      <c r="Q129" s="11">
        <f t="shared" si="53"/>
        <v>-117.30954427887042</v>
      </c>
      <c r="R129" s="11">
        <f t="shared" si="53"/>
        <v>-204.5550915782882</v>
      </c>
      <c r="S129" s="11">
        <f t="shared" si="54"/>
        <v>-158.37226235373285</v>
      </c>
      <c r="T129" s="11">
        <f t="shared" si="54"/>
        <v>196.38208858093844</v>
      </c>
      <c r="U129" s="11">
        <f t="shared" si="54"/>
        <v>-227.03575224944751</v>
      </c>
      <c r="V129" s="11">
        <f t="shared" si="54"/>
        <v>-227.69667199641555</v>
      </c>
      <c r="W129" s="11">
        <f t="shared" si="54"/>
        <v>234.39435609418601</v>
      </c>
      <c r="X129" s="11">
        <f t="shared" si="54"/>
        <v>-148.83759983451287</v>
      </c>
      <c r="Y129" s="11">
        <f t="shared" si="54"/>
        <v>151.68869978567753</v>
      </c>
      <c r="Z129" s="11">
        <f t="shared" si="54"/>
        <v>-233.82213903738486</v>
      </c>
      <c r="AA129" s="11">
        <f t="shared" si="54"/>
        <v>14.515959304704841</v>
      </c>
      <c r="AB129" s="11">
        <f t="shared" si="54"/>
        <v>-216.5052853073108</v>
      </c>
      <c r="AC129" s="11">
        <f t="shared" si="55"/>
        <v>47.968323130964244</v>
      </c>
      <c r="AD129" s="11">
        <f t="shared" si="55"/>
        <v>151.84403926140843</v>
      </c>
      <c r="AE129" s="11">
        <f t="shared" si="55"/>
        <v>-20.924098757286199</v>
      </c>
      <c r="AF129" s="11">
        <f t="shared" si="55"/>
        <v>195.91363753314715</v>
      </c>
      <c r="AG129" s="11">
        <f t="shared" si="55"/>
        <v>135.72428282063311</v>
      </c>
      <c r="AH129" s="11">
        <f t="shared" si="55"/>
        <v>-21.931407050277791</v>
      </c>
      <c r="AI129" s="11">
        <f t="shared" si="55"/>
        <v>36.954756133803734</v>
      </c>
      <c r="AJ129" s="11">
        <f t="shared" si="55"/>
        <v>159.93252552212323</v>
      </c>
      <c r="AK129" s="11">
        <f t="shared" si="55"/>
        <v>207.19405063177231</v>
      </c>
      <c r="AL129" s="11">
        <f t="shared" si="55"/>
        <v>-193.19298478808744</v>
      </c>
      <c r="AM129" s="11">
        <f t="shared" si="56"/>
        <v>-206.1251964457818</v>
      </c>
      <c r="AN129" s="11">
        <f t="shared" si="56"/>
        <v>-213.28960452517137</v>
      </c>
      <c r="AO129" s="11">
        <f t="shared" si="56"/>
        <v>-219.39704816272607</v>
      </c>
      <c r="AP129" s="11">
        <f t="shared" si="56"/>
        <v>220.00446514076629</v>
      </c>
      <c r="AQ129" s="11">
        <f t="shared" si="56"/>
        <v>185.72082514253051</v>
      </c>
      <c r="AR129" s="11">
        <f t="shared" si="56"/>
        <v>218.60941076064591</v>
      </c>
      <c r="AS129" s="11">
        <f t="shared" si="56"/>
        <v>82.229031657376083</v>
      </c>
      <c r="AT129" s="11">
        <f t="shared" si="56"/>
        <v>158.18431451706437</v>
      </c>
      <c r="AU129" s="11">
        <f t="shared" si="56"/>
        <v>139.75434916508067</v>
      </c>
      <c r="AV129" s="11">
        <f t="shared" si="56"/>
        <v>119.96024653332481</v>
      </c>
      <c r="AW129" s="11">
        <f t="shared" si="57"/>
        <v>95.787293111366168</v>
      </c>
      <c r="AX129" s="11">
        <f t="shared" si="57"/>
        <v>46.601719839453487</v>
      </c>
      <c r="AY129" s="11">
        <f t="shared" si="57"/>
        <v>-34.449322010772256</v>
      </c>
      <c r="AZ129" s="11">
        <f t="shared" si="57"/>
        <v>-212.97619865898014</v>
      </c>
      <c r="BA129" s="11">
        <f t="shared" si="57"/>
        <v>-181.51819952513955</v>
      </c>
      <c r="BB129" s="11">
        <f t="shared" si="57"/>
        <v>-208.73313795596681</v>
      </c>
      <c r="BC129" s="11">
        <f t="shared" si="57"/>
        <v>-59.057329216915448</v>
      </c>
      <c r="BD129" s="11">
        <f t="shared" si="57"/>
        <v>-62.476993274898291</v>
      </c>
      <c r="BE129" s="11">
        <f t="shared" si="57"/>
        <v>-65.88029419162369</v>
      </c>
      <c r="BF129" s="11">
        <f t="shared" si="57"/>
        <v>-69.266340647714202</v>
      </c>
      <c r="BG129" s="11">
        <f t="shared" si="57"/>
        <v>-72.634245843168799</v>
      </c>
      <c r="BH129" s="11">
        <f t="shared" si="57"/>
        <v>-75.983127729101383</v>
      </c>
      <c r="BI129" s="11">
        <f t="shared" si="57"/>
        <v>-79.312109238511724</v>
      </c>
      <c r="BJ129" s="11">
        <f t="shared" si="57"/>
        <v>-82.620318517470565</v>
      </c>
      <c r="BK129" s="11">
        <f t="shared" si="57"/>
        <v>37.485487730068932</v>
      </c>
    </row>
    <row r="130" spans="2:63" x14ac:dyDescent="0.25">
      <c r="B130">
        <v>1</v>
      </c>
      <c r="C130">
        <v>0</v>
      </c>
      <c r="D130">
        <v>1</v>
      </c>
      <c r="E130">
        <v>1</v>
      </c>
      <c r="F130">
        <v>-185</v>
      </c>
      <c r="H130" s="34"/>
      <c r="I130" s="11">
        <f t="shared" ref="I130:R139" si="58">IF(ABS($C130)=1,I$7,IF(ABS($C130)=2,I$7^2,1))*  $F130  *  SIN(($B130*I$2  +  $C130*I$3 + $D130*I$4 + $E130*I$5)*Deg2Rad)</f>
        <v>-96.737828881817265</v>
      </c>
      <c r="J130" s="11">
        <f t="shared" si="58"/>
        <v>-28.370023513353168</v>
      </c>
      <c r="K130" s="11">
        <f t="shared" si="58"/>
        <v>-44.487058773192416</v>
      </c>
      <c r="L130" s="11">
        <f t="shared" si="58"/>
        <v>-119.44802590175235</v>
      </c>
      <c r="M130" s="11">
        <f t="shared" si="58"/>
        <v>119.50170411365565</v>
      </c>
      <c r="N130" s="11">
        <f t="shared" si="58"/>
        <v>54.557699299106289</v>
      </c>
      <c r="O130" s="11">
        <f t="shared" si="58"/>
        <v>135.95046514482377</v>
      </c>
      <c r="P130" s="11">
        <f t="shared" si="58"/>
        <v>-87.967318506501869</v>
      </c>
      <c r="Q130" s="11">
        <f t="shared" si="58"/>
        <v>125.37543608511459</v>
      </c>
      <c r="R130" s="11">
        <f t="shared" si="58"/>
        <v>-174.24044804682714</v>
      </c>
      <c r="S130" s="11">
        <f t="shared" ref="S130:AB139" si="59">IF(ABS($C130)=1,S$7,IF(ABS($C130)=2,S$7^2,1))*  $F130  *  SIN(($B130*S$2  +  $C130*S$3 + $D130*S$4 + $E130*S$5)*Deg2Rad)</f>
        <v>-180.55964730407035</v>
      </c>
      <c r="T130" s="11">
        <f t="shared" si="59"/>
        <v>116.9036464269408</v>
      </c>
      <c r="U130" s="11">
        <f t="shared" si="59"/>
        <v>-80.23076655023992</v>
      </c>
      <c r="V130" s="11">
        <f t="shared" si="59"/>
        <v>40.935370880050243</v>
      </c>
      <c r="W130" s="11">
        <f t="shared" si="59"/>
        <v>-11.244000587303848</v>
      </c>
      <c r="X130" s="11">
        <f t="shared" si="59"/>
        <v>-119.58495788379616</v>
      </c>
      <c r="Y130" s="11">
        <f t="shared" si="59"/>
        <v>-184.90560871180026</v>
      </c>
      <c r="Z130" s="11">
        <f t="shared" si="59"/>
        <v>122.41361502706884</v>
      </c>
      <c r="AA130" s="11">
        <f t="shared" si="59"/>
        <v>-93.479571097223712</v>
      </c>
      <c r="AB130" s="11">
        <f t="shared" si="59"/>
        <v>66.651047772069816</v>
      </c>
      <c r="AC130" s="11">
        <f t="shared" ref="AC130:AL139" si="60">IF(ABS($C130)=1,AC$7,IF(ABS($C130)=2,AC$7^2,1))*  $F130  *  SIN(($B130*AC$2  +  $C130*AC$3 + $D130*AC$4 + $E130*AC$5)*Deg2Rad)</f>
        <v>-183.95152387270744</v>
      </c>
      <c r="AD130" s="11">
        <f t="shared" si="60"/>
        <v>-60.955610576318541</v>
      </c>
      <c r="AE130" s="11">
        <f t="shared" si="60"/>
        <v>-101.18261941637482</v>
      </c>
      <c r="AF130" s="11">
        <f t="shared" si="60"/>
        <v>81.4600746891374</v>
      </c>
      <c r="AG130" s="11">
        <f t="shared" si="60"/>
        <v>-161.95957671148398</v>
      </c>
      <c r="AH130" s="11">
        <f t="shared" si="60"/>
        <v>164.81575694440963</v>
      </c>
      <c r="AI130" s="11">
        <f t="shared" si="60"/>
        <v>78.680582145251407</v>
      </c>
      <c r="AJ130" s="11">
        <f t="shared" si="60"/>
        <v>125.87157960435169</v>
      </c>
      <c r="AK130" s="11">
        <f t="shared" si="60"/>
        <v>119.26123708988663</v>
      </c>
      <c r="AL130" s="11">
        <f t="shared" si="60"/>
        <v>-164.88718516816851</v>
      </c>
      <c r="AM130" s="11">
        <f t="shared" ref="AM130:AV139" si="61">IF(ABS($C130)=1,AM$7,IF(ABS($C130)=2,AM$7^2,1))*  $F130  *  SIN(($B130*AM$2  +  $C130*AM$3 + $D130*AM$4 + $E130*AM$5)*Deg2Rad)</f>
        <v>184.13373892468579</v>
      </c>
      <c r="AN130" s="11">
        <f t="shared" si="61"/>
        <v>9.1716968574652018</v>
      </c>
      <c r="AO130" s="11">
        <f t="shared" si="61"/>
        <v>-139.25584694269438</v>
      </c>
      <c r="AP130" s="11">
        <f t="shared" si="61"/>
        <v>-7.6832870719672428</v>
      </c>
      <c r="AQ130" s="11">
        <f t="shared" si="61"/>
        <v>47.747166476812865</v>
      </c>
      <c r="AR130" s="11">
        <f t="shared" si="61"/>
        <v>162.44539231573759</v>
      </c>
      <c r="AS130" s="11">
        <f t="shared" si="61"/>
        <v>-29.334103747699576</v>
      </c>
      <c r="AT130" s="11">
        <f t="shared" si="61"/>
        <v>-94.877633784190991</v>
      </c>
      <c r="AU130" s="11">
        <f t="shared" si="61"/>
        <v>156.22194378357997</v>
      </c>
      <c r="AV130" s="11">
        <f t="shared" si="61"/>
        <v>86.971212459861135</v>
      </c>
      <c r="AW130" s="11">
        <f t="shared" ref="AW130:BK139" si="62">IF(ABS($C130)=1,AW$7,IF(ABS($C130)=2,AW$7^2,1))*  $F130  *  SIN(($B130*AW$2  +  $C130*AW$3 + $D130*AW$4 + $E130*AW$5)*Deg2Rad)</f>
        <v>-96.755843719294234</v>
      </c>
      <c r="AX130" s="11">
        <f t="shared" si="62"/>
        <v>24.105323779451833</v>
      </c>
      <c r="AY130" s="11">
        <f t="shared" si="62"/>
        <v>-127.11802986828776</v>
      </c>
      <c r="AZ130" s="11">
        <f t="shared" si="62"/>
        <v>-164.03061549794998</v>
      </c>
      <c r="BA130" s="11">
        <f t="shared" si="62"/>
        <v>149.2715454123834</v>
      </c>
      <c r="BB130" s="11">
        <f t="shared" si="62"/>
        <v>121.1726189737149</v>
      </c>
      <c r="BC130" s="11">
        <f t="shared" si="62"/>
        <v>-170.37642179560109</v>
      </c>
      <c r="BD130" s="11">
        <f t="shared" si="62"/>
        <v>-178.22756591682821</v>
      </c>
      <c r="BE130" s="11">
        <f t="shared" si="62"/>
        <v>-108.64599774759034</v>
      </c>
      <c r="BF130" s="11">
        <f t="shared" si="62"/>
        <v>8.1378886591147399</v>
      </c>
      <c r="BG130" s="11">
        <f t="shared" si="62"/>
        <v>121.38618960274948</v>
      </c>
      <c r="BH130" s="11">
        <f t="shared" si="62"/>
        <v>181.89707112859048</v>
      </c>
      <c r="BI130" s="11">
        <f t="shared" si="62"/>
        <v>163.38098787074961</v>
      </c>
      <c r="BJ130" s="11">
        <f t="shared" si="62"/>
        <v>73.882433621582408</v>
      </c>
      <c r="BK130" s="11">
        <f t="shared" si="62"/>
        <v>61.304745415463749</v>
      </c>
    </row>
    <row r="131" spans="2:63" x14ac:dyDescent="0.25">
      <c r="B131">
        <v>2</v>
      </c>
      <c r="C131">
        <v>-1</v>
      </c>
      <c r="D131">
        <v>-2</v>
      </c>
      <c r="E131">
        <v>-1</v>
      </c>
      <c r="F131">
        <v>181</v>
      </c>
      <c r="H131" s="34"/>
      <c r="I131" s="11">
        <f t="shared" si="58"/>
        <v>-170.36365489803725</v>
      </c>
      <c r="J131" s="11">
        <f t="shared" si="58"/>
        <v>7.3991928693670719</v>
      </c>
      <c r="K131" s="11">
        <f t="shared" si="58"/>
        <v>-148.21646966786795</v>
      </c>
      <c r="L131" s="11">
        <f t="shared" si="58"/>
        <v>-139.44819207673913</v>
      </c>
      <c r="M131" s="11">
        <f t="shared" si="58"/>
        <v>68.730108238430006</v>
      </c>
      <c r="N131" s="11">
        <f t="shared" si="58"/>
        <v>-171.75637297165096</v>
      </c>
      <c r="O131" s="11">
        <f t="shared" si="58"/>
        <v>-126.55493799101411</v>
      </c>
      <c r="P131" s="11">
        <f t="shared" si="58"/>
        <v>34.741026299546192</v>
      </c>
      <c r="Q131" s="11">
        <f t="shared" si="58"/>
        <v>181.3873916846517</v>
      </c>
      <c r="R131" s="11">
        <f t="shared" si="58"/>
        <v>41.451978085895767</v>
      </c>
      <c r="S131" s="11">
        <f t="shared" si="59"/>
        <v>-147.03088368065457</v>
      </c>
      <c r="T131" s="11">
        <f t="shared" si="59"/>
        <v>-126.8422611448118</v>
      </c>
      <c r="U131" s="11">
        <f t="shared" si="59"/>
        <v>-20.550530388760563</v>
      </c>
      <c r="V131" s="11">
        <f t="shared" si="59"/>
        <v>32.206541553898909</v>
      </c>
      <c r="W131" s="11">
        <f t="shared" si="59"/>
        <v>180.57980469137755</v>
      </c>
      <c r="X131" s="11">
        <f t="shared" si="59"/>
        <v>160.49134335134815</v>
      </c>
      <c r="Y131" s="11">
        <f t="shared" si="59"/>
        <v>-181.1832902077295</v>
      </c>
      <c r="Z131" s="11">
        <f t="shared" si="59"/>
        <v>47.514540142484954</v>
      </c>
      <c r="AA131" s="11">
        <f t="shared" si="59"/>
        <v>-161.35538438532066</v>
      </c>
      <c r="AB131" s="11">
        <f t="shared" si="59"/>
        <v>-178.20175353680517</v>
      </c>
      <c r="AC131" s="11">
        <f t="shared" si="60"/>
        <v>152.70649052868347</v>
      </c>
      <c r="AD131" s="11">
        <f t="shared" si="60"/>
        <v>45.377054017299862</v>
      </c>
      <c r="AE131" s="11">
        <f t="shared" si="60"/>
        <v>-161.20631501507205</v>
      </c>
      <c r="AF131" s="11">
        <f t="shared" si="60"/>
        <v>-171.59715256049165</v>
      </c>
      <c r="AG131" s="11">
        <f t="shared" si="60"/>
        <v>-93.895681560414076</v>
      </c>
      <c r="AH131" s="11">
        <f t="shared" si="60"/>
        <v>70.156268911299094</v>
      </c>
      <c r="AI131" s="11">
        <f t="shared" si="60"/>
        <v>22.623078313413565</v>
      </c>
      <c r="AJ131" s="11">
        <f t="shared" si="60"/>
        <v>-53.119874171968988</v>
      </c>
      <c r="AK131" s="11">
        <f t="shared" si="60"/>
        <v>-69.503259824546035</v>
      </c>
      <c r="AL131" s="11">
        <f t="shared" si="60"/>
        <v>-166.73169348466075</v>
      </c>
      <c r="AM131" s="11">
        <f t="shared" si="61"/>
        <v>175.22730849664842</v>
      </c>
      <c r="AN131" s="11">
        <f t="shared" si="61"/>
        <v>-169.99314366106753</v>
      </c>
      <c r="AO131" s="11">
        <f t="shared" si="61"/>
        <v>162.73932452761477</v>
      </c>
      <c r="AP131" s="11">
        <f t="shared" si="61"/>
        <v>-3.1298242706745598</v>
      </c>
      <c r="AQ131" s="11">
        <f t="shared" si="61"/>
        <v>-180.40163460332423</v>
      </c>
      <c r="AR131" s="11">
        <f t="shared" si="61"/>
        <v>89.226932726532823</v>
      </c>
      <c r="AS131" s="11">
        <f t="shared" si="61"/>
        <v>189.04248089604977</v>
      </c>
      <c r="AT131" s="11">
        <f t="shared" si="61"/>
        <v>33.647250291012206</v>
      </c>
      <c r="AU131" s="11">
        <f t="shared" si="61"/>
        <v>151.10682145667039</v>
      </c>
      <c r="AV131" s="11">
        <f t="shared" si="61"/>
        <v>-145.49464386589239</v>
      </c>
      <c r="AW131" s="11">
        <f t="shared" si="62"/>
        <v>-5.817168707893158</v>
      </c>
      <c r="AX131" s="11">
        <f t="shared" si="62"/>
        <v>-142.78348945321537</v>
      </c>
      <c r="AY131" s="11">
        <f t="shared" si="62"/>
        <v>181.00366611833584</v>
      </c>
      <c r="AZ131" s="11">
        <f t="shared" si="62"/>
        <v>50.489926109051424</v>
      </c>
      <c r="BA131" s="11">
        <f t="shared" si="62"/>
        <v>181.05987002205737</v>
      </c>
      <c r="BB131" s="11">
        <f t="shared" si="62"/>
        <v>35.968798421189888</v>
      </c>
      <c r="BC131" s="11">
        <f t="shared" si="62"/>
        <v>-28.221933648289166</v>
      </c>
      <c r="BD131" s="11">
        <f t="shared" si="62"/>
        <v>22.007793029521686</v>
      </c>
      <c r="BE131" s="11">
        <f t="shared" si="62"/>
        <v>70.540157009762297</v>
      </c>
      <c r="BF131" s="11">
        <f t="shared" si="62"/>
        <v>113.63208953061606</v>
      </c>
      <c r="BG131" s="11">
        <f t="shared" si="62"/>
        <v>147.96011679217628</v>
      </c>
      <c r="BH131" s="11">
        <f t="shared" si="62"/>
        <v>170.87668352828851</v>
      </c>
      <c r="BI131" s="11">
        <f t="shared" si="62"/>
        <v>180.61434618235972</v>
      </c>
      <c r="BJ131" s="11">
        <f t="shared" si="62"/>
        <v>176.42208724988578</v>
      </c>
      <c r="BK131" s="11">
        <f t="shared" si="62"/>
        <v>30.16817482039842</v>
      </c>
    </row>
    <row r="132" spans="2:63" x14ac:dyDescent="0.25">
      <c r="B132">
        <v>0</v>
      </c>
      <c r="C132">
        <v>1</v>
      </c>
      <c r="D132">
        <v>2</v>
      </c>
      <c r="E132">
        <v>1</v>
      </c>
      <c r="F132">
        <v>-177</v>
      </c>
      <c r="H132" s="34"/>
      <c r="I132" s="11">
        <f t="shared" si="58"/>
        <v>85.324853090546554</v>
      </c>
      <c r="J132" s="11">
        <f t="shared" si="58"/>
        <v>152.68837604947132</v>
      </c>
      <c r="K132" s="11">
        <f t="shared" si="58"/>
        <v>-2.2488916815475011</v>
      </c>
      <c r="L132" s="11">
        <f t="shared" si="58"/>
        <v>-44.778026760676312</v>
      </c>
      <c r="M132" s="11">
        <f t="shared" si="58"/>
        <v>176.973461946127</v>
      </c>
      <c r="N132" s="11">
        <f t="shared" si="58"/>
        <v>151.34412894422277</v>
      </c>
      <c r="O132" s="11">
        <f t="shared" si="58"/>
        <v>149.60292973015274</v>
      </c>
      <c r="P132" s="11">
        <f t="shared" si="58"/>
        <v>140.44352482845673</v>
      </c>
      <c r="Q132" s="11">
        <f t="shared" si="58"/>
        <v>175.76497643358596</v>
      </c>
      <c r="R132" s="11">
        <f t="shared" si="58"/>
        <v>41.43953737208934</v>
      </c>
      <c r="S132" s="11">
        <f t="shared" si="59"/>
        <v>131.79970948383377</v>
      </c>
      <c r="T132" s="11">
        <f t="shared" si="59"/>
        <v>-170.22373037224716</v>
      </c>
      <c r="U132" s="11">
        <f t="shared" si="59"/>
        <v>108.90501057275584</v>
      </c>
      <c r="V132" s="11">
        <f t="shared" si="59"/>
        <v>-14.500480730445432</v>
      </c>
      <c r="W132" s="11">
        <f t="shared" si="59"/>
        <v>-185.78251383243071</v>
      </c>
      <c r="X132" s="11">
        <f t="shared" si="59"/>
        <v>-150.55832459951418</v>
      </c>
      <c r="Y132" s="11">
        <f t="shared" si="59"/>
        <v>-185.42260339623152</v>
      </c>
      <c r="Z132" s="11">
        <f t="shared" si="59"/>
        <v>-195.158242498856</v>
      </c>
      <c r="AA132" s="11">
        <f t="shared" si="59"/>
        <v>69.334209042830125</v>
      </c>
      <c r="AB132" s="11">
        <f t="shared" si="59"/>
        <v>94.246156531588269</v>
      </c>
      <c r="AC132" s="11">
        <f t="shared" si="60"/>
        <v>110.52024134507661</v>
      </c>
      <c r="AD132" s="11">
        <f t="shared" si="60"/>
        <v>-12.429933284020919</v>
      </c>
      <c r="AE132" s="11">
        <f t="shared" si="60"/>
        <v>58.922086393029943</v>
      </c>
      <c r="AF132" s="11">
        <f t="shared" si="60"/>
        <v>-177.01574789582969</v>
      </c>
      <c r="AG132" s="11">
        <f t="shared" si="60"/>
        <v>5.1399220068167004</v>
      </c>
      <c r="AH132" s="11">
        <f t="shared" si="60"/>
        <v>-169.01270085396118</v>
      </c>
      <c r="AI132" s="11">
        <f t="shared" si="60"/>
        <v>43.607124453443788</v>
      </c>
      <c r="AJ132" s="11">
        <f t="shared" si="60"/>
        <v>-144.5869291440172</v>
      </c>
      <c r="AK132" s="11">
        <f t="shared" si="60"/>
        <v>34.698432739801582</v>
      </c>
      <c r="AL132" s="11">
        <f t="shared" si="60"/>
        <v>-163.08710776980212</v>
      </c>
      <c r="AM132" s="11">
        <f t="shared" si="61"/>
        <v>159.17251999212635</v>
      </c>
      <c r="AN132" s="11">
        <f t="shared" si="61"/>
        <v>59.703608913953367</v>
      </c>
      <c r="AO132" s="11">
        <f t="shared" si="61"/>
        <v>-177.76060487549401</v>
      </c>
      <c r="AP132" s="11">
        <f t="shared" si="61"/>
        <v>-34.45168853389044</v>
      </c>
      <c r="AQ132" s="11">
        <f t="shared" si="61"/>
        <v>-151.91791769166258</v>
      </c>
      <c r="AR132" s="11">
        <f t="shared" si="61"/>
        <v>169.85788554847588</v>
      </c>
      <c r="AS132" s="11">
        <f t="shared" si="61"/>
        <v>-66.842687496418222</v>
      </c>
      <c r="AT132" s="11">
        <f t="shared" si="61"/>
        <v>24.404868653577978</v>
      </c>
      <c r="AU132" s="11">
        <f t="shared" si="61"/>
        <v>-163.33152604684696</v>
      </c>
      <c r="AV132" s="11">
        <f t="shared" si="61"/>
        <v>-91.315462309693402</v>
      </c>
      <c r="AW132" s="11">
        <f t="shared" si="62"/>
        <v>42.734106581800404</v>
      </c>
      <c r="AX132" s="11">
        <f t="shared" si="62"/>
        <v>107.26214379689515</v>
      </c>
      <c r="AY132" s="11">
        <f t="shared" si="62"/>
        <v>177.07789964755781</v>
      </c>
      <c r="AZ132" s="11">
        <f t="shared" si="62"/>
        <v>-40.812274035171455</v>
      </c>
      <c r="BA132" s="11">
        <f t="shared" si="62"/>
        <v>177.07638517090143</v>
      </c>
      <c r="BB132" s="11">
        <f t="shared" si="62"/>
        <v>58.286177292581876</v>
      </c>
      <c r="BC132" s="11">
        <f t="shared" si="62"/>
        <v>37.762744519568457</v>
      </c>
      <c r="BD132" s="11">
        <f t="shared" si="62"/>
        <v>-83.10041688812619</v>
      </c>
      <c r="BE132" s="11">
        <f t="shared" si="62"/>
        <v>-164.43449489265384</v>
      </c>
      <c r="BF132" s="11">
        <f t="shared" si="62"/>
        <v>-167.5506373433615</v>
      </c>
      <c r="BG132" s="11">
        <f t="shared" si="62"/>
        <v>-90.966573630090579</v>
      </c>
      <c r="BH132" s="11">
        <f t="shared" si="62"/>
        <v>28.888306458243658</v>
      </c>
      <c r="BI132" s="11">
        <f t="shared" si="62"/>
        <v>135.00162891065543</v>
      </c>
      <c r="BJ132" s="11">
        <f t="shared" si="62"/>
        <v>176.89758864002826</v>
      </c>
      <c r="BK132" s="11">
        <f t="shared" si="62"/>
        <v>61.595831525230096</v>
      </c>
    </row>
    <row r="133" spans="2:63" x14ac:dyDescent="0.25">
      <c r="B133">
        <v>4</v>
      </c>
      <c r="C133">
        <v>0</v>
      </c>
      <c r="D133">
        <v>-2</v>
      </c>
      <c r="E133">
        <v>-1</v>
      </c>
      <c r="F133">
        <v>176</v>
      </c>
      <c r="H133" s="34"/>
      <c r="I133" s="11">
        <f t="shared" si="58"/>
        <v>172.12955884338945</v>
      </c>
      <c r="J133" s="11">
        <f t="shared" si="58"/>
        <v>-161.94263500593431</v>
      </c>
      <c r="K133" s="11">
        <f t="shared" si="58"/>
        <v>167.19327668551284</v>
      </c>
      <c r="L133" s="11">
        <f t="shared" si="58"/>
        <v>-175.96367942225794</v>
      </c>
      <c r="M133" s="11">
        <f t="shared" si="58"/>
        <v>-61.879052148004625</v>
      </c>
      <c r="N133" s="11">
        <f t="shared" si="58"/>
        <v>-164.13443932582064</v>
      </c>
      <c r="O133" s="11">
        <f t="shared" si="58"/>
        <v>25.249395950300741</v>
      </c>
      <c r="P133" s="11">
        <f t="shared" si="58"/>
        <v>175.99096124264068</v>
      </c>
      <c r="Q133" s="11">
        <f t="shared" si="58"/>
        <v>175.09571300720586</v>
      </c>
      <c r="R133" s="11">
        <f t="shared" si="58"/>
        <v>50.276432637447819</v>
      </c>
      <c r="S133" s="11">
        <f t="shared" si="59"/>
        <v>-85.154783171258771</v>
      </c>
      <c r="T133" s="11">
        <f t="shared" si="59"/>
        <v>171.60502173888455</v>
      </c>
      <c r="U133" s="11">
        <f t="shared" si="59"/>
        <v>18.348053480646655</v>
      </c>
      <c r="V133" s="11">
        <f t="shared" si="59"/>
        <v>46.701328841546484</v>
      </c>
      <c r="W133" s="11">
        <f t="shared" si="59"/>
        <v>175.57112158906082</v>
      </c>
      <c r="X133" s="11">
        <f t="shared" si="59"/>
        <v>-173.92937573611687</v>
      </c>
      <c r="Y133" s="11">
        <f t="shared" si="59"/>
        <v>-127.75445458131102</v>
      </c>
      <c r="Z133" s="11">
        <f t="shared" si="59"/>
        <v>-71.447037780682393</v>
      </c>
      <c r="AA133" s="11">
        <f t="shared" si="59"/>
        <v>-142.59813997561486</v>
      </c>
      <c r="AB133" s="11">
        <f t="shared" si="59"/>
        <v>-124.83645177642509</v>
      </c>
      <c r="AC133" s="11">
        <f t="shared" si="60"/>
        <v>48.266996474082696</v>
      </c>
      <c r="AD133" s="11">
        <f t="shared" si="60"/>
        <v>87.256403933509986</v>
      </c>
      <c r="AE133" s="11">
        <f t="shared" si="60"/>
        <v>171.13706981870581</v>
      </c>
      <c r="AF133" s="11">
        <f t="shared" si="60"/>
        <v>125.00884534951756</v>
      </c>
      <c r="AG133" s="11">
        <f t="shared" si="60"/>
        <v>-160.84487596273695</v>
      </c>
      <c r="AH133" s="11">
        <f t="shared" si="60"/>
        <v>-173.5692746195393</v>
      </c>
      <c r="AI133" s="11">
        <f t="shared" si="60"/>
        <v>125.63839044027853</v>
      </c>
      <c r="AJ133" s="11">
        <f t="shared" si="60"/>
        <v>169.92338366267245</v>
      </c>
      <c r="AK133" s="11">
        <f t="shared" si="60"/>
        <v>73.121989047519577</v>
      </c>
      <c r="AL133" s="11">
        <f t="shared" si="60"/>
        <v>-35.1357723800146</v>
      </c>
      <c r="AM133" s="11">
        <f t="shared" si="61"/>
        <v>149.68208880126423</v>
      </c>
      <c r="AN133" s="11">
        <f t="shared" si="61"/>
        <v>-146.22493364823387</v>
      </c>
      <c r="AO133" s="11">
        <f t="shared" si="61"/>
        <v>-102.16989267110326</v>
      </c>
      <c r="AP133" s="11">
        <f t="shared" si="61"/>
        <v>-175.35451149367003</v>
      </c>
      <c r="AQ133" s="11">
        <f t="shared" si="61"/>
        <v>-33.530963141858862</v>
      </c>
      <c r="AR133" s="11">
        <f t="shared" si="61"/>
        <v>-168.96753590604547</v>
      </c>
      <c r="AS133" s="11">
        <f t="shared" si="61"/>
        <v>-122.44451022244493</v>
      </c>
      <c r="AT133" s="11">
        <f t="shared" si="61"/>
        <v>162.6460765720374</v>
      </c>
      <c r="AU133" s="11">
        <f t="shared" si="61"/>
        <v>126.8491724008779</v>
      </c>
      <c r="AV133" s="11">
        <f t="shared" si="61"/>
        <v>-56.707906904184043</v>
      </c>
      <c r="AW133" s="11">
        <f t="shared" si="62"/>
        <v>-175.86984982499331</v>
      </c>
      <c r="AX133" s="11">
        <f t="shared" si="62"/>
        <v>134.87510731318332</v>
      </c>
      <c r="AY133" s="11">
        <f t="shared" si="62"/>
        <v>-142.30906486153833</v>
      </c>
      <c r="AZ133" s="11">
        <f t="shared" si="62"/>
        <v>35.33389068887643</v>
      </c>
      <c r="BA133" s="11">
        <f t="shared" si="62"/>
        <v>175.96179112009912</v>
      </c>
      <c r="BB133" s="11">
        <f t="shared" si="62"/>
        <v>-174.69128423408443</v>
      </c>
      <c r="BC133" s="11">
        <f t="shared" si="62"/>
        <v>-82.258491835284431</v>
      </c>
      <c r="BD133" s="11">
        <f t="shared" si="62"/>
        <v>-55.730709091358612</v>
      </c>
      <c r="BE133" s="11">
        <f t="shared" si="62"/>
        <v>-27.705077308281979</v>
      </c>
      <c r="BF133" s="11">
        <f t="shared" si="62"/>
        <v>1.0651712957210981</v>
      </c>
      <c r="BG133" s="11">
        <f t="shared" si="62"/>
        <v>29.806791772741725</v>
      </c>
      <c r="BH133" s="11">
        <f t="shared" si="62"/>
        <v>57.747308600370488</v>
      </c>
      <c r="BI133" s="11">
        <f t="shared" si="62"/>
        <v>84.135777157118753</v>
      </c>
      <c r="BJ133" s="11">
        <f t="shared" si="62"/>
        <v>108.26296651848749</v>
      </c>
      <c r="BK133" s="11">
        <f t="shared" si="62"/>
        <v>122.5423287253258</v>
      </c>
    </row>
    <row r="134" spans="2:63" x14ac:dyDescent="0.25">
      <c r="B134">
        <v>4</v>
      </c>
      <c r="C134">
        <v>-1</v>
      </c>
      <c r="D134">
        <v>-1</v>
      </c>
      <c r="E134">
        <v>-1</v>
      </c>
      <c r="F134">
        <v>166</v>
      </c>
      <c r="H134" s="34"/>
      <c r="I134" s="11">
        <f t="shared" si="58"/>
        <v>-28.087035765788318</v>
      </c>
      <c r="J134" s="11">
        <f t="shared" si="58"/>
        <v>-36.161725242195494</v>
      </c>
      <c r="K134" s="11">
        <f t="shared" si="58"/>
        <v>-151.21674555963682</v>
      </c>
      <c r="L134" s="11">
        <f t="shared" si="58"/>
        <v>-120.25490923630983</v>
      </c>
      <c r="M134" s="11">
        <f t="shared" si="58"/>
        <v>-123.56059336408426</v>
      </c>
      <c r="N134" s="11">
        <f t="shared" si="58"/>
        <v>70.86851179172038</v>
      </c>
      <c r="O134" s="11">
        <f t="shared" si="58"/>
        <v>-133.0178760431445</v>
      </c>
      <c r="P134" s="11">
        <f t="shared" si="58"/>
        <v>164.61478883840761</v>
      </c>
      <c r="Q134" s="11">
        <f t="shared" si="58"/>
        <v>77.756170388868469</v>
      </c>
      <c r="R134" s="11">
        <f t="shared" si="58"/>
        <v>161.85958327907807</v>
      </c>
      <c r="S134" s="11">
        <f t="shared" si="59"/>
        <v>74.591540178388541</v>
      </c>
      <c r="T134" s="11">
        <f t="shared" si="59"/>
        <v>170.47225290809615</v>
      </c>
      <c r="U134" s="11">
        <f t="shared" si="59"/>
        <v>-36.551563876133613</v>
      </c>
      <c r="V134" s="11">
        <f t="shared" si="59"/>
        <v>-96.429576464197751</v>
      </c>
      <c r="W134" s="11">
        <f t="shared" si="59"/>
        <v>-102.18722520732751</v>
      </c>
      <c r="X134" s="11">
        <f t="shared" si="59"/>
        <v>-124.66625284601348</v>
      </c>
      <c r="Y134" s="11">
        <f t="shared" si="59"/>
        <v>176.45741442662259</v>
      </c>
      <c r="Z134" s="11">
        <f t="shared" si="59"/>
        <v>186.20510668230438</v>
      </c>
      <c r="AA134" s="11">
        <f t="shared" si="59"/>
        <v>163.62075454832905</v>
      </c>
      <c r="AB134" s="11">
        <f t="shared" si="59"/>
        <v>122.04870246868644</v>
      </c>
      <c r="AC134" s="11">
        <f t="shared" si="60"/>
        <v>67.520822872122764</v>
      </c>
      <c r="AD134" s="11">
        <f t="shared" si="60"/>
        <v>-154.84066190507676</v>
      </c>
      <c r="AE134" s="11">
        <f t="shared" si="60"/>
        <v>-135.80392995831872</v>
      </c>
      <c r="AF134" s="11">
        <f t="shared" si="60"/>
        <v>-160.47557261890842</v>
      </c>
      <c r="AG134" s="11">
        <f t="shared" si="60"/>
        <v>79.736937505332108</v>
      </c>
      <c r="AH134" s="11">
        <f t="shared" si="60"/>
        <v>-163.12111431052983</v>
      </c>
      <c r="AI134" s="11">
        <f t="shared" si="60"/>
        <v>166.02381156553372</v>
      </c>
      <c r="AJ134" s="11">
        <f t="shared" si="60"/>
        <v>91.84421541581311</v>
      </c>
      <c r="AK134" s="11">
        <f t="shared" si="60"/>
        <v>135.05503559280817</v>
      </c>
      <c r="AL134" s="11">
        <f t="shared" si="60"/>
        <v>21.958025619388099</v>
      </c>
      <c r="AM134" s="11">
        <f t="shared" si="61"/>
        <v>-161.3575930207252</v>
      </c>
      <c r="AN134" s="11">
        <f t="shared" si="61"/>
        <v>162.29202231443989</v>
      </c>
      <c r="AO134" s="11">
        <f t="shared" si="61"/>
        <v>-156.30834797437993</v>
      </c>
      <c r="AP134" s="11">
        <f t="shared" si="61"/>
        <v>132.00051661883091</v>
      </c>
      <c r="AQ134" s="11">
        <f t="shared" si="61"/>
        <v>-168.26669111654851</v>
      </c>
      <c r="AR134" s="11">
        <f t="shared" si="61"/>
        <v>112.64246115458266</v>
      </c>
      <c r="AS134" s="11">
        <f t="shared" si="61"/>
        <v>-157.32645195485475</v>
      </c>
      <c r="AT134" s="11">
        <f t="shared" si="61"/>
        <v>145.27919145813391</v>
      </c>
      <c r="AU134" s="11">
        <f t="shared" si="61"/>
        <v>-89.628708958307655</v>
      </c>
      <c r="AV134" s="11">
        <f t="shared" si="61"/>
        <v>2.8746402132910505</v>
      </c>
      <c r="AW134" s="11">
        <f t="shared" si="62"/>
        <v>32.522883543120479</v>
      </c>
      <c r="AX134" s="11">
        <f t="shared" si="62"/>
        <v>138.2560847898753</v>
      </c>
      <c r="AY134" s="11">
        <f t="shared" si="62"/>
        <v>160.03020524062762</v>
      </c>
      <c r="AZ134" s="11">
        <f t="shared" si="62"/>
        <v>-154.6345501636697</v>
      </c>
      <c r="BA134" s="11">
        <f t="shared" si="62"/>
        <v>130.41470514666554</v>
      </c>
      <c r="BB134" s="11">
        <f t="shared" si="62"/>
        <v>-140.59215769695072</v>
      </c>
      <c r="BC134" s="11">
        <f t="shared" si="62"/>
        <v>123.38281322354176</v>
      </c>
      <c r="BD134" s="11">
        <f t="shared" si="62"/>
        <v>155.42880437038176</v>
      </c>
      <c r="BE134" s="11">
        <f t="shared" si="62"/>
        <v>165.87825007745337</v>
      </c>
      <c r="BF134" s="11">
        <f t="shared" si="62"/>
        <v>153.27922243232584</v>
      </c>
      <c r="BG134" s="11">
        <f t="shared" si="62"/>
        <v>119.38233589098702</v>
      </c>
      <c r="BH134" s="11">
        <f t="shared" si="62"/>
        <v>68.897502238792583</v>
      </c>
      <c r="BI134" s="11">
        <f t="shared" si="62"/>
        <v>8.8394967670356213</v>
      </c>
      <c r="BJ134" s="11">
        <f t="shared" si="62"/>
        <v>-52.446731920318136</v>
      </c>
      <c r="BK134" s="11">
        <f t="shared" si="62"/>
        <v>166.03352483425184</v>
      </c>
    </row>
    <row r="135" spans="2:63" x14ac:dyDescent="0.25">
      <c r="B135">
        <v>1</v>
      </c>
      <c r="C135">
        <v>0</v>
      </c>
      <c r="D135">
        <v>1</v>
      </c>
      <c r="E135">
        <v>-1</v>
      </c>
      <c r="F135">
        <v>-164</v>
      </c>
      <c r="H135" s="34"/>
      <c r="I135" s="11">
        <f t="shared" si="58"/>
        <v>23.02871195402648</v>
      </c>
      <c r="J135" s="11">
        <f t="shared" si="58"/>
        <v>81.520673124117025</v>
      </c>
      <c r="K135" s="11">
        <f t="shared" si="58"/>
        <v>57.322748320913398</v>
      </c>
      <c r="L135" s="11">
        <f t="shared" si="58"/>
        <v>163.06998746516484</v>
      </c>
      <c r="M135" s="11">
        <f t="shared" si="58"/>
        <v>-148.52090560304666</v>
      </c>
      <c r="N135" s="11">
        <f t="shared" si="58"/>
        <v>26.521401688873937</v>
      </c>
      <c r="O135" s="11">
        <f t="shared" si="58"/>
        <v>-116.89426442018184</v>
      </c>
      <c r="P135" s="11">
        <f t="shared" si="58"/>
        <v>-156.28243257732299</v>
      </c>
      <c r="Q135" s="11">
        <f t="shared" si="58"/>
        <v>160.648073117341</v>
      </c>
      <c r="R135" s="11">
        <f t="shared" si="58"/>
        <v>-149.90392316179486</v>
      </c>
      <c r="S135" s="11">
        <f t="shared" si="59"/>
        <v>10.186946940331664</v>
      </c>
      <c r="T135" s="11">
        <f t="shared" si="59"/>
        <v>-41.43613115844655</v>
      </c>
      <c r="U135" s="11">
        <f t="shared" si="59"/>
        <v>-151.13937543416202</v>
      </c>
      <c r="V135" s="11">
        <f t="shared" si="59"/>
        <v>-161.08694094083094</v>
      </c>
      <c r="W135" s="11">
        <f t="shared" si="59"/>
        <v>20.235940032474282</v>
      </c>
      <c r="X135" s="11">
        <f t="shared" si="59"/>
        <v>-27.181317876975076</v>
      </c>
      <c r="Y135" s="11">
        <f t="shared" si="59"/>
        <v>9.1383011953938453</v>
      </c>
      <c r="Z135" s="11">
        <f t="shared" si="59"/>
        <v>-141.45107219581004</v>
      </c>
      <c r="AA135" s="11">
        <f t="shared" si="59"/>
        <v>111.49740196478454</v>
      </c>
      <c r="AB135" s="11">
        <f t="shared" si="59"/>
        <v>161.04307726040537</v>
      </c>
      <c r="AC135" s="11">
        <f t="shared" si="60"/>
        <v>150.93464809782398</v>
      </c>
      <c r="AD135" s="11">
        <f t="shared" si="60"/>
        <v>154.42687259111563</v>
      </c>
      <c r="AE135" s="11">
        <f t="shared" si="60"/>
        <v>73.103945146285227</v>
      </c>
      <c r="AF135" s="11">
        <f t="shared" si="60"/>
        <v>145.95832067263123</v>
      </c>
      <c r="AG135" s="11">
        <f t="shared" si="60"/>
        <v>-91.319675333367456</v>
      </c>
      <c r="AH135" s="11">
        <f t="shared" si="60"/>
        <v>-163.96456715096463</v>
      </c>
      <c r="AI135" s="11">
        <f t="shared" si="60"/>
        <v>79.703453153601046</v>
      </c>
      <c r="AJ135" s="11">
        <f t="shared" si="60"/>
        <v>-125.17778976853555</v>
      </c>
      <c r="AK135" s="11">
        <f t="shared" si="60"/>
        <v>121.95328344508974</v>
      </c>
      <c r="AL135" s="11">
        <f t="shared" si="60"/>
        <v>-87.719828888617911</v>
      </c>
      <c r="AM135" s="11">
        <f t="shared" si="61"/>
        <v>-131.29746984644297</v>
      </c>
      <c r="AN135" s="11">
        <f t="shared" si="61"/>
        <v>48.59963186261389</v>
      </c>
      <c r="AO135" s="11">
        <f t="shared" si="61"/>
        <v>-163.9644572120269</v>
      </c>
      <c r="AP135" s="11">
        <f t="shared" si="61"/>
        <v>147.47755839085599</v>
      </c>
      <c r="AQ135" s="11">
        <f t="shared" si="61"/>
        <v>110.5467463915825</v>
      </c>
      <c r="AR135" s="11">
        <f t="shared" si="61"/>
        <v>-121.99426050467147</v>
      </c>
      <c r="AS135" s="11">
        <f t="shared" si="61"/>
        <v>-106.31978666940151</v>
      </c>
      <c r="AT135" s="11">
        <f t="shared" si="61"/>
        <v>-147.86905096199541</v>
      </c>
      <c r="AU135" s="11">
        <f t="shared" si="61"/>
        <v>57.375882804458364</v>
      </c>
      <c r="AV135" s="11">
        <f t="shared" si="61"/>
        <v>159.47278753582017</v>
      </c>
      <c r="AW135" s="11">
        <f t="shared" si="62"/>
        <v>-48.974002743725023</v>
      </c>
      <c r="AX135" s="11">
        <f t="shared" si="62"/>
        <v>38.665293194562402</v>
      </c>
      <c r="AY135" s="11">
        <f t="shared" si="62"/>
        <v>48.672250493600721</v>
      </c>
      <c r="AZ135" s="11">
        <f t="shared" si="62"/>
        <v>-36.773517832128974</v>
      </c>
      <c r="BA135" s="11">
        <f t="shared" si="62"/>
        <v>47.757319976427546</v>
      </c>
      <c r="BB135" s="11">
        <f t="shared" si="62"/>
        <v>163.99891268930881</v>
      </c>
      <c r="BC135" s="11">
        <f t="shared" si="62"/>
        <v>40.863928219128013</v>
      </c>
      <c r="BD135" s="11">
        <f t="shared" si="62"/>
        <v>73.060664372631621</v>
      </c>
      <c r="BE135" s="11">
        <f t="shared" si="62"/>
        <v>102.05028975925187</v>
      </c>
      <c r="BF135" s="11">
        <f t="shared" si="62"/>
        <v>126.56025997357217</v>
      </c>
      <c r="BG135" s="11">
        <f t="shared" si="62"/>
        <v>145.51467199658734</v>
      </c>
      <c r="BH135" s="11">
        <f t="shared" si="62"/>
        <v>158.08149262124283</v>
      </c>
      <c r="BI135" s="11">
        <f t="shared" si="62"/>
        <v>163.70908183611928</v>
      </c>
      <c r="BJ135" s="11">
        <f t="shared" si="62"/>
        <v>162.15040791599733</v>
      </c>
      <c r="BK135" s="11">
        <f t="shared" si="62"/>
        <v>84.210130470832922</v>
      </c>
    </row>
    <row r="136" spans="2:63" x14ac:dyDescent="0.25">
      <c r="B136">
        <v>4</v>
      </c>
      <c r="C136">
        <v>0</v>
      </c>
      <c r="D136">
        <v>1</v>
      </c>
      <c r="E136">
        <v>-1</v>
      </c>
      <c r="F136">
        <v>132</v>
      </c>
      <c r="H136" s="34"/>
      <c r="I136" s="11">
        <f t="shared" si="58"/>
        <v>-84.414447089100705</v>
      </c>
      <c r="J136" s="11">
        <f t="shared" si="58"/>
        <v>70.625763352639353</v>
      </c>
      <c r="K136" s="11">
        <f t="shared" si="58"/>
        <v>59.737674081327057</v>
      </c>
      <c r="L136" s="11">
        <f t="shared" si="58"/>
        <v>66.57666901951724</v>
      </c>
      <c r="M136" s="11">
        <f t="shared" si="58"/>
        <v>-73.777776905715285</v>
      </c>
      <c r="N136" s="11">
        <f t="shared" si="58"/>
        <v>130.02515238271363</v>
      </c>
      <c r="O136" s="11">
        <f t="shared" si="58"/>
        <v>119.16303555460473</v>
      </c>
      <c r="P136" s="11">
        <f t="shared" si="58"/>
        <v>-121.52942271364026</v>
      </c>
      <c r="Q136" s="11">
        <f t="shared" si="58"/>
        <v>-131.91124651204905</v>
      </c>
      <c r="R136" s="11">
        <f t="shared" si="58"/>
        <v>-121.06778667368935</v>
      </c>
      <c r="S136" s="11">
        <f t="shared" si="59"/>
        <v>69.921306718344226</v>
      </c>
      <c r="T136" s="11">
        <f t="shared" si="59"/>
        <v>106.92920556765068</v>
      </c>
      <c r="U136" s="11">
        <f t="shared" si="59"/>
        <v>-121.80701000652293</v>
      </c>
      <c r="V136" s="11">
        <f t="shared" si="59"/>
        <v>-42.40244535575377</v>
      </c>
      <c r="W136" s="11">
        <f t="shared" si="59"/>
        <v>99.992571825027682</v>
      </c>
      <c r="X136" s="11">
        <f t="shared" si="59"/>
        <v>-16.704305266851357</v>
      </c>
      <c r="Y136" s="11">
        <f t="shared" si="59"/>
        <v>-102.78093122214305</v>
      </c>
      <c r="Z136" s="11">
        <f t="shared" si="59"/>
        <v>108.65705141425718</v>
      </c>
      <c r="AA136" s="11">
        <f t="shared" si="59"/>
        <v>-131.72197894869774</v>
      </c>
      <c r="AB136" s="11">
        <f t="shared" si="59"/>
        <v>-115.03450523048515</v>
      </c>
      <c r="AC136" s="11">
        <f t="shared" si="60"/>
        <v>29.328059212205353</v>
      </c>
      <c r="AD136" s="11">
        <f t="shared" si="60"/>
        <v>-89.13754767356113</v>
      </c>
      <c r="AE136" s="11">
        <f t="shared" si="60"/>
        <v>102.88307627401481</v>
      </c>
      <c r="AF136" s="11">
        <f t="shared" si="60"/>
        <v>-67.613704009149728</v>
      </c>
      <c r="AG136" s="11">
        <f t="shared" si="60"/>
        <v>35.284629866954333</v>
      </c>
      <c r="AH136" s="11">
        <f t="shared" si="60"/>
        <v>-128.07628653792227</v>
      </c>
      <c r="AI136" s="11">
        <f t="shared" si="60"/>
        <v>-84.308982991517894</v>
      </c>
      <c r="AJ136" s="11">
        <f t="shared" si="60"/>
        <v>-121.94097957617859</v>
      </c>
      <c r="AK136" s="11">
        <f t="shared" si="60"/>
        <v>-6.4019860780550895</v>
      </c>
      <c r="AL136" s="11">
        <f t="shared" si="60"/>
        <v>-70.701036956337362</v>
      </c>
      <c r="AM136" s="11">
        <f t="shared" si="61"/>
        <v>120.63040755925128</v>
      </c>
      <c r="AN136" s="11">
        <f t="shared" si="61"/>
        <v>-5.7756190139387851</v>
      </c>
      <c r="AO136" s="11">
        <f t="shared" si="61"/>
        <v>-89.802341885180368</v>
      </c>
      <c r="AP136" s="11">
        <f t="shared" si="61"/>
        <v>-129.75001408909228</v>
      </c>
      <c r="AQ136" s="11">
        <f t="shared" si="61"/>
        <v>68.570122431743329</v>
      </c>
      <c r="AR136" s="11">
        <f t="shared" si="61"/>
        <v>120.34112792016039</v>
      </c>
      <c r="AS136" s="11">
        <f t="shared" si="61"/>
        <v>46.691708545274345</v>
      </c>
      <c r="AT136" s="11">
        <f t="shared" si="61"/>
        <v>122.86510487022517</v>
      </c>
      <c r="AU136" s="11">
        <f t="shared" si="61"/>
        <v>131.6230423639343</v>
      </c>
      <c r="AV136" s="11">
        <f t="shared" si="61"/>
        <v>123.87847603419365</v>
      </c>
      <c r="AW136" s="11">
        <f t="shared" si="62"/>
        <v>131.98614526231657</v>
      </c>
      <c r="AX136" s="11">
        <f t="shared" si="62"/>
        <v>130.53084611028603</v>
      </c>
      <c r="AY136" s="11">
        <f t="shared" si="62"/>
        <v>-36.399138247270919</v>
      </c>
      <c r="AZ136" s="11">
        <f t="shared" si="62"/>
        <v>111.01443005660803</v>
      </c>
      <c r="BA136" s="11">
        <f t="shared" si="62"/>
        <v>-38.820194585371574</v>
      </c>
      <c r="BB136" s="11">
        <f t="shared" si="62"/>
        <v>129.38486247044312</v>
      </c>
      <c r="BC136" s="11">
        <f t="shared" si="62"/>
        <v>130.22645703752644</v>
      </c>
      <c r="BD136" s="11">
        <f t="shared" si="62"/>
        <v>69.946455333298971</v>
      </c>
      <c r="BE136" s="11">
        <f t="shared" si="62"/>
        <v>-37.711123160092114</v>
      </c>
      <c r="BF136" s="11">
        <f t="shared" si="62"/>
        <v>-119.82542537438745</v>
      </c>
      <c r="BG136" s="11">
        <f t="shared" si="62"/>
        <v>-120.77709733209795</v>
      </c>
      <c r="BH136" s="11">
        <f t="shared" si="62"/>
        <v>-39.921532940879565</v>
      </c>
      <c r="BI136" s="11">
        <f t="shared" si="62"/>
        <v>67.974508104288105</v>
      </c>
      <c r="BJ136" s="11">
        <f t="shared" si="62"/>
        <v>129.82865235727192</v>
      </c>
      <c r="BK136" s="11">
        <f t="shared" si="62"/>
        <v>-96.603590841703095</v>
      </c>
    </row>
    <row r="137" spans="2:63" x14ac:dyDescent="0.25">
      <c r="B137">
        <v>1</v>
      </c>
      <c r="C137">
        <v>0</v>
      </c>
      <c r="D137">
        <v>-1</v>
      </c>
      <c r="E137">
        <v>-1</v>
      </c>
      <c r="F137">
        <v>-119</v>
      </c>
      <c r="H137" s="34"/>
      <c r="I137" s="11">
        <f t="shared" si="58"/>
        <v>90.615442248924651</v>
      </c>
      <c r="J137" s="11">
        <f t="shared" si="58"/>
        <v>-109.64354440587819</v>
      </c>
      <c r="K137" s="11">
        <f t="shared" si="58"/>
        <v>-111.54719585363377</v>
      </c>
      <c r="L137" s="11">
        <f t="shared" si="58"/>
        <v>9.2917730258167754</v>
      </c>
      <c r="M137" s="11">
        <f t="shared" si="58"/>
        <v>-114.29671590472512</v>
      </c>
      <c r="N137" s="11">
        <f t="shared" si="58"/>
        <v>59.449387076884221</v>
      </c>
      <c r="O137" s="11">
        <f t="shared" si="58"/>
        <v>66.499546003303109</v>
      </c>
      <c r="P137" s="11">
        <f t="shared" si="58"/>
        <v>-118.93154243663045</v>
      </c>
      <c r="Q137" s="11">
        <f t="shared" si="58"/>
        <v>-70.498785568337297</v>
      </c>
      <c r="R137" s="11">
        <f t="shared" si="58"/>
        <v>112.2851657984052</v>
      </c>
      <c r="S137" s="11">
        <f t="shared" si="59"/>
        <v>3.1736495369358431</v>
      </c>
      <c r="T137" s="11">
        <f t="shared" si="59"/>
        <v>-26.525105245811563</v>
      </c>
      <c r="U137" s="11">
        <f t="shared" si="59"/>
        <v>8.2214904980131234</v>
      </c>
      <c r="V137" s="11">
        <f t="shared" si="59"/>
        <v>36.901791423381944</v>
      </c>
      <c r="W137" s="11">
        <f t="shared" si="59"/>
        <v>56.617596089889332</v>
      </c>
      <c r="X137" s="11">
        <f t="shared" si="59"/>
        <v>-110.7364158266756</v>
      </c>
      <c r="Y137" s="11">
        <f t="shared" si="59"/>
        <v>102.92054391460253</v>
      </c>
      <c r="Z137" s="11">
        <f t="shared" si="59"/>
        <v>-43.359647587933637</v>
      </c>
      <c r="AA137" s="11">
        <f t="shared" si="59"/>
        <v>-98.334662453964341</v>
      </c>
      <c r="AB137" s="11">
        <f t="shared" si="59"/>
        <v>110.94784702081355</v>
      </c>
      <c r="AC137" s="11">
        <f t="shared" si="60"/>
        <v>25.136765676309629</v>
      </c>
      <c r="AD137" s="11">
        <f t="shared" si="60"/>
        <v>72.943738211768391</v>
      </c>
      <c r="AE137" s="11">
        <f t="shared" si="60"/>
        <v>-115.79225868575807</v>
      </c>
      <c r="AF137" s="11">
        <f t="shared" si="60"/>
        <v>-87.732926492070206</v>
      </c>
      <c r="AG137" s="11">
        <f t="shared" si="60"/>
        <v>56.243178080252576</v>
      </c>
      <c r="AH137" s="11">
        <f t="shared" si="60"/>
        <v>27.005288701385318</v>
      </c>
      <c r="AI137" s="11">
        <f t="shared" si="60"/>
        <v>-63.496625965335163</v>
      </c>
      <c r="AJ137" s="11">
        <f t="shared" si="60"/>
        <v>108.11590066072046</v>
      </c>
      <c r="AK137" s="11">
        <f t="shared" si="60"/>
        <v>-12.974883648441397</v>
      </c>
      <c r="AL137" s="11">
        <f t="shared" si="60"/>
        <v>106.09393312421551</v>
      </c>
      <c r="AM137" s="11">
        <f t="shared" si="61"/>
        <v>-82.576580870527792</v>
      </c>
      <c r="AN137" s="11">
        <f t="shared" si="61"/>
        <v>95.06466229680629</v>
      </c>
      <c r="AO137" s="11">
        <f t="shared" si="61"/>
        <v>-42.730905929854686</v>
      </c>
      <c r="AP137" s="11">
        <f t="shared" si="61"/>
        <v>-16.253764233541247</v>
      </c>
      <c r="AQ137" s="11">
        <f t="shared" si="61"/>
        <v>-107.02544884743631</v>
      </c>
      <c r="AR137" s="11">
        <f t="shared" si="61"/>
        <v>-35.345040043007025</v>
      </c>
      <c r="AS137" s="11">
        <f t="shared" si="61"/>
        <v>106.96398912329344</v>
      </c>
      <c r="AT137" s="11">
        <f t="shared" si="61"/>
        <v>65.929358181663019</v>
      </c>
      <c r="AU137" s="11">
        <f t="shared" si="61"/>
        <v>86.814771803555104</v>
      </c>
      <c r="AV137" s="11">
        <f t="shared" si="61"/>
        <v>-91.831879697911688</v>
      </c>
      <c r="AW137" s="11">
        <f t="shared" si="62"/>
        <v>-39.521968549749836</v>
      </c>
      <c r="AX137" s="11">
        <f t="shared" si="62"/>
        <v>-15.138115647717461</v>
      </c>
      <c r="AY137" s="11">
        <f t="shared" si="62"/>
        <v>80.493925727979118</v>
      </c>
      <c r="AZ137" s="11">
        <f t="shared" si="62"/>
        <v>64.687706738476592</v>
      </c>
      <c r="BA137" s="11">
        <f t="shared" si="62"/>
        <v>-95.87611852333076</v>
      </c>
      <c r="BB137" s="11">
        <f t="shared" si="62"/>
        <v>-65.096739085242433</v>
      </c>
      <c r="BC137" s="11">
        <f t="shared" si="62"/>
        <v>-112.11617788389309</v>
      </c>
      <c r="BD137" s="11">
        <f t="shared" si="62"/>
        <v>-118.45609761523713</v>
      </c>
      <c r="BE137" s="11">
        <f t="shared" si="62"/>
        <v>-117.65470941351802</v>
      </c>
      <c r="BF137" s="11">
        <f t="shared" si="62"/>
        <v>-109.76032619834575</v>
      </c>
      <c r="BG137" s="11">
        <f t="shared" si="62"/>
        <v>-95.248872996882866</v>
      </c>
      <c r="BH137" s="11">
        <f t="shared" si="62"/>
        <v>-74.99519507208953</v>
      </c>
      <c r="BI137" s="11">
        <f t="shared" si="62"/>
        <v>-50.220316531285256</v>
      </c>
      <c r="BJ137" s="11">
        <f t="shared" si="62"/>
        <v>-22.417829010599363</v>
      </c>
      <c r="BK137" s="11">
        <f t="shared" si="62"/>
        <v>-59.708783893680362</v>
      </c>
    </row>
    <row r="138" spans="2:63" x14ac:dyDescent="0.25">
      <c r="B138">
        <v>4</v>
      </c>
      <c r="C138">
        <v>-1</v>
      </c>
      <c r="D138">
        <v>0</v>
      </c>
      <c r="E138">
        <v>-1</v>
      </c>
      <c r="F138">
        <v>115</v>
      </c>
      <c r="H138" s="34"/>
      <c r="I138" s="11">
        <f t="shared" si="58"/>
        <v>58.414924462124837</v>
      </c>
      <c r="J138" s="11">
        <f t="shared" si="58"/>
        <v>70.922982472142337</v>
      </c>
      <c r="K138" s="11">
        <f t="shared" si="58"/>
        <v>40.460970787859104</v>
      </c>
      <c r="L138" s="11">
        <f t="shared" si="58"/>
        <v>-13.439850318548853</v>
      </c>
      <c r="M138" s="11">
        <f t="shared" si="58"/>
        <v>-91.323241756435877</v>
      </c>
      <c r="N138" s="11">
        <f t="shared" si="58"/>
        <v>-81.480749861287862</v>
      </c>
      <c r="O138" s="11">
        <f t="shared" si="58"/>
        <v>-77.731954549832054</v>
      </c>
      <c r="P138" s="11">
        <f t="shared" si="58"/>
        <v>-115.03159090663868</v>
      </c>
      <c r="Q138" s="11">
        <f t="shared" si="58"/>
        <v>-56.783970510440668</v>
      </c>
      <c r="R138" s="11">
        <f t="shared" si="58"/>
        <v>-34.728748095078927</v>
      </c>
      <c r="S138" s="11">
        <f t="shared" si="59"/>
        <v>-53.511958109660419</v>
      </c>
      <c r="T138" s="11">
        <f t="shared" si="59"/>
        <v>-22.285086594101262</v>
      </c>
      <c r="U138" s="11">
        <f t="shared" si="59"/>
        <v>89.264766756066962</v>
      </c>
      <c r="V138" s="11">
        <f t="shared" si="59"/>
        <v>119.64281046225429</v>
      </c>
      <c r="W138" s="11">
        <f t="shared" si="59"/>
        <v>117.27717256314533</v>
      </c>
      <c r="X138" s="11">
        <f t="shared" si="59"/>
        <v>118.22935931167302</v>
      </c>
      <c r="Y138" s="11">
        <f t="shared" si="59"/>
        <v>-53.001841793361152</v>
      </c>
      <c r="Z138" s="11">
        <f t="shared" si="59"/>
        <v>68.301959291119942</v>
      </c>
      <c r="AA138" s="11">
        <f t="shared" si="59"/>
        <v>-88.816393485194894</v>
      </c>
      <c r="AB138" s="11">
        <f t="shared" si="59"/>
        <v>77.209347999587763</v>
      </c>
      <c r="AC138" s="11">
        <f t="shared" si="60"/>
        <v>110.82824307886139</v>
      </c>
      <c r="AD138" s="11">
        <f t="shared" si="60"/>
        <v>110.97334950627122</v>
      </c>
      <c r="AE138" s="11">
        <f t="shared" si="60"/>
        <v>6.6710422032679713</v>
      </c>
      <c r="AF138" s="11">
        <f t="shared" si="60"/>
        <v>-38.898665173344121</v>
      </c>
      <c r="AG138" s="11">
        <f t="shared" si="60"/>
        <v>98.098538320513612</v>
      </c>
      <c r="AH138" s="11">
        <f t="shared" si="60"/>
        <v>86.316419780945452</v>
      </c>
      <c r="AI138" s="11">
        <f t="shared" si="60"/>
        <v>-6.5592795018259658</v>
      </c>
      <c r="AJ138" s="11">
        <f t="shared" si="60"/>
        <v>-46.679458690394483</v>
      </c>
      <c r="AK138" s="11">
        <f t="shared" si="60"/>
        <v>29.141702734246159</v>
      </c>
      <c r="AL138" s="11">
        <f t="shared" si="60"/>
        <v>113.97036880882737</v>
      </c>
      <c r="AM138" s="11">
        <f t="shared" si="61"/>
        <v>101.73964940803998</v>
      </c>
      <c r="AN138" s="11">
        <f t="shared" si="61"/>
        <v>114.44772294558496</v>
      </c>
      <c r="AO138" s="11">
        <f t="shared" si="61"/>
        <v>-112.33543949654698</v>
      </c>
      <c r="AP138" s="11">
        <f t="shared" si="61"/>
        <v>-104.6281355961204</v>
      </c>
      <c r="AQ138" s="11">
        <f t="shared" si="61"/>
        <v>-88.231474477084646</v>
      </c>
      <c r="AR138" s="11">
        <f t="shared" si="61"/>
        <v>113.23045410677037</v>
      </c>
      <c r="AS138" s="11">
        <f t="shared" si="61"/>
        <v>-107.29490548866492</v>
      </c>
      <c r="AT138" s="11">
        <f t="shared" si="61"/>
        <v>-80.185850566852082</v>
      </c>
      <c r="AU138" s="11">
        <f t="shared" si="61"/>
        <v>-38.395081675490424</v>
      </c>
      <c r="AV138" s="11">
        <f t="shared" si="61"/>
        <v>112.41955274128429</v>
      </c>
      <c r="AW138" s="11">
        <f t="shared" si="62"/>
        <v>-24.516474115913198</v>
      </c>
      <c r="AX138" s="11">
        <f t="shared" si="62"/>
        <v>82.636868131207081</v>
      </c>
      <c r="AY138" s="11">
        <f t="shared" si="62"/>
        <v>101.41691861210536</v>
      </c>
      <c r="AZ138" s="11">
        <f t="shared" si="62"/>
        <v>114.96137384360206</v>
      </c>
      <c r="BA138" s="11">
        <f t="shared" si="62"/>
        <v>32.440463486401605</v>
      </c>
      <c r="BB138" s="11">
        <f t="shared" si="62"/>
        <v>-100.43470215439621</v>
      </c>
      <c r="BC138" s="11">
        <f t="shared" si="62"/>
        <v>114.92979058971602</v>
      </c>
      <c r="BD138" s="11">
        <f t="shared" si="62"/>
        <v>94.127562576666918</v>
      </c>
      <c r="BE138" s="11">
        <f t="shared" si="62"/>
        <v>40.126724217088601</v>
      </c>
      <c r="BF138" s="11">
        <f t="shared" si="62"/>
        <v>-28.026726394421893</v>
      </c>
      <c r="BG138" s="11">
        <f t="shared" si="62"/>
        <v>-86.295194229694687</v>
      </c>
      <c r="BH138" s="11">
        <f t="shared" si="62"/>
        <v>-114.1275022999498</v>
      </c>
      <c r="BI138" s="11">
        <f t="shared" si="62"/>
        <v>-101.70725241285012</v>
      </c>
      <c r="BJ138" s="11">
        <f t="shared" si="62"/>
        <v>-53.415048758993692</v>
      </c>
      <c r="BK138" s="11">
        <f t="shared" si="62"/>
        <v>3.9240417001790884</v>
      </c>
    </row>
    <row r="139" spans="2:63" x14ac:dyDescent="0.25">
      <c r="B139">
        <v>2</v>
      </c>
      <c r="C139">
        <v>-2</v>
      </c>
      <c r="D139">
        <v>0</v>
      </c>
      <c r="E139">
        <v>1</v>
      </c>
      <c r="F139">
        <v>107</v>
      </c>
      <c r="H139" s="34"/>
      <c r="I139" s="11">
        <f t="shared" si="58"/>
        <v>-1.5602798410908174</v>
      </c>
      <c r="J139" s="11">
        <f t="shared" si="58"/>
        <v>93.379511346145392</v>
      </c>
      <c r="K139" s="11">
        <f t="shared" si="58"/>
        <v>-47.049573377363032</v>
      </c>
      <c r="L139" s="11">
        <f t="shared" si="58"/>
        <v>-106.91331224760175</v>
      </c>
      <c r="M139" s="11">
        <f t="shared" si="58"/>
        <v>60.372151766218742</v>
      </c>
      <c r="N139" s="11">
        <f t="shared" si="58"/>
        <v>-68.773528724818206</v>
      </c>
      <c r="O139" s="11">
        <f t="shared" si="58"/>
        <v>-26.170179581375319</v>
      </c>
      <c r="P139" s="11">
        <f t="shared" si="58"/>
        <v>-88.677394379681459</v>
      </c>
      <c r="Q139" s="11">
        <f t="shared" si="58"/>
        <v>25.264039556486001</v>
      </c>
      <c r="R139" s="11">
        <f t="shared" si="58"/>
        <v>54.006944697982256</v>
      </c>
      <c r="S139" s="11">
        <f t="shared" si="59"/>
        <v>-35.19248644253225</v>
      </c>
      <c r="T139" s="11">
        <f t="shared" si="59"/>
        <v>-106.0531057673373</v>
      </c>
      <c r="U139" s="11">
        <f t="shared" si="59"/>
        <v>-83.383797594346277</v>
      </c>
      <c r="V139" s="11">
        <f t="shared" si="59"/>
        <v>-19.131712067519867</v>
      </c>
      <c r="W139" s="11">
        <f t="shared" si="59"/>
        <v>86.415457359817111</v>
      </c>
      <c r="X139" s="11">
        <f t="shared" si="59"/>
        <v>-113.76272161641373</v>
      </c>
      <c r="Y139" s="11">
        <f t="shared" si="59"/>
        <v>3.9291896364886871</v>
      </c>
      <c r="Z139" s="11">
        <f t="shared" si="59"/>
        <v>135.90591473713832</v>
      </c>
      <c r="AA139" s="11">
        <f t="shared" si="59"/>
        <v>-78.776402103974306</v>
      </c>
      <c r="AB139" s="11">
        <f t="shared" si="59"/>
        <v>-101.96716719342859</v>
      </c>
      <c r="AC139" s="11">
        <f t="shared" si="60"/>
        <v>-106.95980971800138</v>
      </c>
      <c r="AD139" s="11">
        <f t="shared" si="60"/>
        <v>-67.369590076167583</v>
      </c>
      <c r="AE139" s="11">
        <f t="shared" si="60"/>
        <v>-74.201486337095631</v>
      </c>
      <c r="AF139" s="11">
        <f t="shared" si="60"/>
        <v>54.422598753588154</v>
      </c>
      <c r="AG139" s="11">
        <f t="shared" si="60"/>
        <v>-101.09924823614213</v>
      </c>
      <c r="AH139" s="11">
        <f t="shared" si="60"/>
        <v>35.135548325924283</v>
      </c>
      <c r="AI139" s="11">
        <f t="shared" si="60"/>
        <v>35.126701650466217</v>
      </c>
      <c r="AJ139" s="11">
        <f t="shared" si="60"/>
        <v>-86.019308760469585</v>
      </c>
      <c r="AK139" s="11">
        <f t="shared" si="60"/>
        <v>-53.547707078510243</v>
      </c>
      <c r="AL139" s="11">
        <f t="shared" si="60"/>
        <v>99.727867799901276</v>
      </c>
      <c r="AM139" s="11">
        <f t="shared" si="61"/>
        <v>-69.163904897734568</v>
      </c>
      <c r="AN139" s="11">
        <f t="shared" si="61"/>
        <v>-104.6626603335731</v>
      </c>
      <c r="AO139" s="11">
        <f t="shared" si="61"/>
        <v>11.504035649268829</v>
      </c>
      <c r="AP139" s="11">
        <f t="shared" si="61"/>
        <v>106.08773188385078</v>
      </c>
      <c r="AQ139" s="11">
        <f t="shared" si="61"/>
        <v>-20.471149121527134</v>
      </c>
      <c r="AR139" s="11">
        <f t="shared" si="61"/>
        <v>72.28632581852294</v>
      </c>
      <c r="AS139" s="11">
        <f t="shared" si="61"/>
        <v>-110.88496889379442</v>
      </c>
      <c r="AT139" s="11">
        <f t="shared" si="61"/>
        <v>-48.966417091202629</v>
      </c>
      <c r="AU139" s="11">
        <f t="shared" si="61"/>
        <v>-74.497106268353036</v>
      </c>
      <c r="AV139" s="11">
        <f t="shared" si="61"/>
        <v>100.30235280076631</v>
      </c>
      <c r="AW139" s="11">
        <f t="shared" si="62"/>
        <v>50.856386599186095</v>
      </c>
      <c r="AX139" s="11">
        <f t="shared" si="62"/>
        <v>-19.949056959279414</v>
      </c>
      <c r="AY139" s="11">
        <f t="shared" si="62"/>
        <v>-61.627372734900746</v>
      </c>
      <c r="AZ139" s="11">
        <f t="shared" si="62"/>
        <v>-20.628693186111342</v>
      </c>
      <c r="BA139" s="11">
        <f t="shared" si="62"/>
        <v>-40.614630237093422</v>
      </c>
      <c r="BB139" s="11">
        <f t="shared" si="62"/>
        <v>66.09663348045278</v>
      </c>
      <c r="BC139" s="11">
        <f t="shared" si="62"/>
        <v>9.880272084200982E-2</v>
      </c>
      <c r="BD139" s="11">
        <f t="shared" si="62"/>
        <v>-62.195097264319784</v>
      </c>
      <c r="BE139" s="11">
        <f t="shared" si="62"/>
        <v>-101.19041946730408</v>
      </c>
      <c r="BF139" s="11">
        <f t="shared" si="62"/>
        <v>-102.27934885451195</v>
      </c>
      <c r="BG139" s="11">
        <f t="shared" si="62"/>
        <v>-65.05397808984317</v>
      </c>
      <c r="BH139" s="11">
        <f t="shared" si="62"/>
        <v>-3.4591075204341588</v>
      </c>
      <c r="BI139" s="11">
        <f t="shared" si="62"/>
        <v>59.431543136136419</v>
      </c>
      <c r="BJ139" s="11">
        <f t="shared" si="62"/>
        <v>100.05885553685391</v>
      </c>
      <c r="BK139" s="11">
        <f t="shared" si="62"/>
        <v>25.470285813257146</v>
      </c>
    </row>
    <row r="140" spans="2:63" x14ac:dyDescent="0.25">
      <c r="H140" s="34"/>
    </row>
    <row r="141" spans="2:63" x14ac:dyDescent="0.25">
      <c r="B141" s="342" t="s">
        <v>224</v>
      </c>
      <c r="C141" s="342"/>
      <c r="D141" s="342"/>
      <c r="E141" s="342"/>
      <c r="F141" s="342"/>
      <c r="G141" s="342"/>
    </row>
    <row r="142" spans="2:63" x14ac:dyDescent="0.25">
      <c r="F142" s="31" t="s">
        <v>230</v>
      </c>
      <c r="I142" s="44" t="s">
        <v>221</v>
      </c>
      <c r="J142" s="44" t="s">
        <v>221</v>
      </c>
      <c r="K142" s="44" t="s">
        <v>221</v>
      </c>
      <c r="L142" s="44" t="s">
        <v>221</v>
      </c>
      <c r="M142" s="44" t="s">
        <v>221</v>
      </c>
      <c r="N142" s="44" t="s">
        <v>221</v>
      </c>
      <c r="O142" s="44" t="s">
        <v>221</v>
      </c>
      <c r="P142" s="44" t="s">
        <v>221</v>
      </c>
      <c r="Q142" s="44" t="s">
        <v>221</v>
      </c>
      <c r="R142" s="44" t="s">
        <v>221</v>
      </c>
      <c r="S142" s="44" t="s">
        <v>221</v>
      </c>
      <c r="T142" s="44" t="s">
        <v>221</v>
      </c>
      <c r="U142" s="44" t="s">
        <v>221</v>
      </c>
      <c r="V142" s="44" t="s">
        <v>221</v>
      </c>
      <c r="W142" s="44" t="s">
        <v>221</v>
      </c>
      <c r="X142" s="44" t="s">
        <v>221</v>
      </c>
      <c r="Y142" s="44" t="s">
        <v>221</v>
      </c>
      <c r="Z142" s="44" t="s">
        <v>221</v>
      </c>
      <c r="AA142" s="44" t="s">
        <v>221</v>
      </c>
      <c r="AB142" s="44" t="s">
        <v>221</v>
      </c>
      <c r="AC142" s="44" t="s">
        <v>221</v>
      </c>
      <c r="AD142" s="44" t="s">
        <v>221</v>
      </c>
      <c r="AE142" s="44" t="s">
        <v>221</v>
      </c>
      <c r="AF142" s="44" t="s">
        <v>221</v>
      </c>
      <c r="AG142" s="44" t="s">
        <v>221</v>
      </c>
      <c r="AH142" s="44" t="s">
        <v>221</v>
      </c>
      <c r="AI142" s="44" t="s">
        <v>221</v>
      </c>
      <c r="AJ142" s="44" t="s">
        <v>221</v>
      </c>
      <c r="AK142" s="44" t="s">
        <v>221</v>
      </c>
      <c r="AL142" s="44" t="s">
        <v>221</v>
      </c>
      <c r="AM142" s="44" t="s">
        <v>221</v>
      </c>
      <c r="AN142" s="44" t="s">
        <v>221</v>
      </c>
      <c r="AO142" s="44" t="s">
        <v>221</v>
      </c>
      <c r="AP142" s="44" t="s">
        <v>221</v>
      </c>
      <c r="AQ142" s="44" t="s">
        <v>221</v>
      </c>
      <c r="AR142" s="44" t="s">
        <v>221</v>
      </c>
      <c r="AS142" s="44" t="s">
        <v>221</v>
      </c>
      <c r="AT142" s="44" t="s">
        <v>221</v>
      </c>
      <c r="AU142" s="44" t="s">
        <v>221</v>
      </c>
      <c r="AV142" s="44" t="s">
        <v>221</v>
      </c>
      <c r="AW142" s="44" t="s">
        <v>221</v>
      </c>
      <c r="AX142" s="44" t="s">
        <v>221</v>
      </c>
      <c r="AY142" s="44" t="s">
        <v>221</v>
      </c>
      <c r="AZ142" s="44" t="s">
        <v>221</v>
      </c>
      <c r="BA142" s="44" t="s">
        <v>221</v>
      </c>
      <c r="BB142" s="44" t="s">
        <v>221</v>
      </c>
      <c r="BC142" s="44" t="s">
        <v>221</v>
      </c>
      <c r="BD142" s="44" t="s">
        <v>221</v>
      </c>
      <c r="BE142" s="44" t="s">
        <v>221</v>
      </c>
      <c r="BF142" s="44" t="s">
        <v>221</v>
      </c>
      <c r="BG142" s="44" t="s">
        <v>221</v>
      </c>
      <c r="BH142" s="44" t="s">
        <v>221</v>
      </c>
      <c r="BI142" s="44" t="s">
        <v>221</v>
      </c>
      <c r="BJ142" s="44" t="s">
        <v>221</v>
      </c>
      <c r="BK142" s="44" t="s">
        <v>221</v>
      </c>
    </row>
    <row r="143" spans="2:63" x14ac:dyDescent="0.25">
      <c r="F143" s="19" t="s">
        <v>221</v>
      </c>
      <c r="I143" s="11">
        <f t="shared" ref="I143:I174" si="63">IF(ABS($C16)=1,I$7,IF(ABS($C16)=2,I$7^2,1))  * $F144 * COS(($B16*I$2 + $C16*I$3 + $D16*I$4 + $E16*I$5)*Deg2Rad)</f>
        <v>19547894.977555558</v>
      </c>
      <c r="J143" s="11">
        <f t="shared" ref="J143:J174" si="64">IF(ABS($C16)=1,J$7,IF(ABS($C16)=2,J$7^2,1))  * $F144 * COS(($B16*J$2 + $C16*J$3 + $D16*J$4 + $E16*J$5)*Deg2Rad)</f>
        <v>-13861233.553239658</v>
      </c>
      <c r="K143" s="11">
        <f t="shared" ref="K143:K174" si="65">IF(ABS($C16)=1,K$7,IF(ABS($C16)=2,K$7^2,1))  * $F144 * COS(($B16*K$2 + $C16*K$3 + $D16*K$4 + $E16*K$5)*Deg2Rad)</f>
        <v>14772871.53429419</v>
      </c>
      <c r="L143" s="11">
        <f t="shared" ref="L143:L174" si="66">IF(ABS($C16)=1,L$7,IF(ABS($C16)=2,L$7^2,1))  * $F144 * COS(($B16*L$2 + $C16*L$3 + $D16*L$4 + $E16*L$5)*Deg2Rad)</f>
        <v>-16082595.666377947</v>
      </c>
      <c r="M143" s="11">
        <f t="shared" ref="M143:M174" si="67">IF(ABS($C16)=1,M$7,IF(ABS($C16)=2,M$7^2,1))  * $F144 * COS(($B16*M$2 + $C16*M$3 + $D16*M$4 + $E16*M$5)*Deg2Rad)</f>
        <v>-20841889.945790268</v>
      </c>
      <c r="N143" s="11">
        <f t="shared" ref="N143:N174" si="68">IF(ABS($C16)=1,N$7,IF(ABS($C16)=2,N$7^2,1))  * $F144 * COS(($B16*N$2 + $C16*N$3 + $D16*N$4 + $E16*N$5)*Deg2Rad)</f>
        <v>-7026201.4583488423</v>
      </c>
      <c r="O143" s="11">
        <f t="shared" ref="O143:O174" si="69">IF(ABS($C16)=1,O$7,IF(ABS($C16)=2,O$7^2,1))  * $F144 * COS(($B16*O$2 + $C16*O$3 + $D16*O$4 + $E16*O$5)*Deg2Rad)</f>
        <v>-2092020.0171977172</v>
      </c>
      <c r="P143" s="11">
        <f t="shared" ref="P143:P174" si="70">IF(ABS($C16)=1,P$7,IF(ABS($C16)=2,P$7^2,1))  * $F144 * COS(($B16*P$2 + $C16*P$3 + $D16*P$4 + $E16*P$5)*Deg2Rad)</f>
        <v>20709362.4904669</v>
      </c>
      <c r="Q143" s="11">
        <f t="shared" ref="Q143:Q174" si="71">IF(ABS($C16)=1,Q$7,IF(ABS($C16)=2,Q$7^2,1))  * $F144 * COS(($B16*Q$2 + $C16*Q$3 + $D16*Q$4 + $E16*Q$5)*Deg2Rad)</f>
        <v>-11274646.883269779</v>
      </c>
      <c r="R143" s="11">
        <f t="shared" ref="R143:R174" si="72">IF(ABS($C16)=1,R$7,IF(ABS($C16)=2,R$7^2,1))  * $F144 * COS(($B16*R$2 + $C16*R$3 + $D16*R$4 + $E16*R$5)*Deg2Rad)</f>
        <v>837065.85677724262</v>
      </c>
      <c r="S143" s="11">
        <f t="shared" ref="S143:S174" si="73">IF(ABS($C16)=1,S$7,IF(ABS($C16)=2,S$7^2,1))  * $F144 * COS(($B16*S$2 + $C16*S$3 + $D16*S$4 + $E16*S$5)*Deg2Rad)</f>
        <v>20902064.982337698</v>
      </c>
      <c r="T143" s="11">
        <f t="shared" ref="T143:T174" si="74">IF(ABS($C16)=1,T$7,IF(ABS($C16)=2,T$7^2,1))  * $F144 * COS(($B16*T$2 + $C16*T$3 + $D16*T$4 + $E16*T$5)*Deg2Rad)</f>
        <v>4971452.2084048018</v>
      </c>
      <c r="U143" s="11">
        <f t="shared" ref="U143:U174" si="75">IF(ABS($C16)=1,U$7,IF(ABS($C16)=2,U$7^2,1))  * $F144 * COS(($B16*U$2 + $C16*U$3 + $D16*U$4 + $E16*U$5)*Deg2Rad)</f>
        <v>17006650.055899274</v>
      </c>
      <c r="V143" s="11">
        <f t="shared" ref="V143:V174" si="76">IF(ABS($C16)=1,V$7,IF(ABS($C16)=2,V$7^2,1))  * $F144 * COS(($B16*V$2 + $C16*V$3 + $D16*V$4 + $E16*V$5)*Deg2Rad)</f>
        <v>13818117.986798188</v>
      </c>
      <c r="W143" s="11">
        <f t="shared" ref="W143:W174" si="77">IF(ABS($C16)=1,W$7,IF(ABS($C16)=2,W$7^2,1))  * $F144 * COS(($B16*W$2 + $C16*W$3 + $D16*W$4 + $E16*W$5)*Deg2Rad)</f>
        <v>6372915.558720083</v>
      </c>
      <c r="X143" s="11">
        <f t="shared" ref="X143:X174" si="78">IF(ABS($C16)=1,X$7,IF(ABS($C16)=2,X$7^2,1))  * $F144 * COS(($B16*X$2 + $C16*X$3 + $D16*X$4 + $E16*X$5)*Deg2Rad)</f>
        <v>18196732.028839447</v>
      </c>
      <c r="Y143" s="11">
        <f t="shared" ref="Y143:Y174" si="79">IF(ABS($C16)=1,Y$7,IF(ABS($C16)=2,Y$7^2,1))  * $F144 * COS(($B16*Y$2 + $C16*Y$3 + $D16*Y$4 + $E16*Y$5)*Deg2Rad)</f>
        <v>10932829.879142212</v>
      </c>
      <c r="Z143" s="11">
        <f t="shared" ref="Z143:Z174" si="80">IF(ABS($C16)=1,Z$7,IF(ABS($C16)=2,Z$7^2,1))  * $F144 * COS(($B16*Z$2 + $C16*Z$3 + $D16*Z$4 + $E16*Z$5)*Deg2Rad)</f>
        <v>-13572476.151310239</v>
      </c>
      <c r="AA143" s="11">
        <f t="shared" ref="AA143:AA174" si="81">IF(ABS($C16)=1,AA$7,IF(ABS($C16)=2,AA$7^2,1))  * $F144 * COS(($B16*AA$2 + $C16*AA$3 + $D16*AA$4 + $E16*AA$5)*Deg2Rad)</f>
        <v>13638207.542168103</v>
      </c>
      <c r="AB143" s="11">
        <f t="shared" ref="AB143:AB174" si="82">IF(ABS($C16)=1,AB$7,IF(ABS($C16)=2,AB$7^2,1))  * $F144 * COS(($B16*AB$2 + $C16*AB$3 + $D16*AB$4 + $E16*AB$5)*Deg2Rad)</f>
        <v>-20820935.13875876</v>
      </c>
      <c r="AC143" s="11">
        <f t="shared" ref="AC143:AC174" si="83">IF(ABS($C16)=1,AC$7,IF(ABS($C16)=2,AC$7^2,1))  * $F144 * COS(($B16*AC$2 + $C16*AC$3 + $D16*AC$4 + $E16*AC$5)*Deg2Rad)</f>
        <v>-13321284.644368369</v>
      </c>
      <c r="AD143" s="11">
        <f t="shared" ref="AD143:AD174" si="84">IF(ABS($C16)=1,AD$7,IF(ABS($C16)=2,AD$7^2,1))  * $F144 * COS(($B16*AD$2 + $C16*AD$3 + $D16*AD$4 + $E16*AD$5)*Deg2Rad)</f>
        <v>16926867.505584255</v>
      </c>
      <c r="AE143" s="11">
        <f t="shared" ref="AE143:AE174" si="85">IF(ABS($C16)=1,AE$7,IF(ABS($C16)=2,AE$7^2,1))  * $F144 * COS(($B16*AE$2 + $C16*AE$3 + $D16*AE$4 + $E16*AE$5)*Deg2Rad)</f>
        <v>12994148.616486669</v>
      </c>
      <c r="AF143" s="11">
        <f t="shared" ref="AF143:AF174" si="86">IF(ABS($C16)=1,AF$7,IF(ABS($C16)=2,AF$7^2,1))  * $F144 * COS(($B16*AF$2 + $C16*AF$3 + $D16*AF$4 + $E16*AF$5)*Deg2Rad)</f>
        <v>-11935498.289855378</v>
      </c>
      <c r="AG143" s="11">
        <f t="shared" ref="AG143:AG174" si="87">IF(ABS($C16)=1,AG$7,IF(ABS($C16)=2,AG$7^2,1))  * $F144 * COS(($B16*AG$2 + $C16*AG$3 + $D16*AG$4 + $E16*AG$5)*Deg2Rad)</f>
        <v>1026943.545531316</v>
      </c>
      <c r="AH143" s="11">
        <f t="shared" ref="AH143:AH174" si="88">IF(ABS($C16)=1,AH$7,IF(ABS($C16)=2,AH$7^2,1))  * $F144 * COS(($B16*AH$2 + $C16*AH$3 + $D16*AH$4 + $E16*AH$5)*Deg2Rad)</f>
        <v>12826334.516184144</v>
      </c>
      <c r="AI143" s="11">
        <f t="shared" ref="AI143:AI174" si="89">IF(ABS($C16)=1,AI$7,IF(ABS($C16)=2,AI$7^2,1))  * $F144 * COS(($B16*AI$2 + $C16*AI$3 + $D16*AI$4 + $E16*AI$5)*Deg2Rad)</f>
        <v>578280.03915583284</v>
      </c>
      <c r="AJ143" s="11">
        <f t="shared" ref="AJ143:AJ174" si="90">IF(ABS($C16)=1,AJ$7,IF(ABS($C16)=2,AJ$7^2,1))  * $F144 * COS(($B16*AJ$2 + $C16*AJ$3 + $D16*AJ$4 + $E16*AJ$5)*Deg2Rad)</f>
        <v>-11223499.073014172</v>
      </c>
      <c r="AK143" s="11">
        <f t="shared" ref="AK143:AK174" si="91">IF(ABS($C16)=1,AK$7,IF(ABS($C16)=2,AK$7^2,1))  * $F144 * COS(($B16*AK$2 + $C16*AK$3 + $D16*AK$4 + $E16*AK$5)*Deg2Rad)</f>
        <v>7454486.4289277997</v>
      </c>
      <c r="AL143" s="11">
        <f t="shared" ref="AL143:AL174" si="92">IF(ABS($C16)=1,AL$7,IF(ABS($C16)=2,AL$7^2,1))  * $F144 * COS(($B16*AL$2 + $C16*AL$3 + $D16*AL$4 + $E16*AL$5)*Deg2Rad)</f>
        <v>-5539680.6045112936</v>
      </c>
      <c r="AM143" s="11">
        <f t="shared" ref="AM143:AM174" si="93">IF(ABS($C16)=1,AM$7,IF(ABS($C16)=2,AM$7^2,1))  * $F144 * COS(($B16*AM$2 + $C16*AM$3 + $D16*AM$4 + $E16*AM$5)*Deg2Rad)</f>
        <v>15672670.243309338</v>
      </c>
      <c r="AN143" s="11">
        <f t="shared" ref="AN143:AN174" si="94">IF(ABS($C16)=1,AN$7,IF(ABS($C16)=2,AN$7^2,1))  * $F144 * COS(($B16*AN$2 + $C16*AN$3 + $D16*AN$4 + $E16*AN$5)*Deg2Rad)</f>
        <v>-19894328.363816008</v>
      </c>
      <c r="AO143" s="11">
        <f t="shared" ref="AO143:AO174" si="95">IF(ABS($C16)=1,AO$7,IF(ABS($C16)=2,AO$7^2,1))  * $F144 * COS(($B16*AO$2 + $C16*AO$3 + $D16*AO$4 + $E16*AO$5)*Deg2Rad)</f>
        <v>-17355444.270019256</v>
      </c>
      <c r="AP143" s="11">
        <f t="shared" ref="AP143:AP174" si="96">IF(ABS($C16)=1,AP$7,IF(ABS($C16)=2,AP$7^2,1))  * $F144 * COS(($B16*AP$2 + $C16*AP$3 + $D16*AP$4 + $E16*AP$5)*Deg2Rad)</f>
        <v>9848239.3277619295</v>
      </c>
      <c r="AQ143" s="11">
        <f t="shared" ref="AQ143:AQ174" si="97">IF(ABS($C16)=1,AQ$7,IF(ABS($C16)=2,AQ$7^2,1))  * $F144 * COS(($B16*AQ$2 + $C16*AQ$3 + $D16*AQ$4 + $E16*AQ$5)*Deg2Rad)</f>
        <v>-12514404.757636135</v>
      </c>
      <c r="AR143" s="11">
        <f t="shared" ref="AR143:AR174" si="98">IF(ABS($C16)=1,AR$7,IF(ABS($C16)=2,AR$7^2,1))  * $F144 * COS(($B16*AR$2 + $C16*AR$3 + $D16*AR$4 + $E16*AR$5)*Deg2Rad)</f>
        <v>-11284771.499723935</v>
      </c>
      <c r="AS143" s="11">
        <f t="shared" ref="AS143:AS174" si="99">IF(ABS($C16)=1,AS$7,IF(ABS($C16)=2,AS$7^2,1))  * $F144 * COS(($B16*AS$2 + $C16*AS$3 + $D16*AS$4 + $E16*AS$5)*Deg2Rad)</f>
        <v>-12809992.112241065</v>
      </c>
      <c r="AT143" s="11">
        <f t="shared" ref="AT143:AT174" si="100">IF(ABS($C16)=1,AT$7,IF(ABS($C16)=2,AT$7^2,1))  * $F144 * COS(($B16*AT$2 + $C16*AT$3 + $D16*AT$4 + $E16*AT$5)*Deg2Rad)</f>
        <v>5539363.7483587731</v>
      </c>
      <c r="AU143" s="11">
        <f t="shared" ref="AU143:AU174" si="101">IF(ABS($C16)=1,AU$7,IF(ABS($C16)=2,AU$7^2,1))  * $F144 * COS(($B16*AU$2 + $C16*AU$3 + $D16*AU$4 + $E16*AU$5)*Deg2Rad)</f>
        <v>-20354295.77431947</v>
      </c>
      <c r="AV143" s="11">
        <f t="shared" ref="AV143:AV174" si="102">IF(ABS($C16)=1,AV$7,IF(ABS($C16)=2,AV$7^2,1))  * $F144 * COS(($B16*AV$2 + $C16*AV$3 + $D16*AV$4 + $E16*AV$5)*Deg2Rad)</f>
        <v>-4702626.9905637782</v>
      </c>
      <c r="AW143" s="11">
        <f t="shared" ref="AW143:AW174" si="103">IF(ABS($C16)=1,AW$7,IF(ABS($C16)=2,AW$7^2,1))  * $F144 * COS(($B16*AW$2 + $C16*AW$3 + $D16*AW$4 + $E16*AW$5)*Deg2Rad)</f>
        <v>20902099.009788882</v>
      </c>
      <c r="AX143" s="11">
        <f t="shared" ref="AX143:AX174" si="104">IF(ABS($C16)=1,AX$7,IF(ABS($C16)=2,AX$7^2,1))  * $F144 * COS(($B16*AX$2 + $C16*AX$3 + $D16*AX$4 + $E16*AX$5)*Deg2Rad)</f>
        <v>-20557115.052733004</v>
      </c>
      <c r="AY143" s="11">
        <f t="shared" ref="AY143:AY174" si="105">IF(ABS($C16)=1,AY$7,IF(ABS($C16)=2,AY$7^2,1))  * $F144 * COS(($B16*AY$2 + $C16*AY$3 + $D16*AY$4 + $E16*AY$5)*Deg2Rad)</f>
        <v>-20397896.623987053</v>
      </c>
      <c r="AZ143" s="11">
        <f t="shared" ref="AZ143:AZ174" si="106">IF(ABS($C16)=1,AZ$7,IF(ABS($C16)=2,AZ$7^2,1))  * $F144 * COS(($B16*AZ$2 + $C16*AZ$3 + $D16*AZ$4 + $E16*AZ$5)*Deg2Rad)</f>
        <v>19251584.781616252</v>
      </c>
      <c r="BA143" s="11">
        <f t="shared" ref="BA143:BA174" si="107">IF(ABS($C16)=1,BA$7,IF(ABS($C16)=2,BA$7^2,1))  * $F144 * COS(($B16*BA$2 + $C16*BA$3 + $D16*BA$4 + $E16*BA$5)*Deg2Rad)</f>
        <v>-17060998.639314175</v>
      </c>
      <c r="BB143" s="11">
        <f t="shared" ref="BB143:BB174" si="108">IF(ABS($C16)=1,BB$7,IF(ABS($C16)=2,BB$7^2,1))  * $F144 * COS(($B16*BB$2 + $C16*BB$3 + $D16*BB$4 + $E16*BB$5)*Deg2Rad)</f>
        <v>-9982394.2606867496</v>
      </c>
      <c r="BC143" s="11">
        <f t="shared" ref="BC143:BC174" si="109">IF(ABS($C16)=1,BC$7,IF(ABS($C16)=2,BC$7^2,1))  * $F144 * COS(($B16*BC$2 + $C16*BC$3 + $D16*BC$4 + $E16*BC$5)*Deg2Rad)</f>
        <v>-15432170.558639903</v>
      </c>
      <c r="BD143" s="11">
        <f t="shared" ref="BD143:BD174" si="110">IF(ABS($C16)=1,BD$7,IF(ABS($C16)=2,BD$7^2,1))  * $F144 * COS(($B16*BD$2 + $C16*BD$3 + $D16*BD$4 + $E16*BD$5)*Deg2Rad)</f>
        <v>-11844728.427535426</v>
      </c>
      <c r="BE143" s="11">
        <f t="shared" ref="BE143:BE174" si="111">IF(ABS($C16)=1,BE$7,IF(ABS($C16)=2,BE$7^2,1))  * $F144 * COS(($B16*BE$2 + $C16*BE$3 + $D16*BE$4 + $E16*BE$5)*Deg2Rad)</f>
        <v>-7644067.3255886734</v>
      </c>
      <c r="BF143" s="11">
        <f t="shared" ref="BF143:BF174" si="112">IF(ABS($C16)=1,BF$7,IF(ABS($C16)=2,BF$7^2,1))  * $F144 * COS(($B16*BF$2 + $C16*BF$3 + $D16*BF$4 + $E16*BF$5)*Deg2Rad)</f>
        <v>-3047661.6418140978</v>
      </c>
      <c r="BG143" s="11">
        <f t="shared" ref="BG143:BG174" si="113">IF(ABS($C16)=1,BG$7,IF(ABS($C16)=2,BG$7^2,1))  * $F144 * COS(($B16*BG$2 + $C16*BG$3 + $D16*BG$4 + $E16*BG$5)*Deg2Rad)</f>
        <v>1706525.9571035281</v>
      </c>
      <c r="BH143" s="11">
        <f t="shared" ref="BH143:BH174" si="114">IF(ABS($C16)=1,BH$7,IF(ABS($C16)=2,BH$7^2,1))  * $F144 * COS(($B16*BH$2 + $C16*BH$3 + $D16*BH$4 + $E16*BH$5)*Deg2Rad)</f>
        <v>6372364.2031817241</v>
      </c>
      <c r="BI143" s="11">
        <f t="shared" ref="BI143:BI174" si="115">IF(ABS($C16)=1,BI$7,IF(ABS($C16)=2,BI$7^2,1))  * $F144 * COS(($B16*BI$2 + $C16*BI$3 + $D16*BI$4 + $E16*BI$5)*Deg2Rad)</f>
        <v>10708295.804087183</v>
      </c>
      <c r="BJ143" s="11">
        <f t="shared" ref="BJ143:BJ174" si="116">IF(ABS($C16)=1,BJ$7,IF(ABS($C16)=2,BJ$7^2,1))  * $F144 * COS(($B16*BJ$2 + $C16*BJ$3 + $D16*BJ$4 + $E16*BJ$5)*Deg2Rad)</f>
        <v>14489843.21859741</v>
      </c>
      <c r="BK143" s="11">
        <f t="shared" ref="BK143:BK174" si="117">IF(ABS($C16)=1,BK$7,IF(ABS($C16)=2,BK$7^2,1))  * $F144 * COS(($B16*BK$2 + $C16*BK$3 + $D16*BK$4 + $E16*BK$5)*Deg2Rad)</f>
        <v>-142210.69168633927</v>
      </c>
    </row>
    <row r="144" spans="2:63" x14ac:dyDescent="0.25">
      <c r="F144">
        <v>-20905355</v>
      </c>
      <c r="I144" s="11">
        <f t="shared" si="63"/>
        <v>761693.76536822831</v>
      </c>
      <c r="J144" s="11">
        <f t="shared" si="64"/>
        <v>-1067551.1609182812</v>
      </c>
      <c r="K144" s="11">
        <f t="shared" si="65"/>
        <v>689147.74949654005</v>
      </c>
      <c r="L144" s="11">
        <f t="shared" si="66"/>
        <v>-929577.49532483984</v>
      </c>
      <c r="M144" s="11">
        <f t="shared" si="67"/>
        <v>-1767366.3639796206</v>
      </c>
      <c r="N144" s="11">
        <f t="shared" si="68"/>
        <v>1985304.4670315403</v>
      </c>
      <c r="O144" s="11">
        <f t="shared" si="69"/>
        <v>1208283.3984656094</v>
      </c>
      <c r="P144" s="11">
        <f t="shared" si="70"/>
        <v>-2084549.8143542528</v>
      </c>
      <c r="Q144" s="11">
        <f t="shared" si="71"/>
        <v>-2326542.118107989</v>
      </c>
      <c r="R144" s="11">
        <f t="shared" si="72"/>
        <v>167308.30498624346</v>
      </c>
      <c r="S144" s="11">
        <f t="shared" si="73"/>
        <v>-773313.57583178626</v>
      </c>
      <c r="T144" s="11">
        <f t="shared" si="74"/>
        <v>-804081.32190865232</v>
      </c>
      <c r="U144" s="11">
        <f t="shared" si="75"/>
        <v>-1550255.0920702119</v>
      </c>
      <c r="V144" s="11">
        <f t="shared" si="76"/>
        <v>-2179167.6573715694</v>
      </c>
      <c r="W144" s="11">
        <f t="shared" si="77"/>
        <v>-2818830.8451275872</v>
      </c>
      <c r="X144" s="11">
        <f t="shared" si="78"/>
        <v>-2761209.4544876022</v>
      </c>
      <c r="Y144" s="11">
        <f t="shared" si="79"/>
        <v>-27759.786063813826</v>
      </c>
      <c r="Z144" s="11">
        <f t="shared" si="80"/>
        <v>3600166.6169310817</v>
      </c>
      <c r="AA144" s="11">
        <f t="shared" si="81"/>
        <v>-2631800.2853162191</v>
      </c>
      <c r="AB144" s="11">
        <f t="shared" si="82"/>
        <v>2725797.0648629493</v>
      </c>
      <c r="AC144" s="11">
        <f t="shared" si="83"/>
        <v>2584602.3089544801</v>
      </c>
      <c r="AD144" s="11">
        <f t="shared" si="84"/>
        <v>3530470.6045822888</v>
      </c>
      <c r="AE144" s="11">
        <f t="shared" si="85"/>
        <v>327462.3904948862</v>
      </c>
      <c r="AF144" s="11">
        <f t="shared" si="86"/>
        <v>-859893.14751720557</v>
      </c>
      <c r="AG144" s="11">
        <f t="shared" si="87"/>
        <v>2159085.0932391244</v>
      </c>
      <c r="AH144" s="11">
        <f t="shared" si="88"/>
        <v>-3696170.9535712828</v>
      </c>
      <c r="AI144" s="11">
        <f t="shared" si="89"/>
        <v>557196.72402665415</v>
      </c>
      <c r="AJ144" s="11">
        <f t="shared" si="90"/>
        <v>3584606.4727369901</v>
      </c>
      <c r="AK144" s="11">
        <f t="shared" si="91"/>
        <v>3021620.9448678019</v>
      </c>
      <c r="AL144" s="11">
        <f t="shared" si="92"/>
        <v>-982296.53989208932</v>
      </c>
      <c r="AM144" s="11">
        <f t="shared" si="93"/>
        <v>518154.89536899811</v>
      </c>
      <c r="AN144" s="11">
        <f t="shared" si="94"/>
        <v>1381411.0502577228</v>
      </c>
      <c r="AO144" s="11">
        <f t="shared" si="95"/>
        <v>1755666.3891947407</v>
      </c>
      <c r="AP144" s="11">
        <f t="shared" si="96"/>
        <v>1135365.190158932</v>
      </c>
      <c r="AQ144" s="11">
        <f t="shared" si="97"/>
        <v>791028.44310778275</v>
      </c>
      <c r="AR144" s="11">
        <f t="shared" si="98"/>
        <v>735158.44048588502</v>
      </c>
      <c r="AS144" s="11">
        <f t="shared" si="99"/>
        <v>-2139787.0633538072</v>
      </c>
      <c r="AT144" s="11">
        <f t="shared" si="100"/>
        <v>805396.08869778668</v>
      </c>
      <c r="AU144" s="11">
        <f t="shared" si="101"/>
        <v>3695812.5262744301</v>
      </c>
      <c r="AV144" s="11">
        <f t="shared" si="102"/>
        <v>608293.59953880578</v>
      </c>
      <c r="AW144" s="11">
        <f t="shared" si="103"/>
        <v>-3629594.1533292532</v>
      </c>
      <c r="AX144" s="11">
        <f t="shared" si="104"/>
        <v>3345187.0343221445</v>
      </c>
      <c r="AY144" s="11">
        <f t="shared" si="105"/>
        <v>-3620785.9516215725</v>
      </c>
      <c r="AZ144" s="11">
        <f t="shared" si="106"/>
        <v>3674716.4193607694</v>
      </c>
      <c r="BA144" s="11">
        <f t="shared" si="107"/>
        <v>-3023168.927966685</v>
      </c>
      <c r="BB144" s="11">
        <f t="shared" si="108"/>
        <v>-2188756.9193509724</v>
      </c>
      <c r="BC144" s="11">
        <f t="shared" si="109"/>
        <v>2580152.5549810552</v>
      </c>
      <c r="BD144" s="11">
        <f t="shared" si="110"/>
        <v>3050133.7835551263</v>
      </c>
      <c r="BE144" s="11">
        <f t="shared" si="111"/>
        <v>3401514.658759919</v>
      </c>
      <c r="BF144" s="11">
        <f t="shared" si="112"/>
        <v>3620632.2074534371</v>
      </c>
      <c r="BG144" s="11">
        <f t="shared" si="113"/>
        <v>3698966.3382073981</v>
      </c>
      <c r="BH144" s="11">
        <f t="shared" si="114"/>
        <v>3633471.1336155767</v>
      </c>
      <c r="BI144" s="11">
        <f t="shared" si="115"/>
        <v>3426693.2866939162</v>
      </c>
      <c r="BJ144" s="11">
        <f t="shared" si="116"/>
        <v>3086673.0761535829</v>
      </c>
      <c r="BK144" s="11">
        <f t="shared" si="117"/>
        <v>666109.61815562134</v>
      </c>
    </row>
    <row r="145" spans="6:63" x14ac:dyDescent="0.25">
      <c r="F145">
        <v>-3699111</v>
      </c>
      <c r="I145" s="11">
        <f t="shared" si="63"/>
        <v>456207.52896844654</v>
      </c>
      <c r="J145" s="11">
        <f t="shared" si="64"/>
        <v>1552986.2303890085</v>
      </c>
      <c r="K145" s="11">
        <f t="shared" si="65"/>
        <v>1665748.5933587833</v>
      </c>
      <c r="L145" s="11">
        <f t="shared" si="66"/>
        <v>-2399371.914603244</v>
      </c>
      <c r="M145" s="11">
        <f t="shared" si="67"/>
        <v>-1205831.275191982</v>
      </c>
      <c r="N145" s="11">
        <f t="shared" si="68"/>
        <v>2882282.2508709612</v>
      </c>
      <c r="O145" s="11">
        <f t="shared" si="69"/>
        <v>2876426.6790400343</v>
      </c>
      <c r="P145" s="11">
        <f t="shared" si="70"/>
        <v>1316558.709777104</v>
      </c>
      <c r="Q145" s="11">
        <f t="shared" si="71"/>
        <v>-2937917.1790822013</v>
      </c>
      <c r="R145" s="11">
        <f t="shared" si="72"/>
        <v>-2955928.1380538428</v>
      </c>
      <c r="S145" s="11">
        <f t="shared" si="73"/>
        <v>566577.46496466163</v>
      </c>
      <c r="T145" s="11">
        <f t="shared" si="74"/>
        <v>-2649713.7095848219</v>
      </c>
      <c r="U145" s="11">
        <f t="shared" si="75"/>
        <v>2568593.8814954832</v>
      </c>
      <c r="V145" s="11">
        <f t="shared" si="76"/>
        <v>2943418.6799037419</v>
      </c>
      <c r="W145" s="11">
        <f t="shared" si="77"/>
        <v>2509682.595226571</v>
      </c>
      <c r="X145" s="11">
        <f t="shared" si="78"/>
        <v>952269.87503660715</v>
      </c>
      <c r="Y145" s="11">
        <f t="shared" si="79"/>
        <v>-2507854.4330079961</v>
      </c>
      <c r="Z145" s="11">
        <f t="shared" si="80"/>
        <v>1351262.8847735154</v>
      </c>
      <c r="AA145" s="11">
        <f t="shared" si="81"/>
        <v>-202302.20481498115</v>
      </c>
      <c r="AB145" s="11">
        <f t="shared" si="82"/>
        <v>1989990.7402958348</v>
      </c>
      <c r="AC145" s="11">
        <f t="shared" si="83"/>
        <v>-313689.27864716196</v>
      </c>
      <c r="AD145" s="11">
        <f t="shared" si="84"/>
        <v>-2802116.6164932158</v>
      </c>
      <c r="AE145" s="11">
        <f t="shared" si="85"/>
        <v>2143841.2260942832</v>
      </c>
      <c r="AF145" s="11">
        <f t="shared" si="86"/>
        <v>-2752675.2891555899</v>
      </c>
      <c r="AG145" s="11">
        <f t="shared" si="87"/>
        <v>-2482061.4187042979</v>
      </c>
      <c r="AH145" s="11">
        <f t="shared" si="88"/>
        <v>1905218.0540810635</v>
      </c>
      <c r="AI145" s="11">
        <f t="shared" si="89"/>
        <v>-2933439.4627691344</v>
      </c>
      <c r="AJ145" s="11">
        <f t="shared" si="90"/>
        <v>922165.64447028749</v>
      </c>
      <c r="AK145" s="11">
        <f t="shared" si="91"/>
        <v>-2454056.923258977</v>
      </c>
      <c r="AL145" s="11">
        <f t="shared" si="92"/>
        <v>-2955967.5000624214</v>
      </c>
      <c r="AM145" s="11">
        <f t="shared" si="93"/>
        <v>-2247337.8286320507</v>
      </c>
      <c r="AN145" s="11">
        <f t="shared" si="94"/>
        <v>1892939.0643331294</v>
      </c>
      <c r="AO145" s="11">
        <f t="shared" si="95"/>
        <v>2615180.7057780651</v>
      </c>
      <c r="AP145" s="11">
        <f t="shared" si="96"/>
        <v>-2908970.680610375</v>
      </c>
      <c r="AQ145" s="11">
        <f t="shared" si="97"/>
        <v>-1934655.1566682244</v>
      </c>
      <c r="AR145" s="11">
        <f t="shared" si="98"/>
        <v>-2121556.496100367</v>
      </c>
      <c r="AS145" s="11">
        <f t="shared" si="99"/>
        <v>857740.57130003371</v>
      </c>
      <c r="AT145" s="11">
        <f t="shared" si="100"/>
        <v>-2952464.6030048262</v>
      </c>
      <c r="AU145" s="11">
        <f t="shared" si="101"/>
        <v>2903949.4227026561</v>
      </c>
      <c r="AV145" s="11">
        <f t="shared" si="102"/>
        <v>-2731654.0430453159</v>
      </c>
      <c r="AW145" s="11">
        <f t="shared" si="103"/>
        <v>2889898.8460282283</v>
      </c>
      <c r="AX145" s="11">
        <f t="shared" si="104"/>
        <v>2857960.4954076111</v>
      </c>
      <c r="AY145" s="11">
        <f t="shared" si="105"/>
        <v>-2955651.5150518212</v>
      </c>
      <c r="AZ145" s="11">
        <f t="shared" si="106"/>
        <v>-2572060.9833931392</v>
      </c>
      <c r="BA145" s="11">
        <f t="shared" si="107"/>
        <v>-2955962.0030479655</v>
      </c>
      <c r="BB145" s="11">
        <f t="shared" si="108"/>
        <v>-2928932.5268191784</v>
      </c>
      <c r="BC145" s="11">
        <f t="shared" si="109"/>
        <v>2950915.6807573009</v>
      </c>
      <c r="BD145" s="11">
        <f t="shared" si="110"/>
        <v>2759058.2628786014</v>
      </c>
      <c r="BE145" s="11">
        <f t="shared" si="111"/>
        <v>2075078.7252882991</v>
      </c>
      <c r="BF145" s="11">
        <f t="shared" si="112"/>
        <v>1020975.7457262097</v>
      </c>
      <c r="BG145" s="11">
        <f t="shared" si="113"/>
        <v>-215234.5691252439</v>
      </c>
      <c r="BH145" s="11">
        <f t="shared" si="114"/>
        <v>-1413054.3599977284</v>
      </c>
      <c r="BI145" s="11">
        <f t="shared" si="115"/>
        <v>-2358833.3309081444</v>
      </c>
      <c r="BJ145" s="11">
        <f t="shared" si="116"/>
        <v>-2883876.6926882104</v>
      </c>
      <c r="BK145" s="11">
        <f t="shared" si="117"/>
        <v>-2903959.3568487521</v>
      </c>
    </row>
    <row r="146" spans="6:63" x14ac:dyDescent="0.25">
      <c r="F146">
        <v>-2955968</v>
      </c>
      <c r="I146" s="11">
        <f t="shared" si="63"/>
        <v>-426701.8977447116</v>
      </c>
      <c r="J146" s="11">
        <f t="shared" si="64"/>
        <v>68811.189074695183</v>
      </c>
      <c r="K146" s="11">
        <f t="shared" si="65"/>
        <v>728.19677927985254</v>
      </c>
      <c r="L146" s="11">
        <f t="shared" si="66"/>
        <v>-104672.76315503786</v>
      </c>
      <c r="M146" s="11">
        <f t="shared" si="67"/>
        <v>-563014.72890618537</v>
      </c>
      <c r="N146" s="11">
        <f t="shared" si="68"/>
        <v>441167.12346023438</v>
      </c>
      <c r="O146" s="11">
        <f t="shared" si="69"/>
        <v>558510.30579780834</v>
      </c>
      <c r="P146" s="11">
        <f t="shared" si="70"/>
        <v>-548652.47541056096</v>
      </c>
      <c r="Q146" s="11">
        <f t="shared" si="71"/>
        <v>238383.03463354387</v>
      </c>
      <c r="R146" s="11">
        <f t="shared" si="72"/>
        <v>568097.52322859224</v>
      </c>
      <c r="S146" s="11">
        <f t="shared" si="73"/>
        <v>-569566.25636317325</v>
      </c>
      <c r="T146" s="11">
        <f t="shared" si="74"/>
        <v>505463.68697141524</v>
      </c>
      <c r="U146" s="11">
        <f t="shared" si="75"/>
        <v>-184420.25111821271</v>
      </c>
      <c r="V146" s="11">
        <f t="shared" si="76"/>
        <v>71923.784088967688</v>
      </c>
      <c r="W146" s="11">
        <f t="shared" si="77"/>
        <v>463997.44743424025</v>
      </c>
      <c r="X146" s="11">
        <f t="shared" si="78"/>
        <v>-293688.47300620639</v>
      </c>
      <c r="Y146" s="11">
        <f t="shared" si="79"/>
        <v>258181.22472086304</v>
      </c>
      <c r="Z146" s="11">
        <f t="shared" si="80"/>
        <v>89472.138483756615</v>
      </c>
      <c r="AA146" s="11">
        <f t="shared" si="81"/>
        <v>84807.211120700624</v>
      </c>
      <c r="AB146" s="11">
        <f t="shared" si="82"/>
        <v>-560737.71862718347</v>
      </c>
      <c r="AC146" s="11">
        <f t="shared" si="83"/>
        <v>107091.45668929172</v>
      </c>
      <c r="AD146" s="11">
        <f t="shared" si="84"/>
        <v>-177359.19918338562</v>
      </c>
      <c r="AE146" s="11">
        <f t="shared" si="85"/>
        <v>129544.30853674123</v>
      </c>
      <c r="AF146" s="11">
        <f t="shared" si="86"/>
        <v>198378.03364589997</v>
      </c>
      <c r="AG146" s="11">
        <f t="shared" si="87"/>
        <v>567174.41070003784</v>
      </c>
      <c r="AH146" s="11">
        <f t="shared" si="88"/>
        <v>140845.53097256168</v>
      </c>
      <c r="AI146" s="11">
        <f t="shared" si="89"/>
        <v>569052.81419650954</v>
      </c>
      <c r="AJ146" s="11">
        <f t="shared" si="90"/>
        <v>241384.31374237192</v>
      </c>
      <c r="AK146" s="11">
        <f t="shared" si="91"/>
        <v>424991.73805540107</v>
      </c>
      <c r="AL146" s="11">
        <f t="shared" si="92"/>
        <v>489885.92489392817</v>
      </c>
      <c r="AM146" s="11">
        <f t="shared" si="93"/>
        <v>-70721.712606621324</v>
      </c>
      <c r="AN146" s="11">
        <f t="shared" si="94"/>
        <v>-462339.9316579554</v>
      </c>
      <c r="AO146" s="11">
        <f t="shared" si="95"/>
        <v>-215679.71373068329</v>
      </c>
      <c r="AP146" s="11">
        <f t="shared" si="96"/>
        <v>316966.19666507567</v>
      </c>
      <c r="AQ146" s="11">
        <f t="shared" si="97"/>
        <v>161461.73480833162</v>
      </c>
      <c r="AR146" s="11">
        <f t="shared" si="98"/>
        <v>237787.31887512852</v>
      </c>
      <c r="AS146" s="11">
        <f t="shared" si="99"/>
        <v>141938.23953720927</v>
      </c>
      <c r="AT146" s="11">
        <f t="shared" si="100"/>
        <v>489895.08070990752</v>
      </c>
      <c r="AU146" s="11">
        <f t="shared" si="101"/>
        <v>-510624.76215405663</v>
      </c>
      <c r="AV146" s="11">
        <f t="shared" si="102"/>
        <v>512246.53762576007</v>
      </c>
      <c r="AW146" s="11">
        <f t="shared" si="103"/>
        <v>-569569.96642863262</v>
      </c>
      <c r="AX146" s="11">
        <f t="shared" si="104"/>
        <v>-532266.20936016983</v>
      </c>
      <c r="AY146" s="11">
        <f t="shared" si="105"/>
        <v>-515259.00235753163</v>
      </c>
      <c r="AZ146" s="11">
        <f t="shared" si="106"/>
        <v>-396716.82491678611</v>
      </c>
      <c r="BA146" s="11">
        <f t="shared" si="107"/>
        <v>-189249.31553689844</v>
      </c>
      <c r="BB146" s="11">
        <f t="shared" si="108"/>
        <v>310027.53284231393</v>
      </c>
      <c r="BC146" s="11">
        <f t="shared" si="109"/>
        <v>-51210.911393703165</v>
      </c>
      <c r="BD146" s="11">
        <f t="shared" si="110"/>
        <v>204007.79878443026</v>
      </c>
      <c r="BE146" s="11">
        <f t="shared" si="111"/>
        <v>417526.17561037029</v>
      </c>
      <c r="BF146" s="11">
        <f t="shared" si="112"/>
        <v>545699.8704678677</v>
      </c>
      <c r="BG146" s="11">
        <f t="shared" si="113"/>
        <v>562329.46434229193</v>
      </c>
      <c r="BH146" s="11">
        <f t="shared" si="114"/>
        <v>464015.77537717979</v>
      </c>
      <c r="BI146" s="11">
        <f t="shared" si="115"/>
        <v>270854.67062963493</v>
      </c>
      <c r="BJ146" s="11">
        <f t="shared" si="116"/>
        <v>22329.358617350063</v>
      </c>
      <c r="BK146" s="11">
        <f t="shared" si="117"/>
        <v>569872.25307975197</v>
      </c>
    </row>
    <row r="147" spans="6:63" x14ac:dyDescent="0.25">
      <c r="F147">
        <v>-569925</v>
      </c>
      <c r="I147" s="11">
        <f t="shared" si="63"/>
        <v>860.84078769991925</v>
      </c>
      <c r="J147" s="11">
        <f t="shared" si="64"/>
        <v>30951.252956098651</v>
      </c>
      <c r="K147" s="11">
        <f t="shared" si="65"/>
        <v>48842.546554853216</v>
      </c>
      <c r="L147" s="11">
        <f t="shared" si="66"/>
        <v>48834.643945913776</v>
      </c>
      <c r="M147" s="11">
        <f t="shared" si="67"/>
        <v>45005.670707345198</v>
      </c>
      <c r="N147" s="11">
        <f t="shared" si="68"/>
        <v>-47116.922740405644</v>
      </c>
      <c r="O147" s="11">
        <f t="shared" si="69"/>
        <v>45089.542704113032</v>
      </c>
      <c r="P147" s="11">
        <f t="shared" si="70"/>
        <v>-47278.710139669238</v>
      </c>
      <c r="Q147" s="11">
        <f t="shared" si="71"/>
        <v>49002.742308644105</v>
      </c>
      <c r="R147" s="11">
        <f t="shared" si="72"/>
        <v>49266.261126637546</v>
      </c>
      <c r="S147" s="11">
        <f t="shared" si="73"/>
        <v>49279.145224359418</v>
      </c>
      <c r="T147" s="11">
        <f t="shared" si="74"/>
        <v>-24740.548692960794</v>
      </c>
      <c r="U147" s="11">
        <f t="shared" si="75"/>
        <v>44706.48665076583</v>
      </c>
      <c r="V147" s="11">
        <f t="shared" si="76"/>
        <v>44265.859199032107</v>
      </c>
      <c r="W147" s="11">
        <f t="shared" si="77"/>
        <v>-34338.968208687882</v>
      </c>
      <c r="X147" s="11">
        <f t="shared" si="78"/>
        <v>-5780.5281514545895</v>
      </c>
      <c r="Y147" s="11">
        <f t="shared" si="79"/>
        <v>-5406.746443414575</v>
      </c>
      <c r="Z147" s="11">
        <f t="shared" si="80"/>
        <v>15876.375310292859</v>
      </c>
      <c r="AA147" s="11">
        <f t="shared" si="81"/>
        <v>-4245.7355992168714</v>
      </c>
      <c r="AB147" s="11">
        <f t="shared" si="82"/>
        <v>-6503.8137421536439</v>
      </c>
      <c r="AC147" s="11">
        <f t="shared" si="83"/>
        <v>36153.470818200127</v>
      </c>
      <c r="AD147" s="11">
        <f t="shared" si="84"/>
        <v>48748.782695558344</v>
      </c>
      <c r="AE147" s="11">
        <f t="shared" si="85"/>
        <v>48822.61399075565</v>
      </c>
      <c r="AF147" s="11">
        <f t="shared" si="86"/>
        <v>-48784.459037173467</v>
      </c>
      <c r="AG147" s="11">
        <f t="shared" si="87"/>
        <v>31554.506964529202</v>
      </c>
      <c r="AH147" s="11">
        <f t="shared" si="88"/>
        <v>-14735.754179719926</v>
      </c>
      <c r="AI147" s="11">
        <f t="shared" si="89"/>
        <v>34315.135662915411</v>
      </c>
      <c r="AJ147" s="11">
        <f t="shared" si="90"/>
        <v>47447.259373808105</v>
      </c>
      <c r="AK147" s="11">
        <f t="shared" si="91"/>
        <v>7644.0702766070681</v>
      </c>
      <c r="AL147" s="11">
        <f t="shared" si="92"/>
        <v>27683.542101612853</v>
      </c>
      <c r="AM147" s="11">
        <f t="shared" si="93"/>
        <v>2727.9059689989535</v>
      </c>
      <c r="AN147" s="11">
        <f t="shared" si="94"/>
        <v>-21522.100728931298</v>
      </c>
      <c r="AO147" s="11">
        <f t="shared" si="95"/>
        <v>49110.221866388645</v>
      </c>
      <c r="AP147" s="11">
        <f t="shared" si="96"/>
        <v>-11952.894746509655</v>
      </c>
      <c r="AQ147" s="11">
        <f t="shared" si="97"/>
        <v>-40565.14660806625</v>
      </c>
      <c r="AR147" s="11">
        <f t="shared" si="98"/>
        <v>-1411.0265733123802</v>
      </c>
      <c r="AS147" s="11">
        <f t="shared" si="99"/>
        <v>43665.227478393477</v>
      </c>
      <c r="AT147" s="11">
        <f t="shared" si="100"/>
        <v>-7604.4190202366935</v>
      </c>
      <c r="AU147" s="11">
        <f t="shared" si="101"/>
        <v>-1704.9976405088662</v>
      </c>
      <c r="AV147" s="11">
        <f t="shared" si="102"/>
        <v>4091.5601966955478</v>
      </c>
      <c r="AW147" s="11">
        <f t="shared" si="103"/>
        <v>10573.102185686974</v>
      </c>
      <c r="AX147" s="11">
        <f t="shared" si="104"/>
        <v>22138.342861819907</v>
      </c>
      <c r="AY147" s="11">
        <f t="shared" si="105"/>
        <v>-40961.966752139546</v>
      </c>
      <c r="AZ147" s="11">
        <f t="shared" si="106"/>
        <v>-26409.323344936169</v>
      </c>
      <c r="BA147" s="11">
        <f t="shared" si="107"/>
        <v>48942.472924464601</v>
      </c>
      <c r="BB147" s="11">
        <f t="shared" si="108"/>
        <v>-9075.100978362334</v>
      </c>
      <c r="BC147" s="11">
        <f t="shared" si="109"/>
        <v>40748.507233536235</v>
      </c>
      <c r="BD147" s="11">
        <f t="shared" si="110"/>
        <v>41206.216983601393</v>
      </c>
      <c r="BE147" s="11">
        <f t="shared" si="111"/>
        <v>41651.733732156121</v>
      </c>
      <c r="BF147" s="11">
        <f t="shared" si="112"/>
        <v>42084.925652271762</v>
      </c>
      <c r="BG147" s="11">
        <f t="shared" si="113"/>
        <v>42505.664563965962</v>
      </c>
      <c r="BH147" s="11">
        <f t="shared" si="114"/>
        <v>42913.825972121653</v>
      </c>
      <c r="BI147" s="11">
        <f t="shared" si="115"/>
        <v>43309.289103328752</v>
      </c>
      <c r="BJ147" s="11">
        <f t="shared" si="116"/>
        <v>43691.93694161842</v>
      </c>
      <c r="BK147" s="11">
        <f t="shared" si="117"/>
        <v>34405.664468368166</v>
      </c>
    </row>
    <row r="148" spans="6:63" x14ac:dyDescent="0.25">
      <c r="F148">
        <v>48888</v>
      </c>
      <c r="I148" s="11">
        <f t="shared" si="63"/>
        <v>2888.799357982869</v>
      </c>
      <c r="J148" s="11">
        <f t="shared" si="64"/>
        <v>2940.1278637966188</v>
      </c>
      <c r="K148" s="11">
        <f t="shared" si="65"/>
        <v>3128.4819062475744</v>
      </c>
      <c r="L148" s="11">
        <f t="shared" si="66"/>
        <v>1765.9453290043004</v>
      </c>
      <c r="M148" s="11">
        <f t="shared" si="67"/>
        <v>2861.6049102759957</v>
      </c>
      <c r="N148" s="11">
        <f t="shared" si="68"/>
        <v>-3119.5251477717484</v>
      </c>
      <c r="O148" s="11">
        <f t="shared" si="69"/>
        <v>151.45327764199553</v>
      </c>
      <c r="P148" s="11">
        <f t="shared" si="70"/>
        <v>-2266.6882878030242</v>
      </c>
      <c r="Q148" s="11">
        <f t="shared" si="71"/>
        <v>-2556.240611895586</v>
      </c>
      <c r="R148" s="11">
        <f t="shared" si="72"/>
        <v>-2281.7005602778977</v>
      </c>
      <c r="S148" s="11">
        <f t="shared" si="73"/>
        <v>875.36898912247057</v>
      </c>
      <c r="T148" s="11">
        <f t="shared" si="74"/>
        <v>2864.1820158612527</v>
      </c>
      <c r="U148" s="11">
        <f t="shared" si="75"/>
        <v>-157.10613172951463</v>
      </c>
      <c r="V148" s="11">
        <f t="shared" si="76"/>
        <v>1260.6482079066013</v>
      </c>
      <c r="W148" s="11">
        <f t="shared" si="77"/>
        <v>-3095.5433523343922</v>
      </c>
      <c r="X148" s="11">
        <f t="shared" si="78"/>
        <v>-2706.8072969962268</v>
      </c>
      <c r="Y148" s="11">
        <f t="shared" si="79"/>
        <v>74.953099873252384</v>
      </c>
      <c r="Z148" s="11">
        <f t="shared" si="80"/>
        <v>602.39400300644502</v>
      </c>
      <c r="AA148" s="11">
        <f t="shared" si="81"/>
        <v>-911.01281680347392</v>
      </c>
      <c r="AB148" s="11">
        <f t="shared" si="82"/>
        <v>-558.75186005512057</v>
      </c>
      <c r="AC148" s="11">
        <f t="shared" si="83"/>
        <v>2750.7584754106952</v>
      </c>
      <c r="AD148" s="11">
        <f t="shared" si="84"/>
        <v>1977.9327371039219</v>
      </c>
      <c r="AE148" s="11">
        <f t="shared" si="85"/>
        <v>3127.5894270793515</v>
      </c>
      <c r="AF148" s="11">
        <f t="shared" si="86"/>
        <v>-2523.2351240609792</v>
      </c>
      <c r="AG148" s="11">
        <f t="shared" si="87"/>
        <v>-270.93791831825297</v>
      </c>
      <c r="AH148" s="11">
        <f t="shared" si="88"/>
        <v>2775.0950130529559</v>
      </c>
      <c r="AI148" s="11">
        <f t="shared" si="89"/>
        <v>1839.9148706337826</v>
      </c>
      <c r="AJ148" s="11">
        <f t="shared" si="90"/>
        <v>144.38698955357501</v>
      </c>
      <c r="AK148" s="11">
        <f t="shared" si="91"/>
        <v>99.992718610377608</v>
      </c>
      <c r="AL148" s="11">
        <f t="shared" si="92"/>
        <v>-294.72568332969007</v>
      </c>
      <c r="AM148" s="11">
        <f t="shared" si="93"/>
        <v>2691.6536483768368</v>
      </c>
      <c r="AN148" s="11">
        <f t="shared" si="94"/>
        <v>2957.5936189986228</v>
      </c>
      <c r="AO148" s="11">
        <f t="shared" si="95"/>
        <v>-2326.68895716309</v>
      </c>
      <c r="AP148" s="11">
        <f t="shared" si="96"/>
        <v>1493.8786793415068</v>
      </c>
      <c r="AQ148" s="11">
        <f t="shared" si="97"/>
        <v>-2795.1056622662859</v>
      </c>
      <c r="AR148" s="11">
        <f t="shared" si="98"/>
        <v>3063.905832888141</v>
      </c>
      <c r="AS148" s="11">
        <f t="shared" si="99"/>
        <v>2043.5909106261518</v>
      </c>
      <c r="AT148" s="11">
        <f t="shared" si="100"/>
        <v>-286.964524531059</v>
      </c>
      <c r="AU148" s="11">
        <f t="shared" si="101"/>
        <v>649.84135337757186</v>
      </c>
      <c r="AV148" s="11">
        <f t="shared" si="102"/>
        <v>-790.99552295755075</v>
      </c>
      <c r="AW148" s="11">
        <f t="shared" si="103"/>
        <v>2069.7075835896849</v>
      </c>
      <c r="AX148" s="11">
        <f t="shared" si="104"/>
        <v>2937.404786173443</v>
      </c>
      <c r="AY148" s="11">
        <f t="shared" si="105"/>
        <v>-1542.630392087061</v>
      </c>
      <c r="AZ148" s="11">
        <f t="shared" si="106"/>
        <v>-2045.1965939558438</v>
      </c>
      <c r="BA148" s="11">
        <f t="shared" si="107"/>
        <v>-2519.4752505409288</v>
      </c>
      <c r="BB148" s="11">
        <f t="shared" si="108"/>
        <v>-2071.205561726922</v>
      </c>
      <c r="BC148" s="11">
        <f t="shared" si="109"/>
        <v>1910.989814050454</v>
      </c>
      <c r="BD148" s="11">
        <f t="shared" si="110"/>
        <v>595.66785134193162</v>
      </c>
      <c r="BE148" s="11">
        <f t="shared" si="111"/>
        <v>-844.43967032454202</v>
      </c>
      <c r="BF148" s="11">
        <f t="shared" si="112"/>
        <v>-2107.6468002207307</v>
      </c>
      <c r="BG148" s="11">
        <f t="shared" si="113"/>
        <v>-2929.3261836458864</v>
      </c>
      <c r="BH148" s="11">
        <f t="shared" si="114"/>
        <v>-3137.3454469750186</v>
      </c>
      <c r="BI148" s="11">
        <f t="shared" si="115"/>
        <v>-2688.1269487599889</v>
      </c>
      <c r="BJ148" s="11">
        <f t="shared" si="116"/>
        <v>-1675.7767940516198</v>
      </c>
      <c r="BK148" s="11">
        <f t="shared" si="117"/>
        <v>2013.6760130461575</v>
      </c>
    </row>
    <row r="149" spans="6:63" x14ac:dyDescent="0.25">
      <c r="F149">
        <v>-3149</v>
      </c>
      <c r="I149" s="11">
        <f t="shared" si="63"/>
        <v>132782.15489414884</v>
      </c>
      <c r="J149" s="11">
        <f t="shared" si="64"/>
        <v>223531.03348261132</v>
      </c>
      <c r="K149" s="11">
        <f t="shared" si="65"/>
        <v>203528.70529101073</v>
      </c>
      <c r="L149" s="11">
        <f t="shared" si="66"/>
        <v>-104630.77418721958</v>
      </c>
      <c r="M149" s="11">
        <f t="shared" si="67"/>
        <v>134089.82951979857</v>
      </c>
      <c r="N149" s="11">
        <f t="shared" si="68"/>
        <v>151216.96024457808</v>
      </c>
      <c r="O149" s="11">
        <f t="shared" si="69"/>
        <v>223441.69666215891</v>
      </c>
      <c r="P149" s="11">
        <f t="shared" si="70"/>
        <v>-165196.1525304364</v>
      </c>
      <c r="Q149" s="11">
        <f t="shared" si="71"/>
        <v>-77660.034705582555</v>
      </c>
      <c r="R149" s="11">
        <f t="shared" si="72"/>
        <v>-245263.08849110565</v>
      </c>
      <c r="S149" s="11">
        <f t="shared" si="73"/>
        <v>-55722.688509580381</v>
      </c>
      <c r="T149" s="11">
        <f t="shared" si="74"/>
        <v>-246103.78981037799</v>
      </c>
      <c r="U149" s="11">
        <f t="shared" si="75"/>
        <v>46053.456493864891</v>
      </c>
      <c r="V149" s="11">
        <f t="shared" si="76"/>
        <v>53410.101177301389</v>
      </c>
      <c r="W149" s="11">
        <f t="shared" si="77"/>
        <v>94627.806048939907</v>
      </c>
      <c r="X149" s="11">
        <f t="shared" si="78"/>
        <v>-240575.90117953136</v>
      </c>
      <c r="Y149" s="11">
        <f t="shared" si="79"/>
        <v>-210773.5145985632</v>
      </c>
      <c r="Z149" s="11">
        <f t="shared" si="80"/>
        <v>-198552.71483585081</v>
      </c>
      <c r="AA149" s="11">
        <f t="shared" si="81"/>
        <v>-245353.57172722835</v>
      </c>
      <c r="AB149" s="11">
        <f t="shared" si="82"/>
        <v>-195596.01646749015</v>
      </c>
      <c r="AC149" s="11">
        <f t="shared" si="83"/>
        <v>-245316.5578356536</v>
      </c>
      <c r="AD149" s="11">
        <f t="shared" si="84"/>
        <v>147104.52780852953</v>
      </c>
      <c r="AE149" s="11">
        <f t="shared" si="85"/>
        <v>205617.53962410716</v>
      </c>
      <c r="AF149" s="11">
        <f t="shared" si="86"/>
        <v>-163889.57502391533</v>
      </c>
      <c r="AG149" s="11">
        <f t="shared" si="87"/>
        <v>-192577.67130350525</v>
      </c>
      <c r="AH149" s="11">
        <f t="shared" si="88"/>
        <v>-143160.086272177</v>
      </c>
      <c r="AI149" s="11">
        <f t="shared" si="89"/>
        <v>-242230.60660448237</v>
      </c>
      <c r="AJ149" s="11">
        <f t="shared" si="90"/>
        <v>-179335.75635593021</v>
      </c>
      <c r="AK149" s="11">
        <f t="shared" si="91"/>
        <v>-60962.187691730047</v>
      </c>
      <c r="AL149" s="11">
        <f t="shared" si="92"/>
        <v>-211514.88767239748</v>
      </c>
      <c r="AM149" s="11">
        <f t="shared" si="93"/>
        <v>-135446.74808742123</v>
      </c>
      <c r="AN149" s="11">
        <f t="shared" si="94"/>
        <v>-17326.648156521172</v>
      </c>
      <c r="AO149" s="11">
        <f t="shared" si="95"/>
        <v>23794.581044427079</v>
      </c>
      <c r="AP149" s="11">
        <f t="shared" si="96"/>
        <v>-171060.16747896676</v>
      </c>
      <c r="AQ149" s="11">
        <f t="shared" si="97"/>
        <v>-224130.1317330114</v>
      </c>
      <c r="AR149" s="11">
        <f t="shared" si="98"/>
        <v>-229488.11403252149</v>
      </c>
      <c r="AS149" s="11">
        <f t="shared" si="99"/>
        <v>245933.51281403823</v>
      </c>
      <c r="AT149" s="11">
        <f t="shared" si="100"/>
        <v>-217463.63245346901</v>
      </c>
      <c r="AU149" s="11">
        <f t="shared" si="101"/>
        <v>-237085.10956763901</v>
      </c>
      <c r="AV149" s="11">
        <f t="shared" si="102"/>
        <v>-245689.65151150033</v>
      </c>
      <c r="AW149" s="11">
        <f t="shared" si="103"/>
        <v>-242332.64488675326</v>
      </c>
      <c r="AX149" s="11">
        <f t="shared" si="104"/>
        <v>-199799.38784209639</v>
      </c>
      <c r="AY149" s="11">
        <f t="shared" si="105"/>
        <v>224062.56653363377</v>
      </c>
      <c r="AZ149" s="11">
        <f t="shared" si="106"/>
        <v>236192.09544003248</v>
      </c>
      <c r="BA149" s="11">
        <f t="shared" si="107"/>
        <v>82206.776273916737</v>
      </c>
      <c r="BB149" s="11">
        <f t="shared" si="108"/>
        <v>-104808.49338883402</v>
      </c>
      <c r="BC149" s="11">
        <f t="shared" si="109"/>
        <v>-7753.0864453212107</v>
      </c>
      <c r="BD149" s="11">
        <f t="shared" si="110"/>
        <v>-242.39680741363873</v>
      </c>
      <c r="BE149" s="11">
        <f t="shared" si="111"/>
        <v>7268.5185522644533</v>
      </c>
      <c r="BF149" s="11">
        <f t="shared" si="112"/>
        <v>14772.665415335527</v>
      </c>
      <c r="BG149" s="11">
        <f t="shared" si="113"/>
        <v>22263.055866792984</v>
      </c>
      <c r="BH149" s="11">
        <f t="shared" si="114"/>
        <v>29732.714801198599</v>
      </c>
      <c r="BI149" s="11">
        <f t="shared" si="115"/>
        <v>37174.686417957193</v>
      </c>
      <c r="BJ149" s="11">
        <f t="shared" si="116"/>
        <v>44582.040700711907</v>
      </c>
      <c r="BK149" s="11">
        <f t="shared" si="117"/>
        <v>-242430.05336411225</v>
      </c>
    </row>
    <row r="150" spans="6:63" x14ac:dyDescent="0.25">
      <c r="F150">
        <v>246158</v>
      </c>
      <c r="I150" s="11">
        <f t="shared" si="63"/>
        <v>149564.33369829124</v>
      </c>
      <c r="J150" s="11">
        <f t="shared" si="64"/>
        <v>92367.8478412244</v>
      </c>
      <c r="K150" s="11">
        <f t="shared" si="65"/>
        <v>34761.21173355027</v>
      </c>
      <c r="L150" s="11">
        <f t="shared" si="66"/>
        <v>-45147.064367980813</v>
      </c>
      <c r="M150" s="11">
        <f t="shared" si="67"/>
        <v>-14609.854032250774</v>
      </c>
      <c r="N150" s="11">
        <f t="shared" si="68"/>
        <v>-113085.02515938085</v>
      </c>
      <c r="O150" s="11">
        <f t="shared" si="69"/>
        <v>-9849.4438895908006</v>
      </c>
      <c r="P150" s="11">
        <f t="shared" si="70"/>
        <v>115036.02572614781</v>
      </c>
      <c r="Q150" s="11">
        <f t="shared" si="71"/>
        <v>-93782.748298433973</v>
      </c>
      <c r="R150" s="11">
        <f t="shared" si="72"/>
        <v>17078.871364197228</v>
      </c>
      <c r="S150" s="11">
        <f t="shared" si="73"/>
        <v>-41320.146957516241</v>
      </c>
      <c r="T150" s="11">
        <f t="shared" si="74"/>
        <v>149658.17044318761</v>
      </c>
      <c r="U150" s="11">
        <f t="shared" si="75"/>
        <v>12985.838152597811</v>
      </c>
      <c r="V150" s="11">
        <f t="shared" si="76"/>
        <v>-15778.974086323962</v>
      </c>
      <c r="W150" s="11">
        <f t="shared" si="77"/>
        <v>160795.78355999355</v>
      </c>
      <c r="X150" s="11">
        <f t="shared" si="78"/>
        <v>120969.02967647962</v>
      </c>
      <c r="Y150" s="11">
        <f t="shared" si="79"/>
        <v>-161605.54196066424</v>
      </c>
      <c r="Z150" s="11">
        <f t="shared" si="80"/>
        <v>10053.385217766621</v>
      </c>
      <c r="AA150" s="11">
        <f t="shared" si="81"/>
        <v>-97140.212079930396</v>
      </c>
      <c r="AB150" s="11">
        <f t="shared" si="82"/>
        <v>87040.823003636397</v>
      </c>
      <c r="AC150" s="11">
        <f t="shared" si="83"/>
        <v>151968.39733813165</v>
      </c>
      <c r="AD150" s="11">
        <f t="shared" si="84"/>
        <v>147464.35673583034</v>
      </c>
      <c r="AE150" s="11">
        <f t="shared" si="85"/>
        <v>21285.070217103505</v>
      </c>
      <c r="AF150" s="11">
        <f t="shared" si="86"/>
        <v>47238.659276596343</v>
      </c>
      <c r="AG150" s="11">
        <f t="shared" si="87"/>
        <v>-37126.87657990244</v>
      </c>
      <c r="AH150" s="11">
        <f t="shared" si="88"/>
        <v>40036.461125754096</v>
      </c>
      <c r="AI150" s="11">
        <f t="shared" si="89"/>
        <v>123332.58632100507</v>
      </c>
      <c r="AJ150" s="11">
        <f t="shared" si="90"/>
        <v>134005.02977619119</v>
      </c>
      <c r="AK150" s="11">
        <f t="shared" si="91"/>
        <v>106128.74550520026</v>
      </c>
      <c r="AL150" s="11">
        <f t="shared" si="92"/>
        <v>98056.063359729247</v>
      </c>
      <c r="AM150" s="11">
        <f t="shared" si="93"/>
        <v>-149243.64965778805</v>
      </c>
      <c r="AN150" s="11">
        <f t="shared" si="94"/>
        <v>101733.95827825491</v>
      </c>
      <c r="AO150" s="11">
        <f t="shared" si="95"/>
        <v>73105.473124591605</v>
      </c>
      <c r="AP150" s="11">
        <f t="shared" si="96"/>
        <v>-151851.92854855291</v>
      </c>
      <c r="AQ150" s="11">
        <f t="shared" si="97"/>
        <v>64512.850675836649</v>
      </c>
      <c r="AR150" s="11">
        <f t="shared" si="98"/>
        <v>-149912.79287345576</v>
      </c>
      <c r="AS150" s="11">
        <f t="shared" si="99"/>
        <v>-146481.92092316659</v>
      </c>
      <c r="AT150" s="11">
        <f t="shared" si="100"/>
        <v>141442.34413802982</v>
      </c>
      <c r="AU150" s="11">
        <f t="shared" si="101"/>
        <v>-11716.96257715154</v>
      </c>
      <c r="AV150" s="11">
        <f t="shared" si="102"/>
        <v>-147360.22678866863</v>
      </c>
      <c r="AW150" s="11">
        <f t="shared" si="103"/>
        <v>-60928.956478513574</v>
      </c>
      <c r="AX150" s="11">
        <f t="shared" si="104"/>
        <v>120160.64764241199</v>
      </c>
      <c r="AY150" s="11">
        <f t="shared" si="105"/>
        <v>107736.04281556259</v>
      </c>
      <c r="AZ150" s="11">
        <f t="shared" si="106"/>
        <v>-66962.489166058789</v>
      </c>
      <c r="BA150" s="11">
        <f t="shared" si="107"/>
        <v>-127299.39491169086</v>
      </c>
      <c r="BB150" s="11">
        <f t="shared" si="108"/>
        <v>137360.23452045565</v>
      </c>
      <c r="BC150" s="11">
        <f t="shared" si="109"/>
        <v>148569.3824841087</v>
      </c>
      <c r="BD150" s="11">
        <f t="shared" si="110"/>
        <v>151961.94134516444</v>
      </c>
      <c r="BE150" s="11">
        <f t="shared" si="111"/>
        <v>150427.42299786923</v>
      </c>
      <c r="BF150" s="11">
        <f t="shared" si="112"/>
        <v>144015.5819593099</v>
      </c>
      <c r="BG150" s="11">
        <f t="shared" si="113"/>
        <v>132934.3106456901</v>
      </c>
      <c r="BH150" s="11">
        <f t="shared" si="114"/>
        <v>117542.89883452721</v>
      </c>
      <c r="BI150" s="11">
        <f t="shared" si="115"/>
        <v>98340.38435617194</v>
      </c>
      <c r="BJ150" s="11">
        <f t="shared" si="116"/>
        <v>75949.372723538327</v>
      </c>
      <c r="BK150" s="11">
        <f t="shared" si="117"/>
        <v>125718.39006951457</v>
      </c>
    </row>
    <row r="151" spans="6:63" x14ac:dyDescent="0.25">
      <c r="F151">
        <v>-152138</v>
      </c>
      <c r="I151" s="11">
        <f t="shared" si="63"/>
        <v>-84434.035803921928</v>
      </c>
      <c r="J151" s="11">
        <f t="shared" si="64"/>
        <v>168221.67137745954</v>
      </c>
      <c r="K151" s="11">
        <f t="shared" si="65"/>
        <v>-167784.43578767555</v>
      </c>
      <c r="L151" s="11">
        <f t="shared" si="66"/>
        <v>-170323.05657299934</v>
      </c>
      <c r="M151" s="11">
        <f t="shared" si="67"/>
        <v>-57298.677682818743</v>
      </c>
      <c r="N151" s="11">
        <f t="shared" si="68"/>
        <v>20272.421526647413</v>
      </c>
      <c r="O151" s="11">
        <f t="shared" si="69"/>
        <v>-22517.13985146394</v>
      </c>
      <c r="P151" s="11">
        <f t="shared" si="70"/>
        <v>-54447.022447718467</v>
      </c>
      <c r="Q151" s="11">
        <f t="shared" si="71"/>
        <v>-75652.501306856066</v>
      </c>
      <c r="R151" s="11">
        <f t="shared" si="72"/>
        <v>5950.2276304898542</v>
      </c>
      <c r="S151" s="11">
        <f t="shared" si="73"/>
        <v>-29746.906384317816</v>
      </c>
      <c r="T151" s="11">
        <f t="shared" si="74"/>
        <v>109902.60537550067</v>
      </c>
      <c r="U151" s="11">
        <f t="shared" si="75"/>
        <v>-169829.49201001236</v>
      </c>
      <c r="V151" s="11">
        <f t="shared" si="76"/>
        <v>-124165.76851193715</v>
      </c>
      <c r="W151" s="11">
        <f t="shared" si="77"/>
        <v>41724.935297223725</v>
      </c>
      <c r="X151" s="11">
        <f t="shared" si="78"/>
        <v>31692.949001366425</v>
      </c>
      <c r="Y151" s="11">
        <f t="shared" si="79"/>
        <v>152785.60844564353</v>
      </c>
      <c r="Z151" s="11">
        <f t="shared" si="80"/>
        <v>-64824.28792656686</v>
      </c>
      <c r="AA151" s="11">
        <f t="shared" si="81"/>
        <v>136716.84627658542</v>
      </c>
      <c r="AB151" s="11">
        <f t="shared" si="82"/>
        <v>103140.88270970005</v>
      </c>
      <c r="AC151" s="11">
        <f t="shared" si="83"/>
        <v>-142383.33143127299</v>
      </c>
      <c r="AD151" s="11">
        <f t="shared" si="84"/>
        <v>99142.155469998033</v>
      </c>
      <c r="AE151" s="11">
        <f t="shared" si="85"/>
        <v>-169046.68608119088</v>
      </c>
      <c r="AF151" s="11">
        <f t="shared" si="86"/>
        <v>-141857.10961958856</v>
      </c>
      <c r="AG151" s="11">
        <f t="shared" si="87"/>
        <v>-85568.128241559636</v>
      </c>
      <c r="AH151" s="11">
        <f t="shared" si="88"/>
        <v>35565.070874054283</v>
      </c>
      <c r="AI151" s="11">
        <f t="shared" si="89"/>
        <v>-16343.914174662139</v>
      </c>
      <c r="AJ151" s="11">
        <f t="shared" si="90"/>
        <v>-108257.06459195037</v>
      </c>
      <c r="AK151" s="11">
        <f t="shared" si="91"/>
        <v>-38376.990426225682</v>
      </c>
      <c r="AL151" s="11">
        <f t="shared" si="92"/>
        <v>-45146.541526597823</v>
      </c>
      <c r="AM151" s="11">
        <f t="shared" si="93"/>
        <v>170710.79699652671</v>
      </c>
      <c r="AN151" s="11">
        <f t="shared" si="94"/>
        <v>144333.12102562454</v>
      </c>
      <c r="AO151" s="11">
        <f t="shared" si="95"/>
        <v>169767.02242044895</v>
      </c>
      <c r="AP151" s="11">
        <f t="shared" si="96"/>
        <v>105899.68643238378</v>
      </c>
      <c r="AQ151" s="11">
        <f t="shared" si="97"/>
        <v>-170293.96312301871</v>
      </c>
      <c r="AR151" s="11">
        <f t="shared" si="98"/>
        <v>-166224.55614121756</v>
      </c>
      <c r="AS151" s="11">
        <f t="shared" si="99"/>
        <v>159477.04082438716</v>
      </c>
      <c r="AT151" s="11">
        <f t="shared" si="100"/>
        <v>53199.011380105265</v>
      </c>
      <c r="AU151" s="11">
        <f t="shared" si="101"/>
        <v>156033.63624477075</v>
      </c>
      <c r="AV151" s="11">
        <f t="shared" si="102"/>
        <v>-99059.216895074656</v>
      </c>
      <c r="AW151" s="11">
        <f t="shared" si="103"/>
        <v>-166257.42298294793</v>
      </c>
      <c r="AX151" s="11">
        <f t="shared" si="104"/>
        <v>170247.30797774415</v>
      </c>
      <c r="AY151" s="11">
        <f t="shared" si="105"/>
        <v>-166023.65687013083</v>
      </c>
      <c r="AZ151" s="11">
        <f t="shared" si="106"/>
        <v>104006.69888648472</v>
      </c>
      <c r="BA151" s="11">
        <f t="shared" si="107"/>
        <v>-139137.30175080893</v>
      </c>
      <c r="BB151" s="11">
        <f t="shared" si="108"/>
        <v>-60537.770885036807</v>
      </c>
      <c r="BC151" s="11">
        <f t="shared" si="109"/>
        <v>132549.40275912199</v>
      </c>
      <c r="BD151" s="11">
        <f t="shared" si="110"/>
        <v>39803.348901780984</v>
      </c>
      <c r="BE151" s="11">
        <f t="shared" si="111"/>
        <v>-69347.932318076419</v>
      </c>
      <c r="BF151" s="11">
        <f t="shared" si="112"/>
        <v>-149916.98042976329</v>
      </c>
      <c r="BG151" s="11">
        <f t="shared" si="113"/>
        <v>-168696.70132886342</v>
      </c>
      <c r="BH151" s="11">
        <f t="shared" si="114"/>
        <v>-117946.90230158053</v>
      </c>
      <c r="BI151" s="11">
        <f t="shared" si="115"/>
        <v>-18584.466339092793</v>
      </c>
      <c r="BJ151" s="11">
        <f t="shared" si="116"/>
        <v>88437.686810783227</v>
      </c>
      <c r="BK151" s="11">
        <f t="shared" si="117"/>
        <v>-33026.37118218487</v>
      </c>
    </row>
    <row r="152" spans="6:63" x14ac:dyDescent="0.25">
      <c r="F152">
        <v>-170733</v>
      </c>
      <c r="I152" s="11">
        <f t="shared" si="63"/>
        <v>-201762.06296604392</v>
      </c>
      <c r="J152" s="11">
        <f t="shared" si="64"/>
        <v>211652.19134016437</v>
      </c>
      <c r="K152" s="11">
        <f t="shared" si="65"/>
        <v>107894.93690578327</v>
      </c>
      <c r="L152" s="11">
        <f t="shared" si="66"/>
        <v>-171527.32848086816</v>
      </c>
      <c r="M152" s="11">
        <f t="shared" si="67"/>
        <v>-3725.8150437477357</v>
      </c>
      <c r="N152" s="11">
        <f t="shared" si="68"/>
        <v>-180097.73539715915</v>
      </c>
      <c r="O152" s="11">
        <f t="shared" si="69"/>
        <v>201867.77706568368</v>
      </c>
      <c r="P152" s="11">
        <f t="shared" si="70"/>
        <v>-134940.58555361518</v>
      </c>
      <c r="Q152" s="11">
        <f t="shared" si="71"/>
        <v>-204220.16115113572</v>
      </c>
      <c r="R152" s="11">
        <f t="shared" si="72"/>
        <v>-206095.24482813175</v>
      </c>
      <c r="S152" s="11">
        <f t="shared" si="73"/>
        <v>52025.645482265332</v>
      </c>
      <c r="T152" s="11">
        <f t="shared" si="74"/>
        <v>11636.038088833846</v>
      </c>
      <c r="U152" s="11">
        <f t="shared" si="75"/>
        <v>110314.35919379051</v>
      </c>
      <c r="V152" s="11">
        <f t="shared" si="76"/>
        <v>174442.88696296347</v>
      </c>
      <c r="W152" s="11">
        <f t="shared" si="77"/>
        <v>-34925.21926187443</v>
      </c>
      <c r="X152" s="11">
        <f t="shared" si="78"/>
        <v>-213529.66484268635</v>
      </c>
      <c r="Y152" s="11">
        <f t="shared" si="79"/>
        <v>134326.0620407495</v>
      </c>
      <c r="Z152" s="11">
        <f t="shared" si="80"/>
        <v>-167619.29726371443</v>
      </c>
      <c r="AA152" s="11">
        <f t="shared" si="81"/>
        <v>204616.72277975237</v>
      </c>
      <c r="AB152" s="11">
        <f t="shared" si="82"/>
        <v>131643.28257464996</v>
      </c>
      <c r="AC152" s="11">
        <f t="shared" si="83"/>
        <v>121055.38799362315</v>
      </c>
      <c r="AD152" s="11">
        <f t="shared" si="84"/>
        <v>-189547.26570144104</v>
      </c>
      <c r="AE152" s="11">
        <f t="shared" si="85"/>
        <v>140896.78690440595</v>
      </c>
      <c r="AF152" s="11">
        <f t="shared" si="86"/>
        <v>196132.58316142228</v>
      </c>
      <c r="AG152" s="11">
        <f t="shared" si="87"/>
        <v>-195820.56989204269</v>
      </c>
      <c r="AH152" s="11">
        <f t="shared" si="88"/>
        <v>-188940.84922143188</v>
      </c>
      <c r="AI152" s="11">
        <f t="shared" si="89"/>
        <v>-124530.47169137272</v>
      </c>
      <c r="AJ152" s="11">
        <f t="shared" si="90"/>
        <v>14959.873954747707</v>
      </c>
      <c r="AK152" s="11">
        <f t="shared" si="91"/>
        <v>86109.352499335713</v>
      </c>
      <c r="AL152" s="11">
        <f t="shared" si="92"/>
        <v>-115947.88674851731</v>
      </c>
      <c r="AM152" s="11">
        <f t="shared" si="93"/>
        <v>124040.07390427074</v>
      </c>
      <c r="AN152" s="11">
        <f t="shared" si="94"/>
        <v>83441.568485448646</v>
      </c>
      <c r="AO152" s="11">
        <f t="shared" si="95"/>
        <v>182228.20198644194</v>
      </c>
      <c r="AP152" s="11">
        <f t="shared" si="96"/>
        <v>84467.634968465543</v>
      </c>
      <c r="AQ152" s="11">
        <f t="shared" si="97"/>
        <v>206344.86979970476</v>
      </c>
      <c r="AR152" s="11">
        <f t="shared" si="98"/>
        <v>-138161.48841156336</v>
      </c>
      <c r="AS152" s="11">
        <f t="shared" si="99"/>
        <v>-54062.454891083747</v>
      </c>
      <c r="AT152" s="11">
        <f t="shared" si="100"/>
        <v>21954.495136677393</v>
      </c>
      <c r="AU152" s="11">
        <f t="shared" si="101"/>
        <v>31157.479775938449</v>
      </c>
      <c r="AV152" s="11">
        <f t="shared" si="102"/>
        <v>-93679.071187016249</v>
      </c>
      <c r="AW152" s="11">
        <f t="shared" si="103"/>
        <v>85227.022253407966</v>
      </c>
      <c r="AX152" s="11">
        <f t="shared" si="104"/>
        <v>136119.75991888775</v>
      </c>
      <c r="AY152" s="11">
        <f t="shared" si="105"/>
        <v>173036.67217624607</v>
      </c>
      <c r="AZ152" s="11">
        <f t="shared" si="106"/>
        <v>11307.850322667371</v>
      </c>
      <c r="BA152" s="11">
        <f t="shared" si="107"/>
        <v>-204800.27161914643</v>
      </c>
      <c r="BB152" s="11">
        <f t="shared" si="108"/>
        <v>10473.115335016251</v>
      </c>
      <c r="BC152" s="11">
        <f t="shared" si="109"/>
        <v>176825.99962847083</v>
      </c>
      <c r="BD152" s="11">
        <f t="shared" si="110"/>
        <v>121522.20071827306</v>
      </c>
      <c r="BE152" s="11">
        <f t="shared" si="111"/>
        <v>46236.043166090953</v>
      </c>
      <c r="BF152" s="11">
        <f t="shared" si="112"/>
        <v>-36652.875703479564</v>
      </c>
      <c r="BG152" s="11">
        <f t="shared" si="113"/>
        <v>-113514.80877592311</v>
      </c>
      <c r="BH152" s="11">
        <f t="shared" si="114"/>
        <v>-171711.05144289054</v>
      </c>
      <c r="BI152" s="11">
        <f t="shared" si="115"/>
        <v>-201672.17263060014</v>
      </c>
      <c r="BJ152" s="11">
        <f t="shared" si="116"/>
        <v>-198471.5530014321</v>
      </c>
      <c r="BK152" s="11">
        <f t="shared" si="117"/>
        <v>-114271.72207985156</v>
      </c>
    </row>
    <row r="153" spans="6:63" x14ac:dyDescent="0.25">
      <c r="F153">
        <v>-204586</v>
      </c>
      <c r="I153" s="11">
        <f t="shared" si="63"/>
        <v>48122.594913106936</v>
      </c>
      <c r="J153" s="11">
        <f t="shared" si="64"/>
        <v>25633.231920331797</v>
      </c>
      <c r="K153" s="11">
        <f t="shared" si="65"/>
        <v>95465.391116624174</v>
      </c>
      <c r="L153" s="11">
        <f t="shared" si="66"/>
        <v>-95696.170596031749</v>
      </c>
      <c r="M153" s="11">
        <f t="shared" si="67"/>
        <v>-115014.40595114263</v>
      </c>
      <c r="N153" s="11">
        <f t="shared" si="68"/>
        <v>9280.8080428103203</v>
      </c>
      <c r="O153" s="11">
        <f t="shared" si="69"/>
        <v>-61905.935812664946</v>
      </c>
      <c r="P153" s="11">
        <f t="shared" si="70"/>
        <v>-128704.0490783612</v>
      </c>
      <c r="Q153" s="11">
        <f t="shared" si="71"/>
        <v>-72034.784499946036</v>
      </c>
      <c r="R153" s="11">
        <f t="shared" si="72"/>
        <v>-3414.7130069804639</v>
      </c>
      <c r="S153" s="11">
        <f t="shared" si="73"/>
        <v>130779.64235412849</v>
      </c>
      <c r="T153" s="11">
        <f t="shared" si="74"/>
        <v>-128293.54069041807</v>
      </c>
      <c r="U153" s="11">
        <f t="shared" si="75"/>
        <v>135332.52798527313</v>
      </c>
      <c r="V153" s="11">
        <f t="shared" si="76"/>
        <v>129299.26142258679</v>
      </c>
      <c r="W153" s="11">
        <f t="shared" si="77"/>
        <v>71696.258749707922</v>
      </c>
      <c r="X153" s="11">
        <f t="shared" si="78"/>
        <v>-81123.051101461184</v>
      </c>
      <c r="Y153" s="11">
        <f t="shared" si="79"/>
        <v>109955.31730636655</v>
      </c>
      <c r="Z153" s="11">
        <f t="shared" si="80"/>
        <v>79944.865004708059</v>
      </c>
      <c r="AA153" s="11">
        <f t="shared" si="81"/>
        <v>90554.68880603509</v>
      </c>
      <c r="AB153" s="11">
        <f t="shared" si="82"/>
        <v>5638.4981889795863</v>
      </c>
      <c r="AC153" s="11">
        <f t="shared" si="83"/>
        <v>-128410.44652412699</v>
      </c>
      <c r="AD153" s="11">
        <f t="shared" si="84"/>
        <v>100171.24078908835</v>
      </c>
      <c r="AE153" s="11">
        <f t="shared" si="85"/>
        <v>85710.067398025392</v>
      </c>
      <c r="AF153" s="11">
        <f t="shared" si="86"/>
        <v>65254.68145651291</v>
      </c>
      <c r="AG153" s="11">
        <f t="shared" si="87"/>
        <v>103084.9635463302</v>
      </c>
      <c r="AH153" s="11">
        <f t="shared" si="88"/>
        <v>-121598.14847752888</v>
      </c>
      <c r="AI153" s="11">
        <f t="shared" si="89"/>
        <v>-89875.964350050563</v>
      </c>
      <c r="AJ153" s="11">
        <f t="shared" si="90"/>
        <v>-41105.700116978878</v>
      </c>
      <c r="AK153" s="11">
        <f t="shared" si="91"/>
        <v>-112405.10975001742</v>
      </c>
      <c r="AL153" s="11">
        <f t="shared" si="92"/>
        <v>-122500.30609986269</v>
      </c>
      <c r="AM153" s="11">
        <f t="shared" si="93"/>
        <v>91085.588683983195</v>
      </c>
      <c r="AN153" s="11">
        <f t="shared" si="94"/>
        <v>90066.345907114286</v>
      </c>
      <c r="AO153" s="11">
        <f t="shared" si="95"/>
        <v>-107791.09548059027</v>
      </c>
      <c r="AP153" s="11">
        <f t="shared" si="96"/>
        <v>95964.11825973852</v>
      </c>
      <c r="AQ153" s="11">
        <f t="shared" si="97"/>
        <v>453.37758080700166</v>
      </c>
      <c r="AR153" s="11">
        <f t="shared" si="98"/>
        <v>111086.31303069775</v>
      </c>
      <c r="AS153" s="11">
        <f t="shared" si="99"/>
        <v>-126968.43067949844</v>
      </c>
      <c r="AT153" s="11">
        <f t="shared" si="100"/>
        <v>-128735.53729758327</v>
      </c>
      <c r="AU153" s="11">
        <f t="shared" si="101"/>
        <v>-25128.554287133054</v>
      </c>
      <c r="AV153" s="11">
        <f t="shared" si="102"/>
        <v>123341.87305811436</v>
      </c>
      <c r="AW153" s="11">
        <f t="shared" si="103"/>
        <v>30260.931151129294</v>
      </c>
      <c r="AX153" s="11">
        <f t="shared" si="104"/>
        <v>-36728.061123825792</v>
      </c>
      <c r="AY153" s="11">
        <f t="shared" si="105"/>
        <v>121498.61519302188</v>
      </c>
      <c r="AZ153" s="11">
        <f t="shared" si="106"/>
        <v>-21956.925245093829</v>
      </c>
      <c r="BA153" s="11">
        <f t="shared" si="107"/>
        <v>-103489.42663460343</v>
      </c>
      <c r="BB153" s="11">
        <f t="shared" si="108"/>
        <v>-100543.51255784518</v>
      </c>
      <c r="BC153" s="11">
        <f t="shared" si="109"/>
        <v>-31533.51866753682</v>
      </c>
      <c r="BD153" s="11">
        <f t="shared" si="110"/>
        <v>-4541.2055479868104</v>
      </c>
      <c r="BE153" s="11">
        <f t="shared" si="111"/>
        <v>22652.201440132449</v>
      </c>
      <c r="BF153" s="11">
        <f t="shared" si="112"/>
        <v>48842.500285424911</v>
      </c>
      <c r="BG153" s="11">
        <f t="shared" si="113"/>
        <v>72869.909645752792</v>
      </c>
      <c r="BH153" s="11">
        <f t="shared" si="114"/>
        <v>93670.427283009951</v>
      </c>
      <c r="BI153" s="11">
        <f t="shared" si="115"/>
        <v>110322.94711814731</v>
      </c>
      <c r="BJ153" s="11">
        <f t="shared" si="116"/>
        <v>122090.04842797223</v>
      </c>
      <c r="BK153" s="11">
        <f t="shared" si="117"/>
        <v>-92809.590447821975</v>
      </c>
    </row>
    <row r="154" spans="6:63" x14ac:dyDescent="0.25">
      <c r="F154">
        <v>-129620</v>
      </c>
      <c r="I154" s="11">
        <f t="shared" si="63"/>
        <v>-70710.782993091052</v>
      </c>
      <c r="J154" s="11">
        <f t="shared" si="64"/>
        <v>52973.962782942537</v>
      </c>
      <c r="K154" s="11">
        <f t="shared" si="65"/>
        <v>50800.528816131882</v>
      </c>
      <c r="L154" s="11">
        <f t="shared" si="66"/>
        <v>-103497.5261003864</v>
      </c>
      <c r="M154" s="11">
        <f t="shared" si="67"/>
        <v>91238.26399400724</v>
      </c>
      <c r="N154" s="11">
        <f t="shared" si="68"/>
        <v>12140.265923697269</v>
      </c>
      <c r="O154" s="11">
        <f t="shared" si="69"/>
        <v>-12613.419729510513</v>
      </c>
      <c r="P154" s="11">
        <f t="shared" si="70"/>
        <v>57263.797343955302</v>
      </c>
      <c r="Q154" s="11">
        <f t="shared" si="71"/>
        <v>108576.86144284526</v>
      </c>
      <c r="R154" s="11">
        <f t="shared" si="72"/>
        <v>-108742.63339294287</v>
      </c>
      <c r="S154" s="11">
        <f t="shared" si="73"/>
        <v>69132.142692066525</v>
      </c>
      <c r="T154" s="11">
        <f t="shared" si="74"/>
        <v>105888.95579836992</v>
      </c>
      <c r="U154" s="11">
        <f t="shared" si="75"/>
        <v>27835.674454474582</v>
      </c>
      <c r="V154" s="11">
        <f t="shared" si="76"/>
        <v>5010.1017575203196</v>
      </c>
      <c r="W154" s="11">
        <f t="shared" si="77"/>
        <v>29877.399221706171</v>
      </c>
      <c r="X154" s="11">
        <f t="shared" si="78"/>
        <v>-63307.125428256062</v>
      </c>
      <c r="Y154" s="11">
        <f t="shared" si="79"/>
        <v>104540.53940510846</v>
      </c>
      <c r="Z154" s="11">
        <f t="shared" si="80"/>
        <v>-56654.455072745048</v>
      </c>
      <c r="AA154" s="11">
        <f t="shared" si="81"/>
        <v>-79480.591366244989</v>
      </c>
      <c r="AB154" s="11">
        <f t="shared" si="82"/>
        <v>-43956.175585219265</v>
      </c>
      <c r="AC154" s="11">
        <f t="shared" si="83"/>
        <v>80870.022621861688</v>
      </c>
      <c r="AD154" s="11">
        <f t="shared" si="84"/>
        <v>107318.71637717725</v>
      </c>
      <c r="AE154" s="11">
        <f t="shared" si="85"/>
        <v>40304.019694289491</v>
      </c>
      <c r="AF154" s="11">
        <f t="shared" si="86"/>
        <v>106856.98134335534</v>
      </c>
      <c r="AG154" s="11">
        <f t="shared" si="87"/>
        <v>-104293.49574377347</v>
      </c>
      <c r="AH154" s="11">
        <f t="shared" si="88"/>
        <v>45844.383444937725</v>
      </c>
      <c r="AI154" s="11">
        <f t="shared" si="89"/>
        <v>108535.60947204939</v>
      </c>
      <c r="AJ154" s="11">
        <f t="shared" si="90"/>
        <v>63780.926137490365</v>
      </c>
      <c r="AK154" s="11">
        <f t="shared" si="91"/>
        <v>-104024.60637073316</v>
      </c>
      <c r="AL154" s="11">
        <f t="shared" si="92"/>
        <v>-108742.99540212266</v>
      </c>
      <c r="AM154" s="11">
        <f t="shared" si="93"/>
        <v>102017.84010097636</v>
      </c>
      <c r="AN154" s="11">
        <f t="shared" si="94"/>
        <v>-46111.47253081495</v>
      </c>
      <c r="AO154" s="11">
        <f t="shared" si="95"/>
        <v>26108.273006699405</v>
      </c>
      <c r="AP154" s="11">
        <f t="shared" si="96"/>
        <v>108309.90778658859</v>
      </c>
      <c r="AQ154" s="11">
        <f t="shared" si="97"/>
        <v>98905.068508922457</v>
      </c>
      <c r="AR154" s="11">
        <f t="shared" si="98"/>
        <v>100777.24039978263</v>
      </c>
      <c r="AS154" s="11">
        <f t="shared" si="99"/>
        <v>-64783.249486740111</v>
      </c>
      <c r="AT154" s="11">
        <f t="shared" si="100"/>
        <v>108710.77482396596</v>
      </c>
      <c r="AU154" s="11">
        <f t="shared" si="101"/>
        <v>10200.36431455528</v>
      </c>
      <c r="AV154" s="11">
        <f t="shared" si="102"/>
        <v>-106660.05726759753</v>
      </c>
      <c r="AW154" s="11">
        <f t="shared" si="103"/>
        <v>-11495.710571209762</v>
      </c>
      <c r="AX154" s="11">
        <f t="shared" si="104"/>
        <v>14001.227552911228</v>
      </c>
      <c r="AY154" s="11">
        <f t="shared" si="105"/>
        <v>108740.08927977861</v>
      </c>
      <c r="AZ154" s="11">
        <f t="shared" si="106"/>
        <v>105152.98457709819</v>
      </c>
      <c r="BA154" s="11">
        <f t="shared" si="107"/>
        <v>108742.94484660182</v>
      </c>
      <c r="BB154" s="11">
        <f t="shared" si="108"/>
        <v>-108494.07246994082</v>
      </c>
      <c r="BC154" s="11">
        <f t="shared" si="109"/>
        <v>3178.9364095359101</v>
      </c>
      <c r="BD154" s="11">
        <f t="shared" si="110"/>
        <v>-19845.865529768369</v>
      </c>
      <c r="BE154" s="11">
        <f t="shared" si="111"/>
        <v>-41975.619005088236</v>
      </c>
      <c r="BF154" s="11">
        <f t="shared" si="112"/>
        <v>-62212.272214312645</v>
      </c>
      <c r="BG154" s="11">
        <f t="shared" si="113"/>
        <v>-79643.152170519854</v>
      </c>
      <c r="BH154" s="11">
        <f t="shared" si="114"/>
        <v>-93482.12625037531</v>
      </c>
      <c r="BI154" s="11">
        <f t="shared" si="115"/>
        <v>-103105.05677274673</v>
      </c>
      <c r="BJ154" s="11">
        <f t="shared" si="116"/>
        <v>-108077.94960563317</v>
      </c>
      <c r="BK154" s="11">
        <f t="shared" si="117"/>
        <v>108263.62494903481</v>
      </c>
    </row>
    <row r="155" spans="6:63" x14ac:dyDescent="0.25">
      <c r="F155">
        <v>108743</v>
      </c>
      <c r="I155" s="11">
        <f t="shared" si="63"/>
        <v>35441.646916061924</v>
      </c>
      <c r="J155" s="11">
        <f t="shared" si="64"/>
        <v>108663.82514139415</v>
      </c>
      <c r="K155" s="11">
        <f t="shared" si="65"/>
        <v>-70761.34930220613</v>
      </c>
      <c r="L155" s="11">
        <f t="shared" si="66"/>
        <v>83662.420703574739</v>
      </c>
      <c r="M155" s="11">
        <f t="shared" si="67"/>
        <v>99335.516602417993</v>
      </c>
      <c r="N155" s="11">
        <f t="shared" si="68"/>
        <v>-60363.998086038308</v>
      </c>
      <c r="O155" s="11">
        <f t="shared" si="69"/>
        <v>-30693.633275760119</v>
      </c>
      <c r="P155" s="11">
        <f t="shared" si="70"/>
        <v>96699.069771631053</v>
      </c>
      <c r="Q155" s="11">
        <f t="shared" si="71"/>
        <v>55041.485213478278</v>
      </c>
      <c r="R155" s="11">
        <f t="shared" si="72"/>
        <v>-11213.511603744813</v>
      </c>
      <c r="S155" s="11">
        <f t="shared" si="73"/>
        <v>-105460.83264975165</v>
      </c>
      <c r="T155" s="11">
        <f t="shared" si="74"/>
        <v>-78469.239941594467</v>
      </c>
      <c r="U155" s="11">
        <f t="shared" si="75"/>
        <v>-46488.156789816494</v>
      </c>
      <c r="V155" s="11">
        <f t="shared" si="76"/>
        <v>-20894.162751487391</v>
      </c>
      <c r="W155" s="11">
        <f t="shared" si="77"/>
        <v>102803.91206009124</v>
      </c>
      <c r="X155" s="11">
        <f t="shared" si="78"/>
        <v>-43998.384098891045</v>
      </c>
      <c r="Y155" s="11">
        <f t="shared" si="79"/>
        <v>100980.10676447093</v>
      </c>
      <c r="Z155" s="11">
        <f t="shared" si="80"/>
        <v>108781.89061246015</v>
      </c>
      <c r="AA155" s="11">
        <f t="shared" si="81"/>
        <v>85053.707985295332</v>
      </c>
      <c r="AB155" s="11">
        <f t="shared" si="82"/>
        <v>-23202.738681371069</v>
      </c>
      <c r="AC155" s="11">
        <f t="shared" si="83"/>
        <v>-5049.3148169996939</v>
      </c>
      <c r="AD155" s="11">
        <f t="shared" si="84"/>
        <v>-88199.787850961424</v>
      </c>
      <c r="AE155" s="11">
        <f t="shared" si="85"/>
        <v>-60782.722031956917</v>
      </c>
      <c r="AF155" s="11">
        <f t="shared" si="86"/>
        <v>-66625.369297510188</v>
      </c>
      <c r="AG155" s="11">
        <f t="shared" si="87"/>
        <v>76667.352174820713</v>
      </c>
      <c r="AH155" s="11">
        <f t="shared" si="88"/>
        <v>-59526.604874032775</v>
      </c>
      <c r="AI155" s="11">
        <f t="shared" si="89"/>
        <v>-76702.948119492547</v>
      </c>
      <c r="AJ155" s="11">
        <f t="shared" si="90"/>
        <v>75944.83794269574</v>
      </c>
      <c r="AK155" s="11">
        <f t="shared" si="91"/>
        <v>-102523.63828399964</v>
      </c>
      <c r="AL155" s="11">
        <f t="shared" si="92"/>
        <v>-67563.336407485273</v>
      </c>
      <c r="AM155" s="11">
        <f t="shared" si="93"/>
        <v>64848.3414918786</v>
      </c>
      <c r="AN155" s="11">
        <f t="shared" si="94"/>
        <v>-14983.661385510963</v>
      </c>
      <c r="AO155" s="11">
        <f t="shared" si="95"/>
        <v>87610.469466197726</v>
      </c>
      <c r="AP155" s="11">
        <f t="shared" si="96"/>
        <v>101686.3975932631</v>
      </c>
      <c r="AQ155" s="11">
        <f t="shared" si="97"/>
        <v>-103699.43202974787</v>
      </c>
      <c r="AR155" s="11">
        <f t="shared" si="98"/>
        <v>86512.458546819777</v>
      </c>
      <c r="AS155" s="11">
        <f t="shared" si="99"/>
        <v>12052.563296447059</v>
      </c>
      <c r="AT155" s="11">
        <f t="shared" si="100"/>
        <v>-95405.034316323421</v>
      </c>
      <c r="AU155" s="11">
        <f t="shared" si="101"/>
        <v>-27422.32384660669</v>
      </c>
      <c r="AV155" s="11">
        <f t="shared" si="102"/>
        <v>103625.54658682292</v>
      </c>
      <c r="AW155" s="11">
        <f t="shared" si="103"/>
        <v>-20848.097391829986</v>
      </c>
      <c r="AX155" s="11">
        <f t="shared" si="104"/>
        <v>63611.159543167152</v>
      </c>
      <c r="AY155" s="11">
        <f t="shared" si="105"/>
        <v>-73090.223638817755</v>
      </c>
      <c r="AZ155" s="11">
        <f t="shared" si="106"/>
        <v>86479.301954129493</v>
      </c>
      <c r="BA155" s="11">
        <f t="shared" si="107"/>
        <v>87535.960061219404</v>
      </c>
      <c r="BB155" s="11">
        <f t="shared" si="108"/>
        <v>-99827.07597018058</v>
      </c>
      <c r="BC155" s="11">
        <f t="shared" si="109"/>
        <v>103424.67917793489</v>
      </c>
      <c r="BD155" s="11">
        <f t="shared" si="110"/>
        <v>96383.55050874759</v>
      </c>
      <c r="BE155" s="11">
        <f t="shared" si="111"/>
        <v>83575.164275202595</v>
      </c>
      <c r="BF155" s="11">
        <f t="shared" si="112"/>
        <v>65765.930836548549</v>
      </c>
      <c r="BG155" s="11">
        <f t="shared" si="113"/>
        <v>44021.493858702772</v>
      </c>
      <c r="BH155" s="11">
        <f t="shared" si="114"/>
        <v>19642.965839340475</v>
      </c>
      <c r="BI155" s="11">
        <f t="shared" si="115"/>
        <v>-5910.9259996772898</v>
      </c>
      <c r="BJ155" s="11">
        <f t="shared" si="116"/>
        <v>-31111.124929277077</v>
      </c>
      <c r="BK155" s="11">
        <f t="shared" si="117"/>
        <v>-74002.915675982673</v>
      </c>
    </row>
    <row r="156" spans="6:63" x14ac:dyDescent="0.25">
      <c r="F156">
        <v>104755</v>
      </c>
      <c r="I156" s="11">
        <f t="shared" si="63"/>
        <v>5520.1605351298413</v>
      </c>
      <c r="J156" s="11">
        <f t="shared" si="64"/>
        <v>8207.7876831929843</v>
      </c>
      <c r="K156" s="11">
        <f t="shared" si="65"/>
        <v>6749.9255124824258</v>
      </c>
      <c r="L156" s="11">
        <f t="shared" si="66"/>
        <v>292.92976984467612</v>
      </c>
      <c r="M156" s="11">
        <f t="shared" si="67"/>
        <v>-7759.0125146485389</v>
      </c>
      <c r="N156" s="11">
        <f t="shared" si="68"/>
        <v>-9656.9217233518575</v>
      </c>
      <c r="O156" s="11">
        <f t="shared" si="69"/>
        <v>-1892.3742994827048</v>
      </c>
      <c r="P156" s="11">
        <f t="shared" si="70"/>
        <v>-9723.5384623973041</v>
      </c>
      <c r="Q156" s="11">
        <f t="shared" si="71"/>
        <v>7661.9587734053066</v>
      </c>
      <c r="R156" s="11">
        <f t="shared" si="72"/>
        <v>7515.2238838384737</v>
      </c>
      <c r="S156" s="11">
        <f t="shared" si="73"/>
        <v>10280.308260248146</v>
      </c>
      <c r="T156" s="11">
        <f t="shared" si="74"/>
        <v>-10316.155831744918</v>
      </c>
      <c r="U156" s="11">
        <f t="shared" si="75"/>
        <v>4654.0239374527337</v>
      </c>
      <c r="V156" s="11">
        <f t="shared" si="76"/>
        <v>4984.8694874590301</v>
      </c>
      <c r="W156" s="11">
        <f t="shared" si="77"/>
        <v>-9614.5290065407517</v>
      </c>
      <c r="X156" s="11">
        <f t="shared" si="78"/>
        <v>2134.8969180309641</v>
      </c>
      <c r="Y156" s="11">
        <f t="shared" si="79"/>
        <v>-5670.2905078747117</v>
      </c>
      <c r="Z156" s="11">
        <f t="shared" si="80"/>
        <v>-8107.4220143204338</v>
      </c>
      <c r="AA156" s="11">
        <f t="shared" si="81"/>
        <v>10060.836750089979</v>
      </c>
      <c r="AB156" s="11">
        <f t="shared" si="82"/>
        <v>-8743.6398215977497</v>
      </c>
      <c r="AC156" s="11">
        <f t="shared" si="83"/>
        <v>-5952.2710279837747</v>
      </c>
      <c r="AD156" s="11">
        <f t="shared" si="84"/>
        <v>-8702.5224845128268</v>
      </c>
      <c r="AE156" s="11">
        <f t="shared" si="85"/>
        <v>6607.292482450991</v>
      </c>
      <c r="AF156" s="11">
        <f t="shared" si="86"/>
        <v>9951.6640853941917</v>
      </c>
      <c r="AG156" s="11">
        <f t="shared" si="87"/>
        <v>-4838.7455039242086</v>
      </c>
      <c r="AH156" s="11">
        <f t="shared" si="88"/>
        <v>2132.7561896611051</v>
      </c>
      <c r="AI156" s="11">
        <f t="shared" si="89"/>
        <v>-4952.3099169524594</v>
      </c>
      <c r="AJ156" s="11">
        <f t="shared" si="90"/>
        <v>9943.2285808202323</v>
      </c>
      <c r="AK156" s="11">
        <f t="shared" si="91"/>
        <v>-6022.7213841462144</v>
      </c>
      <c r="AL156" s="11">
        <f t="shared" si="92"/>
        <v>971.95386237720311</v>
      </c>
      <c r="AM156" s="11">
        <f t="shared" si="93"/>
        <v>-10186.916610057475</v>
      </c>
      <c r="AN156" s="11">
        <f t="shared" si="94"/>
        <v>3486.0284548672485</v>
      </c>
      <c r="AO156" s="11">
        <f t="shared" si="95"/>
        <v>-3504.7596156413151</v>
      </c>
      <c r="AP156" s="11">
        <f t="shared" si="96"/>
        <v>-3204.7006056501223</v>
      </c>
      <c r="AQ156" s="11">
        <f t="shared" si="97"/>
        <v>9589.9624604654928</v>
      </c>
      <c r="AR156" s="11">
        <f t="shared" si="98"/>
        <v>-8866.8577773153356</v>
      </c>
      <c r="AS156" s="11">
        <f t="shared" si="99"/>
        <v>9458.116260301751</v>
      </c>
      <c r="AT156" s="11">
        <f t="shared" si="100"/>
        <v>1439.6811088770405</v>
      </c>
      <c r="AU156" s="11">
        <f t="shared" si="101"/>
        <v>3978.6447818180336</v>
      </c>
      <c r="AV156" s="11">
        <f t="shared" si="102"/>
        <v>6213.1516514916739</v>
      </c>
      <c r="AW156" s="11">
        <f t="shared" si="103"/>
        <v>8267.3476414381821</v>
      </c>
      <c r="AX156" s="11">
        <f t="shared" si="104"/>
        <v>10258.112313306925</v>
      </c>
      <c r="AY156" s="11">
        <f t="shared" si="105"/>
        <v>5187.1674974356265</v>
      </c>
      <c r="AZ156" s="11">
        <f t="shared" si="106"/>
        <v>9700.3458716050263</v>
      </c>
      <c r="BA156" s="11">
        <f t="shared" si="107"/>
        <v>8270.1568986473212</v>
      </c>
      <c r="BB156" s="11">
        <f t="shared" si="108"/>
        <v>5677.3350109823396</v>
      </c>
      <c r="BC156" s="11">
        <f t="shared" si="109"/>
        <v>5773.2421378805884</v>
      </c>
      <c r="BD156" s="11">
        <f t="shared" si="110"/>
        <v>5459.3533898213518</v>
      </c>
      <c r="BE156" s="11">
        <f t="shared" si="111"/>
        <v>5138.2899057670384</v>
      </c>
      <c r="BF156" s="11">
        <f t="shared" si="112"/>
        <v>4810.4736305193201</v>
      </c>
      <c r="BG156" s="11">
        <f t="shared" si="113"/>
        <v>4476.3353834511354</v>
      </c>
      <c r="BH156" s="11">
        <f t="shared" si="114"/>
        <v>4136.3142923326941</v>
      </c>
      <c r="BI156" s="11">
        <f t="shared" si="115"/>
        <v>3790.8572162449868</v>
      </c>
      <c r="BJ156" s="11">
        <f t="shared" si="116"/>
        <v>3440.4181582602478</v>
      </c>
      <c r="BK156" s="11">
        <f t="shared" si="117"/>
        <v>-5001.8586875352612</v>
      </c>
    </row>
    <row r="157" spans="6:63" x14ac:dyDescent="0.25">
      <c r="F157">
        <v>10321</v>
      </c>
      <c r="I157" s="11">
        <f t="shared" si="63"/>
        <v>0</v>
      </c>
      <c r="J157" s="11">
        <f t="shared" si="64"/>
        <v>0</v>
      </c>
      <c r="K157" s="11">
        <f t="shared" si="65"/>
        <v>0</v>
      </c>
      <c r="L157" s="11">
        <f t="shared" si="66"/>
        <v>0</v>
      </c>
      <c r="M157" s="11">
        <f t="shared" si="67"/>
        <v>0</v>
      </c>
      <c r="N157" s="11">
        <f t="shared" si="68"/>
        <v>0</v>
      </c>
      <c r="O157" s="11">
        <f t="shared" si="69"/>
        <v>0</v>
      </c>
      <c r="P157" s="11">
        <f t="shared" si="70"/>
        <v>0</v>
      </c>
      <c r="Q157" s="11">
        <f t="shared" si="71"/>
        <v>0</v>
      </c>
      <c r="R157" s="11">
        <f t="shared" si="72"/>
        <v>0</v>
      </c>
      <c r="S157" s="11">
        <f t="shared" si="73"/>
        <v>0</v>
      </c>
      <c r="T157" s="11">
        <f t="shared" si="74"/>
        <v>0</v>
      </c>
      <c r="U157" s="11">
        <f t="shared" si="75"/>
        <v>0</v>
      </c>
      <c r="V157" s="11">
        <f t="shared" si="76"/>
        <v>0</v>
      </c>
      <c r="W157" s="11">
        <f t="shared" si="77"/>
        <v>0</v>
      </c>
      <c r="X157" s="11">
        <f t="shared" si="78"/>
        <v>0</v>
      </c>
      <c r="Y157" s="11">
        <f t="shared" si="79"/>
        <v>0</v>
      </c>
      <c r="Z157" s="11">
        <f t="shared" si="80"/>
        <v>0</v>
      </c>
      <c r="AA157" s="11">
        <f t="shared" si="81"/>
        <v>0</v>
      </c>
      <c r="AB157" s="11">
        <f t="shared" si="82"/>
        <v>0</v>
      </c>
      <c r="AC157" s="11">
        <f t="shared" si="83"/>
        <v>0</v>
      </c>
      <c r="AD157" s="11">
        <f t="shared" si="84"/>
        <v>0</v>
      </c>
      <c r="AE157" s="11">
        <f t="shared" si="85"/>
        <v>0</v>
      </c>
      <c r="AF157" s="11">
        <f t="shared" si="86"/>
        <v>0</v>
      </c>
      <c r="AG157" s="11">
        <f t="shared" si="87"/>
        <v>0</v>
      </c>
      <c r="AH157" s="11">
        <f t="shared" si="88"/>
        <v>0</v>
      </c>
      <c r="AI157" s="11">
        <f t="shared" si="89"/>
        <v>0</v>
      </c>
      <c r="AJ157" s="11">
        <f t="shared" si="90"/>
        <v>0</v>
      </c>
      <c r="AK157" s="11">
        <f t="shared" si="91"/>
        <v>0</v>
      </c>
      <c r="AL157" s="11">
        <f t="shared" si="92"/>
        <v>0</v>
      </c>
      <c r="AM157" s="11">
        <f t="shared" si="93"/>
        <v>0</v>
      </c>
      <c r="AN157" s="11">
        <f t="shared" si="94"/>
        <v>0</v>
      </c>
      <c r="AO157" s="11">
        <f t="shared" si="95"/>
        <v>0</v>
      </c>
      <c r="AP157" s="11">
        <f t="shared" si="96"/>
        <v>0</v>
      </c>
      <c r="AQ157" s="11">
        <f t="shared" si="97"/>
        <v>0</v>
      </c>
      <c r="AR157" s="11">
        <f t="shared" si="98"/>
        <v>0</v>
      </c>
      <c r="AS157" s="11">
        <f t="shared" si="99"/>
        <v>0</v>
      </c>
      <c r="AT157" s="11">
        <f t="shared" si="100"/>
        <v>0</v>
      </c>
      <c r="AU157" s="11">
        <f t="shared" si="101"/>
        <v>0</v>
      </c>
      <c r="AV157" s="11">
        <f t="shared" si="102"/>
        <v>0</v>
      </c>
      <c r="AW157" s="11">
        <f t="shared" si="103"/>
        <v>0</v>
      </c>
      <c r="AX157" s="11">
        <f t="shared" si="104"/>
        <v>0</v>
      </c>
      <c r="AY157" s="11">
        <f t="shared" si="105"/>
        <v>0</v>
      </c>
      <c r="AZ157" s="11">
        <f t="shared" si="106"/>
        <v>0</v>
      </c>
      <c r="BA157" s="11">
        <f t="shared" si="107"/>
        <v>0</v>
      </c>
      <c r="BB157" s="11">
        <f t="shared" si="108"/>
        <v>0</v>
      </c>
      <c r="BC157" s="11">
        <f t="shared" si="109"/>
        <v>0</v>
      </c>
      <c r="BD157" s="11">
        <f t="shared" si="110"/>
        <v>0</v>
      </c>
      <c r="BE157" s="11">
        <f t="shared" si="111"/>
        <v>0</v>
      </c>
      <c r="BF157" s="11">
        <f t="shared" si="112"/>
        <v>0</v>
      </c>
      <c r="BG157" s="11">
        <f t="shared" si="113"/>
        <v>0</v>
      </c>
      <c r="BH157" s="11">
        <f t="shared" si="114"/>
        <v>0</v>
      </c>
      <c r="BI157" s="11">
        <f t="shared" si="115"/>
        <v>0</v>
      </c>
      <c r="BJ157" s="11">
        <f t="shared" si="116"/>
        <v>0</v>
      </c>
      <c r="BK157" s="11">
        <f t="shared" si="117"/>
        <v>0</v>
      </c>
    </row>
    <row r="158" spans="6:63" x14ac:dyDescent="0.25">
      <c r="I158" s="11">
        <f t="shared" si="63"/>
        <v>57093.823323958088</v>
      </c>
      <c r="J158" s="11">
        <f t="shared" si="64"/>
        <v>-27959.135185069917</v>
      </c>
      <c r="K158" s="11">
        <f t="shared" si="65"/>
        <v>49502.177946041658</v>
      </c>
      <c r="L158" s="11">
        <f t="shared" si="66"/>
        <v>-76505.441306916124</v>
      </c>
      <c r="M158" s="11">
        <f t="shared" si="67"/>
        <v>-74759.714955749077</v>
      </c>
      <c r="N158" s="11">
        <f t="shared" si="68"/>
        <v>16281.868195359644</v>
      </c>
      <c r="O158" s="11">
        <f t="shared" si="69"/>
        <v>78785.992221352222</v>
      </c>
      <c r="P158" s="11">
        <f t="shared" si="70"/>
        <v>-64357.708162314353</v>
      </c>
      <c r="Q158" s="11">
        <f t="shared" si="71"/>
        <v>-4299.958277941997</v>
      </c>
      <c r="R158" s="11">
        <f t="shared" si="72"/>
        <v>-57168.821745560468</v>
      </c>
      <c r="S158" s="11">
        <f t="shared" si="73"/>
        <v>23498.464448018232</v>
      </c>
      <c r="T158" s="11">
        <f t="shared" si="74"/>
        <v>-14925.870396875984</v>
      </c>
      <c r="U158" s="11">
        <f t="shared" si="75"/>
        <v>-49502.745952399753</v>
      </c>
      <c r="V158" s="11">
        <f t="shared" si="76"/>
        <v>-33698.954885559113</v>
      </c>
      <c r="W158" s="11">
        <f t="shared" si="77"/>
        <v>-37792.265065052517</v>
      </c>
      <c r="X158" s="11">
        <f t="shared" si="78"/>
        <v>-39563.151862710474</v>
      </c>
      <c r="Y158" s="11">
        <f t="shared" si="79"/>
        <v>-66888.402635913677</v>
      </c>
      <c r="Z158" s="11">
        <f t="shared" si="80"/>
        <v>49576.659725516118</v>
      </c>
      <c r="AA158" s="11">
        <f t="shared" si="81"/>
        <v>42757.992547046219</v>
      </c>
      <c r="AB158" s="11">
        <f t="shared" si="82"/>
        <v>21116.115056603205</v>
      </c>
      <c r="AC158" s="11">
        <f t="shared" si="83"/>
        <v>-14457.845877499341</v>
      </c>
      <c r="AD158" s="11">
        <f t="shared" si="84"/>
        <v>76890.722944266308</v>
      </c>
      <c r="AE158" s="11">
        <f t="shared" si="85"/>
        <v>56442.819142197819</v>
      </c>
      <c r="AF158" s="11">
        <f t="shared" si="86"/>
        <v>-2685.977289828802</v>
      </c>
      <c r="AG158" s="11">
        <f t="shared" si="87"/>
        <v>78933.087942005557</v>
      </c>
      <c r="AH158" s="11">
        <f t="shared" si="88"/>
        <v>13341.361186074551</v>
      </c>
      <c r="AI158" s="11">
        <f t="shared" si="89"/>
        <v>-63336.49180387934</v>
      </c>
      <c r="AJ158" s="11">
        <f t="shared" si="90"/>
        <v>-69097.386128037018</v>
      </c>
      <c r="AK158" s="11">
        <f t="shared" si="91"/>
        <v>75288.846963442222</v>
      </c>
      <c r="AL158" s="11">
        <f t="shared" si="92"/>
        <v>78451.758410107926</v>
      </c>
      <c r="AM158" s="11">
        <f t="shared" si="93"/>
        <v>23686.2930942024</v>
      </c>
      <c r="AN158" s="11">
        <f t="shared" si="94"/>
        <v>-79602.939147203579</v>
      </c>
      <c r="AO158" s="11">
        <f t="shared" si="95"/>
        <v>78789.381763431375</v>
      </c>
      <c r="AP158" s="11">
        <f t="shared" si="96"/>
        <v>79660.437718689369</v>
      </c>
      <c r="AQ158" s="11">
        <f t="shared" si="97"/>
        <v>12937.411323321512</v>
      </c>
      <c r="AR158" s="11">
        <f t="shared" si="98"/>
        <v>-26355.529886519515</v>
      </c>
      <c r="AS158" s="11">
        <f t="shared" si="99"/>
        <v>16218.159014388362</v>
      </c>
      <c r="AT158" s="11">
        <f t="shared" si="100"/>
        <v>74570.411209843456</v>
      </c>
      <c r="AU158" s="11">
        <f t="shared" si="101"/>
        <v>-33784.556374382868</v>
      </c>
      <c r="AV158" s="11">
        <f t="shared" si="102"/>
        <v>-70629.487763051831</v>
      </c>
      <c r="AW158" s="11">
        <f t="shared" si="103"/>
        <v>53409.312056362614</v>
      </c>
      <c r="AX158" s="11">
        <f t="shared" si="104"/>
        <v>-67852.264009121573</v>
      </c>
      <c r="AY158" s="11">
        <f t="shared" si="105"/>
        <v>53285.722873399223</v>
      </c>
      <c r="AZ158" s="11">
        <f t="shared" si="106"/>
        <v>-71257.284703054043</v>
      </c>
      <c r="BA158" s="11">
        <f t="shared" si="107"/>
        <v>79631.532325968758</v>
      </c>
      <c r="BB158" s="11">
        <f t="shared" si="108"/>
        <v>-27702.646493626897</v>
      </c>
      <c r="BC158" s="11">
        <f t="shared" si="109"/>
        <v>-78398.279716086574</v>
      </c>
      <c r="BD158" s="11">
        <f t="shared" si="110"/>
        <v>-72993.454326332838</v>
      </c>
      <c r="BE158" s="11">
        <f t="shared" si="111"/>
        <v>-63617.978411872769</v>
      </c>
      <c r="BF158" s="11">
        <f t="shared" si="112"/>
        <v>-50781.853022871823</v>
      </c>
      <c r="BG158" s="11">
        <f t="shared" si="113"/>
        <v>-35183.329372181121</v>
      </c>
      <c r="BH158" s="11">
        <f t="shared" si="114"/>
        <v>-17670.925819280368</v>
      </c>
      <c r="BI158" s="11">
        <f t="shared" si="115"/>
        <v>802.72928043041645</v>
      </c>
      <c r="BJ158" s="11">
        <f t="shared" si="116"/>
        <v>19232.718033978388</v>
      </c>
      <c r="BK158" s="11">
        <f t="shared" si="117"/>
        <v>-61590.081519062471</v>
      </c>
    </row>
    <row r="159" spans="6:63" x14ac:dyDescent="0.25">
      <c r="F159">
        <v>79661</v>
      </c>
      <c r="I159" s="11">
        <f t="shared" si="63"/>
        <v>-34734.181927303056</v>
      </c>
      <c r="J159" s="11">
        <f t="shared" si="64"/>
        <v>33609.461506857711</v>
      </c>
      <c r="K159" s="11">
        <f t="shared" si="65"/>
        <v>-31882.004422174876</v>
      </c>
      <c r="L159" s="11">
        <f t="shared" si="66"/>
        <v>12568.353590647184</v>
      </c>
      <c r="M159" s="11">
        <f t="shared" si="67"/>
        <v>21118.253177956285</v>
      </c>
      <c r="N159" s="11">
        <f t="shared" si="68"/>
        <v>-24714.082451279039</v>
      </c>
      <c r="O159" s="11">
        <f t="shared" si="69"/>
        <v>-18630.390502685616</v>
      </c>
      <c r="P159" s="11">
        <f t="shared" si="70"/>
        <v>-16996.082672116558</v>
      </c>
      <c r="Q159" s="11">
        <f t="shared" si="71"/>
        <v>-24726.264911462666</v>
      </c>
      <c r="R159" s="11">
        <f t="shared" si="72"/>
        <v>1753.593575678969</v>
      </c>
      <c r="S159" s="11">
        <f t="shared" si="73"/>
        <v>-31989.106285925991</v>
      </c>
      <c r="T159" s="11">
        <f t="shared" si="74"/>
        <v>-21826.013662176396</v>
      </c>
      <c r="U159" s="11">
        <f t="shared" si="75"/>
        <v>-2962.4287521333345</v>
      </c>
      <c r="V159" s="11">
        <f t="shared" si="76"/>
        <v>17816.207823543278</v>
      </c>
      <c r="W159" s="11">
        <f t="shared" si="77"/>
        <v>34403.346483224828</v>
      </c>
      <c r="X159" s="11">
        <f t="shared" si="78"/>
        <v>-13547.326717699849</v>
      </c>
      <c r="Y159" s="11">
        <f t="shared" si="79"/>
        <v>-18632.770175024227</v>
      </c>
      <c r="Z159" s="11">
        <f t="shared" si="80"/>
        <v>-8367.5621080849032</v>
      </c>
      <c r="AA159" s="11">
        <f t="shared" si="81"/>
        <v>-26078.235898042964</v>
      </c>
      <c r="AB159" s="11">
        <f t="shared" si="82"/>
        <v>132.57095632336609</v>
      </c>
      <c r="AC159" s="11">
        <f t="shared" si="83"/>
        <v>27321.737636221409</v>
      </c>
      <c r="AD159" s="11">
        <f t="shared" si="84"/>
        <v>34774.376973024104</v>
      </c>
      <c r="AE159" s="11">
        <f t="shared" si="85"/>
        <v>-26085.693849042593</v>
      </c>
      <c r="AF159" s="11">
        <f t="shared" si="86"/>
        <v>4799.4130711168918</v>
      </c>
      <c r="AG159" s="11">
        <f t="shared" si="87"/>
        <v>32384.7422814151</v>
      </c>
      <c r="AH159" s="11">
        <f t="shared" si="88"/>
        <v>23460.384265370918</v>
      </c>
      <c r="AI159" s="11">
        <f t="shared" si="89"/>
        <v>9436.4252841794059</v>
      </c>
      <c r="AJ159" s="11">
        <f t="shared" si="90"/>
        <v>-2356.4516748149808</v>
      </c>
      <c r="AK159" s="11">
        <f t="shared" si="91"/>
        <v>34772.360435702714</v>
      </c>
      <c r="AL159" s="11">
        <f t="shared" si="92"/>
        <v>-9255.8389660581797</v>
      </c>
      <c r="AM159" s="11">
        <f t="shared" si="93"/>
        <v>-18667.69514947875</v>
      </c>
      <c r="AN159" s="11">
        <f t="shared" si="94"/>
        <v>16463.942510479417</v>
      </c>
      <c r="AO159" s="11">
        <f t="shared" si="95"/>
        <v>-334.25833334806958</v>
      </c>
      <c r="AP159" s="11">
        <f t="shared" si="96"/>
        <v>4626.4118905016467</v>
      </c>
      <c r="AQ159" s="11">
        <f t="shared" si="97"/>
        <v>30557.326567066124</v>
      </c>
      <c r="AR159" s="11">
        <f t="shared" si="98"/>
        <v>28697.96819973025</v>
      </c>
      <c r="AS159" s="11">
        <f t="shared" si="99"/>
        <v>32989.597330572651</v>
      </c>
      <c r="AT159" s="11">
        <f t="shared" si="100"/>
        <v>5911.6993287273008</v>
      </c>
      <c r="AU159" s="11">
        <f t="shared" si="101"/>
        <v>-34413.73107697854</v>
      </c>
      <c r="AV159" s="11">
        <f t="shared" si="102"/>
        <v>18395.407950483383</v>
      </c>
      <c r="AW159" s="11">
        <f t="shared" si="103"/>
        <v>31954.498687321327</v>
      </c>
      <c r="AX159" s="11">
        <f t="shared" si="104"/>
        <v>-26619.870058856795</v>
      </c>
      <c r="AY159" s="11">
        <f t="shared" si="105"/>
        <v>-34146.061487008199</v>
      </c>
      <c r="AZ159" s="11">
        <f t="shared" si="106"/>
        <v>28099.702642075401</v>
      </c>
      <c r="BA159" s="11">
        <f t="shared" si="107"/>
        <v>-28466.568255541428</v>
      </c>
      <c r="BB159" s="11">
        <f t="shared" si="108"/>
        <v>-24175.875775148816</v>
      </c>
      <c r="BC159" s="11">
        <f t="shared" si="109"/>
        <v>-22762.581302609717</v>
      </c>
      <c r="BD159" s="11">
        <f t="shared" si="110"/>
        <v>-33831.552806965614</v>
      </c>
      <c r="BE159" s="11">
        <f t="shared" si="111"/>
        <v>-32186.888094043614</v>
      </c>
      <c r="BF159" s="11">
        <f t="shared" si="112"/>
        <v>-18446.639458960184</v>
      </c>
      <c r="BG159" s="11">
        <f t="shared" si="113"/>
        <v>2225.7137960211257</v>
      </c>
      <c r="BH159" s="11">
        <f t="shared" si="114"/>
        <v>22061.660998652122</v>
      </c>
      <c r="BI159" s="11">
        <f t="shared" si="115"/>
        <v>33607.006410622271</v>
      </c>
      <c r="BJ159" s="11">
        <f t="shared" si="116"/>
        <v>32523.098406620447</v>
      </c>
      <c r="BK159" s="11">
        <f t="shared" si="117"/>
        <v>12542.80008891644</v>
      </c>
    </row>
    <row r="160" spans="6:63" x14ac:dyDescent="0.25">
      <c r="F160">
        <v>-34782</v>
      </c>
      <c r="I160" s="11">
        <f t="shared" si="63"/>
        <v>10794.945686372801</v>
      </c>
      <c r="J160" s="11">
        <f t="shared" si="64"/>
        <v>19105.450950761729</v>
      </c>
      <c r="K160" s="11">
        <f t="shared" si="65"/>
        <v>-16443.37271393212</v>
      </c>
      <c r="L160" s="11">
        <f t="shared" si="66"/>
        <v>11296.841349708297</v>
      </c>
      <c r="M160" s="11">
        <f t="shared" si="67"/>
        <v>-22578.410279718886</v>
      </c>
      <c r="N160" s="11">
        <f t="shared" si="68"/>
        <v>19877.631447872947</v>
      </c>
      <c r="O160" s="11">
        <f t="shared" si="69"/>
        <v>6874.9065981033746</v>
      </c>
      <c r="P160" s="11">
        <f t="shared" si="70"/>
        <v>21276.012217641935</v>
      </c>
      <c r="Q160" s="11">
        <f t="shared" si="71"/>
        <v>22989.067381970741</v>
      </c>
      <c r="R160" s="11">
        <f t="shared" si="72"/>
        <v>-2782.0767020266344</v>
      </c>
      <c r="S160" s="11">
        <f t="shared" si="73"/>
        <v>23177.132460220408</v>
      </c>
      <c r="T160" s="11">
        <f t="shared" si="74"/>
        <v>-15309.974603144157</v>
      </c>
      <c r="U160" s="11">
        <f t="shared" si="75"/>
        <v>-6661.8868467048824</v>
      </c>
      <c r="V160" s="11">
        <f t="shared" si="76"/>
        <v>-19213.595148410812</v>
      </c>
      <c r="W160" s="11">
        <f t="shared" si="77"/>
        <v>-18596.304071440198</v>
      </c>
      <c r="X160" s="11">
        <f t="shared" si="78"/>
        <v>618.63878769431767</v>
      </c>
      <c r="Y160" s="11">
        <f t="shared" si="79"/>
        <v>-23135.412000056327</v>
      </c>
      <c r="Z160" s="11">
        <f t="shared" si="80"/>
        <v>19799.990713378756</v>
      </c>
      <c r="AA160" s="11">
        <f t="shared" si="81"/>
        <v>-19648.007285763368</v>
      </c>
      <c r="AB160" s="11">
        <f t="shared" si="82"/>
        <v>-22370.997547203344</v>
      </c>
      <c r="AC160" s="11">
        <f t="shared" si="83"/>
        <v>20348.004773277429</v>
      </c>
      <c r="AD160" s="11">
        <f t="shared" si="84"/>
        <v>-7096.3016796131797</v>
      </c>
      <c r="AE160" s="11">
        <f t="shared" si="85"/>
        <v>-20985.019613461747</v>
      </c>
      <c r="AF160" s="11">
        <f t="shared" si="86"/>
        <v>22476.239621959117</v>
      </c>
      <c r="AG160" s="11">
        <f t="shared" si="87"/>
        <v>-3409.4617960493297</v>
      </c>
      <c r="AH160" s="11">
        <f t="shared" si="88"/>
        <v>-21278.758807252543</v>
      </c>
      <c r="AI160" s="11">
        <f t="shared" si="89"/>
        <v>-1924.1270348358007</v>
      </c>
      <c r="AJ160" s="11">
        <f t="shared" si="90"/>
        <v>23016.016206136377</v>
      </c>
      <c r="AK160" s="11">
        <f t="shared" si="91"/>
        <v>-20619.492211219625</v>
      </c>
      <c r="AL160" s="11">
        <f t="shared" si="92"/>
        <v>16723.66123882831</v>
      </c>
      <c r="AM160" s="11">
        <f t="shared" si="93"/>
        <v>-13082.026762069125</v>
      </c>
      <c r="AN160" s="11">
        <f t="shared" si="94"/>
        <v>-13748.569882549979</v>
      </c>
      <c r="AO160" s="11">
        <f t="shared" si="95"/>
        <v>4684.7989924804215</v>
      </c>
      <c r="AP160" s="11">
        <f t="shared" si="96"/>
        <v>-23095.827334622529</v>
      </c>
      <c r="AQ160" s="11">
        <f t="shared" si="97"/>
        <v>21766.46193552835</v>
      </c>
      <c r="AR160" s="11">
        <f t="shared" si="98"/>
        <v>22983.51994842658</v>
      </c>
      <c r="AS160" s="11">
        <f t="shared" si="99"/>
        <v>21306.182901062835</v>
      </c>
      <c r="AT160" s="11">
        <f t="shared" si="100"/>
        <v>-16722.902286341854</v>
      </c>
      <c r="AU160" s="11">
        <f t="shared" si="101"/>
        <v>-17895.543794393532</v>
      </c>
      <c r="AV160" s="11">
        <f t="shared" si="102"/>
        <v>14606.381073974322</v>
      </c>
      <c r="AW160" s="11">
        <f t="shared" si="103"/>
        <v>23177.472326580672</v>
      </c>
      <c r="AX160" s="11">
        <f t="shared" si="104"/>
        <v>-19807.181372410985</v>
      </c>
      <c r="AY160" s="11">
        <f t="shared" si="105"/>
        <v>-18302.171053637085</v>
      </c>
      <c r="AZ160" s="11">
        <f t="shared" si="106"/>
        <v>8382.251882848017</v>
      </c>
      <c r="BA160" s="11">
        <f t="shared" si="107"/>
        <v>6362.1821017530337</v>
      </c>
      <c r="BB160" s="11">
        <f t="shared" si="108"/>
        <v>23140.582693822817</v>
      </c>
      <c r="BC160" s="11">
        <f t="shared" si="109"/>
        <v>14054.372727421829</v>
      </c>
      <c r="BD160" s="11">
        <f t="shared" si="110"/>
        <v>22565.110731469187</v>
      </c>
      <c r="BE160" s="11">
        <f t="shared" si="111"/>
        <v>20921.543055563205</v>
      </c>
      <c r="BF160" s="11">
        <f t="shared" si="112"/>
        <v>9863.2755800007726</v>
      </c>
      <c r="BG160" s="11">
        <f t="shared" si="113"/>
        <v>-5633.4684640179166</v>
      </c>
      <c r="BH160" s="11">
        <f t="shared" si="114"/>
        <v>-18595.15023853552</v>
      </c>
      <c r="BI160" s="11">
        <f t="shared" si="115"/>
        <v>-23189.009584205378</v>
      </c>
      <c r="BJ160" s="11">
        <f t="shared" si="116"/>
        <v>-17347.808604318103</v>
      </c>
      <c r="BK160" s="11">
        <f t="shared" si="117"/>
        <v>473.63555875913477</v>
      </c>
    </row>
    <row r="161" spans="6:63" x14ac:dyDescent="0.25">
      <c r="F161">
        <v>-23210</v>
      </c>
      <c r="I161" s="11">
        <f t="shared" si="63"/>
        <v>19801.266278703824</v>
      </c>
      <c r="J161" s="11">
        <f t="shared" si="64"/>
        <v>18031.959722969255</v>
      </c>
      <c r="K161" s="11">
        <f t="shared" si="65"/>
        <v>20134.114148761408</v>
      </c>
      <c r="L161" s="11">
        <f t="shared" si="66"/>
        <v>18903.353566459558</v>
      </c>
      <c r="M161" s="11">
        <f t="shared" si="67"/>
        <v>11758.082100090354</v>
      </c>
      <c r="N161" s="11">
        <f t="shared" si="68"/>
        <v>9171.740534659737</v>
      </c>
      <c r="O161" s="11">
        <f t="shared" si="69"/>
        <v>17019.106481671821</v>
      </c>
      <c r="P161" s="11">
        <f t="shared" si="70"/>
        <v>7894.4159906934347</v>
      </c>
      <c r="Q161" s="11">
        <f t="shared" si="71"/>
        <v>4518.7466086137947</v>
      </c>
      <c r="R161" s="11">
        <f t="shared" si="72"/>
        <v>21547.478810684566</v>
      </c>
      <c r="S161" s="11">
        <f t="shared" si="73"/>
        <v>19744.860741154564</v>
      </c>
      <c r="T161" s="11">
        <f t="shared" si="74"/>
        <v>19591.381954942419</v>
      </c>
      <c r="U161" s="11">
        <f t="shared" si="75"/>
        <v>14035.912811581</v>
      </c>
      <c r="V161" s="11">
        <f t="shared" si="76"/>
        <v>6618.6421173938625</v>
      </c>
      <c r="W161" s="11">
        <f t="shared" si="77"/>
        <v>-3491.5572843131654</v>
      </c>
      <c r="X161" s="11">
        <f t="shared" si="78"/>
        <v>-2474.7624941452291</v>
      </c>
      <c r="Y161" s="11">
        <f t="shared" si="79"/>
        <v>21633.56306205042</v>
      </c>
      <c r="Z161" s="11">
        <f t="shared" si="80"/>
        <v>-19352.067480843129</v>
      </c>
      <c r="AA161" s="11">
        <f t="shared" si="81"/>
        <v>-267.7311802573883</v>
      </c>
      <c r="AB161" s="11">
        <f t="shared" si="82"/>
        <v>-1860.2892863339098</v>
      </c>
      <c r="AC161" s="11">
        <f t="shared" si="83"/>
        <v>510.85505614924949</v>
      </c>
      <c r="AD161" s="11">
        <f t="shared" si="84"/>
        <v>-17780.44398105226</v>
      </c>
      <c r="AE161" s="11">
        <f t="shared" si="85"/>
        <v>21296.894294245456</v>
      </c>
      <c r="AF161" s="11">
        <f t="shared" si="86"/>
        <v>19297.694680648277</v>
      </c>
      <c r="AG161" s="11">
        <f t="shared" si="87"/>
        <v>6894.1577559038624</v>
      </c>
      <c r="AH161" s="11">
        <f t="shared" si="88"/>
        <v>-21567.242327529781</v>
      </c>
      <c r="AI161" s="11">
        <f t="shared" si="89"/>
        <v>20654.185706831231</v>
      </c>
      <c r="AJ161" s="11">
        <f t="shared" si="90"/>
        <v>-18998.527189513738</v>
      </c>
      <c r="AK161" s="11">
        <f t="shared" si="91"/>
        <v>-7237.0196159538937</v>
      </c>
      <c r="AL161" s="11">
        <f t="shared" si="92"/>
        <v>18584.61174687379</v>
      </c>
      <c r="AM161" s="11">
        <f t="shared" si="93"/>
        <v>20786.953545700097</v>
      </c>
      <c r="AN161" s="11">
        <f t="shared" si="94"/>
        <v>15601.266542465013</v>
      </c>
      <c r="AO161" s="11">
        <f t="shared" si="95"/>
        <v>11888.432944253142</v>
      </c>
      <c r="AP161" s="11">
        <f t="shared" si="96"/>
        <v>17559.538067487112</v>
      </c>
      <c r="AQ161" s="11">
        <f t="shared" si="97"/>
        <v>19657.224880703223</v>
      </c>
      <c r="AR161" s="11">
        <f t="shared" si="98"/>
        <v>19926.873778872869</v>
      </c>
      <c r="AS161" s="11">
        <f t="shared" si="99"/>
        <v>7156.5069569880425</v>
      </c>
      <c r="AT161" s="11">
        <f t="shared" si="100"/>
        <v>19584.69011026006</v>
      </c>
      <c r="AU161" s="11">
        <f t="shared" si="101"/>
        <v>-21558.863672572439</v>
      </c>
      <c r="AV161" s="11">
        <f t="shared" si="102"/>
        <v>20465.857549033182</v>
      </c>
      <c r="AW161" s="11">
        <f t="shared" si="103"/>
        <v>-20024.873818789358</v>
      </c>
      <c r="AX161" s="11">
        <f t="shared" si="104"/>
        <v>-13751.758200015109</v>
      </c>
      <c r="AY161" s="11">
        <f t="shared" si="105"/>
        <v>-19822.916187567163</v>
      </c>
      <c r="AZ161" s="11">
        <f t="shared" si="106"/>
        <v>-21067.148946009125</v>
      </c>
      <c r="BA161" s="11">
        <f t="shared" si="107"/>
        <v>-7266.6106175089617</v>
      </c>
      <c r="BB161" s="11">
        <f t="shared" si="108"/>
        <v>6486.1858367951563</v>
      </c>
      <c r="BC161" s="11">
        <f t="shared" si="109"/>
        <v>583.53221719632199</v>
      </c>
      <c r="BD161" s="11">
        <f t="shared" si="110"/>
        <v>-7784.4979262738298</v>
      </c>
      <c r="BE161" s="11">
        <f t="shared" si="111"/>
        <v>-14953.538789691993</v>
      </c>
      <c r="BF161" s="11">
        <f t="shared" si="112"/>
        <v>-19819.395442988585</v>
      </c>
      <c r="BG161" s="11">
        <f t="shared" si="113"/>
        <v>-21632.615574559502</v>
      </c>
      <c r="BH161" s="11">
        <f t="shared" si="114"/>
        <v>-20113.922149409045</v>
      </c>
      <c r="BI161" s="11">
        <f t="shared" si="115"/>
        <v>-15497.228408110514</v>
      </c>
      <c r="BJ161" s="11">
        <f t="shared" si="116"/>
        <v>-8493.609921378993</v>
      </c>
      <c r="BK161" s="11">
        <f t="shared" si="117"/>
        <v>20232.851453569772</v>
      </c>
    </row>
    <row r="162" spans="6:63" x14ac:dyDescent="0.25">
      <c r="F162">
        <v>-21636</v>
      </c>
      <c r="I162" s="11">
        <f t="shared" si="63"/>
        <v>23622.934941977641</v>
      </c>
      <c r="J162" s="11">
        <f t="shared" si="64"/>
        <v>23543.640194075713</v>
      </c>
      <c r="K162" s="11">
        <f t="shared" si="65"/>
        <v>-3480.4000059853247</v>
      </c>
      <c r="L162" s="11">
        <f t="shared" si="66"/>
        <v>4969.8009559189486</v>
      </c>
      <c r="M162" s="11">
        <f t="shared" si="67"/>
        <v>18970.566395814087</v>
      </c>
      <c r="N162" s="11">
        <f t="shared" si="68"/>
        <v>7049.4595483185121</v>
      </c>
      <c r="O162" s="11">
        <f t="shared" si="69"/>
        <v>-16153.153480420548</v>
      </c>
      <c r="P162" s="11">
        <f t="shared" si="70"/>
        <v>-8081.22958878796</v>
      </c>
      <c r="Q162" s="11">
        <f t="shared" si="71"/>
        <v>15599.944781747135</v>
      </c>
      <c r="R162" s="11">
        <f t="shared" si="72"/>
        <v>510.8012546414916</v>
      </c>
      <c r="S162" s="11">
        <f t="shared" si="73"/>
        <v>3627.7266613267761</v>
      </c>
      <c r="T162" s="11">
        <f t="shared" si="74"/>
        <v>18487.444505946183</v>
      </c>
      <c r="U162" s="11">
        <f t="shared" si="75"/>
        <v>20621.375978073498</v>
      </c>
      <c r="V162" s="11">
        <f t="shared" si="76"/>
        <v>23314.774786714537</v>
      </c>
      <c r="W162" s="11">
        <f t="shared" si="77"/>
        <v>-329.04559568160994</v>
      </c>
      <c r="X162" s="11">
        <f t="shared" si="78"/>
        <v>14975.205343749092</v>
      </c>
      <c r="Y162" s="11">
        <f t="shared" si="79"/>
        <v>-25754.64583091345</v>
      </c>
      <c r="Z162" s="11">
        <f t="shared" si="80"/>
        <v>-13702.848111876996</v>
      </c>
      <c r="AA162" s="11">
        <f t="shared" si="81"/>
        <v>-18448.366058355405</v>
      </c>
      <c r="AB162" s="11">
        <f t="shared" si="82"/>
        <v>18596.075182677618</v>
      </c>
      <c r="AC162" s="11">
        <f t="shared" si="83"/>
        <v>-835.85841102720485</v>
      </c>
      <c r="AD162" s="11">
        <f t="shared" si="84"/>
        <v>-22612.818097812284</v>
      </c>
      <c r="AE162" s="11">
        <f t="shared" si="85"/>
        <v>-893.42295440579437</v>
      </c>
      <c r="AF162" s="11">
        <f t="shared" si="86"/>
        <v>-3714.364121467454</v>
      </c>
      <c r="AG162" s="11">
        <f t="shared" si="87"/>
        <v>-24147.395177855306</v>
      </c>
      <c r="AH162" s="11">
        <f t="shared" si="88"/>
        <v>-8211.3362690010254</v>
      </c>
      <c r="AI162" s="11">
        <f t="shared" si="89"/>
        <v>14505.53882692942</v>
      </c>
      <c r="AJ162" s="11">
        <f t="shared" si="90"/>
        <v>-24211.932608946739</v>
      </c>
      <c r="AK162" s="11">
        <f t="shared" si="91"/>
        <v>10703.288965234085</v>
      </c>
      <c r="AL162" s="11">
        <f t="shared" si="92"/>
        <v>22882.924371488763</v>
      </c>
      <c r="AM162" s="11">
        <f t="shared" si="93"/>
        <v>-24125.878404153416</v>
      </c>
      <c r="AN162" s="11">
        <f t="shared" si="94"/>
        <v>24147.477560865282</v>
      </c>
      <c r="AO162" s="11">
        <f t="shared" si="95"/>
        <v>-11451.132501251795</v>
      </c>
      <c r="AP162" s="11">
        <f t="shared" si="96"/>
        <v>-20529.208430831171</v>
      </c>
      <c r="AQ162" s="11">
        <f t="shared" si="97"/>
        <v>18856.016691062345</v>
      </c>
      <c r="AR162" s="11">
        <f t="shared" si="98"/>
        <v>-23576.209061380927</v>
      </c>
      <c r="AS162" s="11">
        <f t="shared" si="99"/>
        <v>1706.7027769204358</v>
      </c>
      <c r="AT162" s="11">
        <f t="shared" si="100"/>
        <v>24145.822826126427</v>
      </c>
      <c r="AU162" s="11">
        <f t="shared" si="101"/>
        <v>-177.35708623854106</v>
      </c>
      <c r="AV162" s="11">
        <f t="shared" si="102"/>
        <v>-24114.100179996116</v>
      </c>
      <c r="AW162" s="11">
        <f t="shared" si="103"/>
        <v>579.3054326587752</v>
      </c>
      <c r="AX162" s="11">
        <f t="shared" si="104"/>
        <v>-707.0932029102305</v>
      </c>
      <c r="AY162" s="11">
        <f t="shared" si="105"/>
        <v>-22564.716210713897</v>
      </c>
      <c r="AZ162" s="11">
        <f t="shared" si="106"/>
        <v>15326.884354687143</v>
      </c>
      <c r="BA162" s="11">
        <f t="shared" si="107"/>
        <v>19357.273901663124</v>
      </c>
      <c r="BB162" s="11">
        <f t="shared" si="108"/>
        <v>16538.704461499714</v>
      </c>
      <c r="BC162" s="11">
        <f t="shared" si="109"/>
        <v>-4507.7571747196916</v>
      </c>
      <c r="BD162" s="11">
        <f t="shared" si="110"/>
        <v>-9468.9168865737392</v>
      </c>
      <c r="BE162" s="11">
        <f t="shared" si="111"/>
        <v>-13995.220589036089</v>
      </c>
      <c r="BF162" s="11">
        <f t="shared" si="112"/>
        <v>-17878.800083362439</v>
      </c>
      <c r="BG162" s="11">
        <f t="shared" si="113"/>
        <v>-20941.303990850301</v>
      </c>
      <c r="BH162" s="11">
        <f t="shared" si="114"/>
        <v>-23042.088447642938</v>
      </c>
      <c r="BI162" s="11">
        <f t="shared" si="115"/>
        <v>-24084.676099406559</v>
      </c>
      <c r="BJ162" s="11">
        <f t="shared" si="116"/>
        <v>-24021.186769964977</v>
      </c>
      <c r="BK162" s="11">
        <f t="shared" si="117"/>
        <v>13868.434712807481</v>
      </c>
    </row>
    <row r="163" spans="6:63" x14ac:dyDescent="0.25">
      <c r="F163">
        <v>24208</v>
      </c>
      <c r="I163" s="11">
        <f t="shared" si="63"/>
        <v>-30566.064569835165</v>
      </c>
      <c r="J163" s="11">
        <f t="shared" si="64"/>
        <v>11383.485037199109</v>
      </c>
      <c r="K163" s="11">
        <f t="shared" si="65"/>
        <v>-18451.595856076863</v>
      </c>
      <c r="L163" s="11">
        <f t="shared" si="66"/>
        <v>24142.12582769513</v>
      </c>
      <c r="M163" s="11">
        <f t="shared" si="67"/>
        <v>22589.703522136624</v>
      </c>
      <c r="N163" s="11">
        <f t="shared" si="68"/>
        <v>30799.117341288984</v>
      </c>
      <c r="O163" s="11">
        <f t="shared" si="69"/>
        <v>-24913.689513097535</v>
      </c>
      <c r="P163" s="11">
        <f t="shared" si="70"/>
        <v>6222.7088871921933</v>
      </c>
      <c r="Q163" s="11">
        <f t="shared" si="71"/>
        <v>30646.468501223593</v>
      </c>
      <c r="R163" s="11">
        <f t="shared" si="72"/>
        <v>31072.760562011841</v>
      </c>
      <c r="S163" s="11">
        <f t="shared" si="73"/>
        <v>-4072.3028351198159</v>
      </c>
      <c r="T163" s="11">
        <f t="shared" si="74"/>
        <v>-26212.526293744351</v>
      </c>
      <c r="U163" s="11">
        <f t="shared" si="75"/>
        <v>-32366.700647229671</v>
      </c>
      <c r="V163" s="11">
        <f t="shared" si="76"/>
        <v>-29300.001113294536</v>
      </c>
      <c r="W163" s="11">
        <f t="shared" si="77"/>
        <v>31502.006594648017</v>
      </c>
      <c r="X163" s="11">
        <f t="shared" si="78"/>
        <v>-29823.248230457251</v>
      </c>
      <c r="Y163" s="11">
        <f t="shared" si="79"/>
        <v>14453.909086904787</v>
      </c>
      <c r="Z163" s="11">
        <f t="shared" si="80"/>
        <v>-34406.23798210016</v>
      </c>
      <c r="AA163" s="11">
        <f t="shared" si="81"/>
        <v>30462.216124911178</v>
      </c>
      <c r="AB163" s="11">
        <f t="shared" si="82"/>
        <v>25355.301412956906</v>
      </c>
      <c r="AC163" s="11">
        <f t="shared" si="83"/>
        <v>23076.848725229043</v>
      </c>
      <c r="AD163" s="11">
        <f t="shared" si="84"/>
        <v>29714.760480734822</v>
      </c>
      <c r="AE163" s="11">
        <f t="shared" si="85"/>
        <v>-23422.694320331051</v>
      </c>
      <c r="AF163" s="11">
        <f t="shared" si="86"/>
        <v>-27736.291936286954</v>
      </c>
      <c r="AG163" s="11">
        <f t="shared" si="87"/>
        <v>3907.7565415083445</v>
      </c>
      <c r="AH163" s="11">
        <f t="shared" si="88"/>
        <v>-16490.205611629062</v>
      </c>
      <c r="AI163" s="11">
        <f t="shared" si="89"/>
        <v>24179.346122431762</v>
      </c>
      <c r="AJ163" s="11">
        <f t="shared" si="90"/>
        <v>-16411.456673704957</v>
      </c>
      <c r="AK163" s="11">
        <f t="shared" si="91"/>
        <v>20976.198069145885</v>
      </c>
      <c r="AL163" s="11">
        <f t="shared" si="92"/>
        <v>17439.755189547526</v>
      </c>
      <c r="AM163" s="11">
        <f t="shared" si="93"/>
        <v>21303.787512454732</v>
      </c>
      <c r="AN163" s="11">
        <f t="shared" si="94"/>
        <v>29951.284785726006</v>
      </c>
      <c r="AO163" s="11">
        <f t="shared" si="95"/>
        <v>-27333.192229078431</v>
      </c>
      <c r="AP163" s="11">
        <f t="shared" si="96"/>
        <v>-2106.6778717741554</v>
      </c>
      <c r="AQ163" s="11">
        <f t="shared" si="97"/>
        <v>-2390.0865980847861</v>
      </c>
      <c r="AR163" s="11">
        <f t="shared" si="98"/>
        <v>-22093.181349291248</v>
      </c>
      <c r="AS163" s="11">
        <f t="shared" si="99"/>
        <v>-24122.827404272903</v>
      </c>
      <c r="AT163" s="11">
        <f t="shared" si="100"/>
        <v>-6270.0639859014755</v>
      </c>
      <c r="AU163" s="11">
        <f t="shared" si="101"/>
        <v>6806.5239884862958</v>
      </c>
      <c r="AV163" s="11">
        <f t="shared" si="102"/>
        <v>-9346.2309390217597</v>
      </c>
      <c r="AW163" s="11">
        <f t="shared" si="103"/>
        <v>-193.98045882692594</v>
      </c>
      <c r="AX163" s="11">
        <f t="shared" si="104"/>
        <v>-6482.4423816056724</v>
      </c>
      <c r="AY163" s="11">
        <f t="shared" si="105"/>
        <v>-25577.091368496309</v>
      </c>
      <c r="AZ163" s="11">
        <f t="shared" si="106"/>
        <v>-27273.440554101373</v>
      </c>
      <c r="BA163" s="11">
        <f t="shared" si="107"/>
        <v>30860.282121659595</v>
      </c>
      <c r="BB163" s="11">
        <f t="shared" si="108"/>
        <v>-9761.1456721448412</v>
      </c>
      <c r="BC163" s="11">
        <f t="shared" si="109"/>
        <v>-24654.7030102303</v>
      </c>
      <c r="BD163" s="11">
        <f t="shared" si="110"/>
        <v>-30190.70163527783</v>
      </c>
      <c r="BE163" s="11">
        <f t="shared" si="111"/>
        <v>-29904.812891760877</v>
      </c>
      <c r="BF163" s="11">
        <f t="shared" si="112"/>
        <v>-23852.16753245721</v>
      </c>
      <c r="BG163" s="11">
        <f t="shared" si="113"/>
        <v>-13199.940782252645</v>
      </c>
      <c r="BH163" s="11">
        <f t="shared" si="114"/>
        <v>-2.2775279517545712</v>
      </c>
      <c r="BI163" s="11">
        <f t="shared" si="115"/>
        <v>13195.823096492704</v>
      </c>
      <c r="BJ163" s="11">
        <f t="shared" si="116"/>
        <v>23849.27796709241</v>
      </c>
      <c r="BK163" s="11">
        <f t="shared" si="117"/>
        <v>25405.581246603895</v>
      </c>
    </row>
    <row r="164" spans="6:63" x14ac:dyDescent="0.25">
      <c r="F164">
        <v>30824</v>
      </c>
      <c r="I164" s="11">
        <f t="shared" si="63"/>
        <v>-7351.1541436143725</v>
      </c>
      <c r="J164" s="11">
        <f t="shared" si="64"/>
        <v>-8184.1847643214278</v>
      </c>
      <c r="K164" s="11">
        <f t="shared" si="65"/>
        <v>8008.0216629726383</v>
      </c>
      <c r="L164" s="11">
        <f t="shared" si="66"/>
        <v>4492.5219960376498</v>
      </c>
      <c r="M164" s="11">
        <f t="shared" si="67"/>
        <v>-7363.8271721337142</v>
      </c>
      <c r="N164" s="11">
        <f t="shared" si="68"/>
        <v>7527.8414587455045</v>
      </c>
      <c r="O164" s="11">
        <f t="shared" si="69"/>
        <v>-8183.4063942053244</v>
      </c>
      <c r="P164" s="11">
        <f t="shared" si="70"/>
        <v>3397.8986439847413</v>
      </c>
      <c r="Q164" s="11">
        <f t="shared" si="71"/>
        <v>-4901.9349720240125</v>
      </c>
      <c r="R164" s="11">
        <f t="shared" si="72"/>
        <v>-357.24014906058301</v>
      </c>
      <c r="S164" s="11">
        <f t="shared" si="73"/>
        <v>5211.274567878495</v>
      </c>
      <c r="T164" s="11">
        <f t="shared" si="74"/>
        <v>87.924656124337048</v>
      </c>
      <c r="U164" s="11">
        <f t="shared" si="75"/>
        <v>6455.335740325605</v>
      </c>
      <c r="V164" s="11">
        <f t="shared" si="76"/>
        <v>6536.0896222687124</v>
      </c>
      <c r="W164" s="11">
        <f t="shared" si="77"/>
        <v>-6971.254922560277</v>
      </c>
      <c r="X164" s="11">
        <f t="shared" si="78"/>
        <v>-892.21388071821627</v>
      </c>
      <c r="Y164" s="11">
        <f t="shared" si="79"/>
        <v>2246.3460347036639</v>
      </c>
      <c r="Z164" s="11">
        <f t="shared" si="80"/>
        <v>-2605.5403356905326</v>
      </c>
      <c r="AA164" s="11">
        <f t="shared" si="81"/>
        <v>338.69897184154422</v>
      </c>
      <c r="AB164" s="11">
        <f t="shared" si="82"/>
        <v>2685.2347986488703</v>
      </c>
      <c r="AC164" s="11">
        <f t="shared" si="83"/>
        <v>346.40356311559617</v>
      </c>
      <c r="AD164" s="11">
        <f t="shared" si="84"/>
        <v>7488.7873473411273</v>
      </c>
      <c r="AE164" s="11">
        <f t="shared" si="85"/>
        <v>8026.599097307907</v>
      </c>
      <c r="AF164" s="11">
        <f t="shared" si="86"/>
        <v>-3425.2068719933845</v>
      </c>
      <c r="AG164" s="11">
        <f t="shared" si="87"/>
        <v>-2764.2218910675133</v>
      </c>
      <c r="AH164" s="11">
        <f t="shared" si="88"/>
        <v>-3832.5199941004271</v>
      </c>
      <c r="AI164" s="11">
        <f t="shared" si="89"/>
        <v>748.38042262585611</v>
      </c>
      <c r="AJ164" s="11">
        <f t="shared" si="90"/>
        <v>3086.9581517945649</v>
      </c>
      <c r="AK164" s="11">
        <f t="shared" si="91"/>
        <v>-5139.0849451043941</v>
      </c>
      <c r="AL164" s="11">
        <f t="shared" si="92"/>
        <v>2222.6888262417701</v>
      </c>
      <c r="AM164" s="11">
        <f t="shared" si="93"/>
        <v>3973.4348461902678</v>
      </c>
      <c r="AN164" s="11">
        <f t="shared" si="94"/>
        <v>5712.5232198858685</v>
      </c>
      <c r="AO164" s="11">
        <f t="shared" si="95"/>
        <v>-6204.6024119076228</v>
      </c>
      <c r="AP164" s="11">
        <f t="shared" si="96"/>
        <v>3272.5321099771213</v>
      </c>
      <c r="AQ164" s="11">
        <f t="shared" si="97"/>
        <v>-1772.378407834394</v>
      </c>
      <c r="AR164" s="11">
        <f t="shared" si="98"/>
        <v>-1541.8301352292031</v>
      </c>
      <c r="AS164" s="11">
        <f t="shared" si="99"/>
        <v>8377.089446003105</v>
      </c>
      <c r="AT164" s="11">
        <f t="shared" si="100"/>
        <v>2022.8726550644346</v>
      </c>
      <c r="AU164" s="11">
        <f t="shared" si="101"/>
        <v>1137.4781117056757</v>
      </c>
      <c r="AV164" s="11">
        <f t="shared" si="102"/>
        <v>258.43705102034528</v>
      </c>
      <c r="AW164" s="11">
        <f t="shared" si="103"/>
        <v>-738.59454201708229</v>
      </c>
      <c r="AX164" s="11">
        <f t="shared" si="104"/>
        <v>-2571.1974472401271</v>
      </c>
      <c r="AY164" s="11">
        <f t="shared" si="105"/>
        <v>-8188.8143536304451</v>
      </c>
      <c r="AZ164" s="11">
        <f t="shared" si="106"/>
        <v>8293.7587739748906</v>
      </c>
      <c r="BA164" s="11">
        <f t="shared" si="107"/>
        <v>-6843.0308407785915</v>
      </c>
      <c r="BB164" s="11">
        <f t="shared" si="108"/>
        <v>4489.7004250635346</v>
      </c>
      <c r="BC164" s="11">
        <f t="shared" si="109"/>
        <v>-5830.7955849489545</v>
      </c>
      <c r="BD164" s="11">
        <f t="shared" si="110"/>
        <v>-5921.9298418151438</v>
      </c>
      <c r="BE164" s="11">
        <f t="shared" si="111"/>
        <v>-6011.685382550816</v>
      </c>
      <c r="BF164" s="11">
        <f t="shared" si="112"/>
        <v>-6100.0413106873675</v>
      </c>
      <c r="BG164" s="11">
        <f t="shared" si="113"/>
        <v>-6186.9770556133208</v>
      </c>
      <c r="BH164" s="11">
        <f t="shared" si="114"/>
        <v>-6272.4723773517044</v>
      </c>
      <c r="BI164" s="11">
        <f t="shared" si="115"/>
        <v>-6356.5073712727153</v>
      </c>
      <c r="BJ164" s="11">
        <f t="shared" si="116"/>
        <v>-6439.0624727514623</v>
      </c>
      <c r="BK164" s="11">
        <f t="shared" si="117"/>
        <v>729.13015298090272</v>
      </c>
    </row>
    <row r="165" spans="6:63" x14ac:dyDescent="0.25">
      <c r="F165">
        <v>-8379</v>
      </c>
      <c r="I165" s="11">
        <f t="shared" si="63"/>
        <v>-12488.807613846544</v>
      </c>
      <c r="J165" s="11">
        <f t="shared" si="64"/>
        <v>-17156.180798188001</v>
      </c>
      <c r="K165" s="11">
        <f t="shared" si="65"/>
        <v>-7147.0511745761278</v>
      </c>
      <c r="L165" s="11">
        <f t="shared" si="66"/>
        <v>15611.600729794787</v>
      </c>
      <c r="M165" s="11">
        <f t="shared" si="67"/>
        <v>-16430.497876198038</v>
      </c>
      <c r="N165" s="11">
        <f t="shared" si="68"/>
        <v>-2645.1931246293843</v>
      </c>
      <c r="O165" s="11">
        <f t="shared" si="69"/>
        <v>8197.6027341605459</v>
      </c>
      <c r="P165" s="11">
        <f t="shared" si="70"/>
        <v>12115.292730384952</v>
      </c>
      <c r="Q165" s="11">
        <f t="shared" si="71"/>
        <v>-16672.020136291536</v>
      </c>
      <c r="R165" s="11">
        <f t="shared" si="72"/>
        <v>16806.85296913721</v>
      </c>
      <c r="S165" s="11">
        <f t="shared" si="73"/>
        <v>-11486.951992590264</v>
      </c>
      <c r="T165" s="11">
        <f t="shared" si="74"/>
        <v>11614.305717454534</v>
      </c>
      <c r="U165" s="11">
        <f t="shared" si="75"/>
        <v>4416.0589671648631</v>
      </c>
      <c r="V165" s="11">
        <f t="shared" si="76"/>
        <v>8162.0893647460234</v>
      </c>
      <c r="W165" s="11">
        <f t="shared" si="77"/>
        <v>-9698.2808522825944</v>
      </c>
      <c r="X165" s="11">
        <f t="shared" si="78"/>
        <v>-15549.765153882743</v>
      </c>
      <c r="Y165" s="11">
        <f t="shared" si="79"/>
        <v>-3107.6127072207996</v>
      </c>
      <c r="Z165" s="11">
        <f t="shared" si="80"/>
        <v>-12665.878347019894</v>
      </c>
      <c r="AA165" s="11">
        <f t="shared" si="81"/>
        <v>10282.570333941567</v>
      </c>
      <c r="AB165" s="11">
        <f t="shared" si="82"/>
        <v>14222.693126437638</v>
      </c>
      <c r="AC165" s="11">
        <f t="shared" si="83"/>
        <v>-16684.200932555523</v>
      </c>
      <c r="AD165" s="11">
        <f t="shared" si="84"/>
        <v>-16568.228043725299</v>
      </c>
      <c r="AE165" s="11">
        <f t="shared" si="85"/>
        <v>-5371.3359070964989</v>
      </c>
      <c r="AF165" s="11">
        <f t="shared" si="86"/>
        <v>16101.41607148927</v>
      </c>
      <c r="AG165" s="11">
        <f t="shared" si="87"/>
        <v>6713.0778769548897</v>
      </c>
      <c r="AH165" s="11">
        <f t="shared" si="88"/>
        <v>16541.086544503549</v>
      </c>
      <c r="AI165" s="11">
        <f t="shared" si="89"/>
        <v>-12416.086959769647</v>
      </c>
      <c r="AJ165" s="11">
        <f t="shared" si="90"/>
        <v>-6227.6570414364169</v>
      </c>
      <c r="AK165" s="11">
        <f t="shared" si="91"/>
        <v>7293.9221461388115</v>
      </c>
      <c r="AL165" s="11">
        <f t="shared" si="92"/>
        <v>9438.4632090064879</v>
      </c>
      <c r="AM165" s="11">
        <f t="shared" si="93"/>
        <v>-6638.1625716069339</v>
      </c>
      <c r="AN165" s="11">
        <f t="shared" si="94"/>
        <v>10449.467042390546</v>
      </c>
      <c r="AO165" s="11">
        <f t="shared" si="95"/>
        <v>-4090.5960857754822</v>
      </c>
      <c r="AP165" s="11">
        <f t="shared" si="96"/>
        <v>2618.7402819781942</v>
      </c>
      <c r="AQ165" s="11">
        <f t="shared" si="97"/>
        <v>8317.0220292312533</v>
      </c>
      <c r="AR165" s="11">
        <f t="shared" si="98"/>
        <v>6707.9425627398296</v>
      </c>
      <c r="AS165" s="11">
        <f t="shared" si="99"/>
        <v>1547.4291589962033</v>
      </c>
      <c r="AT165" s="11">
        <f t="shared" si="100"/>
        <v>2993.739212827451</v>
      </c>
      <c r="AU165" s="11">
        <f t="shared" si="101"/>
        <v>-16527.311364061814</v>
      </c>
      <c r="AV165" s="11">
        <f t="shared" si="102"/>
        <v>-1865.9927628414143</v>
      </c>
      <c r="AW165" s="11">
        <f t="shared" si="103"/>
        <v>16560.624888381928</v>
      </c>
      <c r="AX165" s="11">
        <f t="shared" si="104"/>
        <v>-15705.138592192821</v>
      </c>
      <c r="AY165" s="11">
        <f t="shared" si="105"/>
        <v>13904.42163560593</v>
      </c>
      <c r="AZ165" s="11">
        <f t="shared" si="106"/>
        <v>12286.669898967875</v>
      </c>
      <c r="BA165" s="11">
        <f t="shared" si="107"/>
        <v>-16694.112288654858</v>
      </c>
      <c r="BB165" s="11">
        <f t="shared" si="108"/>
        <v>-4197.568371909103</v>
      </c>
      <c r="BC165" s="11">
        <f t="shared" si="109"/>
        <v>-9598.0322895119225</v>
      </c>
      <c r="BD165" s="11">
        <f t="shared" si="110"/>
        <v>-6239.7743326200061</v>
      </c>
      <c r="BE165" s="11">
        <f t="shared" si="111"/>
        <v>-2552.9687689864477</v>
      </c>
      <c r="BF165" s="11">
        <f t="shared" si="112"/>
        <v>1268.2598911252994</v>
      </c>
      <c r="BG165" s="11">
        <f t="shared" si="113"/>
        <v>5022.709272231833</v>
      </c>
      <c r="BH165" s="11">
        <f t="shared" si="114"/>
        <v>8512.6932119883804</v>
      </c>
      <c r="BI165" s="11">
        <f t="shared" si="115"/>
        <v>11554.450696014506</v>
      </c>
      <c r="BJ165" s="11">
        <f t="shared" si="116"/>
        <v>13987.82157869044</v>
      </c>
      <c r="BK165" s="11">
        <f t="shared" si="117"/>
        <v>-12795.936230677136</v>
      </c>
    </row>
    <row r="166" spans="6:63" x14ac:dyDescent="0.25">
      <c r="F166">
        <v>-16675</v>
      </c>
      <c r="I166" s="11">
        <f t="shared" si="63"/>
        <v>11050.514935487277</v>
      </c>
      <c r="J166" s="11">
        <f t="shared" si="64"/>
        <v>9812.6868438841866</v>
      </c>
      <c r="K166" s="11">
        <f t="shared" si="65"/>
        <v>-12495.323531276297</v>
      </c>
      <c r="L166" s="11">
        <f t="shared" si="66"/>
        <v>-12744.23999964219</v>
      </c>
      <c r="M166" s="11">
        <f t="shared" si="67"/>
        <v>766.2400865115751</v>
      </c>
      <c r="N166" s="11">
        <f t="shared" si="68"/>
        <v>1944.8348796135513</v>
      </c>
      <c r="O166" s="11">
        <f t="shared" si="69"/>
        <v>3364.583827828043</v>
      </c>
      <c r="P166" s="11">
        <f t="shared" si="70"/>
        <v>7065.5273661586962</v>
      </c>
      <c r="Q166" s="11">
        <f t="shared" si="71"/>
        <v>-5905.8050742841842</v>
      </c>
      <c r="R166" s="11">
        <f t="shared" si="72"/>
        <v>-405.29064794194545</v>
      </c>
      <c r="S166" s="11">
        <f t="shared" si="73"/>
        <v>-3039.8929788462119</v>
      </c>
      <c r="T166" s="11">
        <f t="shared" si="74"/>
        <v>-12968.949046199959</v>
      </c>
      <c r="U166" s="11">
        <f t="shared" si="75"/>
        <v>-12351.814714357772</v>
      </c>
      <c r="V166" s="11">
        <f t="shared" si="76"/>
        <v>-13132.261658492751</v>
      </c>
      <c r="W166" s="11">
        <f t="shared" si="77"/>
        <v>-12225.708666122257</v>
      </c>
      <c r="X166" s="11">
        <f t="shared" si="78"/>
        <v>13111.289098016479</v>
      </c>
      <c r="Y166" s="11">
        <f t="shared" si="79"/>
        <v>4817.9712166095333</v>
      </c>
      <c r="Z166" s="11">
        <f t="shared" si="80"/>
        <v>-14498.116974458942</v>
      </c>
      <c r="AA166" s="11">
        <f t="shared" si="81"/>
        <v>-8551.2534463320426</v>
      </c>
      <c r="AB166" s="11">
        <f t="shared" si="82"/>
        <v>9104.996271917893</v>
      </c>
      <c r="AC166" s="11">
        <f t="shared" si="83"/>
        <v>-3140.887334439723</v>
      </c>
      <c r="AD166" s="11">
        <f t="shared" si="84"/>
        <v>6814.0707388180099</v>
      </c>
      <c r="AE166" s="11">
        <f t="shared" si="85"/>
        <v>-12780.287442871482</v>
      </c>
      <c r="AF166" s="11">
        <f t="shared" si="86"/>
        <v>10061.818494285904</v>
      </c>
      <c r="AG166" s="11">
        <f t="shared" si="87"/>
        <v>4337.7990576216844</v>
      </c>
      <c r="AH166" s="11">
        <f t="shared" si="88"/>
        <v>11164.113938686323</v>
      </c>
      <c r="AI166" s="11">
        <f t="shared" si="89"/>
        <v>-9969.5251148214138</v>
      </c>
      <c r="AJ166" s="11">
        <f t="shared" si="90"/>
        <v>-10294.277077912902</v>
      </c>
      <c r="AK166" s="11">
        <f t="shared" si="91"/>
        <v>-12802.133287231234</v>
      </c>
      <c r="AL166" s="11">
        <f t="shared" si="92"/>
        <v>-12123.779789018969</v>
      </c>
      <c r="AM166" s="11">
        <f t="shared" si="93"/>
        <v>922.50594094519693</v>
      </c>
      <c r="AN166" s="11">
        <f t="shared" si="94"/>
        <v>1380.1878334763296</v>
      </c>
      <c r="AO166" s="11">
        <f t="shared" si="95"/>
        <v>12810.599151758259</v>
      </c>
      <c r="AP166" s="11">
        <f t="shared" si="96"/>
        <v>7815.6618584015405</v>
      </c>
      <c r="AQ166" s="11">
        <f t="shared" si="97"/>
        <v>10053.027372229675</v>
      </c>
      <c r="AR166" s="11">
        <f t="shared" si="98"/>
        <v>3288.4809700288665</v>
      </c>
      <c r="AS166" s="11">
        <f t="shared" si="99"/>
        <v>8198.6850041268463</v>
      </c>
      <c r="AT166" s="11">
        <f t="shared" si="100"/>
        <v>-12658.644144117648</v>
      </c>
      <c r="AU166" s="11">
        <f t="shared" si="101"/>
        <v>4793.3661650463819</v>
      </c>
      <c r="AV166" s="11">
        <f t="shared" si="102"/>
        <v>9784.7909981498324</v>
      </c>
      <c r="AW166" s="11">
        <f t="shared" si="103"/>
        <v>-5550.0640319538143</v>
      </c>
      <c r="AX166" s="11">
        <f t="shared" si="104"/>
        <v>6655.5041802060541</v>
      </c>
      <c r="AY166" s="11">
        <f t="shared" si="105"/>
        <v>12091.555344655419</v>
      </c>
      <c r="AZ166" s="11">
        <f t="shared" si="106"/>
        <v>4341.2943102947402</v>
      </c>
      <c r="BA166" s="11">
        <f t="shared" si="107"/>
        <v>-10228.698424171411</v>
      </c>
      <c r="BB166" s="11">
        <f t="shared" si="108"/>
        <v>-10957.385272847823</v>
      </c>
      <c r="BC166" s="11">
        <f t="shared" si="109"/>
        <v>3843.0419995844318</v>
      </c>
      <c r="BD166" s="11">
        <f t="shared" si="110"/>
        <v>-4179.6516053337036</v>
      </c>
      <c r="BE166" s="11">
        <f t="shared" si="111"/>
        <v>-10566.116677983931</v>
      </c>
      <c r="BF166" s="11">
        <f t="shared" si="112"/>
        <v>-12816.214608129783</v>
      </c>
      <c r="BG166" s="11">
        <f t="shared" si="113"/>
        <v>-10049.089787888428</v>
      </c>
      <c r="BH166" s="11">
        <f t="shared" si="114"/>
        <v>-3348.0019817286238</v>
      </c>
      <c r="BI166" s="11">
        <f t="shared" si="115"/>
        <v>4663.7426236727943</v>
      </c>
      <c r="BJ166" s="11">
        <f t="shared" si="116"/>
        <v>10849.749362324512</v>
      </c>
      <c r="BK166" s="11">
        <f t="shared" si="117"/>
        <v>-10700.330744936833</v>
      </c>
    </row>
    <row r="167" spans="6:63" x14ac:dyDescent="0.25">
      <c r="F167">
        <v>-12831</v>
      </c>
      <c r="I167" s="11">
        <f t="shared" si="63"/>
        <v>8048.0626852798869</v>
      </c>
      <c r="J167" s="11">
        <f t="shared" si="64"/>
        <v>8159.7933718746735</v>
      </c>
      <c r="K167" s="11">
        <f t="shared" si="65"/>
        <v>8621.1085683197543</v>
      </c>
      <c r="L167" s="11">
        <f t="shared" si="66"/>
        <v>-7553.9444298893068</v>
      </c>
      <c r="M167" s="11">
        <f t="shared" si="67"/>
        <v>-2728.6437419053455</v>
      </c>
      <c r="N167" s="11">
        <f t="shared" si="68"/>
        <v>-9350.9679229312042</v>
      </c>
      <c r="O167" s="11">
        <f t="shared" si="69"/>
        <v>-10439.642028326043</v>
      </c>
      <c r="P167" s="11">
        <f t="shared" si="70"/>
        <v>1947.2984887766409</v>
      </c>
      <c r="Q167" s="11">
        <f t="shared" si="71"/>
        <v>5389.0434886935727</v>
      </c>
      <c r="R167" s="11">
        <f t="shared" si="72"/>
        <v>10415.707933706568</v>
      </c>
      <c r="S167" s="11">
        <f t="shared" si="73"/>
        <v>1637.085458550511</v>
      </c>
      <c r="T167" s="11">
        <f t="shared" si="74"/>
        <v>6165.0165538065376</v>
      </c>
      <c r="U167" s="11">
        <f t="shared" si="75"/>
        <v>7828.0245280284726</v>
      </c>
      <c r="V167" s="11">
        <f t="shared" si="76"/>
        <v>-358.79575579576226</v>
      </c>
      <c r="W167" s="11">
        <f t="shared" si="77"/>
        <v>-10424.351496059835</v>
      </c>
      <c r="X167" s="11">
        <f t="shared" si="78"/>
        <v>-6740.2287850547682</v>
      </c>
      <c r="Y167" s="11">
        <f t="shared" si="79"/>
        <v>-914.81117960602546</v>
      </c>
      <c r="Z167" s="11">
        <f t="shared" si="80"/>
        <v>-9924.1703074256893</v>
      </c>
      <c r="AA167" s="11">
        <f t="shared" si="81"/>
        <v>-10198.123851857315</v>
      </c>
      <c r="AB167" s="11">
        <f t="shared" si="82"/>
        <v>5537.1288151393528</v>
      </c>
      <c r="AC167" s="11">
        <f t="shared" si="83"/>
        <v>-9992.737820148106</v>
      </c>
      <c r="AD167" s="11">
        <f t="shared" si="84"/>
        <v>79.3968086203339</v>
      </c>
      <c r="AE167" s="11">
        <f t="shared" si="85"/>
        <v>5281.0305550123576</v>
      </c>
      <c r="AF167" s="11">
        <f t="shared" si="86"/>
        <v>-182.91702119484546</v>
      </c>
      <c r="AG167" s="11">
        <f t="shared" si="87"/>
        <v>9284.7436476182502</v>
      </c>
      <c r="AH167" s="11">
        <f t="shared" si="88"/>
        <v>-9402.0113301012407</v>
      </c>
      <c r="AI167" s="11">
        <f t="shared" si="89"/>
        <v>10420.711632574817</v>
      </c>
      <c r="AJ167" s="11">
        <f t="shared" si="90"/>
        <v>-10369.78216520786</v>
      </c>
      <c r="AK167" s="11">
        <f t="shared" si="91"/>
        <v>10345.854854003042</v>
      </c>
      <c r="AL167" s="11">
        <f t="shared" si="92"/>
        <v>8981.2289346095913</v>
      </c>
      <c r="AM167" s="11">
        <f t="shared" si="93"/>
        <v>-7718.0875804627331</v>
      </c>
      <c r="AN167" s="11">
        <f t="shared" si="94"/>
        <v>10117.025307039961</v>
      </c>
      <c r="AO167" s="11">
        <f t="shared" si="95"/>
        <v>8003.756667308875</v>
      </c>
      <c r="AP167" s="11">
        <f t="shared" si="96"/>
        <v>4174.9031591364883</v>
      </c>
      <c r="AQ167" s="11">
        <f t="shared" si="97"/>
        <v>-5636.8950004626931</v>
      </c>
      <c r="AR167" s="11">
        <f t="shared" si="98"/>
        <v>-3482.1291397973337</v>
      </c>
      <c r="AS167" s="11">
        <f t="shared" si="99"/>
        <v>8925.8241918139029</v>
      </c>
      <c r="AT167" s="11">
        <f t="shared" si="100"/>
        <v>8707.867807106235</v>
      </c>
      <c r="AU167" s="11">
        <f t="shared" si="101"/>
        <v>8327.0261076515271</v>
      </c>
      <c r="AV167" s="11">
        <f t="shared" si="102"/>
        <v>6925.921823358638</v>
      </c>
      <c r="AW167" s="11">
        <f t="shared" si="103"/>
        <v>10127.6807159417</v>
      </c>
      <c r="AX167" s="11">
        <f t="shared" si="104"/>
        <v>10384.891421880066</v>
      </c>
      <c r="AY167" s="11">
        <f t="shared" si="105"/>
        <v>-9376.8089690667675</v>
      </c>
      <c r="AZ167" s="11">
        <f t="shared" si="106"/>
        <v>-2630.5647217356423</v>
      </c>
      <c r="BA167" s="11">
        <f t="shared" si="107"/>
        <v>-3448.5142010703339</v>
      </c>
      <c r="BB167" s="11">
        <f t="shared" si="108"/>
        <v>6812.5548255489603</v>
      </c>
      <c r="BC167" s="11">
        <f t="shared" si="109"/>
        <v>1544.8939583055906</v>
      </c>
      <c r="BD167" s="11">
        <f t="shared" si="110"/>
        <v>-6989.855050959427</v>
      </c>
      <c r="BE167" s="11">
        <f t="shared" si="111"/>
        <v>-10434.920749569254</v>
      </c>
      <c r="BF167" s="11">
        <f t="shared" si="112"/>
        <v>-6281.768516627415</v>
      </c>
      <c r="BG167" s="11">
        <f t="shared" si="113"/>
        <v>2445.4717549827528</v>
      </c>
      <c r="BH167" s="11">
        <f t="shared" si="114"/>
        <v>9392.0346466819483</v>
      </c>
      <c r="BI167" s="11">
        <f t="shared" si="115"/>
        <v>9499.7601596435106</v>
      </c>
      <c r="BJ167" s="11">
        <f t="shared" si="116"/>
        <v>2690.2076478840354</v>
      </c>
      <c r="BK167" s="11">
        <f t="shared" si="117"/>
        <v>10233.737080190816</v>
      </c>
    </row>
    <row r="168" spans="6:63" x14ac:dyDescent="0.25">
      <c r="F168">
        <v>-10445</v>
      </c>
      <c r="I168" s="11">
        <f t="shared" si="63"/>
        <v>11095.014851928348</v>
      </c>
      <c r="J168" s="11">
        <f t="shared" si="64"/>
        <v>5218.8050504119055</v>
      </c>
      <c r="K168" s="11">
        <f t="shared" si="65"/>
        <v>4250.9600047820813</v>
      </c>
      <c r="L168" s="11">
        <f t="shared" si="66"/>
        <v>-3701.5279087200051</v>
      </c>
      <c r="M168" s="11">
        <f t="shared" si="67"/>
        <v>7772.6986881128278</v>
      </c>
      <c r="N168" s="11">
        <f t="shared" si="68"/>
        <v>-10502.843489324792</v>
      </c>
      <c r="O168" s="11">
        <f t="shared" si="69"/>
        <v>-10412.924605908036</v>
      </c>
      <c r="P168" s="11">
        <f t="shared" si="70"/>
        <v>7027.9256676481282</v>
      </c>
      <c r="Q168" s="11">
        <f t="shared" si="71"/>
        <v>-11366.302771542852</v>
      </c>
      <c r="R168" s="11">
        <f t="shared" si="72"/>
        <v>-11649.371591923169</v>
      </c>
      <c r="S168" s="11">
        <f t="shared" si="73"/>
        <v>10793.997450223422</v>
      </c>
      <c r="T168" s="11">
        <f t="shared" si="74"/>
        <v>-7072.0917854502341</v>
      </c>
      <c r="U168" s="11">
        <f t="shared" si="75"/>
        <v>-5943.3017656448019</v>
      </c>
      <c r="V168" s="11">
        <f t="shared" si="76"/>
        <v>-11452.583465111178</v>
      </c>
      <c r="W168" s="11">
        <f t="shared" si="77"/>
        <v>-5145.5435026705809</v>
      </c>
      <c r="X168" s="11">
        <f t="shared" si="78"/>
        <v>9231.8872004787172</v>
      </c>
      <c r="Y168" s="11">
        <f t="shared" si="79"/>
        <v>-5121.0832026246389</v>
      </c>
      <c r="Z168" s="11">
        <f t="shared" si="80"/>
        <v>6781.0405150594488</v>
      </c>
      <c r="AA168" s="11">
        <f t="shared" si="81"/>
        <v>11540.866597273902</v>
      </c>
      <c r="AB168" s="11">
        <f t="shared" si="82"/>
        <v>1090.1299047918715</v>
      </c>
      <c r="AC168" s="11">
        <f t="shared" si="83"/>
        <v>11387.604842706989</v>
      </c>
      <c r="AD168" s="11">
        <f t="shared" si="84"/>
        <v>-9287.6953048255855</v>
      </c>
      <c r="AE168" s="11">
        <f t="shared" si="85"/>
        <v>-605.80100516311199</v>
      </c>
      <c r="AF168" s="11">
        <f t="shared" si="86"/>
        <v>-8555.3525656548063</v>
      </c>
      <c r="AG168" s="11">
        <f t="shared" si="87"/>
        <v>-4777.8796416104569</v>
      </c>
      <c r="AH168" s="11">
        <f t="shared" si="88"/>
        <v>1970.6578659368108</v>
      </c>
      <c r="AI168" s="11">
        <f t="shared" si="89"/>
        <v>-11296.197366774524</v>
      </c>
      <c r="AJ168" s="11">
        <f t="shared" si="90"/>
        <v>9382.3587874510195</v>
      </c>
      <c r="AK168" s="11">
        <f t="shared" si="91"/>
        <v>-4409.2673778413773</v>
      </c>
      <c r="AL168" s="11">
        <f t="shared" si="92"/>
        <v>-11649.992118626051</v>
      </c>
      <c r="AM168" s="11">
        <f t="shared" si="93"/>
        <v>-1817.6924071020755</v>
      </c>
      <c r="AN168" s="11">
        <f t="shared" si="94"/>
        <v>2095.0211057703818</v>
      </c>
      <c r="AO168" s="11">
        <f t="shared" si="95"/>
        <v>-6587.2718302834792</v>
      </c>
      <c r="AP168" s="11">
        <f t="shared" si="96"/>
        <v>-10914.990372233829</v>
      </c>
      <c r="AQ168" s="11">
        <f t="shared" si="97"/>
        <v>1669.2404027108762</v>
      </c>
      <c r="AR168" s="11">
        <f t="shared" si="98"/>
        <v>-352.33286765260107</v>
      </c>
      <c r="AS168" s="11">
        <f t="shared" si="99"/>
        <v>9688.1383849504546</v>
      </c>
      <c r="AT168" s="11">
        <f t="shared" si="100"/>
        <v>-11594.802665808265</v>
      </c>
      <c r="AU168" s="11">
        <f t="shared" si="101"/>
        <v>-10837.157448097518</v>
      </c>
      <c r="AV168" s="11">
        <f t="shared" si="102"/>
        <v>-8247.9280854072476</v>
      </c>
      <c r="AW168" s="11">
        <f t="shared" si="103"/>
        <v>-10620.078488574234</v>
      </c>
      <c r="AX168" s="11">
        <f t="shared" si="104"/>
        <v>-10130.553258117172</v>
      </c>
      <c r="AY168" s="11">
        <f t="shared" si="105"/>
        <v>-11645.010971341155</v>
      </c>
      <c r="AZ168" s="11">
        <f t="shared" si="106"/>
        <v>-5990.828887730645</v>
      </c>
      <c r="BA168" s="11">
        <f t="shared" si="107"/>
        <v>-11649.90545984215</v>
      </c>
      <c r="BB168" s="11">
        <f t="shared" si="108"/>
        <v>-11225.742463460585</v>
      </c>
      <c r="BC168" s="11">
        <f t="shared" si="109"/>
        <v>-11570.419682426802</v>
      </c>
      <c r="BD168" s="11">
        <f t="shared" si="110"/>
        <v>-8649.1665834107662</v>
      </c>
      <c r="BE168" s="11">
        <f t="shared" si="111"/>
        <v>167.78644001396057</v>
      </c>
      <c r="BF168" s="11">
        <f t="shared" si="112"/>
        <v>8870.3679234565061</v>
      </c>
      <c r="BG168" s="11">
        <f t="shared" si="113"/>
        <v>11526.467703551318</v>
      </c>
      <c r="BH168" s="11">
        <f t="shared" si="114"/>
        <v>6325.5567401258613</v>
      </c>
      <c r="BI168" s="11">
        <f t="shared" si="115"/>
        <v>-3187.1667008463687</v>
      </c>
      <c r="BJ168" s="11">
        <f t="shared" si="116"/>
        <v>-10527.359609978443</v>
      </c>
      <c r="BK168" s="11">
        <f t="shared" si="117"/>
        <v>-10837.311301389676</v>
      </c>
    </row>
    <row r="169" spans="6:63" x14ac:dyDescent="0.25">
      <c r="F169">
        <v>-11650</v>
      </c>
      <c r="I169" s="11">
        <f t="shared" si="63"/>
        <v>-11563.756600397064</v>
      </c>
      <c r="J169" s="11">
        <f t="shared" si="64"/>
        <v>13187.417757233217</v>
      </c>
      <c r="K169" s="11">
        <f t="shared" si="65"/>
        <v>-14147.402824300658</v>
      </c>
      <c r="L169" s="11">
        <f t="shared" si="66"/>
        <v>-13038.920830446679</v>
      </c>
      <c r="M169" s="11">
        <f t="shared" si="67"/>
        <v>8762.3917303114158</v>
      </c>
      <c r="N169" s="11">
        <f t="shared" si="68"/>
        <v>13677.531425908403</v>
      </c>
      <c r="O169" s="11">
        <f t="shared" si="69"/>
        <v>7321.243578608397</v>
      </c>
      <c r="P169" s="11">
        <f t="shared" si="70"/>
        <v>11033.928768923623</v>
      </c>
      <c r="Q169" s="11">
        <f t="shared" si="71"/>
        <v>-13960.021211073203</v>
      </c>
      <c r="R169" s="11">
        <f t="shared" si="72"/>
        <v>1800.6582768387434</v>
      </c>
      <c r="S169" s="11">
        <f t="shared" si="73"/>
        <v>3508.7732333469467</v>
      </c>
      <c r="T169" s="11">
        <f t="shared" si="74"/>
        <v>3717.9752208573086</v>
      </c>
      <c r="U169" s="11">
        <f t="shared" si="75"/>
        <v>-10420.353727499018</v>
      </c>
      <c r="V169" s="11">
        <f t="shared" si="76"/>
        <v>-12616.162140469982</v>
      </c>
      <c r="W169" s="11">
        <f t="shared" si="77"/>
        <v>-14351.242875301979</v>
      </c>
      <c r="X169" s="11">
        <f t="shared" si="78"/>
        <v>13753.977332840303</v>
      </c>
      <c r="Y169" s="11">
        <f t="shared" si="79"/>
        <v>12791.033420719901</v>
      </c>
      <c r="Z169" s="11">
        <f t="shared" si="80"/>
        <v>-1067.2903522081665</v>
      </c>
      <c r="AA169" s="11">
        <f t="shared" si="81"/>
        <v>8483.7291624583358</v>
      </c>
      <c r="AB169" s="11">
        <f t="shared" si="82"/>
        <v>-12183.417003088985</v>
      </c>
      <c r="AC169" s="11">
        <f t="shared" si="83"/>
        <v>-8229.4722040232627</v>
      </c>
      <c r="AD169" s="11">
        <f t="shared" si="84"/>
        <v>-192.06212353737902</v>
      </c>
      <c r="AE169" s="11">
        <f t="shared" si="85"/>
        <v>-13681.117189915465</v>
      </c>
      <c r="AF169" s="11">
        <f t="shared" si="86"/>
        <v>-14297.841026374292</v>
      </c>
      <c r="AG169" s="11">
        <f t="shared" si="87"/>
        <v>9513.7378936265977</v>
      </c>
      <c r="AH169" s="11">
        <f t="shared" si="88"/>
        <v>-4112.9051139709645</v>
      </c>
      <c r="AI169" s="11">
        <f t="shared" si="89"/>
        <v>2953.6354999225696</v>
      </c>
      <c r="AJ169" s="11">
        <f t="shared" si="90"/>
        <v>2690.2042671758263</v>
      </c>
      <c r="AK169" s="11">
        <f t="shared" si="91"/>
        <v>14308.938441435552</v>
      </c>
      <c r="AL169" s="11">
        <f t="shared" si="92"/>
        <v>-10383.699668155239</v>
      </c>
      <c r="AM169" s="11">
        <f t="shared" si="93"/>
        <v>13900.423883065672</v>
      </c>
      <c r="AN169" s="11">
        <f t="shared" si="94"/>
        <v>3449.1681780427039</v>
      </c>
      <c r="AO169" s="11">
        <f t="shared" si="95"/>
        <v>9147.5966592541208</v>
      </c>
      <c r="AP169" s="11">
        <f t="shared" si="96"/>
        <v>13850.85871118087</v>
      </c>
      <c r="AQ169" s="11">
        <f t="shared" si="97"/>
        <v>-12620.825649160939</v>
      </c>
      <c r="AR169" s="11">
        <f t="shared" si="98"/>
        <v>-11634.101100959842</v>
      </c>
      <c r="AS169" s="11">
        <f t="shared" si="99"/>
        <v>9303.5474972474531</v>
      </c>
      <c r="AT169" s="11">
        <f t="shared" si="100"/>
        <v>9878.9958025287397</v>
      </c>
      <c r="AU169" s="11">
        <f t="shared" si="101"/>
        <v>-12622.780600669055</v>
      </c>
      <c r="AV169" s="11">
        <f t="shared" si="102"/>
        <v>-4099.0607349409365</v>
      </c>
      <c r="AW169" s="11">
        <f t="shared" si="103"/>
        <v>14221.60442743195</v>
      </c>
      <c r="AX169" s="11">
        <f t="shared" si="104"/>
        <v>-9966.5766810710102</v>
      </c>
      <c r="AY169" s="11">
        <f t="shared" si="105"/>
        <v>11485.83398317735</v>
      </c>
      <c r="AZ169" s="11">
        <f t="shared" si="106"/>
        <v>-11145.23701770148</v>
      </c>
      <c r="BA169" s="11">
        <f t="shared" si="107"/>
        <v>-3920.1524369155077</v>
      </c>
      <c r="BB169" s="11">
        <f t="shared" si="108"/>
        <v>-14378.788349405848</v>
      </c>
      <c r="BC169" s="11">
        <f t="shared" si="109"/>
        <v>9376.4300468359834</v>
      </c>
      <c r="BD169" s="11">
        <f t="shared" si="110"/>
        <v>11860.045740083722</v>
      </c>
      <c r="BE169" s="11">
        <f t="shared" si="111"/>
        <v>13555.28288614644</v>
      </c>
      <c r="BF169" s="11">
        <f t="shared" si="112"/>
        <v>14349.453167647504</v>
      </c>
      <c r="BG169" s="11">
        <f t="shared" si="113"/>
        <v>14189.765319987922</v>
      </c>
      <c r="BH169" s="11">
        <f t="shared" si="114"/>
        <v>13086.834350554605</v>
      </c>
      <c r="BI169" s="11">
        <f t="shared" si="115"/>
        <v>11113.975922251813</v>
      </c>
      <c r="BJ169" s="11">
        <f t="shared" si="116"/>
        <v>8402.3328059561045</v>
      </c>
      <c r="BK169" s="11">
        <f t="shared" si="117"/>
        <v>2400.6019377370662</v>
      </c>
    </row>
    <row r="170" spans="6:63" x14ac:dyDescent="0.25">
      <c r="F170">
        <v>14403</v>
      </c>
      <c r="I170" s="11">
        <f t="shared" si="63"/>
        <v>-4738.8968488600112</v>
      </c>
      <c r="J170" s="11">
        <f t="shared" si="64"/>
        <v>6270.1318024026486</v>
      </c>
      <c r="K170" s="11">
        <f t="shared" si="65"/>
        <v>-292.97232823894325</v>
      </c>
      <c r="L170" s="11">
        <f t="shared" si="66"/>
        <v>-959.55285212398712</v>
      </c>
      <c r="M170" s="11">
        <f t="shared" si="67"/>
        <v>-5943.2012206297541</v>
      </c>
      <c r="N170" s="11">
        <f t="shared" si="68"/>
        <v>-6412.2532726854097</v>
      </c>
      <c r="O170" s="11">
        <f t="shared" si="69"/>
        <v>5789.4916546565737</v>
      </c>
      <c r="P170" s="11">
        <f t="shared" si="70"/>
        <v>7004.1699634776596</v>
      </c>
      <c r="Q170" s="11">
        <f t="shared" si="71"/>
        <v>2821.5587836969612</v>
      </c>
      <c r="R170" s="11">
        <f t="shared" si="72"/>
        <v>7071.9583227120902</v>
      </c>
      <c r="S170" s="11">
        <f t="shared" si="73"/>
        <v>-7070.0505129111361</v>
      </c>
      <c r="T170" s="11">
        <f t="shared" si="74"/>
        <v>-247.33104544650936</v>
      </c>
      <c r="U170" s="11">
        <f t="shared" si="75"/>
        <v>-5492.1094119514455</v>
      </c>
      <c r="V170" s="11">
        <f t="shared" si="76"/>
        <v>-2893.9448176977257</v>
      </c>
      <c r="W170" s="11">
        <f t="shared" si="77"/>
        <v>-7280.5825190455989</v>
      </c>
      <c r="X170" s="11">
        <f t="shared" si="78"/>
        <v>6801.9232237238448</v>
      </c>
      <c r="Y170" s="11">
        <f t="shared" si="79"/>
        <v>-6987.9518953547422</v>
      </c>
      <c r="Z170" s="11">
        <f t="shared" si="80"/>
        <v>7882.5623712855731</v>
      </c>
      <c r="AA170" s="11">
        <f t="shared" si="81"/>
        <v>-6991.5945575005526</v>
      </c>
      <c r="AB170" s="11">
        <f t="shared" si="82"/>
        <v>-324.8401933117529</v>
      </c>
      <c r="AC170" s="11">
        <f t="shared" si="83"/>
        <v>-3662.7708873426673</v>
      </c>
      <c r="AD170" s="11">
        <f t="shared" si="84"/>
        <v>-1780.9793676175593</v>
      </c>
      <c r="AE170" s="11">
        <f t="shared" si="85"/>
        <v>1237.0579746700078</v>
      </c>
      <c r="AF170" s="11">
        <f t="shared" si="86"/>
        <v>-2962.5110245596029</v>
      </c>
      <c r="AG170" s="11">
        <f t="shared" si="87"/>
        <v>3972.8749055039998</v>
      </c>
      <c r="AH170" s="11">
        <f t="shared" si="88"/>
        <v>5950.6323436408829</v>
      </c>
      <c r="AI170" s="11">
        <f t="shared" si="89"/>
        <v>5184.1358953211502</v>
      </c>
      <c r="AJ170" s="11">
        <f t="shared" si="90"/>
        <v>4412.0235834051655</v>
      </c>
      <c r="AK170" s="11">
        <f t="shared" si="91"/>
        <v>5425.9824204942197</v>
      </c>
      <c r="AL170" s="11">
        <f t="shared" si="92"/>
        <v>457.97986044380855</v>
      </c>
      <c r="AM170" s="11">
        <f t="shared" si="93"/>
        <v>-6987.8942850973363</v>
      </c>
      <c r="AN170" s="11">
        <f t="shared" si="94"/>
        <v>6178.4442443948919</v>
      </c>
      <c r="AO170" s="11">
        <f t="shared" si="95"/>
        <v>-2634.6489818279961</v>
      </c>
      <c r="AP170" s="11">
        <f t="shared" si="96"/>
        <v>-6597.0607721967463</v>
      </c>
      <c r="AQ170" s="11">
        <f t="shared" si="97"/>
        <v>-5781.4601889649593</v>
      </c>
      <c r="AR170" s="11">
        <f t="shared" si="98"/>
        <v>6277.3224735268768</v>
      </c>
      <c r="AS170" s="11">
        <f t="shared" si="99"/>
        <v>-2151.9102804619047</v>
      </c>
      <c r="AT170" s="11">
        <f t="shared" si="100"/>
        <v>2596.5934511893161</v>
      </c>
      <c r="AU170" s="11">
        <f t="shared" si="101"/>
        <v>-2887.9092037089517</v>
      </c>
      <c r="AV170" s="11">
        <f t="shared" si="102"/>
        <v>3584.126377088834</v>
      </c>
      <c r="AW170" s="11">
        <f t="shared" si="103"/>
        <v>-1754.7625061128178</v>
      </c>
      <c r="AX170" s="11">
        <f t="shared" si="104"/>
        <v>-731.2919823396611</v>
      </c>
      <c r="AY170" s="11">
        <f t="shared" si="105"/>
        <v>6942.1391092228396</v>
      </c>
      <c r="AZ170" s="11">
        <f t="shared" si="106"/>
        <v>-1598.1695510496306</v>
      </c>
      <c r="BA170" s="11">
        <f t="shared" si="107"/>
        <v>-2115.2920225529579</v>
      </c>
      <c r="BB170" s="11">
        <f t="shared" si="108"/>
        <v>-6487.6517818391203</v>
      </c>
      <c r="BC170" s="11">
        <f t="shared" si="109"/>
        <v>3321.7854576216428</v>
      </c>
      <c r="BD170" s="11">
        <f t="shared" si="110"/>
        <v>5624.5938874892863</v>
      </c>
      <c r="BE170" s="11">
        <f t="shared" si="111"/>
        <v>6861.4280148137213</v>
      </c>
      <c r="BF170" s="11">
        <f t="shared" si="112"/>
        <v>6797.8829737726765</v>
      </c>
      <c r="BG170" s="11">
        <f t="shared" si="113"/>
        <v>5446.0020107795544</v>
      </c>
      <c r="BH170" s="11">
        <f t="shared" si="114"/>
        <v>3061.9940123789406</v>
      </c>
      <c r="BI170" s="11">
        <f t="shared" si="115"/>
        <v>97.676720037226787</v>
      </c>
      <c r="BJ170" s="11">
        <f t="shared" si="116"/>
        <v>-2885.1518716330961</v>
      </c>
      <c r="BK170" s="11">
        <f t="shared" si="117"/>
        <v>4860.246781837558</v>
      </c>
    </row>
    <row r="171" spans="6:63" x14ac:dyDescent="0.25">
      <c r="F171">
        <v>-7003</v>
      </c>
      <c r="I171" s="11">
        <f t="shared" si="63"/>
        <v>0</v>
      </c>
      <c r="J171" s="11">
        <f t="shared" si="64"/>
        <v>0</v>
      </c>
      <c r="K171" s="11">
        <f t="shared" si="65"/>
        <v>0</v>
      </c>
      <c r="L171" s="11">
        <f t="shared" si="66"/>
        <v>0</v>
      </c>
      <c r="M171" s="11">
        <f t="shared" si="67"/>
        <v>0</v>
      </c>
      <c r="N171" s="11">
        <f t="shared" si="68"/>
        <v>0</v>
      </c>
      <c r="O171" s="11">
        <f t="shared" si="69"/>
        <v>0</v>
      </c>
      <c r="P171" s="11">
        <f t="shared" si="70"/>
        <v>0</v>
      </c>
      <c r="Q171" s="11">
        <f t="shared" si="71"/>
        <v>0</v>
      </c>
      <c r="R171" s="11">
        <f t="shared" si="72"/>
        <v>0</v>
      </c>
      <c r="S171" s="11">
        <f t="shared" si="73"/>
        <v>0</v>
      </c>
      <c r="T171" s="11">
        <f t="shared" si="74"/>
        <v>0</v>
      </c>
      <c r="U171" s="11">
        <f t="shared" si="75"/>
        <v>0</v>
      </c>
      <c r="V171" s="11">
        <f t="shared" si="76"/>
        <v>0</v>
      </c>
      <c r="W171" s="11">
        <f t="shared" si="77"/>
        <v>0</v>
      </c>
      <c r="X171" s="11">
        <f t="shared" si="78"/>
        <v>0</v>
      </c>
      <c r="Y171" s="11">
        <f t="shared" si="79"/>
        <v>0</v>
      </c>
      <c r="Z171" s="11">
        <f t="shared" si="80"/>
        <v>0</v>
      </c>
      <c r="AA171" s="11">
        <f t="shared" si="81"/>
        <v>0</v>
      </c>
      <c r="AB171" s="11">
        <f t="shared" si="82"/>
        <v>0</v>
      </c>
      <c r="AC171" s="11">
        <f t="shared" si="83"/>
        <v>0</v>
      </c>
      <c r="AD171" s="11">
        <f t="shared" si="84"/>
        <v>0</v>
      </c>
      <c r="AE171" s="11">
        <f t="shared" si="85"/>
        <v>0</v>
      </c>
      <c r="AF171" s="11">
        <f t="shared" si="86"/>
        <v>0</v>
      </c>
      <c r="AG171" s="11">
        <f t="shared" si="87"/>
        <v>0</v>
      </c>
      <c r="AH171" s="11">
        <f t="shared" si="88"/>
        <v>0</v>
      </c>
      <c r="AI171" s="11">
        <f t="shared" si="89"/>
        <v>0</v>
      </c>
      <c r="AJ171" s="11">
        <f t="shared" si="90"/>
        <v>0</v>
      </c>
      <c r="AK171" s="11">
        <f t="shared" si="91"/>
        <v>0</v>
      </c>
      <c r="AL171" s="11">
        <f t="shared" si="92"/>
        <v>0</v>
      </c>
      <c r="AM171" s="11">
        <f t="shared" si="93"/>
        <v>0</v>
      </c>
      <c r="AN171" s="11">
        <f t="shared" si="94"/>
        <v>0</v>
      </c>
      <c r="AO171" s="11">
        <f t="shared" si="95"/>
        <v>0</v>
      </c>
      <c r="AP171" s="11">
        <f t="shared" si="96"/>
        <v>0</v>
      </c>
      <c r="AQ171" s="11">
        <f t="shared" si="97"/>
        <v>0</v>
      </c>
      <c r="AR171" s="11">
        <f t="shared" si="98"/>
        <v>0</v>
      </c>
      <c r="AS171" s="11">
        <f t="shared" si="99"/>
        <v>0</v>
      </c>
      <c r="AT171" s="11">
        <f t="shared" si="100"/>
        <v>0</v>
      </c>
      <c r="AU171" s="11">
        <f t="shared" si="101"/>
        <v>0</v>
      </c>
      <c r="AV171" s="11">
        <f t="shared" si="102"/>
        <v>0</v>
      </c>
      <c r="AW171" s="11">
        <f t="shared" si="103"/>
        <v>0</v>
      </c>
      <c r="AX171" s="11">
        <f t="shared" si="104"/>
        <v>0</v>
      </c>
      <c r="AY171" s="11">
        <f t="shared" si="105"/>
        <v>0</v>
      </c>
      <c r="AZ171" s="11">
        <f t="shared" si="106"/>
        <v>0</v>
      </c>
      <c r="BA171" s="11">
        <f t="shared" si="107"/>
        <v>0</v>
      </c>
      <c r="BB171" s="11">
        <f t="shared" si="108"/>
        <v>0</v>
      </c>
      <c r="BC171" s="11">
        <f t="shared" si="109"/>
        <v>0</v>
      </c>
      <c r="BD171" s="11">
        <f t="shared" si="110"/>
        <v>0</v>
      </c>
      <c r="BE171" s="11">
        <f t="shared" si="111"/>
        <v>0</v>
      </c>
      <c r="BF171" s="11">
        <f t="shared" si="112"/>
        <v>0</v>
      </c>
      <c r="BG171" s="11">
        <f t="shared" si="113"/>
        <v>0</v>
      </c>
      <c r="BH171" s="11">
        <f t="shared" si="114"/>
        <v>0</v>
      </c>
      <c r="BI171" s="11">
        <f t="shared" si="115"/>
        <v>0</v>
      </c>
      <c r="BJ171" s="11">
        <f t="shared" si="116"/>
        <v>0</v>
      </c>
      <c r="BK171" s="11">
        <f t="shared" si="117"/>
        <v>0</v>
      </c>
    </row>
    <row r="172" spans="6:63" x14ac:dyDescent="0.25">
      <c r="I172" s="11">
        <f t="shared" si="63"/>
        <v>8570.7245562881781</v>
      </c>
      <c r="J172" s="11">
        <f t="shared" si="64"/>
        <v>2307.0962093606436</v>
      </c>
      <c r="K172" s="11">
        <f t="shared" si="65"/>
        <v>8550.6323331389485</v>
      </c>
      <c r="L172" s="11">
        <f t="shared" si="66"/>
        <v>-3839.6639353298942</v>
      </c>
      <c r="M172" s="11">
        <f t="shared" si="67"/>
        <v>1742.3629175214298</v>
      </c>
      <c r="N172" s="11">
        <f t="shared" si="68"/>
        <v>-3827.9128419257304</v>
      </c>
      <c r="O172" s="11">
        <f t="shared" si="69"/>
        <v>10052.689338342867</v>
      </c>
      <c r="P172" s="11">
        <f t="shared" si="70"/>
        <v>8431.9799736007644</v>
      </c>
      <c r="Q172" s="11">
        <f t="shared" si="71"/>
        <v>-3351.7170790717055</v>
      </c>
      <c r="R172" s="11">
        <f t="shared" si="72"/>
        <v>-10039.781635788275</v>
      </c>
      <c r="S172" s="11">
        <f t="shared" si="73"/>
        <v>-2904.276410785043</v>
      </c>
      <c r="T172" s="11">
        <f t="shared" si="74"/>
        <v>5276.7728590775132</v>
      </c>
      <c r="U172" s="11">
        <f t="shared" si="75"/>
        <v>6818.7984387032056</v>
      </c>
      <c r="V172" s="11">
        <f t="shared" si="76"/>
        <v>7195.6210625868616</v>
      </c>
      <c r="W172" s="11">
        <f t="shared" si="77"/>
        <v>4763.2909233750479</v>
      </c>
      <c r="X172" s="11">
        <f t="shared" si="78"/>
        <v>3424.0200353308678</v>
      </c>
      <c r="Y172" s="11">
        <f t="shared" si="79"/>
        <v>-4569.9424495924031</v>
      </c>
      <c r="Z172" s="11">
        <f t="shared" si="80"/>
        <v>-9101.8207777334519</v>
      </c>
      <c r="AA172" s="11">
        <f t="shared" si="81"/>
        <v>1679.9731415575443</v>
      </c>
      <c r="AB172" s="11">
        <f t="shared" si="82"/>
        <v>-4989.3112121128861</v>
      </c>
      <c r="AC172" s="11">
        <f t="shared" si="83"/>
        <v>-6851.2307987223594</v>
      </c>
      <c r="AD172" s="11">
        <f t="shared" si="84"/>
        <v>6467.4374108345719</v>
      </c>
      <c r="AE172" s="11">
        <f t="shared" si="85"/>
        <v>8674.4612683019241</v>
      </c>
      <c r="AF172" s="11">
        <f t="shared" si="86"/>
        <v>6075.1730238960799</v>
      </c>
      <c r="AG172" s="11">
        <f t="shared" si="87"/>
        <v>-9866.2522547532335</v>
      </c>
      <c r="AH172" s="11">
        <f t="shared" si="88"/>
        <v>-6039.7261821514603</v>
      </c>
      <c r="AI172" s="11">
        <f t="shared" si="89"/>
        <v>-5670.037253437582</v>
      </c>
      <c r="AJ172" s="11">
        <f t="shared" si="90"/>
        <v>-8775.3106306894806</v>
      </c>
      <c r="AK172" s="11">
        <f t="shared" si="91"/>
        <v>9235.2990973995784</v>
      </c>
      <c r="AL172" s="11">
        <f t="shared" si="92"/>
        <v>-9134.1178791344119</v>
      </c>
      <c r="AM172" s="11">
        <f t="shared" si="93"/>
        <v>-8694.1130587537627</v>
      </c>
      <c r="AN172" s="11">
        <f t="shared" si="94"/>
        <v>-8696.9898744966558</v>
      </c>
      <c r="AO172" s="11">
        <f t="shared" si="95"/>
        <v>933.8854449991245</v>
      </c>
      <c r="AP172" s="11">
        <f t="shared" si="96"/>
        <v>-5304.853667006927</v>
      </c>
      <c r="AQ172" s="11">
        <f t="shared" si="97"/>
        <v>5037.2103286664042</v>
      </c>
      <c r="AR172" s="11">
        <f t="shared" si="98"/>
        <v>3906.6850679760528</v>
      </c>
      <c r="AS172" s="11">
        <f t="shared" si="99"/>
        <v>9208.359608447965</v>
      </c>
      <c r="AT172" s="11">
        <f t="shared" si="100"/>
        <v>6033.6220047810812</v>
      </c>
      <c r="AU172" s="11">
        <f t="shared" si="101"/>
        <v>3039.5846730638095</v>
      </c>
      <c r="AV172" s="11">
        <f t="shared" si="102"/>
        <v>-222.51494623934036</v>
      </c>
      <c r="AW172" s="11">
        <f t="shared" si="103"/>
        <v>-3864.138503521709</v>
      </c>
      <c r="AX172" s="11">
        <f t="shared" si="104"/>
        <v>-8929.4384389795996</v>
      </c>
      <c r="AY172" s="11">
        <f t="shared" si="105"/>
        <v>-5391.2732196070729</v>
      </c>
      <c r="AZ172" s="11">
        <f t="shared" si="106"/>
        <v>-7596.0718821752025</v>
      </c>
      <c r="BA172" s="11">
        <f t="shared" si="107"/>
        <v>3667.2704471661109</v>
      </c>
      <c r="BB172" s="11">
        <f t="shared" si="108"/>
        <v>-8155.9475638150207</v>
      </c>
      <c r="BC172" s="11">
        <f t="shared" si="109"/>
        <v>-5806.7605234709863</v>
      </c>
      <c r="BD172" s="11">
        <f t="shared" si="110"/>
        <v>-5408.864484727842</v>
      </c>
      <c r="BE172" s="11">
        <f t="shared" si="111"/>
        <v>-4998.6543792270722</v>
      </c>
      <c r="BF172" s="11">
        <f t="shared" si="112"/>
        <v>-4577.0641158119115</v>
      </c>
      <c r="BG172" s="11">
        <f t="shared" si="113"/>
        <v>-4145.0535118770249</v>
      </c>
      <c r="BH172" s="11">
        <f t="shared" si="114"/>
        <v>-3703.6061082302112</v>
      </c>
      <c r="BI172" s="11">
        <f t="shared" si="115"/>
        <v>-3253.7269299060558</v>
      </c>
      <c r="BJ172" s="11">
        <f t="shared" si="116"/>
        <v>-2796.4401979860518</v>
      </c>
      <c r="BK172" s="11">
        <f t="shared" si="117"/>
        <v>-5729.8445469910976</v>
      </c>
    </row>
    <row r="173" spans="6:63" x14ac:dyDescent="0.25">
      <c r="F173" s="35">
        <v>10056</v>
      </c>
      <c r="I173" s="11">
        <f t="shared" si="63"/>
        <v>2141.4779634637976</v>
      </c>
      <c r="J173" s="11">
        <f t="shared" si="64"/>
        <v>-2090.9709974527477</v>
      </c>
      <c r="K173" s="11">
        <f t="shared" si="65"/>
        <v>1868.0339420370215</v>
      </c>
      <c r="L173" s="11">
        <f t="shared" si="66"/>
        <v>-5868.2524610193977</v>
      </c>
      <c r="M173" s="11">
        <f t="shared" si="67"/>
        <v>5020.3989350421398</v>
      </c>
      <c r="N173" s="11">
        <f t="shared" si="68"/>
        <v>6154.2288559015606</v>
      </c>
      <c r="O173" s="11">
        <f t="shared" si="69"/>
        <v>-6321.1891989184624</v>
      </c>
      <c r="P173" s="11">
        <f t="shared" si="70"/>
        <v>-4032.1437574035581</v>
      </c>
      <c r="Q173" s="11">
        <f t="shared" si="71"/>
        <v>3110.1901123987091</v>
      </c>
      <c r="R173" s="11">
        <f t="shared" si="72"/>
        <v>236.73380345156824</v>
      </c>
      <c r="S173" s="11">
        <f t="shared" si="73"/>
        <v>-4105.0818200422818</v>
      </c>
      <c r="T173" s="11">
        <f t="shared" si="74"/>
        <v>-2861.5827960659481</v>
      </c>
      <c r="U173" s="11">
        <f t="shared" si="75"/>
        <v>2237.6136238216263</v>
      </c>
      <c r="V173" s="11">
        <f t="shared" si="76"/>
        <v>4546.4608341254598</v>
      </c>
      <c r="W173" s="11">
        <f t="shared" si="77"/>
        <v>-6318.8747698527923</v>
      </c>
      <c r="X173" s="11">
        <f t="shared" si="78"/>
        <v>5734.0692108759886</v>
      </c>
      <c r="Y173" s="11">
        <f t="shared" si="79"/>
        <v>-4661.9845278559696</v>
      </c>
      <c r="Z173" s="11">
        <f t="shared" si="80"/>
        <v>-6242.6924716667972</v>
      </c>
      <c r="AA173" s="11">
        <f t="shared" si="81"/>
        <v>6284.5325595313197</v>
      </c>
      <c r="AB173" s="11">
        <f t="shared" si="82"/>
        <v>-3064.304008021501</v>
      </c>
      <c r="AC173" s="11">
        <f t="shared" si="83"/>
        <v>6253.190844152331</v>
      </c>
      <c r="AD173" s="11">
        <f t="shared" si="84"/>
        <v>-4453.3062401191391</v>
      </c>
      <c r="AE173" s="11">
        <f t="shared" si="85"/>
        <v>3143.2368220709773</v>
      </c>
      <c r="AF173" s="11">
        <f t="shared" si="86"/>
        <v>4509.3022787071304</v>
      </c>
      <c r="AG173" s="11">
        <f t="shared" si="87"/>
        <v>-1489.9175950268627</v>
      </c>
      <c r="AH173" s="11">
        <f t="shared" si="88"/>
        <v>-6162.1580103456081</v>
      </c>
      <c r="AI173" s="11">
        <f t="shared" si="89"/>
        <v>215.568070051071</v>
      </c>
      <c r="AJ173" s="11">
        <f t="shared" si="90"/>
        <v>6310.6080426735261</v>
      </c>
      <c r="AK173" s="11">
        <f t="shared" si="91"/>
        <v>435.53293288959844</v>
      </c>
      <c r="AL173" s="11">
        <f t="shared" si="92"/>
        <v>-1673.4851024785587</v>
      </c>
      <c r="AM173" s="11">
        <f t="shared" si="93"/>
        <v>-5894.9497857535816</v>
      </c>
      <c r="AN173" s="11">
        <f t="shared" si="94"/>
        <v>-792.14637400356878</v>
      </c>
      <c r="AO173" s="11">
        <f t="shared" si="95"/>
        <v>-2161.1793370204787</v>
      </c>
      <c r="AP173" s="11">
        <f t="shared" si="96"/>
        <v>-3463.5574507574606</v>
      </c>
      <c r="AQ173" s="11">
        <f t="shared" si="97"/>
        <v>5546.9452928905275</v>
      </c>
      <c r="AR173" s="11">
        <f t="shared" si="98"/>
        <v>5161.9770912879776</v>
      </c>
      <c r="AS173" s="11">
        <f t="shared" si="99"/>
        <v>1704.8622303888214</v>
      </c>
      <c r="AT173" s="11">
        <f t="shared" si="100"/>
        <v>-1823.0631216747768</v>
      </c>
      <c r="AU173" s="11">
        <f t="shared" si="101"/>
        <v>2013.0083330798732</v>
      </c>
      <c r="AV173" s="11">
        <f t="shared" si="102"/>
        <v>-2594.7751432089703</v>
      </c>
      <c r="AW173" s="11">
        <f t="shared" si="103"/>
        <v>779.17229937195918</v>
      </c>
      <c r="AX173" s="11">
        <f t="shared" si="104"/>
        <v>-339.12007444511892</v>
      </c>
      <c r="AY173" s="11">
        <f t="shared" si="105"/>
        <v>6158.2443162085729</v>
      </c>
      <c r="AZ173" s="11">
        <f t="shared" si="106"/>
        <v>-5001.6753484250166</v>
      </c>
      <c r="BA173" s="11">
        <f t="shared" si="107"/>
        <v>5155.7437760282628</v>
      </c>
      <c r="BB173" s="11">
        <f t="shared" si="108"/>
        <v>-2636.2391514353826</v>
      </c>
      <c r="BC173" s="11">
        <f t="shared" si="109"/>
        <v>-4126.5096217329155</v>
      </c>
      <c r="BD173" s="11">
        <f t="shared" si="110"/>
        <v>-5775.5645500531837</v>
      </c>
      <c r="BE173" s="11">
        <f t="shared" si="111"/>
        <v>-6320.4746599020327</v>
      </c>
      <c r="BF173" s="11">
        <f t="shared" si="112"/>
        <v>-5657.0666416201611</v>
      </c>
      <c r="BG173" s="11">
        <f t="shared" si="113"/>
        <v>-3912.1676684733429</v>
      </c>
      <c r="BH173" s="11">
        <f t="shared" si="114"/>
        <v>-1419.3591840220699</v>
      </c>
      <c r="BI173" s="11">
        <f t="shared" si="115"/>
        <v>1344.7956034679335</v>
      </c>
      <c r="BJ173" s="11">
        <f t="shared" si="116"/>
        <v>3851.8587967735575</v>
      </c>
      <c r="BK173" s="11">
        <f t="shared" si="117"/>
        <v>635.76543162727546</v>
      </c>
    </row>
    <row r="174" spans="6:63" x14ac:dyDescent="0.25">
      <c r="F174">
        <v>6322</v>
      </c>
      <c r="I174" s="11">
        <f t="shared" si="63"/>
        <v>-1871.9600307872938</v>
      </c>
      <c r="J174" s="11">
        <f t="shared" si="64"/>
        <v>7332.234359979183</v>
      </c>
      <c r="K174" s="11">
        <f t="shared" si="65"/>
        <v>4845.754219661555</v>
      </c>
      <c r="L174" s="11">
        <f t="shared" si="66"/>
        <v>-8532.3479493852064</v>
      </c>
      <c r="M174" s="11">
        <f t="shared" si="67"/>
        <v>3703.1979741562727</v>
      </c>
      <c r="N174" s="11">
        <f t="shared" si="68"/>
        <v>7127.7233324496056</v>
      </c>
      <c r="O174" s="11">
        <f t="shared" si="69"/>
        <v>8366.0363608510943</v>
      </c>
      <c r="P174" s="11">
        <f t="shared" si="70"/>
        <v>8204.5619482696475</v>
      </c>
      <c r="Q174" s="11">
        <f t="shared" si="71"/>
        <v>-9905.9734447610736</v>
      </c>
      <c r="R174" s="11">
        <f t="shared" si="72"/>
        <v>-9986.4661708314052</v>
      </c>
      <c r="S174" s="11">
        <f t="shared" si="73"/>
        <v>3134.9002951626212</v>
      </c>
      <c r="T174" s="11">
        <f t="shared" si="74"/>
        <v>8798.6940885325603</v>
      </c>
      <c r="U174" s="11">
        <f t="shared" si="75"/>
        <v>277.27699106936308</v>
      </c>
      <c r="V174" s="11">
        <f t="shared" si="76"/>
        <v>4409.8164904869045</v>
      </c>
      <c r="W174" s="11">
        <f t="shared" si="77"/>
        <v>-7215.968094815119</v>
      </c>
      <c r="X174" s="11">
        <f t="shared" si="78"/>
        <v>-1197.9124783666732</v>
      </c>
      <c r="Y174" s="11">
        <f t="shared" si="79"/>
        <v>8144.2356529305216</v>
      </c>
      <c r="Z174" s="11">
        <f t="shared" si="80"/>
        <v>-11085.740203153122</v>
      </c>
      <c r="AA174" s="11">
        <f t="shared" si="81"/>
        <v>-1040.1529396402429</v>
      </c>
      <c r="AB174" s="11">
        <f t="shared" si="82"/>
        <v>-8348.8033471929994</v>
      </c>
      <c r="AC174" s="11">
        <f t="shared" si="83"/>
        <v>9700.1546284303877</v>
      </c>
      <c r="AD174" s="11">
        <f t="shared" si="84"/>
        <v>-8913.935633933861</v>
      </c>
      <c r="AE174" s="11">
        <f t="shared" si="85"/>
        <v>6427.4029582158309</v>
      </c>
      <c r="AF174" s="11">
        <f t="shared" si="86"/>
        <v>-9685.7544516980997</v>
      </c>
      <c r="AG174" s="11">
        <f t="shared" si="87"/>
        <v>-3904.2911756277758</v>
      </c>
      <c r="AH174" s="11">
        <f t="shared" si="88"/>
        <v>-871.52146878681515</v>
      </c>
      <c r="AI174" s="11">
        <f t="shared" si="89"/>
        <v>1374.0533579685834</v>
      </c>
      <c r="AJ174" s="11">
        <f t="shared" si="90"/>
        <v>-1681.6867564308766</v>
      </c>
      <c r="AK174" s="11">
        <f t="shared" si="91"/>
        <v>9509.6649009956182</v>
      </c>
      <c r="AL174" s="11">
        <f t="shared" si="92"/>
        <v>3544.3081774500311</v>
      </c>
      <c r="AM174" s="11">
        <f t="shared" si="93"/>
        <v>8186.2218884407976</v>
      </c>
      <c r="AN174" s="11">
        <f t="shared" si="94"/>
        <v>-9881.0011044779239</v>
      </c>
      <c r="AO174" s="11">
        <f t="shared" si="95"/>
        <v>8863.3971568985016</v>
      </c>
      <c r="AP174" s="11">
        <f t="shared" si="96"/>
        <v>7735.9129868140399</v>
      </c>
      <c r="AQ174" s="11">
        <f t="shared" si="97"/>
        <v>-9637.2888647045602</v>
      </c>
      <c r="AR174" s="11">
        <f t="shared" si="98"/>
        <v>7479.155144712624</v>
      </c>
      <c r="AS174" s="11">
        <f t="shared" si="99"/>
        <v>-7811.7136681097345</v>
      </c>
      <c r="AT174" s="11">
        <f t="shared" si="100"/>
        <v>9531.0185870893747</v>
      </c>
      <c r="AU174" s="11">
        <f t="shared" si="101"/>
        <v>-9803.9376194785345</v>
      </c>
      <c r="AV174" s="11">
        <f t="shared" si="102"/>
        <v>8365.9233174439432</v>
      </c>
      <c r="AW174" s="11">
        <f t="shared" si="103"/>
        <v>-7870.9932692679467</v>
      </c>
      <c r="AX174" s="11">
        <f t="shared" si="104"/>
        <v>-3589.3572298994113</v>
      </c>
      <c r="AY174" s="11">
        <f t="shared" si="105"/>
        <v>-4112.7256545970286</v>
      </c>
      <c r="AZ174" s="11">
        <f t="shared" si="106"/>
        <v>8011.0924892718749</v>
      </c>
      <c r="BA174" s="11">
        <f t="shared" si="107"/>
        <v>-9894.4853123991506</v>
      </c>
      <c r="BB174" s="11">
        <f t="shared" si="108"/>
        <v>9626.7851753061004</v>
      </c>
      <c r="BC174" s="11">
        <f t="shared" si="109"/>
        <v>4385.3373175069755</v>
      </c>
      <c r="BD174" s="11">
        <f t="shared" si="110"/>
        <v>682.04392140309017</v>
      </c>
      <c r="BE174" s="11">
        <f t="shared" si="111"/>
        <v>-3124.2677214552959</v>
      </c>
      <c r="BF174" s="11">
        <f t="shared" si="112"/>
        <v>-6458.673547430194</v>
      </c>
      <c r="BG174" s="11">
        <f t="shared" si="113"/>
        <v>-8817.5286276602001</v>
      </c>
      <c r="BH174" s="11">
        <f t="shared" si="114"/>
        <v>-9844.5401560601276</v>
      </c>
      <c r="BI174" s="11">
        <f t="shared" si="115"/>
        <v>-9384.5836268121093</v>
      </c>
      <c r="BJ174" s="11">
        <f t="shared" si="116"/>
        <v>-7507.1335472981036</v>
      </c>
      <c r="BK174" s="11">
        <f t="shared" si="117"/>
        <v>1950.6885686486658</v>
      </c>
    </row>
    <row r="175" spans="6:63" x14ac:dyDescent="0.25">
      <c r="F175">
        <v>-9884</v>
      </c>
      <c r="I175" s="11">
        <f t="shared" ref="I175:I202" si="118">IF(ABS($C48)=1,I$7,IF(ABS($C48)=2,I$7^2,1))  * $F176 * COS(($B48*I$2 + $C48*I$3 + $D48*I$4 + $E48*I$5)*Deg2Rad)</f>
        <v>-3740.0389257757879</v>
      </c>
      <c r="J175" s="11">
        <f t="shared" ref="J175:J202" si="119">IF(ABS($C48)=1,J$7,IF(ABS($C48)=2,J$7^2,1))  * $F176 * COS(($B48*J$2 + $C48*J$3 + $D48*J$4 + $E48*J$5)*Deg2Rad)</f>
        <v>4269.9482833946977</v>
      </c>
      <c r="K175" s="11">
        <f t="shared" ref="K175:K202" si="120">IF(ABS($C48)=1,K$7,IF(ABS($C48)=2,K$7^2,1))  * $F176 * COS(($B48*K$2 + $C48*K$3 + $D48*K$4 + $E48*K$5)*Deg2Rad)</f>
        <v>-255.27709675021663</v>
      </c>
      <c r="L175" s="11">
        <f t="shared" ref="L175:L202" si="121">IF(ABS($C48)=1,L$7,IF(ABS($C48)=2,L$7^2,1))  * $F176 * COS(($B48*L$2 + $C48*L$3 + $D48*L$4 + $E48*L$5)*Deg2Rad)</f>
        <v>1322.1551126933321</v>
      </c>
      <c r="M175" s="11">
        <f t="shared" ref="M175:M202" si="122">IF(ABS($C48)=1,M$7,IF(ABS($C48)=2,M$7^2,1))  * $F176 * COS(($B48*M$2 + $C48*M$3 + $D48*M$4 + $E48*M$5)*Deg2Rad)</f>
        <v>5579.5368178347035</v>
      </c>
      <c r="N175" s="11">
        <f t="shared" ref="N175:N202" si="123">IF(ABS($C48)=1,N$7,IF(ABS($C48)=2,N$7^2,1))  * $F176 * COS(($B48*N$2 + $C48*N$3 + $D48*N$4 + $E48*N$5)*Deg2Rad)</f>
        <v>3315.044630116462</v>
      </c>
      <c r="O175" s="11">
        <f t="shared" ref="O175:O202" si="124">IF(ABS($C48)=1,O$7,IF(ABS($C48)=2,O$7^2,1))  * $F176 * COS(($B48*O$2 + $C48*O$3 + $D48*O$4 + $E48*O$5)*Deg2Rad)</f>
        <v>-5641.4163150473232</v>
      </c>
      <c r="P175" s="11">
        <f t="shared" ref="P175:P202" si="125">IF(ABS($C48)=1,P$7,IF(ABS($C48)=2,P$7^2,1))  * $F176 * COS(($B48*P$2 + $C48*P$3 + $D48*P$4 + $E48*P$5)*Deg2Rad)</f>
        <v>-4956.2360767370446</v>
      </c>
      <c r="Q175" s="11">
        <f t="shared" ref="Q175:Q202" si="126">IF(ABS($C48)=1,Q$7,IF(ABS($C48)=2,Q$7^2,1))  * $F176 * COS(($B48*Q$2 + $C48*Q$3 + $D48*Q$4 + $E48*Q$5)*Deg2Rad)</f>
        <v>-2505.1242171652489</v>
      </c>
      <c r="R175" s="11">
        <f t="shared" ref="R175:R202" si="127">IF(ABS($C48)=1,R$7,IF(ABS($C48)=2,R$7^2,1))  * $F176 * COS(($B48*R$2 + $C48*R$3 + $D48*R$4 + $E48*R$5)*Deg2Rad)</f>
        <v>-5746.1977349149329</v>
      </c>
      <c r="S175" s="11">
        <f t="shared" ref="S175:S202" si="128">IF(ABS($C48)=1,S$7,IF(ABS($C48)=2,S$7^2,1))  * $F176 * COS(($B48*S$2 + $C48*S$3 + $D48*S$4 + $E48*S$5)*Deg2Rad)</f>
        <v>5780.6645639077769</v>
      </c>
      <c r="T175" s="11">
        <f t="shared" ref="T175:T202" si="129">IF(ABS($C48)=1,T$7,IF(ABS($C48)=2,T$7^2,1))  * $F176 * COS(($B48*T$2 + $C48*T$3 + $D48*T$4 + $E48*T$5)*Deg2Rad)</f>
        <v>4959.2990594918629</v>
      </c>
      <c r="U175" s="11">
        <f t="shared" ref="U175:U202" si="130">IF(ABS($C48)=1,U$7,IF(ABS($C48)=2,U$7^2,1))  * $F176 * COS(($B48*U$2 + $C48*U$3 + $D48*U$4 + $E48*U$5)*Deg2Rad)</f>
        <v>-1106.6740862079569</v>
      </c>
      <c r="V175" s="11">
        <f t="shared" ref="V175:V202" si="131">IF(ABS($C48)=1,V$7,IF(ABS($C48)=2,V$7^2,1))  * $F176 * COS(($B48*V$2 + $C48*V$3 + $D48*V$4 + $E48*V$5)*Deg2Rad)</f>
        <v>-3690.8647697075025</v>
      </c>
      <c r="W175" s="11">
        <f t="shared" ref="W175:W202" si="132">IF(ABS($C48)=1,W$7,IF(ABS($C48)=2,W$7^2,1))  * $F176 * COS(($B48*W$2 + $C48*W$3 + $D48*W$4 + $E48*W$5)*Deg2Rad)</f>
        <v>598.47356970132034</v>
      </c>
      <c r="X175" s="11">
        <f t="shared" ref="X175:X202" si="133">IF(ABS($C48)=1,X$7,IF(ABS($C48)=2,X$7^2,1))  * $F176 * COS(($B48*X$2 + $C48*X$3 + $D48*X$4 + $E48*X$5)*Deg2Rad)</f>
        <v>4885.0497060987127</v>
      </c>
      <c r="Y175" s="11">
        <f t="shared" ref="Y175:Y202" si="134">IF(ABS($C48)=1,Y$7,IF(ABS($C48)=2,Y$7^2,1))  * $F176 * COS(($B48*Y$2 + $C48*Y$3 + $D48*Y$4 + $E48*Y$5)*Deg2Rad)</f>
        <v>-5162.3880819843653</v>
      </c>
      <c r="Z175" s="11">
        <f t="shared" ref="Z175:Z202" si="135">IF(ABS($C48)=1,Z$7,IF(ABS($C48)=2,Z$7^2,1))  * $F176 * COS(($B48*Z$2 + $C48*Z$3 + $D48*Z$4 + $E48*Z$5)*Deg2Rad)</f>
        <v>5886.9156445822055</v>
      </c>
      <c r="AA175" s="11">
        <f t="shared" ref="AA175:AA202" si="136">IF(ABS($C48)=1,AA$7,IF(ABS($C48)=2,AA$7^2,1))  * $F176 * COS(($B48*AA$2 + $C48*AA$3 + $D48*AA$4 + $E48*AA$5)*Deg2Rad)</f>
        <v>-5592.9924596867158</v>
      </c>
      <c r="AB175" s="11">
        <f t="shared" ref="AB175:AB202" si="137">IF(ABS($C48)=1,AB$7,IF(ABS($C48)=2,AB$7^2,1))  * $F176 * COS(($B48*AB$2 + $C48*AB$3 + $D48*AB$4 + $E48*AB$5)*Deg2Rad)</f>
        <v>-1772.2667941080583</v>
      </c>
      <c r="AC175" s="11">
        <f t="shared" ref="AC175:AC202" si="138">IF(ABS($C48)=1,AC$7,IF(ABS($C48)=2,AC$7^2,1))  * $F176 * COS(($B48*AC$2 + $C48*AC$3 + $D48*AC$4 + $E48*AC$5)*Deg2Rad)</f>
        <v>-4606.2384556889037</v>
      </c>
      <c r="AD175" s="11">
        <f t="shared" ref="AD175:AD202" si="139">IF(ABS($C48)=1,AD$7,IF(ABS($C48)=2,AD$7^2,1))  * $F176 * COS(($B48*AD$2 + $C48*AD$3 + $D48*AD$4 + $E48*AD$5)*Deg2Rad)</f>
        <v>2106.6250127978101</v>
      </c>
      <c r="AE175" s="11">
        <f t="shared" ref="AE175:AE202" si="140">IF(ABS($C48)=1,AE$7,IF(ABS($C48)=2,AE$7^2,1))  * $F176 * COS(($B48*AE$2 + $C48*AE$3 + $D48*AE$4 + $E48*AE$5)*Deg2Rad)</f>
        <v>-1595.0189966156797</v>
      </c>
      <c r="AF175" s="11">
        <f t="shared" ref="AF175:AF202" si="141">IF(ABS($C48)=1,AF$7,IF(ABS($C48)=2,AF$7^2,1))  * $F176 * COS(($B48*AF$2 + $C48*AF$3 + $D48*AF$4 + $E48*AF$5)*Deg2Rad)</f>
        <v>1562.235648754114</v>
      </c>
      <c r="AG175" s="11">
        <f t="shared" ref="AG175:AG202" si="142">IF(ABS($C48)=1,AG$7,IF(ABS($C48)=2,AG$7^2,1))  * $F176 * COS(($B48*AG$2 + $C48*AG$3 + $D48*AG$4 + $E48*AG$5)*Deg2Rad)</f>
        <v>-4125.4747260281783</v>
      </c>
      <c r="AH175" s="11">
        <f t="shared" ref="AH175:AH202" si="143">IF(ABS($C48)=1,AH$7,IF(ABS($C48)=2,AH$7^2,1))  * $F176 * COS(($B48*AH$2 + $C48*AH$3 + $D48*AH$4 + $E48*AH$5)*Deg2Rad)</f>
        <v>5743.554204684724</v>
      </c>
      <c r="AI175" s="11">
        <f t="shared" ref="AI175:AI202" si="144">IF(ABS($C48)=1,AI$7,IF(ABS($C48)=2,AI$7^2,1))  * $F176 * COS(($B48*AI$2 + $C48*AI$3 + $D48*AI$4 + $E48*AI$5)*Deg2Rad)</f>
        <v>-3803.737842183969</v>
      </c>
      <c r="AJ175" s="11">
        <f t="shared" ref="AJ175:AJ202" si="145">IF(ABS($C48)=1,AJ$7,IF(ABS($C48)=2,AJ$7^2,1))  * $F176 * COS(($B48*AJ$2 + $C48*AJ$3 + $D48*AJ$4 + $E48*AJ$5)*Deg2Rad)</f>
        <v>-1104.7177646973771</v>
      </c>
      <c r="AK175" s="11">
        <f t="shared" ref="AK175:AK202" si="146">IF(ABS($C48)=1,AK$7,IF(ABS($C48)=2,AK$7^2,1))  * $F176 * COS(($B48*AK$2 + $C48*AK$3 + $D48*AK$4 + $E48*AK$5)*Deg2Rad)</f>
        <v>3114.8305361962775</v>
      </c>
      <c r="AL175" s="11">
        <f t="shared" ref="AL175:AL202" si="147">IF(ABS($C48)=1,AL$7,IF(ABS($C48)=2,AL$7^2,1))  * $F176 * COS(($B48*AL$2 + $C48*AL$3 + $D48*AL$4 + $E48*AL$5)*Deg2Rad)</f>
        <v>-5222.3763750519638</v>
      </c>
      <c r="AM175" s="11">
        <f t="shared" ref="AM175:AM202" si="148">IF(ABS($C48)=1,AM$7,IF(ABS($C48)=2,AM$7^2,1))  * $F176 * COS(($B48*AM$2 + $C48*AM$3 + $D48*AM$4 + $E48*AM$5)*Deg2Rad)</f>
        <v>-5658.954104456403</v>
      </c>
      <c r="AN175" s="11">
        <f t="shared" ref="AN175:AN202" si="149">IF(ABS($C48)=1,AN$7,IF(ABS($C48)=2,AN$7^2,1))  * $F176 * COS(($B48*AN$2 + $C48*AN$3 + $D48*AN$4 + $E48*AN$5)*Deg2Rad)</f>
        <v>966.15184131684669</v>
      </c>
      <c r="AO175" s="11">
        <f t="shared" ref="AO175:AO202" si="150">IF(ABS($C48)=1,AO$7,IF(ABS($C48)=2,AO$7^2,1))  * $F176 * COS(($B48*AO$2 + $C48*AO$3 + $D48*AO$4 + $E48*AO$5)*Deg2Rad)</f>
        <v>2208.9228751370847</v>
      </c>
      <c r="AP175" s="11">
        <f t="shared" ref="AP175:AP202" si="151">IF(ABS($C48)=1,AP$7,IF(ABS($C48)=2,AP$7^2,1))  * $F176 * COS(($B48*AP$2 + $C48*AP$3 + $D48*AP$4 + $E48*AP$5)*Deg2Rad)</f>
        <v>-3853.6251485563444</v>
      </c>
      <c r="AQ175" s="11">
        <f t="shared" ref="AQ175:AQ202" si="152">IF(ABS($C48)=1,AQ$7,IF(ABS($C48)=2,AQ$7^2,1))  * $F176 * COS(($B48*AQ$2 + $C48*AQ$3 + $D48*AQ$4 + $E48*AQ$5)*Deg2Rad)</f>
        <v>-2044.038467958452</v>
      </c>
      <c r="AR175" s="11">
        <f t="shared" ref="AR175:AR202" si="153">IF(ABS($C48)=1,AR$7,IF(ABS($C48)=2,AR$7^2,1))  * $F176 * COS(($B48*AR$2 + $C48*AR$3 + $D48*AR$4 + $E48*AR$5)*Deg2Rad)</f>
        <v>5293.5682493353188</v>
      </c>
      <c r="AS175" s="11">
        <f t="shared" ref="AS175:AS202" si="154">IF(ABS($C48)=1,AS$7,IF(ABS($C48)=2,AS$7^2,1))  * $F176 * COS(($B48*AS$2 + $C48*AS$3 + $D48*AS$4 + $E48*AS$5)*Deg2Rad)</f>
        <v>-4325.7089262485961</v>
      </c>
      <c r="AT175" s="11">
        <f t="shared" ref="AT175:AT202" si="155">IF(ABS($C48)=1,AT$7,IF(ABS($C48)=2,AT$7^2,1))  * $F176 * COS(($B48*AT$2 + $C48*AT$3 + $D48*AT$4 + $E48*AT$5)*Deg2Rad)</f>
        <v>3670.2533066430669</v>
      </c>
      <c r="AU175" s="11">
        <f t="shared" ref="AU175:AU202" si="156">IF(ABS($C48)=1,AU$7,IF(ABS($C48)=2,AU$7^2,1))  * $F176 * COS(($B48*AU$2 + $C48*AU$3 + $D48*AU$4 + $E48*AU$5)*Deg2Rad)</f>
        <v>-2731.0080861862193</v>
      </c>
      <c r="AV175" s="11">
        <f t="shared" ref="AV175:AV202" si="157">IF(ABS($C48)=1,AV$7,IF(ABS($C48)=2,AV$7^2,1))  * $F176 * COS(($B48*AV$2 + $C48*AV$3 + $D48*AV$4 + $E48*AV$5)*Deg2Rad)</f>
        <v>2078.1447268884449</v>
      </c>
      <c r="AW175" s="11">
        <f t="shared" ref="AW175:AW202" si="158">IF(ABS($C48)=1,AW$7,IF(ABS($C48)=2,AW$7^2,1))  * $F176 * COS(($B48*AW$2 + $C48*AW$3 + $D48*AW$4 + $E48*AW$5)*Deg2Rad)</f>
        <v>1044.9649875107393</v>
      </c>
      <c r="AX175" s="11">
        <f t="shared" ref="AX175:AX202" si="159">IF(ABS($C48)=1,AX$7,IF(ABS($C48)=2,AX$7^2,1))  * $F176 * COS(($B48*AX$2 + $C48*AX$3 + $D48*AX$4 + $E48*AX$5)*Deg2Rad)</f>
        <v>4263.8276125539587</v>
      </c>
      <c r="AY175" s="11">
        <f t="shared" ref="AY175:AY202" si="160">IF(ABS($C48)=1,AY$7,IF(ABS($C48)=2,AY$7^2,1))  * $F176 * COS(($B48*AY$2 + $C48*AY$3 + $D48*AY$4 + $E48*AY$5)*Deg2Rad)</f>
        <v>-3011.8208475992033</v>
      </c>
      <c r="AZ175" s="11">
        <f t="shared" ref="AZ175:AZ202" si="161">IF(ABS($C48)=1,AZ$7,IF(ABS($C48)=2,AZ$7^2,1))  * $F176 * COS(($B48*AZ$2 + $C48*AZ$3 + $D48*AZ$4 + $E48*AZ$5)*Deg2Rad)</f>
        <v>-5637.4994127376885</v>
      </c>
      <c r="BA175" s="11">
        <f t="shared" ref="BA175:BA202" si="162">IF(ABS($C48)=1,BA$7,IF(ABS($C48)=2,BA$7^2,1))  * $F176 * COS(($B48*BA$2 + $C48*BA$3 + $D48*BA$4 + $E48*BA$5)*Deg2Rad)</f>
        <v>2086.4911895465812</v>
      </c>
      <c r="BB175" s="11">
        <f t="shared" ref="BB175:BB202" si="163">IF(ABS($C48)=1,BB$7,IF(ABS($C48)=2,BB$7^2,1))  * $F176 * COS(($B48*BB$2 + $C48*BB$3 + $D48*BB$4 + $E48*BB$5)*Deg2Rad)</f>
        <v>-4166.3237124275402</v>
      </c>
      <c r="BC175" s="11">
        <f t="shared" ref="BC175:BC202" si="164">IF(ABS($C48)=1,BC$7,IF(ABS($C48)=2,BC$7^2,1))  * $F176 * COS(($B48*BC$2 + $C48*BC$3 + $D48*BC$4 + $E48*BC$5)*Deg2Rad)</f>
        <v>3589.359993990588</v>
      </c>
      <c r="BD175" s="11">
        <f t="shared" ref="BD175:BD202" si="165">IF(ABS($C48)=1,BD$7,IF(ABS($C48)=2,BD$7^2,1))  * $F176 * COS(($B48*BD$2 + $C48*BD$3 + $D48*BD$4 + $E48*BD$5)*Deg2Rad)</f>
        <v>1148.7589787258828</v>
      </c>
      <c r="BE175" s="11">
        <f t="shared" ref="BE175:BE202" si="166">IF(ABS($C48)=1,BE$7,IF(ABS($C48)=2,BE$7^2,1))  * $F176 * COS(($B48*BE$2 + $C48*BE$3 + $D48*BE$4 + $E48*BE$5)*Deg2Rad)</f>
        <v>-1544.3645277326748</v>
      </c>
      <c r="BF175" s="11">
        <f t="shared" ref="BF175:BF202" si="167">IF(ABS($C48)=1,BF$7,IF(ABS($C48)=2,BF$7^2,1))  * $F176 * COS(($B48*BF$2 + $C48*BF$3 + $D48*BF$4 + $E48*BF$5)*Deg2Rad)</f>
        <v>-3898.0019170939454</v>
      </c>
      <c r="BG175" s="11">
        <f t="shared" ref="BG175:BG202" si="168">IF(ABS($C48)=1,BG$7,IF(ABS($C48)=2,BG$7^2,1))  * $F176 * COS(($B48*BG$2 + $C48*BG$3 + $D48*BG$4 + $E48*BG$5)*Deg2Rad)</f>
        <v>-5394.7712780945694</v>
      </c>
      <c r="BH175" s="11">
        <f t="shared" ref="BH175:BH202" si="169">IF(ABS($C48)=1,BH$7,IF(ABS($C48)=2,BH$7^2,1))  * $F176 * COS(($B48*BH$2 + $C48*BH$3 + $D48*BH$4 + $E48*BH$5)*Deg2Rad)</f>
        <v>-5705.6494621373076</v>
      </c>
      <c r="BI175" s="11">
        <f t="shared" ref="BI175:BI202" si="170">IF(ABS($C48)=1,BI$7,IF(ABS($C48)=2,BI$7^2,1))  * $F176 * COS(($B48*BI$2 + $C48*BI$3 + $D48*BI$4 + $E48*BI$5)*Deg2Rad)</f>
        <v>-4762.29867893544</v>
      </c>
      <c r="BJ175" s="11">
        <f t="shared" ref="BJ175:BJ202" si="171">IF(ABS($C48)=1,BJ$7,IF(ABS($C48)=2,BJ$7^2,1))  * $F176 * COS(($B48*BJ$2 + $C48*BJ$3 + $D48*BJ$4 + $E48*BJ$5)*Deg2Rad)</f>
        <v>-2772.0886299939129</v>
      </c>
      <c r="BK175" s="11">
        <f t="shared" ref="BK175:BK202" si="172">IF(ABS($C48)=1,BK$7,IF(ABS($C48)=2,BK$7^2,1))  * $F176 * COS(($B48*BK$2 + $C48*BK$3 + $D48*BK$4 + $E48*BK$5)*Deg2Rad)</f>
        <v>-4102.6268080149584</v>
      </c>
    </row>
    <row r="176" spans="6:63" x14ac:dyDescent="0.25">
      <c r="F176">
        <v>5751</v>
      </c>
      <c r="I176" s="11">
        <f t="shared" si="118"/>
        <v>0</v>
      </c>
      <c r="J176" s="11">
        <f t="shared" si="119"/>
        <v>0</v>
      </c>
      <c r="K176" s="11">
        <f t="shared" si="120"/>
        <v>0</v>
      </c>
      <c r="L176" s="11">
        <f t="shared" si="121"/>
        <v>0</v>
      </c>
      <c r="M176" s="11">
        <f t="shared" si="122"/>
        <v>0</v>
      </c>
      <c r="N176" s="11">
        <f t="shared" si="123"/>
        <v>0</v>
      </c>
      <c r="O176" s="11">
        <f t="shared" si="124"/>
        <v>0</v>
      </c>
      <c r="P176" s="11">
        <f t="shared" si="125"/>
        <v>0</v>
      </c>
      <c r="Q176" s="11">
        <f t="shared" si="126"/>
        <v>0</v>
      </c>
      <c r="R176" s="11">
        <f t="shared" si="127"/>
        <v>0</v>
      </c>
      <c r="S176" s="11">
        <f t="shared" si="128"/>
        <v>0</v>
      </c>
      <c r="T176" s="11">
        <f t="shared" si="129"/>
        <v>0</v>
      </c>
      <c r="U176" s="11">
        <f t="shared" si="130"/>
        <v>0</v>
      </c>
      <c r="V176" s="11">
        <f t="shared" si="131"/>
        <v>0</v>
      </c>
      <c r="W176" s="11">
        <f t="shared" si="132"/>
        <v>0</v>
      </c>
      <c r="X176" s="11">
        <f t="shared" si="133"/>
        <v>0</v>
      </c>
      <c r="Y176" s="11">
        <f t="shared" si="134"/>
        <v>0</v>
      </c>
      <c r="Z176" s="11">
        <f t="shared" si="135"/>
        <v>0</v>
      </c>
      <c r="AA176" s="11">
        <f t="shared" si="136"/>
        <v>0</v>
      </c>
      <c r="AB176" s="11">
        <f t="shared" si="137"/>
        <v>0</v>
      </c>
      <c r="AC176" s="11">
        <f t="shared" si="138"/>
        <v>0</v>
      </c>
      <c r="AD176" s="11">
        <f t="shared" si="139"/>
        <v>0</v>
      </c>
      <c r="AE176" s="11">
        <f t="shared" si="140"/>
        <v>0</v>
      </c>
      <c r="AF176" s="11">
        <f t="shared" si="141"/>
        <v>0</v>
      </c>
      <c r="AG176" s="11">
        <f t="shared" si="142"/>
        <v>0</v>
      </c>
      <c r="AH176" s="11">
        <f t="shared" si="143"/>
        <v>0</v>
      </c>
      <c r="AI176" s="11">
        <f t="shared" si="144"/>
        <v>0</v>
      </c>
      <c r="AJ176" s="11">
        <f t="shared" si="145"/>
        <v>0</v>
      </c>
      <c r="AK176" s="11">
        <f t="shared" si="146"/>
        <v>0</v>
      </c>
      <c r="AL176" s="11">
        <f t="shared" si="147"/>
        <v>0</v>
      </c>
      <c r="AM176" s="11">
        <f t="shared" si="148"/>
        <v>0</v>
      </c>
      <c r="AN176" s="11">
        <f t="shared" si="149"/>
        <v>0</v>
      </c>
      <c r="AO176" s="11">
        <f t="shared" si="150"/>
        <v>0</v>
      </c>
      <c r="AP176" s="11">
        <f t="shared" si="151"/>
        <v>0</v>
      </c>
      <c r="AQ176" s="11">
        <f t="shared" si="152"/>
        <v>0</v>
      </c>
      <c r="AR176" s="11">
        <f t="shared" si="153"/>
        <v>0</v>
      </c>
      <c r="AS176" s="11">
        <f t="shared" si="154"/>
        <v>0</v>
      </c>
      <c r="AT176" s="11">
        <f t="shared" si="155"/>
        <v>0</v>
      </c>
      <c r="AU176" s="11">
        <f t="shared" si="156"/>
        <v>0</v>
      </c>
      <c r="AV176" s="11">
        <f t="shared" si="157"/>
        <v>0</v>
      </c>
      <c r="AW176" s="11">
        <f t="shared" si="158"/>
        <v>0</v>
      </c>
      <c r="AX176" s="11">
        <f t="shared" si="159"/>
        <v>0</v>
      </c>
      <c r="AY176" s="11">
        <f t="shared" si="160"/>
        <v>0</v>
      </c>
      <c r="AZ176" s="11">
        <f t="shared" si="161"/>
        <v>0</v>
      </c>
      <c r="BA176" s="11">
        <f t="shared" si="162"/>
        <v>0</v>
      </c>
      <c r="BB176" s="11">
        <f t="shared" si="163"/>
        <v>0</v>
      </c>
      <c r="BC176" s="11">
        <f t="shared" si="164"/>
        <v>0</v>
      </c>
      <c r="BD176" s="11">
        <f t="shared" si="165"/>
        <v>0</v>
      </c>
      <c r="BE176" s="11">
        <f t="shared" si="166"/>
        <v>0</v>
      </c>
      <c r="BF176" s="11">
        <f t="shared" si="167"/>
        <v>0</v>
      </c>
      <c r="BG176" s="11">
        <f t="shared" si="168"/>
        <v>0</v>
      </c>
      <c r="BH176" s="11">
        <f t="shared" si="169"/>
        <v>0</v>
      </c>
      <c r="BI176" s="11">
        <f t="shared" si="170"/>
        <v>0</v>
      </c>
      <c r="BJ176" s="11">
        <f t="shared" si="171"/>
        <v>0</v>
      </c>
      <c r="BK176" s="11">
        <f t="shared" si="172"/>
        <v>0</v>
      </c>
    </row>
    <row r="177" spans="6:63" x14ac:dyDescent="0.25">
      <c r="I177" s="11">
        <f t="shared" si="118"/>
        <v>-850.05818207410346</v>
      </c>
      <c r="J177" s="11">
        <f t="shared" si="119"/>
        <v>5350.1226704466499</v>
      </c>
      <c r="K177" s="11">
        <f t="shared" si="120"/>
        <v>1337.7063540035381</v>
      </c>
      <c r="L177" s="11">
        <f t="shared" si="121"/>
        <v>-1690.6405528503037</v>
      </c>
      <c r="M177" s="11">
        <f t="shared" si="122"/>
        <v>1491.3541432709055</v>
      </c>
      <c r="N177" s="11">
        <f t="shared" si="123"/>
        <v>4433.8096688243777</v>
      </c>
      <c r="O177" s="11">
        <f t="shared" si="124"/>
        <v>-2208.9758713184783</v>
      </c>
      <c r="P177" s="11">
        <f t="shared" si="125"/>
        <v>-4448.1903399096045</v>
      </c>
      <c r="Q177" s="11">
        <f t="shared" si="126"/>
        <v>-2988.0776878220713</v>
      </c>
      <c r="R177" s="11">
        <f t="shared" si="127"/>
        <v>891.60323141844651</v>
      </c>
      <c r="S177" s="11">
        <f t="shared" si="128"/>
        <v>-1654.8667359440183</v>
      </c>
      <c r="T177" s="11">
        <f t="shared" si="129"/>
        <v>-3790.7414359099394</v>
      </c>
      <c r="U177" s="11">
        <f t="shared" si="130"/>
        <v>3060.1144569639187</v>
      </c>
      <c r="V177" s="11">
        <f t="shared" si="131"/>
        <v>2285.6176528839965</v>
      </c>
      <c r="W177" s="11">
        <f t="shared" si="132"/>
        <v>-3040.4885449159829</v>
      </c>
      <c r="X177" s="11">
        <f t="shared" si="133"/>
        <v>3290.2191303000891</v>
      </c>
      <c r="Y177" s="11">
        <f t="shared" si="134"/>
        <v>1205.4572050109712</v>
      </c>
      <c r="Z177" s="11">
        <f t="shared" si="135"/>
        <v>-5999.5569256616645</v>
      </c>
      <c r="AA177" s="11">
        <f t="shared" si="136"/>
        <v>4072.9918159631425</v>
      </c>
      <c r="AB177" s="11">
        <f t="shared" si="137"/>
        <v>-4402.4733072233803</v>
      </c>
      <c r="AC177" s="11">
        <f t="shared" si="138"/>
        <v>3850.4597784203961</v>
      </c>
      <c r="AD177" s="11">
        <f t="shared" si="139"/>
        <v>4854.6835627894397</v>
      </c>
      <c r="AE177" s="11">
        <f t="shared" si="140"/>
        <v>945.0233517906612</v>
      </c>
      <c r="AF177" s="11">
        <f t="shared" si="141"/>
        <v>-1914.1203014051705</v>
      </c>
      <c r="AG177" s="11">
        <f t="shared" si="142"/>
        <v>-4451.6262418243305</v>
      </c>
      <c r="AH177" s="11">
        <f t="shared" si="143"/>
        <v>4163.6981179996455</v>
      </c>
      <c r="AI177" s="11">
        <f t="shared" si="144"/>
        <v>4886.7711637098519</v>
      </c>
      <c r="AJ177" s="11">
        <f t="shared" si="145"/>
        <v>3664.5887645099938</v>
      </c>
      <c r="AK177" s="11">
        <f t="shared" si="146"/>
        <v>-2965.0549718351695</v>
      </c>
      <c r="AL177" s="11">
        <f t="shared" si="147"/>
        <v>4928.2483075441633</v>
      </c>
      <c r="AM177" s="11">
        <f t="shared" si="148"/>
        <v>-1235.5459221836686</v>
      </c>
      <c r="AN177" s="11">
        <f t="shared" si="149"/>
        <v>-4763.5461824481317</v>
      </c>
      <c r="AO177" s="11">
        <f t="shared" si="150"/>
        <v>2407.9690279286519</v>
      </c>
      <c r="AP177" s="11">
        <f t="shared" si="151"/>
        <v>895.94470351147584</v>
      </c>
      <c r="AQ177" s="11">
        <f t="shared" si="152"/>
        <v>-4613.4177043346363</v>
      </c>
      <c r="AR177" s="11">
        <f t="shared" si="153"/>
        <v>-702.1874010515611</v>
      </c>
      <c r="AS177" s="11">
        <f t="shared" si="154"/>
        <v>-5372.7551621427574</v>
      </c>
      <c r="AT177" s="11">
        <f t="shared" si="155"/>
        <v>-2508.1776869108644</v>
      </c>
      <c r="AU177" s="11">
        <f t="shared" si="156"/>
        <v>-4913.3309054306119</v>
      </c>
      <c r="AV177" s="11">
        <f t="shared" si="157"/>
        <v>-1615.5965796763805</v>
      </c>
      <c r="AW177" s="11">
        <f t="shared" si="158"/>
        <v>3993.9279192889808</v>
      </c>
      <c r="AX177" s="11">
        <f t="shared" si="159"/>
        <v>-930.4385974368621</v>
      </c>
      <c r="AY177" s="11">
        <f t="shared" si="160"/>
        <v>-1022.3743156838892</v>
      </c>
      <c r="AZ177" s="11">
        <f t="shared" si="161"/>
        <v>-2564.0549455235036</v>
      </c>
      <c r="BA177" s="11">
        <f t="shared" si="162"/>
        <v>-4234.2227334531508</v>
      </c>
      <c r="BB177" s="11">
        <f t="shared" si="163"/>
        <v>1275.9621245657702</v>
      </c>
      <c r="BC177" s="11">
        <f t="shared" si="164"/>
        <v>4609.4939658490566</v>
      </c>
      <c r="BD177" s="11">
        <f t="shared" si="165"/>
        <v>4257.8978326847873</v>
      </c>
      <c r="BE177" s="11">
        <f t="shared" si="166"/>
        <v>3793.2769833592147</v>
      </c>
      <c r="BF177" s="11">
        <f t="shared" si="167"/>
        <v>3227.9646911522523</v>
      </c>
      <c r="BG177" s="11">
        <f t="shared" si="168"/>
        <v>2576.9670546431103</v>
      </c>
      <c r="BH177" s="11">
        <f t="shared" si="169"/>
        <v>1857.5646639016654</v>
      </c>
      <c r="BI177" s="11">
        <f t="shared" si="170"/>
        <v>1088.8538909880378</v>
      </c>
      <c r="BJ177" s="11">
        <f t="shared" si="171"/>
        <v>291.23998116074893</v>
      </c>
      <c r="BK177" s="11">
        <f t="shared" si="172"/>
        <v>4864.9817713261637</v>
      </c>
    </row>
    <row r="178" spans="6:63" x14ac:dyDescent="0.25">
      <c r="F178">
        <v>-4950</v>
      </c>
      <c r="I178" s="11">
        <f t="shared" si="118"/>
        <v>-3302.4678962783896</v>
      </c>
      <c r="J178" s="11">
        <f t="shared" si="119"/>
        <v>4052.0946299091283</v>
      </c>
      <c r="K178" s="11">
        <f t="shared" si="120"/>
        <v>-4119.3292289092951</v>
      </c>
      <c r="L178" s="11">
        <f t="shared" si="121"/>
        <v>-2547.3421993300385</v>
      </c>
      <c r="M178" s="11">
        <f t="shared" si="122"/>
        <v>-2883.33141727766</v>
      </c>
      <c r="N178" s="11">
        <f t="shared" si="123"/>
        <v>73.964881246423118</v>
      </c>
      <c r="O178" s="11">
        <f t="shared" si="124"/>
        <v>-4115.3837423870546</v>
      </c>
      <c r="P178" s="11">
        <f t="shared" si="125"/>
        <v>3665.2680736025318</v>
      </c>
      <c r="Q178" s="11">
        <f t="shared" si="126"/>
        <v>-676.62590967961444</v>
      </c>
      <c r="R178" s="11">
        <f t="shared" si="127"/>
        <v>-2948.9233245512855</v>
      </c>
      <c r="S178" s="11">
        <f t="shared" si="128"/>
        <v>-4106.5698363242382</v>
      </c>
      <c r="T178" s="11">
        <f t="shared" si="129"/>
        <v>1104.5758540334214</v>
      </c>
      <c r="U178" s="11">
        <f t="shared" si="130"/>
        <v>628.75359431474237</v>
      </c>
      <c r="V178" s="11">
        <f t="shared" si="131"/>
        <v>1395.2277268525572</v>
      </c>
      <c r="W178" s="11">
        <f t="shared" si="132"/>
        <v>-257.40679314010555</v>
      </c>
      <c r="X178" s="11">
        <f t="shared" si="133"/>
        <v>-2732.769083229924</v>
      </c>
      <c r="Y178" s="11">
        <f t="shared" si="134"/>
        <v>-1754.752543475279</v>
      </c>
      <c r="Z178" s="11">
        <f t="shared" si="135"/>
        <v>-4050.1429205189011</v>
      </c>
      <c r="AA178" s="11">
        <f t="shared" si="136"/>
        <v>-3324.7700827569088</v>
      </c>
      <c r="AB178" s="11">
        <f t="shared" si="137"/>
        <v>-3681.6877148967642</v>
      </c>
      <c r="AC178" s="11">
        <f t="shared" si="138"/>
        <v>-4118.0209321836746</v>
      </c>
      <c r="AD178" s="11">
        <f t="shared" si="139"/>
        <v>4122.6774178081087</v>
      </c>
      <c r="AE178" s="11">
        <f t="shared" si="140"/>
        <v>-4128.8119900893344</v>
      </c>
      <c r="AF178" s="11">
        <f t="shared" si="141"/>
        <v>1374.610206567663</v>
      </c>
      <c r="AG178" s="11">
        <f t="shared" si="142"/>
        <v>3738.702624735572</v>
      </c>
      <c r="AH178" s="11">
        <f t="shared" si="143"/>
        <v>2667.2930793908095</v>
      </c>
      <c r="AI178" s="11">
        <f t="shared" si="144"/>
        <v>-3567.3025559691323</v>
      </c>
      <c r="AJ178" s="11">
        <f t="shared" si="145"/>
        <v>3070.1891327536573</v>
      </c>
      <c r="AK178" s="11">
        <f t="shared" si="146"/>
        <v>3992.8060250481803</v>
      </c>
      <c r="AL178" s="11">
        <f t="shared" si="147"/>
        <v>4067.7234884529116</v>
      </c>
      <c r="AM178" s="11">
        <f t="shared" si="148"/>
        <v>3495.1502578495911</v>
      </c>
      <c r="AN178" s="11">
        <f t="shared" si="149"/>
        <v>2521.7490183382033</v>
      </c>
      <c r="AO178" s="11">
        <f t="shared" si="150"/>
        <v>-3329.8753756276674</v>
      </c>
      <c r="AP178" s="11">
        <f t="shared" si="151"/>
        <v>4067.0639534870679</v>
      </c>
      <c r="AQ178" s="11">
        <f t="shared" si="152"/>
        <v>3520.1032348322447</v>
      </c>
      <c r="AR178" s="11">
        <f t="shared" si="153"/>
        <v>-3694.5854214723099</v>
      </c>
      <c r="AS178" s="11">
        <f t="shared" si="154"/>
        <v>3625.5438277054827</v>
      </c>
      <c r="AT178" s="11">
        <f t="shared" si="155"/>
        <v>3790.7920100813785</v>
      </c>
      <c r="AU178" s="11">
        <f t="shared" si="156"/>
        <v>2419.3097159502231</v>
      </c>
      <c r="AV178" s="11">
        <f t="shared" si="157"/>
        <v>-2654.0230957308145</v>
      </c>
      <c r="AW178" s="11">
        <f t="shared" si="158"/>
        <v>-3351.3392345874659</v>
      </c>
      <c r="AX178" s="11">
        <f t="shared" si="159"/>
        <v>3953.7136468711142</v>
      </c>
      <c r="AY178" s="11">
        <f t="shared" si="160"/>
        <v>2807.2094062705255</v>
      </c>
      <c r="AZ178" s="11">
        <f t="shared" si="161"/>
        <v>-4124.4452156174102</v>
      </c>
      <c r="BA178" s="11">
        <f t="shared" si="162"/>
        <v>4128.6901404574992</v>
      </c>
      <c r="BB178" s="11">
        <f t="shared" si="163"/>
        <v>-1945.6126781587532</v>
      </c>
      <c r="BC178" s="11">
        <f t="shared" si="164"/>
        <v>4014.7827552788858</v>
      </c>
      <c r="BD178" s="11">
        <f t="shared" si="165"/>
        <v>4125.820988997707</v>
      </c>
      <c r="BE178" s="11">
        <f t="shared" si="166"/>
        <v>4085.5886417528736</v>
      </c>
      <c r="BF178" s="11">
        <f t="shared" si="167"/>
        <v>3895.5608067574976</v>
      </c>
      <c r="BG178" s="11">
        <f t="shared" si="168"/>
        <v>3562.7047327285768</v>
      </c>
      <c r="BH178" s="11">
        <f t="shared" si="169"/>
        <v>3099.224374185254</v>
      </c>
      <c r="BI178" s="11">
        <f t="shared" si="170"/>
        <v>2522.1129412723485</v>
      </c>
      <c r="BJ178" s="11">
        <f t="shared" si="171"/>
        <v>1852.5298546211168</v>
      </c>
      <c r="BK178" s="11">
        <f t="shared" si="172"/>
        <v>-3626.1241042314023</v>
      </c>
    </row>
    <row r="179" spans="6:63" x14ac:dyDescent="0.25">
      <c r="F179">
        <v>4130</v>
      </c>
      <c r="I179" s="11">
        <f t="shared" si="118"/>
        <v>0</v>
      </c>
      <c r="J179" s="11">
        <f t="shared" si="119"/>
        <v>0</v>
      </c>
      <c r="K179" s="11">
        <f t="shared" si="120"/>
        <v>0</v>
      </c>
      <c r="L179" s="11">
        <f t="shared" si="121"/>
        <v>0</v>
      </c>
      <c r="M179" s="11">
        <f t="shared" si="122"/>
        <v>0</v>
      </c>
      <c r="N179" s="11">
        <f t="shared" si="123"/>
        <v>0</v>
      </c>
      <c r="O179" s="11">
        <f t="shared" si="124"/>
        <v>0</v>
      </c>
      <c r="P179" s="11">
        <f t="shared" si="125"/>
        <v>0</v>
      </c>
      <c r="Q179" s="11">
        <f t="shared" si="126"/>
        <v>0</v>
      </c>
      <c r="R179" s="11">
        <f t="shared" si="127"/>
        <v>0</v>
      </c>
      <c r="S179" s="11">
        <f t="shared" si="128"/>
        <v>0</v>
      </c>
      <c r="T179" s="11">
        <f t="shared" si="129"/>
        <v>0</v>
      </c>
      <c r="U179" s="11">
        <f t="shared" si="130"/>
        <v>0</v>
      </c>
      <c r="V179" s="11">
        <f t="shared" si="131"/>
        <v>0</v>
      </c>
      <c r="W179" s="11">
        <f t="shared" si="132"/>
        <v>0</v>
      </c>
      <c r="X179" s="11">
        <f t="shared" si="133"/>
        <v>0</v>
      </c>
      <c r="Y179" s="11">
        <f t="shared" si="134"/>
        <v>0</v>
      </c>
      <c r="Z179" s="11">
        <f t="shared" si="135"/>
        <v>0</v>
      </c>
      <c r="AA179" s="11">
        <f t="shared" si="136"/>
        <v>0</v>
      </c>
      <c r="AB179" s="11">
        <f t="shared" si="137"/>
        <v>0</v>
      </c>
      <c r="AC179" s="11">
        <f t="shared" si="138"/>
        <v>0</v>
      </c>
      <c r="AD179" s="11">
        <f t="shared" si="139"/>
        <v>0</v>
      </c>
      <c r="AE179" s="11">
        <f t="shared" si="140"/>
        <v>0</v>
      </c>
      <c r="AF179" s="11">
        <f t="shared" si="141"/>
        <v>0</v>
      </c>
      <c r="AG179" s="11">
        <f t="shared" si="142"/>
        <v>0</v>
      </c>
      <c r="AH179" s="11">
        <f t="shared" si="143"/>
        <v>0</v>
      </c>
      <c r="AI179" s="11">
        <f t="shared" si="144"/>
        <v>0</v>
      </c>
      <c r="AJ179" s="11">
        <f t="shared" si="145"/>
        <v>0</v>
      </c>
      <c r="AK179" s="11">
        <f t="shared" si="146"/>
        <v>0</v>
      </c>
      <c r="AL179" s="11">
        <f t="shared" si="147"/>
        <v>0</v>
      </c>
      <c r="AM179" s="11">
        <f t="shared" si="148"/>
        <v>0</v>
      </c>
      <c r="AN179" s="11">
        <f t="shared" si="149"/>
        <v>0</v>
      </c>
      <c r="AO179" s="11">
        <f t="shared" si="150"/>
        <v>0</v>
      </c>
      <c r="AP179" s="11">
        <f t="shared" si="151"/>
        <v>0</v>
      </c>
      <c r="AQ179" s="11">
        <f t="shared" si="152"/>
        <v>0</v>
      </c>
      <c r="AR179" s="11">
        <f t="shared" si="153"/>
        <v>0</v>
      </c>
      <c r="AS179" s="11">
        <f t="shared" si="154"/>
        <v>0</v>
      </c>
      <c r="AT179" s="11">
        <f t="shared" si="155"/>
        <v>0</v>
      </c>
      <c r="AU179" s="11">
        <f t="shared" si="156"/>
        <v>0</v>
      </c>
      <c r="AV179" s="11">
        <f t="shared" si="157"/>
        <v>0</v>
      </c>
      <c r="AW179" s="11">
        <f t="shared" si="158"/>
        <v>0</v>
      </c>
      <c r="AX179" s="11">
        <f t="shared" si="159"/>
        <v>0</v>
      </c>
      <c r="AY179" s="11">
        <f t="shared" si="160"/>
        <v>0</v>
      </c>
      <c r="AZ179" s="11">
        <f t="shared" si="161"/>
        <v>0</v>
      </c>
      <c r="BA179" s="11">
        <f t="shared" si="162"/>
        <v>0</v>
      </c>
      <c r="BB179" s="11">
        <f t="shared" si="163"/>
        <v>0</v>
      </c>
      <c r="BC179" s="11">
        <f t="shared" si="164"/>
        <v>0</v>
      </c>
      <c r="BD179" s="11">
        <f t="shared" si="165"/>
        <v>0</v>
      </c>
      <c r="BE179" s="11">
        <f t="shared" si="166"/>
        <v>0</v>
      </c>
      <c r="BF179" s="11">
        <f t="shared" si="167"/>
        <v>0</v>
      </c>
      <c r="BG179" s="11">
        <f t="shared" si="168"/>
        <v>0</v>
      </c>
      <c r="BH179" s="11">
        <f t="shared" si="169"/>
        <v>0</v>
      </c>
      <c r="BI179" s="11">
        <f t="shared" si="170"/>
        <v>0</v>
      </c>
      <c r="BJ179" s="11">
        <f t="shared" si="171"/>
        <v>0</v>
      </c>
      <c r="BK179" s="11">
        <f t="shared" si="172"/>
        <v>0</v>
      </c>
    </row>
    <row r="180" spans="6:63" x14ac:dyDescent="0.25">
      <c r="I180" s="11">
        <f t="shared" si="118"/>
        <v>138.06210565041144</v>
      </c>
      <c r="J180" s="11">
        <f t="shared" si="119"/>
        <v>1580.7154348849106</v>
      </c>
      <c r="K180" s="11">
        <f t="shared" si="120"/>
        <v>-3692.8355369307733</v>
      </c>
      <c r="L180" s="11">
        <f t="shared" si="121"/>
        <v>1254.2932480933521</v>
      </c>
      <c r="M180" s="11">
        <f t="shared" si="122"/>
        <v>3443.1342020689672</v>
      </c>
      <c r="N180" s="11">
        <f t="shared" si="123"/>
        <v>3456.5746773811561</v>
      </c>
      <c r="O180" s="11">
        <f t="shared" si="124"/>
        <v>-661.0166879271942</v>
      </c>
      <c r="P180" s="11">
        <f t="shared" si="125"/>
        <v>987.72816693117443</v>
      </c>
      <c r="Q180" s="11">
        <f t="shared" si="126"/>
        <v>-2770.2240837715799</v>
      </c>
      <c r="R180" s="11">
        <f t="shared" si="127"/>
        <v>464.94627800129746</v>
      </c>
      <c r="S180" s="11">
        <f t="shared" si="128"/>
        <v>-3572.5811925814428</v>
      </c>
      <c r="T180" s="11">
        <f t="shared" si="129"/>
        <v>4015.3633222321132</v>
      </c>
      <c r="U180" s="11">
        <f t="shared" si="130"/>
        <v>-2343.6099342874218</v>
      </c>
      <c r="V180" s="11">
        <f t="shared" si="131"/>
        <v>28.068959642254587</v>
      </c>
      <c r="W180" s="11">
        <f t="shared" si="132"/>
        <v>-3219.0457663354528</v>
      </c>
      <c r="X180" s="11">
        <f t="shared" si="133"/>
        <v>-3690.1033636802545</v>
      </c>
      <c r="Y180" s="11">
        <f t="shared" si="134"/>
        <v>-3318.5268492716018</v>
      </c>
      <c r="Z180" s="11">
        <f t="shared" si="135"/>
        <v>3871.0270699769421</v>
      </c>
      <c r="AA180" s="11">
        <f t="shared" si="136"/>
        <v>2867.7043126734529</v>
      </c>
      <c r="AB180" s="11">
        <f t="shared" si="137"/>
        <v>-3925.5728561632013</v>
      </c>
      <c r="AC180" s="11">
        <f t="shared" si="138"/>
        <v>648.33439111831478</v>
      </c>
      <c r="AD180" s="11">
        <f t="shared" si="139"/>
        <v>3940.9816698411964</v>
      </c>
      <c r="AE180" s="11">
        <f t="shared" si="140"/>
        <v>-3099.800720264077</v>
      </c>
      <c r="AF180" s="11">
        <f t="shared" si="141"/>
        <v>-228.4641225183419</v>
      </c>
      <c r="AG180" s="11">
        <f t="shared" si="142"/>
        <v>1274.6843032567303</v>
      </c>
      <c r="AH180" s="11">
        <f t="shared" si="143"/>
        <v>-3591.7857535976127</v>
      </c>
      <c r="AI180" s="11">
        <f t="shared" si="144"/>
        <v>3470.1990847836669</v>
      </c>
      <c r="AJ180" s="11">
        <f t="shared" si="145"/>
        <v>694.25815845163174</v>
      </c>
      <c r="AK180" s="11">
        <f t="shared" si="146"/>
        <v>710.74552011806441</v>
      </c>
      <c r="AL180" s="11">
        <f t="shared" si="147"/>
        <v>2549.2510772076971</v>
      </c>
      <c r="AM180" s="11">
        <f t="shared" si="148"/>
        <v>-3453.6220061786939</v>
      </c>
      <c r="AN180" s="11">
        <f t="shared" si="149"/>
        <v>-3955.9091174385549</v>
      </c>
      <c r="AO180" s="11">
        <f t="shared" si="150"/>
        <v>-55.048924040617081</v>
      </c>
      <c r="AP180" s="11">
        <f t="shared" si="151"/>
        <v>-3933.4365863551357</v>
      </c>
      <c r="AQ180" s="11">
        <f t="shared" si="152"/>
        <v>-1721.1772743384442</v>
      </c>
      <c r="AR180" s="11">
        <f t="shared" si="153"/>
        <v>-2329.6359135672246</v>
      </c>
      <c r="AS180" s="11">
        <f t="shared" si="154"/>
        <v>2666.995737235246</v>
      </c>
      <c r="AT180" s="11">
        <f t="shared" si="155"/>
        <v>3746.0378209951359</v>
      </c>
      <c r="AU180" s="11">
        <f t="shared" si="156"/>
        <v>-437.18360788603576</v>
      </c>
      <c r="AV180" s="11">
        <f t="shared" si="157"/>
        <v>-3170.2370695267127</v>
      </c>
      <c r="AW180" s="11">
        <f t="shared" si="158"/>
        <v>2311.6673677034669</v>
      </c>
      <c r="AX180" s="11">
        <f t="shared" si="159"/>
        <v>-3641.4223585704162</v>
      </c>
      <c r="AY180" s="11">
        <f t="shared" si="160"/>
        <v>2843.4930363776584</v>
      </c>
      <c r="AZ180" s="11">
        <f t="shared" si="161"/>
        <v>235.81703575543202</v>
      </c>
      <c r="BA180" s="11">
        <f t="shared" si="162"/>
        <v>-3316.1853764630441</v>
      </c>
      <c r="BB180" s="11">
        <f t="shared" si="163"/>
        <v>3309.9136200903381</v>
      </c>
      <c r="BC180" s="11">
        <f t="shared" si="164"/>
        <v>-3809.3701729759359</v>
      </c>
      <c r="BD180" s="11">
        <f t="shared" si="165"/>
        <v>-3738.4326225540249</v>
      </c>
      <c r="BE180" s="11">
        <f t="shared" si="166"/>
        <v>-2336.7685875915981</v>
      </c>
      <c r="BF180" s="11">
        <f t="shared" si="167"/>
        <v>-103.31233880955232</v>
      </c>
      <c r="BG180" s="11">
        <f t="shared" si="168"/>
        <v>2166.9184964858991</v>
      </c>
      <c r="BH180" s="11">
        <f t="shared" si="169"/>
        <v>3665.8161777612795</v>
      </c>
      <c r="BI180" s="11">
        <f t="shared" si="170"/>
        <v>3859.8355913070181</v>
      </c>
      <c r="BJ180" s="11">
        <f t="shared" si="171"/>
        <v>2679.9140772521696</v>
      </c>
      <c r="BK180" s="11">
        <f t="shared" si="172"/>
        <v>3630.1695010986946</v>
      </c>
    </row>
    <row r="181" spans="6:63" x14ac:dyDescent="0.25">
      <c r="F181">
        <v>-3958</v>
      </c>
      <c r="I181" s="11">
        <f t="shared" si="118"/>
        <v>0</v>
      </c>
      <c r="J181" s="11">
        <f t="shared" si="119"/>
        <v>0</v>
      </c>
      <c r="K181" s="11">
        <f t="shared" si="120"/>
        <v>0</v>
      </c>
      <c r="L181" s="11">
        <f t="shared" si="121"/>
        <v>0</v>
      </c>
      <c r="M181" s="11">
        <f t="shared" si="122"/>
        <v>0</v>
      </c>
      <c r="N181" s="11">
        <f t="shared" si="123"/>
        <v>0</v>
      </c>
      <c r="O181" s="11">
        <f t="shared" si="124"/>
        <v>0</v>
      </c>
      <c r="P181" s="11">
        <f t="shared" si="125"/>
        <v>0</v>
      </c>
      <c r="Q181" s="11">
        <f t="shared" si="126"/>
        <v>0</v>
      </c>
      <c r="R181" s="11">
        <f t="shared" si="127"/>
        <v>0</v>
      </c>
      <c r="S181" s="11">
        <f t="shared" si="128"/>
        <v>0</v>
      </c>
      <c r="T181" s="11">
        <f t="shared" si="129"/>
        <v>0</v>
      </c>
      <c r="U181" s="11">
        <f t="shared" si="130"/>
        <v>0</v>
      </c>
      <c r="V181" s="11">
        <f t="shared" si="131"/>
        <v>0</v>
      </c>
      <c r="W181" s="11">
        <f t="shared" si="132"/>
        <v>0</v>
      </c>
      <c r="X181" s="11">
        <f t="shared" si="133"/>
        <v>0</v>
      </c>
      <c r="Y181" s="11">
        <f t="shared" si="134"/>
        <v>0</v>
      </c>
      <c r="Z181" s="11">
        <f t="shared" si="135"/>
        <v>0</v>
      </c>
      <c r="AA181" s="11">
        <f t="shared" si="136"/>
        <v>0</v>
      </c>
      <c r="AB181" s="11">
        <f t="shared" si="137"/>
        <v>0</v>
      </c>
      <c r="AC181" s="11">
        <f t="shared" si="138"/>
        <v>0</v>
      </c>
      <c r="AD181" s="11">
        <f t="shared" si="139"/>
        <v>0</v>
      </c>
      <c r="AE181" s="11">
        <f t="shared" si="140"/>
        <v>0</v>
      </c>
      <c r="AF181" s="11">
        <f t="shared" si="141"/>
        <v>0</v>
      </c>
      <c r="AG181" s="11">
        <f t="shared" si="142"/>
        <v>0</v>
      </c>
      <c r="AH181" s="11">
        <f t="shared" si="143"/>
        <v>0</v>
      </c>
      <c r="AI181" s="11">
        <f t="shared" si="144"/>
        <v>0</v>
      </c>
      <c r="AJ181" s="11">
        <f t="shared" si="145"/>
        <v>0</v>
      </c>
      <c r="AK181" s="11">
        <f t="shared" si="146"/>
        <v>0</v>
      </c>
      <c r="AL181" s="11">
        <f t="shared" si="147"/>
        <v>0</v>
      </c>
      <c r="AM181" s="11">
        <f t="shared" si="148"/>
        <v>0</v>
      </c>
      <c r="AN181" s="11">
        <f t="shared" si="149"/>
        <v>0</v>
      </c>
      <c r="AO181" s="11">
        <f t="shared" si="150"/>
        <v>0</v>
      </c>
      <c r="AP181" s="11">
        <f t="shared" si="151"/>
        <v>0</v>
      </c>
      <c r="AQ181" s="11">
        <f t="shared" si="152"/>
        <v>0</v>
      </c>
      <c r="AR181" s="11">
        <f t="shared" si="153"/>
        <v>0</v>
      </c>
      <c r="AS181" s="11">
        <f t="shared" si="154"/>
        <v>0</v>
      </c>
      <c r="AT181" s="11">
        <f t="shared" si="155"/>
        <v>0</v>
      </c>
      <c r="AU181" s="11">
        <f t="shared" si="156"/>
        <v>0</v>
      </c>
      <c r="AV181" s="11">
        <f t="shared" si="157"/>
        <v>0</v>
      </c>
      <c r="AW181" s="11">
        <f t="shared" si="158"/>
        <v>0</v>
      </c>
      <c r="AX181" s="11">
        <f t="shared" si="159"/>
        <v>0</v>
      </c>
      <c r="AY181" s="11">
        <f t="shared" si="160"/>
        <v>0</v>
      </c>
      <c r="AZ181" s="11">
        <f t="shared" si="161"/>
        <v>0</v>
      </c>
      <c r="BA181" s="11">
        <f t="shared" si="162"/>
        <v>0</v>
      </c>
      <c r="BB181" s="11">
        <f t="shared" si="163"/>
        <v>0</v>
      </c>
      <c r="BC181" s="11">
        <f t="shared" si="164"/>
        <v>0</v>
      </c>
      <c r="BD181" s="11">
        <f t="shared" si="165"/>
        <v>0</v>
      </c>
      <c r="BE181" s="11">
        <f t="shared" si="166"/>
        <v>0</v>
      </c>
      <c r="BF181" s="11">
        <f t="shared" si="167"/>
        <v>0</v>
      </c>
      <c r="BG181" s="11">
        <f t="shared" si="168"/>
        <v>0</v>
      </c>
      <c r="BH181" s="11">
        <f t="shared" si="169"/>
        <v>0</v>
      </c>
      <c r="BI181" s="11">
        <f t="shared" si="170"/>
        <v>0</v>
      </c>
      <c r="BJ181" s="11">
        <f t="shared" si="171"/>
        <v>0</v>
      </c>
      <c r="BK181" s="11">
        <f t="shared" si="172"/>
        <v>0</v>
      </c>
    </row>
    <row r="182" spans="6:63" x14ac:dyDescent="0.25">
      <c r="I182" s="11">
        <f t="shared" si="118"/>
        <v>-1985.8776269203333</v>
      </c>
      <c r="J182" s="11">
        <f t="shared" si="119"/>
        <v>-2266.169807997313</v>
      </c>
      <c r="K182" s="11">
        <f t="shared" si="120"/>
        <v>2546.6484355945554</v>
      </c>
      <c r="L182" s="11">
        <f t="shared" si="121"/>
        <v>188.35550816845927</v>
      </c>
      <c r="M182" s="11">
        <f t="shared" si="122"/>
        <v>-251.1939916644865</v>
      </c>
      <c r="N182" s="11">
        <f t="shared" si="123"/>
        <v>2536.6195995923113</v>
      </c>
      <c r="O182" s="11">
        <f t="shared" si="124"/>
        <v>-2935.06854358381</v>
      </c>
      <c r="P182" s="11">
        <f t="shared" si="125"/>
        <v>3254.8387148008542</v>
      </c>
      <c r="Q182" s="11">
        <f t="shared" si="126"/>
        <v>2185.9371668876583</v>
      </c>
      <c r="R182" s="11">
        <f t="shared" si="127"/>
        <v>155.80790108267558</v>
      </c>
      <c r="S182" s="11">
        <f t="shared" si="128"/>
        <v>2892.296127370078</v>
      </c>
      <c r="T182" s="11">
        <f t="shared" si="129"/>
        <v>1413.4060725871134</v>
      </c>
      <c r="U182" s="11">
        <f t="shared" si="130"/>
        <v>3209.039457223917</v>
      </c>
      <c r="V182" s="11">
        <f t="shared" si="131"/>
        <v>2718.2785194035368</v>
      </c>
      <c r="W182" s="11">
        <f t="shared" si="132"/>
        <v>-1346.3768161600126</v>
      </c>
      <c r="X182" s="11">
        <f t="shared" si="133"/>
        <v>-3178.534759784081</v>
      </c>
      <c r="Y182" s="11">
        <f t="shared" si="134"/>
        <v>920.4542098481212</v>
      </c>
      <c r="Z182" s="11">
        <f t="shared" si="135"/>
        <v>2290.8824191193912</v>
      </c>
      <c r="AA182" s="11">
        <f t="shared" si="136"/>
        <v>-3256.7175854526781</v>
      </c>
      <c r="AB182" s="11">
        <f t="shared" si="137"/>
        <v>2984.9649431984976</v>
      </c>
      <c r="AC182" s="11">
        <f t="shared" si="138"/>
        <v>-3251.1268375148916</v>
      </c>
      <c r="AD182" s="11">
        <f t="shared" si="139"/>
        <v>-3225.6260781141341</v>
      </c>
      <c r="AE182" s="11">
        <f t="shared" si="140"/>
        <v>2907.1838679633679</v>
      </c>
      <c r="AF182" s="11">
        <f t="shared" si="141"/>
        <v>156.61421584143935</v>
      </c>
      <c r="AG182" s="11">
        <f t="shared" si="142"/>
        <v>2572.808066363908</v>
      </c>
      <c r="AH182" s="11">
        <f t="shared" si="143"/>
        <v>1254.6667190643932</v>
      </c>
      <c r="AI182" s="11">
        <f t="shared" si="144"/>
        <v>-688.64037447980343</v>
      </c>
      <c r="AJ182" s="11">
        <f t="shared" si="145"/>
        <v>-2503.2205979013397</v>
      </c>
      <c r="AK182" s="11">
        <f t="shared" si="146"/>
        <v>3093.4227243983869</v>
      </c>
      <c r="AL182" s="11">
        <f t="shared" si="147"/>
        <v>-866.07317012071246</v>
      </c>
      <c r="AM182" s="11">
        <f t="shared" si="148"/>
        <v>688.70295828209919</v>
      </c>
      <c r="AN182" s="11">
        <f t="shared" si="149"/>
        <v>3253.0405797528138</v>
      </c>
      <c r="AO182" s="11">
        <f t="shared" si="150"/>
        <v>-3155.0410931108086</v>
      </c>
      <c r="AP182" s="11">
        <f t="shared" si="151"/>
        <v>-719.52936029874581</v>
      </c>
      <c r="AQ182" s="11">
        <f t="shared" si="152"/>
        <v>-1956.4922367394347</v>
      </c>
      <c r="AR182" s="11">
        <f t="shared" si="153"/>
        <v>-1799.6317481649687</v>
      </c>
      <c r="AS182" s="11">
        <f t="shared" si="154"/>
        <v>1011.7435310981206</v>
      </c>
      <c r="AT182" s="11">
        <f t="shared" si="155"/>
        <v>-631.73627604854562</v>
      </c>
      <c r="AU182" s="11">
        <f t="shared" si="156"/>
        <v>-168.38729288632615</v>
      </c>
      <c r="AV182" s="11">
        <f t="shared" si="157"/>
        <v>1151.4751596718568</v>
      </c>
      <c r="AW182" s="11">
        <f t="shared" si="158"/>
        <v>-963.07755483805613</v>
      </c>
      <c r="AX182" s="11">
        <f t="shared" si="159"/>
        <v>-1758.4546551673798</v>
      </c>
      <c r="AY182" s="11">
        <f t="shared" si="160"/>
        <v>3193.8091042941674</v>
      </c>
      <c r="AZ182" s="11">
        <f t="shared" si="161"/>
        <v>-3034.4740922186279</v>
      </c>
      <c r="BA182" s="11">
        <f t="shared" si="162"/>
        <v>2664.5521041289121</v>
      </c>
      <c r="BB182" s="11">
        <f t="shared" si="163"/>
        <v>-2100.9522937845068</v>
      </c>
      <c r="BC182" s="11">
        <f t="shared" si="164"/>
        <v>-2400.0483803193097</v>
      </c>
      <c r="BD182" s="11">
        <f t="shared" si="165"/>
        <v>-1322.0657449275911</v>
      </c>
      <c r="BE182" s="11">
        <f t="shared" si="166"/>
        <v>-24.645530515003024</v>
      </c>
      <c r="BF182" s="11">
        <f t="shared" si="167"/>
        <v>1276.8653696828121</v>
      </c>
      <c r="BG182" s="11">
        <f t="shared" si="168"/>
        <v>2366.4410869770718</v>
      </c>
      <c r="BH182" s="11">
        <f t="shared" si="169"/>
        <v>3063.2329317477597</v>
      </c>
      <c r="BI182" s="11">
        <f t="shared" si="170"/>
        <v>3251.5868103328157</v>
      </c>
      <c r="BJ182" s="11">
        <f t="shared" si="171"/>
        <v>2900.2395882959509</v>
      </c>
      <c r="BK182" s="11">
        <f t="shared" si="172"/>
        <v>-884.67532696068668</v>
      </c>
    </row>
    <row r="183" spans="6:63" x14ac:dyDescent="0.25">
      <c r="F183">
        <v>3258</v>
      </c>
      <c r="I183" s="11">
        <f t="shared" si="118"/>
        <v>2298.5530127678144</v>
      </c>
      <c r="J183" s="11">
        <f t="shared" si="119"/>
        <v>-1263.0619025638596</v>
      </c>
      <c r="K183" s="11">
        <f t="shared" si="120"/>
        <v>2589.3009026302198</v>
      </c>
      <c r="L183" s="11">
        <f t="shared" si="121"/>
        <v>2615.4298285079058</v>
      </c>
      <c r="M183" s="11">
        <f t="shared" si="122"/>
        <v>1772.6628687343728</v>
      </c>
      <c r="N183" s="11">
        <f t="shared" si="123"/>
        <v>995.24465627702682</v>
      </c>
      <c r="O183" s="11">
        <f t="shared" si="124"/>
        <v>1322.3855518811472</v>
      </c>
      <c r="P183" s="11">
        <f t="shared" si="125"/>
        <v>-173.04138774290183</v>
      </c>
      <c r="Q183" s="11">
        <f t="shared" si="126"/>
        <v>1119.6793552032841</v>
      </c>
      <c r="R183" s="11">
        <f t="shared" si="127"/>
        <v>-266.38277435532461</v>
      </c>
      <c r="S183" s="11">
        <f t="shared" si="128"/>
        <v>299.09055371888661</v>
      </c>
      <c r="T183" s="11">
        <f t="shared" si="129"/>
        <v>-939.74962024127342</v>
      </c>
      <c r="U183" s="11">
        <f t="shared" si="130"/>
        <v>2240.871558542382</v>
      </c>
      <c r="V183" s="11">
        <f t="shared" si="131"/>
        <v>767.81278304786406</v>
      </c>
      <c r="W183" s="11">
        <f t="shared" si="132"/>
        <v>-1594.4796186519504</v>
      </c>
      <c r="X183" s="11">
        <f t="shared" si="133"/>
        <v>2787.9817134789287</v>
      </c>
      <c r="Y183" s="11">
        <f t="shared" si="134"/>
        <v>1500.0991184071986</v>
      </c>
      <c r="Z183" s="11">
        <f t="shared" si="135"/>
        <v>-2310.7789035562896</v>
      </c>
      <c r="AA183" s="11">
        <f t="shared" si="136"/>
        <v>-1379.5895343197312</v>
      </c>
      <c r="AB183" s="11">
        <f t="shared" si="137"/>
        <v>2276.8193332254041</v>
      </c>
      <c r="AC183" s="11">
        <f t="shared" si="138"/>
        <v>2586.3212773342129</v>
      </c>
      <c r="AD183" s="11">
        <f t="shared" si="139"/>
        <v>-1640.2331087141959</v>
      </c>
      <c r="AE183" s="11">
        <f t="shared" si="140"/>
        <v>2567.73485797898</v>
      </c>
      <c r="AF183" s="11">
        <f t="shared" si="141"/>
        <v>-2286.4946776631036</v>
      </c>
      <c r="AG183" s="11">
        <f t="shared" si="142"/>
        <v>2576.8675192836204</v>
      </c>
      <c r="AH183" s="11">
        <f t="shared" si="143"/>
        <v>2604.6597824544961</v>
      </c>
      <c r="AI183" s="11">
        <f t="shared" si="144"/>
        <v>-1681.0468219618695</v>
      </c>
      <c r="AJ183" s="11">
        <f t="shared" si="145"/>
        <v>1120.8899134959795</v>
      </c>
      <c r="AK183" s="11">
        <f t="shared" si="146"/>
        <v>-2426.2307734817177</v>
      </c>
      <c r="AL183" s="11">
        <f t="shared" si="147"/>
        <v>-1688.3920106698599</v>
      </c>
      <c r="AM183" s="11">
        <f t="shared" si="148"/>
        <v>-103.82123803400482</v>
      </c>
      <c r="AN183" s="11">
        <f t="shared" si="149"/>
        <v>2228.5410085789995</v>
      </c>
      <c r="AO183" s="11">
        <f t="shared" si="150"/>
        <v>-2614.2052620148493</v>
      </c>
      <c r="AP183" s="11">
        <f t="shared" si="151"/>
        <v>2386.9097690184458</v>
      </c>
      <c r="AQ183" s="11">
        <f t="shared" si="152"/>
        <v>-2280.5000876391205</v>
      </c>
      <c r="AR183" s="11">
        <f t="shared" si="153"/>
        <v>523.43886916529357</v>
      </c>
      <c r="AS183" s="11">
        <f t="shared" si="154"/>
        <v>-2693.4183425971114</v>
      </c>
      <c r="AT183" s="11">
        <f t="shared" si="155"/>
        <v>-2327.2783607415245</v>
      </c>
      <c r="AU183" s="11">
        <f t="shared" si="156"/>
        <v>1144.0366438950339</v>
      </c>
      <c r="AV183" s="11">
        <f t="shared" si="157"/>
        <v>2248.992564507726</v>
      </c>
      <c r="AW183" s="11">
        <f t="shared" si="158"/>
        <v>-29.681042639647114</v>
      </c>
      <c r="AX183" s="11">
        <f t="shared" si="159"/>
        <v>-1005.5760228657399</v>
      </c>
      <c r="AY183" s="11">
        <f t="shared" si="160"/>
        <v>-1797.5963009554252</v>
      </c>
      <c r="AZ183" s="11">
        <f t="shared" si="161"/>
        <v>2606.8444783905006</v>
      </c>
      <c r="BA183" s="11">
        <f t="shared" si="162"/>
        <v>2183.0819928740643</v>
      </c>
      <c r="BB183" s="11">
        <f t="shared" si="163"/>
        <v>-2578.3755890850307</v>
      </c>
      <c r="BC183" s="11">
        <f t="shared" si="164"/>
        <v>-2602.0901227112872</v>
      </c>
      <c r="BD183" s="11">
        <f t="shared" si="165"/>
        <v>-1880.2406360068583</v>
      </c>
      <c r="BE183" s="11">
        <f t="shared" si="166"/>
        <v>-343.66584414731392</v>
      </c>
      <c r="BF183" s="11">
        <f t="shared" si="167"/>
        <v>1341.8222781799177</v>
      </c>
      <c r="BG183" s="11">
        <f t="shared" si="168"/>
        <v>2445.8863448501502</v>
      </c>
      <c r="BH183" s="11">
        <f t="shared" si="169"/>
        <v>2490.125413178383</v>
      </c>
      <c r="BI183" s="11">
        <f t="shared" si="170"/>
        <v>1455.370437937647</v>
      </c>
      <c r="BJ183" s="11">
        <f t="shared" si="171"/>
        <v>-210.00967001721176</v>
      </c>
      <c r="BK183" s="11">
        <f t="shared" si="172"/>
        <v>-1469.3361400235233</v>
      </c>
    </row>
    <row r="184" spans="6:63" x14ac:dyDescent="0.25">
      <c r="F184">
        <v>2616</v>
      </c>
      <c r="I184" s="11">
        <f t="shared" si="118"/>
        <v>-734.61358108447916</v>
      </c>
      <c r="J184" s="11">
        <f t="shared" si="119"/>
        <v>1865.7713612270868</v>
      </c>
      <c r="K184" s="11">
        <f t="shared" si="120"/>
        <v>1733.7373929027117</v>
      </c>
      <c r="L184" s="11">
        <f t="shared" si="121"/>
        <v>1612.0006829041174</v>
      </c>
      <c r="M184" s="11">
        <f t="shared" si="122"/>
        <v>1572.2797348321051</v>
      </c>
      <c r="N184" s="11">
        <f t="shared" si="123"/>
        <v>-314.73491999849881</v>
      </c>
      <c r="O184" s="11">
        <f t="shared" si="124"/>
        <v>1829.839650242192</v>
      </c>
      <c r="P184" s="11">
        <f t="shared" si="125"/>
        <v>-217.93304781125499</v>
      </c>
      <c r="Q184" s="11">
        <f t="shared" si="126"/>
        <v>430.50835718477953</v>
      </c>
      <c r="R184" s="11">
        <f t="shared" si="127"/>
        <v>1892.4139928190484</v>
      </c>
      <c r="S184" s="11">
        <f t="shared" si="128"/>
        <v>1696.760709328348</v>
      </c>
      <c r="T184" s="11">
        <f t="shared" si="129"/>
        <v>-148.74211038279978</v>
      </c>
      <c r="U184" s="11">
        <f t="shared" si="130"/>
        <v>1870.4621915129107</v>
      </c>
      <c r="V184" s="11">
        <f t="shared" si="131"/>
        <v>1485.8374374954401</v>
      </c>
      <c r="W184" s="11">
        <f t="shared" si="132"/>
        <v>1723.2121153050991</v>
      </c>
      <c r="X184" s="11">
        <f t="shared" si="133"/>
        <v>2027.5293727644114</v>
      </c>
      <c r="Y184" s="11">
        <f t="shared" si="134"/>
        <v>-240.04154393795264</v>
      </c>
      <c r="Z184" s="11">
        <f t="shared" si="135"/>
        <v>372.04651144477322</v>
      </c>
      <c r="AA184" s="11">
        <f t="shared" si="136"/>
        <v>-1888.2588914692778</v>
      </c>
      <c r="AB184" s="11">
        <f t="shared" si="137"/>
        <v>-1851.8471761410376</v>
      </c>
      <c r="AC184" s="11">
        <f t="shared" si="138"/>
        <v>-1245.0845580051212</v>
      </c>
      <c r="AD184" s="11">
        <f t="shared" si="139"/>
        <v>-1618.1984191619777</v>
      </c>
      <c r="AE184" s="11">
        <f t="shared" si="140"/>
        <v>1847.4735497420052</v>
      </c>
      <c r="AF184" s="11">
        <f t="shared" si="141"/>
        <v>-1619.1376202915214</v>
      </c>
      <c r="AG184" s="11">
        <f t="shared" si="142"/>
        <v>1764.8151846644469</v>
      </c>
      <c r="AH184" s="11">
        <f t="shared" si="143"/>
        <v>425.83998223930956</v>
      </c>
      <c r="AI184" s="11">
        <f t="shared" si="144"/>
        <v>868.24402009950063</v>
      </c>
      <c r="AJ184" s="11">
        <f t="shared" si="145"/>
        <v>-1397.2629251455185</v>
      </c>
      <c r="AK184" s="11">
        <f t="shared" si="146"/>
        <v>-1865.285673196458</v>
      </c>
      <c r="AL184" s="11">
        <f t="shared" si="147"/>
        <v>1723.554604498705</v>
      </c>
      <c r="AM184" s="11">
        <f t="shared" si="148"/>
        <v>627.18688958971779</v>
      </c>
      <c r="AN184" s="11">
        <f t="shared" si="149"/>
        <v>-1782.5603238447309</v>
      </c>
      <c r="AO184" s="11">
        <f t="shared" si="150"/>
        <v>1040.3478872952214</v>
      </c>
      <c r="AP184" s="11">
        <f t="shared" si="151"/>
        <v>698.49184240686816</v>
      </c>
      <c r="AQ184" s="11">
        <f t="shared" si="152"/>
        <v>-1918.0818894129541</v>
      </c>
      <c r="AR184" s="11">
        <f t="shared" si="153"/>
        <v>688.23614409529478</v>
      </c>
      <c r="AS184" s="11">
        <f t="shared" si="154"/>
        <v>-418.7435314729625</v>
      </c>
      <c r="AT184" s="11">
        <f t="shared" si="155"/>
        <v>-1063.0564253103787</v>
      </c>
      <c r="AU184" s="11">
        <f t="shared" si="156"/>
        <v>225.77673340321016</v>
      </c>
      <c r="AV184" s="11">
        <f t="shared" si="157"/>
        <v>763.06916581241103</v>
      </c>
      <c r="AW184" s="11">
        <f t="shared" si="158"/>
        <v>-1080.6168776849431</v>
      </c>
      <c r="AX184" s="11">
        <f t="shared" si="159"/>
        <v>-1850.8143285143756</v>
      </c>
      <c r="AY184" s="11">
        <f t="shared" si="160"/>
        <v>1040.3743479745171</v>
      </c>
      <c r="AZ184" s="11">
        <f t="shared" si="161"/>
        <v>634.1299454103746</v>
      </c>
      <c r="BA184" s="11">
        <f t="shared" si="162"/>
        <v>-695.37039683695787</v>
      </c>
      <c r="BB184" s="11">
        <f t="shared" si="163"/>
        <v>1674.7053520659149</v>
      </c>
      <c r="BC184" s="11">
        <f t="shared" si="164"/>
        <v>-1003.1010715492753</v>
      </c>
      <c r="BD184" s="11">
        <f t="shared" si="165"/>
        <v>-1525.8311339335312</v>
      </c>
      <c r="BE184" s="11">
        <f t="shared" si="166"/>
        <v>-1833.3321576934052</v>
      </c>
      <c r="BF184" s="11">
        <f t="shared" si="167"/>
        <v>-1882.2290400878862</v>
      </c>
      <c r="BG184" s="11">
        <f t="shared" si="168"/>
        <v>-1665.6245755488776</v>
      </c>
      <c r="BH184" s="11">
        <f t="shared" si="169"/>
        <v>-1214.0723488885003</v>
      </c>
      <c r="BI184" s="11">
        <f t="shared" si="170"/>
        <v>-591.26693702457737</v>
      </c>
      <c r="BJ184" s="11">
        <f t="shared" si="171"/>
        <v>114.94065332931461</v>
      </c>
      <c r="BK184" s="11">
        <f t="shared" si="172"/>
        <v>770.48657655717818</v>
      </c>
    </row>
    <row r="185" spans="6:63" x14ac:dyDescent="0.25">
      <c r="F185">
        <v>-1897</v>
      </c>
      <c r="I185" s="11">
        <f t="shared" si="118"/>
        <v>-1956.0613705001151</v>
      </c>
      <c r="J185" s="11">
        <f t="shared" si="119"/>
        <v>2047.9685743817984</v>
      </c>
      <c r="K185" s="11">
        <f t="shared" si="120"/>
        <v>1619.4618328356651</v>
      </c>
      <c r="L185" s="11">
        <f t="shared" si="121"/>
        <v>-1493.77545275322</v>
      </c>
      <c r="M185" s="11">
        <f t="shared" si="122"/>
        <v>-1346.6197977172903</v>
      </c>
      <c r="N185" s="11">
        <f t="shared" si="123"/>
        <v>419.79105337071599</v>
      </c>
      <c r="O185" s="11">
        <f t="shared" si="124"/>
        <v>-1653.047652174524</v>
      </c>
      <c r="P185" s="11">
        <f t="shared" si="125"/>
        <v>1967.3216254034257</v>
      </c>
      <c r="Q185" s="11">
        <f t="shared" si="126"/>
        <v>-1211.0451741792797</v>
      </c>
      <c r="R185" s="11">
        <f t="shared" si="127"/>
        <v>-198.86434294529946</v>
      </c>
      <c r="S185" s="11">
        <f t="shared" si="128"/>
        <v>2147.184462318487</v>
      </c>
      <c r="T185" s="11">
        <f t="shared" si="129"/>
        <v>1588.4680993372958</v>
      </c>
      <c r="U185" s="11">
        <f t="shared" si="130"/>
        <v>2143.5693524925532</v>
      </c>
      <c r="V185" s="11">
        <f t="shared" si="131"/>
        <v>2281.308561138841</v>
      </c>
      <c r="W185" s="11">
        <f t="shared" si="132"/>
        <v>-2382.2055981460239</v>
      </c>
      <c r="X185" s="11">
        <f t="shared" si="133"/>
        <v>-1791.7305130922739</v>
      </c>
      <c r="Y185" s="11">
        <f t="shared" si="134"/>
        <v>-1661.9855282366846</v>
      </c>
      <c r="Z185" s="11">
        <f t="shared" si="135"/>
        <v>2620.2900643776916</v>
      </c>
      <c r="AA185" s="11">
        <f t="shared" si="136"/>
        <v>-1638.856111630784</v>
      </c>
      <c r="AB185" s="11">
        <f t="shared" si="137"/>
        <v>2084.7679623947611</v>
      </c>
      <c r="AC185" s="11">
        <f t="shared" si="138"/>
        <v>-1751.34935663278</v>
      </c>
      <c r="AD185" s="11">
        <f t="shared" si="139"/>
        <v>1552.4300356826109</v>
      </c>
      <c r="AE185" s="11">
        <f t="shared" si="140"/>
        <v>1480.0856918900959</v>
      </c>
      <c r="AF185" s="11">
        <f t="shared" si="141"/>
        <v>-915.58616599862455</v>
      </c>
      <c r="AG185" s="11">
        <f t="shared" si="142"/>
        <v>2069.2631623785887</v>
      </c>
      <c r="AH185" s="11">
        <f t="shared" si="143"/>
        <v>-102.40943977384094</v>
      </c>
      <c r="AI185" s="11">
        <f t="shared" si="144"/>
        <v>-2119.2850859040036</v>
      </c>
      <c r="AJ185" s="11">
        <f t="shared" si="145"/>
        <v>-166.17592540320729</v>
      </c>
      <c r="AK185" s="11">
        <f t="shared" si="146"/>
        <v>-1329.2592470752525</v>
      </c>
      <c r="AL185" s="11">
        <f t="shared" si="147"/>
        <v>-1704.6417958662012</v>
      </c>
      <c r="AM185" s="11">
        <f t="shared" si="148"/>
        <v>-1421.7082292958899</v>
      </c>
      <c r="AN185" s="11">
        <f t="shared" si="149"/>
        <v>720.13260428880062</v>
      </c>
      <c r="AO185" s="11">
        <f t="shared" si="150"/>
        <v>-1763.4089396113352</v>
      </c>
      <c r="AP185" s="11">
        <f t="shared" si="151"/>
        <v>-1764.1621478007994</v>
      </c>
      <c r="AQ185" s="11">
        <f t="shared" si="152"/>
        <v>1340.6752639852068</v>
      </c>
      <c r="AR185" s="11">
        <f t="shared" si="153"/>
        <v>1038.0174375878378</v>
      </c>
      <c r="AS185" s="11">
        <f t="shared" si="154"/>
        <v>-2281.3814786044491</v>
      </c>
      <c r="AT185" s="11">
        <f t="shared" si="155"/>
        <v>93.788492726314217</v>
      </c>
      <c r="AU185" s="11">
        <f t="shared" si="156"/>
        <v>2087.4622369839926</v>
      </c>
      <c r="AV185" s="11">
        <f t="shared" si="157"/>
        <v>812.86103606180404</v>
      </c>
      <c r="AW185" s="11">
        <f t="shared" si="158"/>
        <v>-1900.4645843773633</v>
      </c>
      <c r="AX185" s="11">
        <f t="shared" si="159"/>
        <v>1536.0675462698468</v>
      </c>
      <c r="AY185" s="11">
        <f t="shared" si="160"/>
        <v>-1256.909728299833</v>
      </c>
      <c r="AZ185" s="11">
        <f t="shared" si="161"/>
        <v>-1562.3175876523962</v>
      </c>
      <c r="BA185" s="11">
        <f t="shared" si="162"/>
        <v>-1650.877392341979</v>
      </c>
      <c r="BB185" s="11">
        <f t="shared" si="163"/>
        <v>1622.6996613889801</v>
      </c>
      <c r="BC185" s="11">
        <f t="shared" si="164"/>
        <v>702.40997487280151</v>
      </c>
      <c r="BD185" s="11">
        <f t="shared" si="165"/>
        <v>1073.0546502662357</v>
      </c>
      <c r="BE185" s="11">
        <f t="shared" si="166"/>
        <v>1403.59599244123</v>
      </c>
      <c r="BF185" s="11">
        <f t="shared" si="167"/>
        <v>1681.680703378385</v>
      </c>
      <c r="BG185" s="11">
        <f t="shared" si="168"/>
        <v>1896.9159481661702</v>
      </c>
      <c r="BH185" s="11">
        <f t="shared" si="169"/>
        <v>2041.2577654840411</v>
      </c>
      <c r="BI185" s="11">
        <f t="shared" si="170"/>
        <v>2109.3116936191677</v>
      </c>
      <c r="BJ185" s="11">
        <f t="shared" si="171"/>
        <v>2098.5343767474683</v>
      </c>
      <c r="BK185" s="11">
        <f t="shared" si="172"/>
        <v>-2119.1153734768532</v>
      </c>
    </row>
    <row r="186" spans="6:63" x14ac:dyDescent="0.25">
      <c r="F186">
        <v>-2117</v>
      </c>
      <c r="I186" s="11">
        <f t="shared" si="118"/>
        <v>566.64488281410024</v>
      </c>
      <c r="J186" s="11">
        <f t="shared" si="119"/>
        <v>2164.2325962042351</v>
      </c>
      <c r="K186" s="11">
        <f t="shared" si="120"/>
        <v>-237.69057748311207</v>
      </c>
      <c r="L186" s="11">
        <f t="shared" si="121"/>
        <v>373.89360680744716</v>
      </c>
      <c r="M186" s="11">
        <f t="shared" si="122"/>
        <v>2271.0021430925026</v>
      </c>
      <c r="N186" s="11">
        <f t="shared" si="123"/>
        <v>-57.136736128958404</v>
      </c>
      <c r="O186" s="11">
        <f t="shared" si="124"/>
        <v>-2128.0240356070244</v>
      </c>
      <c r="P186" s="11">
        <f t="shared" si="125"/>
        <v>192.5987024164157</v>
      </c>
      <c r="Q186" s="11">
        <f t="shared" si="126"/>
        <v>1553.0391637348116</v>
      </c>
      <c r="R186" s="11">
        <f t="shared" si="127"/>
        <v>208.70800146001133</v>
      </c>
      <c r="S186" s="11">
        <f t="shared" si="128"/>
        <v>209.24359357075184</v>
      </c>
      <c r="T186" s="11">
        <f t="shared" si="129"/>
        <v>-2360.5541017565097</v>
      </c>
      <c r="U186" s="11">
        <f t="shared" si="130"/>
        <v>2579.6720538776162</v>
      </c>
      <c r="V186" s="11">
        <f t="shared" si="131"/>
        <v>2576.5260623975587</v>
      </c>
      <c r="W186" s="11">
        <f t="shared" si="132"/>
        <v>-2004.2200524084196</v>
      </c>
      <c r="X186" s="11">
        <f t="shared" si="133"/>
        <v>-2351.6715723037237</v>
      </c>
      <c r="Y186" s="11">
        <f t="shared" si="134"/>
        <v>533.76439176030578</v>
      </c>
      <c r="Z186" s="11">
        <f t="shared" si="135"/>
        <v>2088.7138935004109</v>
      </c>
      <c r="AA186" s="11">
        <f t="shared" si="136"/>
        <v>-1364.2771173365304</v>
      </c>
      <c r="AB186" s="11">
        <f t="shared" si="137"/>
        <v>1254.154549038107</v>
      </c>
      <c r="AC186" s="11">
        <f t="shared" si="138"/>
        <v>1526.4388726505611</v>
      </c>
      <c r="AD186" s="11">
        <f t="shared" si="139"/>
        <v>-2143.5391372876784</v>
      </c>
      <c r="AE186" s="11">
        <f t="shared" si="140"/>
        <v>34.865421008492952</v>
      </c>
      <c r="AF186" s="11">
        <f t="shared" si="141"/>
        <v>172.38237587602811</v>
      </c>
      <c r="AG186" s="11">
        <f t="shared" si="142"/>
        <v>-1655.7111437003555</v>
      </c>
      <c r="AH186" s="11">
        <f t="shared" si="143"/>
        <v>-1872.162393962396</v>
      </c>
      <c r="AI186" s="11">
        <f t="shared" si="144"/>
        <v>2335.1259126296072</v>
      </c>
      <c r="AJ186" s="11">
        <f t="shared" si="145"/>
        <v>-2288.0564755984456</v>
      </c>
      <c r="AK186" s="11">
        <f t="shared" si="146"/>
        <v>2249.0392734961169</v>
      </c>
      <c r="AL186" s="11">
        <f t="shared" si="147"/>
        <v>1894.6647467519479</v>
      </c>
      <c r="AM186" s="11">
        <f t="shared" si="148"/>
        <v>68.055436229289597</v>
      </c>
      <c r="AN186" s="11">
        <f t="shared" si="149"/>
        <v>-1188.0518523267342</v>
      </c>
      <c r="AO186" s="11">
        <f t="shared" si="150"/>
        <v>-1109.7004164826385</v>
      </c>
      <c r="AP186" s="11">
        <f t="shared" si="151"/>
        <v>1699.0078000039355</v>
      </c>
      <c r="AQ186" s="11">
        <f t="shared" si="152"/>
        <v>-2505.4141847877231</v>
      </c>
      <c r="AR186" s="11">
        <f t="shared" si="153"/>
        <v>600.16393338071873</v>
      </c>
      <c r="AS186" s="11">
        <f t="shared" si="154"/>
        <v>-1197.2004637470902</v>
      </c>
      <c r="AT186" s="11">
        <f t="shared" si="155"/>
        <v>-218.49524870209692</v>
      </c>
      <c r="AU186" s="11">
        <f t="shared" si="156"/>
        <v>2350.410238042969</v>
      </c>
      <c r="AV186" s="11">
        <f t="shared" si="157"/>
        <v>-5.84049729635551</v>
      </c>
      <c r="AW186" s="11">
        <f t="shared" si="158"/>
        <v>-2282.7454793706383</v>
      </c>
      <c r="AX186" s="11">
        <f t="shared" si="159"/>
        <v>2064.0543787377178</v>
      </c>
      <c r="AY186" s="11">
        <f t="shared" si="160"/>
        <v>1369.6974899479139</v>
      </c>
      <c r="AZ186" s="11">
        <f t="shared" si="161"/>
        <v>728.52619141125308</v>
      </c>
      <c r="BA186" s="11">
        <f t="shared" si="162"/>
        <v>1838.6838608244736</v>
      </c>
      <c r="BB186" s="11">
        <f t="shared" si="163"/>
        <v>-1992.9230455400593</v>
      </c>
      <c r="BC186" s="11">
        <f t="shared" si="164"/>
        <v>909.32133532812168</v>
      </c>
      <c r="BD186" s="11">
        <f t="shared" si="165"/>
        <v>386.60516117070989</v>
      </c>
      <c r="BE186" s="11">
        <f t="shared" si="166"/>
        <v>-156.81108741319218</v>
      </c>
      <c r="BF186" s="11">
        <f t="shared" si="167"/>
        <v>-691.83096126224132</v>
      </c>
      <c r="BG186" s="11">
        <f t="shared" si="168"/>
        <v>-1189.8075910863624</v>
      </c>
      <c r="BH186" s="11">
        <f t="shared" si="169"/>
        <v>-1624.0775428643219</v>
      </c>
      <c r="BI186" s="11">
        <f t="shared" si="170"/>
        <v>-1971.3884726228484</v>
      </c>
      <c r="BJ186" s="11">
        <f t="shared" si="171"/>
        <v>-2213.1441388813655</v>
      </c>
      <c r="BK186" s="11">
        <f t="shared" si="172"/>
        <v>2322.5385302048403</v>
      </c>
    </row>
    <row r="187" spans="6:63" x14ac:dyDescent="0.25">
      <c r="F187">
        <v>2354</v>
      </c>
      <c r="I187" s="11">
        <f t="shared" si="118"/>
        <v>0</v>
      </c>
      <c r="J187" s="11">
        <f t="shared" si="119"/>
        <v>0</v>
      </c>
      <c r="K187" s="11">
        <f t="shared" si="120"/>
        <v>0</v>
      </c>
      <c r="L187" s="11">
        <f t="shared" si="121"/>
        <v>0</v>
      </c>
      <c r="M187" s="11">
        <f t="shared" si="122"/>
        <v>0</v>
      </c>
      <c r="N187" s="11">
        <f t="shared" si="123"/>
        <v>0</v>
      </c>
      <c r="O187" s="11">
        <f t="shared" si="124"/>
        <v>0</v>
      </c>
      <c r="P187" s="11">
        <f t="shared" si="125"/>
        <v>0</v>
      </c>
      <c r="Q187" s="11">
        <f t="shared" si="126"/>
        <v>0</v>
      </c>
      <c r="R187" s="11">
        <f t="shared" si="127"/>
        <v>0</v>
      </c>
      <c r="S187" s="11">
        <f t="shared" si="128"/>
        <v>0</v>
      </c>
      <c r="T187" s="11">
        <f t="shared" si="129"/>
        <v>0</v>
      </c>
      <c r="U187" s="11">
        <f t="shared" si="130"/>
        <v>0</v>
      </c>
      <c r="V187" s="11">
        <f t="shared" si="131"/>
        <v>0</v>
      </c>
      <c r="W187" s="11">
        <f t="shared" si="132"/>
        <v>0</v>
      </c>
      <c r="X187" s="11">
        <f t="shared" si="133"/>
        <v>0</v>
      </c>
      <c r="Y187" s="11">
        <f t="shared" si="134"/>
        <v>0</v>
      </c>
      <c r="Z187" s="11">
        <f t="shared" si="135"/>
        <v>0</v>
      </c>
      <c r="AA187" s="11">
        <f t="shared" si="136"/>
        <v>0</v>
      </c>
      <c r="AB187" s="11">
        <f t="shared" si="137"/>
        <v>0</v>
      </c>
      <c r="AC187" s="11">
        <f t="shared" si="138"/>
        <v>0</v>
      </c>
      <c r="AD187" s="11">
        <f t="shared" si="139"/>
        <v>0</v>
      </c>
      <c r="AE187" s="11">
        <f t="shared" si="140"/>
        <v>0</v>
      </c>
      <c r="AF187" s="11">
        <f t="shared" si="141"/>
        <v>0</v>
      </c>
      <c r="AG187" s="11">
        <f t="shared" si="142"/>
        <v>0</v>
      </c>
      <c r="AH187" s="11">
        <f t="shared" si="143"/>
        <v>0</v>
      </c>
      <c r="AI187" s="11">
        <f t="shared" si="144"/>
        <v>0</v>
      </c>
      <c r="AJ187" s="11">
        <f t="shared" si="145"/>
        <v>0</v>
      </c>
      <c r="AK187" s="11">
        <f t="shared" si="146"/>
        <v>0</v>
      </c>
      <c r="AL187" s="11">
        <f t="shared" si="147"/>
        <v>0</v>
      </c>
      <c r="AM187" s="11">
        <f t="shared" si="148"/>
        <v>0</v>
      </c>
      <c r="AN187" s="11">
        <f t="shared" si="149"/>
        <v>0</v>
      </c>
      <c r="AO187" s="11">
        <f t="shared" si="150"/>
        <v>0</v>
      </c>
      <c r="AP187" s="11">
        <f t="shared" si="151"/>
        <v>0</v>
      </c>
      <c r="AQ187" s="11">
        <f t="shared" si="152"/>
        <v>0</v>
      </c>
      <c r="AR187" s="11">
        <f t="shared" si="153"/>
        <v>0</v>
      </c>
      <c r="AS187" s="11">
        <f t="shared" si="154"/>
        <v>0</v>
      </c>
      <c r="AT187" s="11">
        <f t="shared" si="155"/>
        <v>0</v>
      </c>
      <c r="AU187" s="11">
        <f t="shared" si="156"/>
        <v>0</v>
      </c>
      <c r="AV187" s="11">
        <f t="shared" si="157"/>
        <v>0</v>
      </c>
      <c r="AW187" s="11">
        <f t="shared" si="158"/>
        <v>0</v>
      </c>
      <c r="AX187" s="11">
        <f t="shared" si="159"/>
        <v>0</v>
      </c>
      <c r="AY187" s="11">
        <f t="shared" si="160"/>
        <v>0</v>
      </c>
      <c r="AZ187" s="11">
        <f t="shared" si="161"/>
        <v>0</v>
      </c>
      <c r="BA187" s="11">
        <f t="shared" si="162"/>
        <v>0</v>
      </c>
      <c r="BB187" s="11">
        <f t="shared" si="163"/>
        <v>0</v>
      </c>
      <c r="BC187" s="11">
        <f t="shared" si="164"/>
        <v>0</v>
      </c>
      <c r="BD187" s="11">
        <f t="shared" si="165"/>
        <v>0</v>
      </c>
      <c r="BE187" s="11">
        <f t="shared" si="166"/>
        <v>0</v>
      </c>
      <c r="BF187" s="11">
        <f t="shared" si="167"/>
        <v>0</v>
      </c>
      <c r="BG187" s="11">
        <f t="shared" si="168"/>
        <v>0</v>
      </c>
      <c r="BH187" s="11">
        <f t="shared" si="169"/>
        <v>0</v>
      </c>
      <c r="BI187" s="11">
        <f t="shared" si="170"/>
        <v>0</v>
      </c>
      <c r="BJ187" s="11">
        <f t="shared" si="171"/>
        <v>0</v>
      </c>
      <c r="BK187" s="11">
        <f t="shared" si="172"/>
        <v>0</v>
      </c>
    </row>
    <row r="188" spans="6:63" x14ac:dyDescent="0.25">
      <c r="I188" s="11">
        <f t="shared" si="118"/>
        <v>0</v>
      </c>
      <c r="J188" s="11">
        <f t="shared" si="119"/>
        <v>0</v>
      </c>
      <c r="K188" s="11">
        <f t="shared" si="120"/>
        <v>0</v>
      </c>
      <c r="L188" s="11">
        <f t="shared" si="121"/>
        <v>0</v>
      </c>
      <c r="M188" s="11">
        <f t="shared" si="122"/>
        <v>0</v>
      </c>
      <c r="N188" s="11">
        <f t="shared" si="123"/>
        <v>0</v>
      </c>
      <c r="O188" s="11">
        <f t="shared" si="124"/>
        <v>0</v>
      </c>
      <c r="P188" s="11">
        <f t="shared" si="125"/>
        <v>0</v>
      </c>
      <c r="Q188" s="11">
        <f t="shared" si="126"/>
        <v>0</v>
      </c>
      <c r="R188" s="11">
        <f t="shared" si="127"/>
        <v>0</v>
      </c>
      <c r="S188" s="11">
        <f t="shared" si="128"/>
        <v>0</v>
      </c>
      <c r="T188" s="11">
        <f t="shared" si="129"/>
        <v>0</v>
      </c>
      <c r="U188" s="11">
        <f t="shared" si="130"/>
        <v>0</v>
      </c>
      <c r="V188" s="11">
        <f t="shared" si="131"/>
        <v>0</v>
      </c>
      <c r="W188" s="11">
        <f t="shared" si="132"/>
        <v>0</v>
      </c>
      <c r="X188" s="11">
        <f t="shared" si="133"/>
        <v>0</v>
      </c>
      <c r="Y188" s="11">
        <f t="shared" si="134"/>
        <v>0</v>
      </c>
      <c r="Z188" s="11">
        <f t="shared" si="135"/>
        <v>0</v>
      </c>
      <c r="AA188" s="11">
        <f t="shared" si="136"/>
        <v>0</v>
      </c>
      <c r="AB188" s="11">
        <f t="shared" si="137"/>
        <v>0</v>
      </c>
      <c r="AC188" s="11">
        <f t="shared" si="138"/>
        <v>0</v>
      </c>
      <c r="AD188" s="11">
        <f t="shared" si="139"/>
        <v>0</v>
      </c>
      <c r="AE188" s="11">
        <f t="shared" si="140"/>
        <v>0</v>
      </c>
      <c r="AF188" s="11">
        <f t="shared" si="141"/>
        <v>0</v>
      </c>
      <c r="AG188" s="11">
        <f t="shared" si="142"/>
        <v>0</v>
      </c>
      <c r="AH188" s="11">
        <f t="shared" si="143"/>
        <v>0</v>
      </c>
      <c r="AI188" s="11">
        <f t="shared" si="144"/>
        <v>0</v>
      </c>
      <c r="AJ188" s="11">
        <f t="shared" si="145"/>
        <v>0</v>
      </c>
      <c r="AK188" s="11">
        <f t="shared" si="146"/>
        <v>0</v>
      </c>
      <c r="AL188" s="11">
        <f t="shared" si="147"/>
        <v>0</v>
      </c>
      <c r="AM188" s="11">
        <f t="shared" si="148"/>
        <v>0</v>
      </c>
      <c r="AN188" s="11">
        <f t="shared" si="149"/>
        <v>0</v>
      </c>
      <c r="AO188" s="11">
        <f t="shared" si="150"/>
        <v>0</v>
      </c>
      <c r="AP188" s="11">
        <f t="shared" si="151"/>
        <v>0</v>
      </c>
      <c r="AQ188" s="11">
        <f t="shared" si="152"/>
        <v>0</v>
      </c>
      <c r="AR188" s="11">
        <f t="shared" si="153"/>
        <v>0</v>
      </c>
      <c r="AS188" s="11">
        <f t="shared" si="154"/>
        <v>0</v>
      </c>
      <c r="AT188" s="11">
        <f t="shared" si="155"/>
        <v>0</v>
      </c>
      <c r="AU188" s="11">
        <f t="shared" si="156"/>
        <v>0</v>
      </c>
      <c r="AV188" s="11">
        <f t="shared" si="157"/>
        <v>0</v>
      </c>
      <c r="AW188" s="11">
        <f t="shared" si="158"/>
        <v>0</v>
      </c>
      <c r="AX188" s="11">
        <f t="shared" si="159"/>
        <v>0</v>
      </c>
      <c r="AY188" s="11">
        <f t="shared" si="160"/>
        <v>0</v>
      </c>
      <c r="AZ188" s="11">
        <f t="shared" si="161"/>
        <v>0</v>
      </c>
      <c r="BA188" s="11">
        <f t="shared" si="162"/>
        <v>0</v>
      </c>
      <c r="BB188" s="11">
        <f t="shared" si="163"/>
        <v>0</v>
      </c>
      <c r="BC188" s="11">
        <f t="shared" si="164"/>
        <v>0</v>
      </c>
      <c r="BD188" s="11">
        <f t="shared" si="165"/>
        <v>0</v>
      </c>
      <c r="BE188" s="11">
        <f t="shared" si="166"/>
        <v>0</v>
      </c>
      <c r="BF188" s="11">
        <f t="shared" si="167"/>
        <v>0</v>
      </c>
      <c r="BG188" s="11">
        <f t="shared" si="168"/>
        <v>0</v>
      </c>
      <c r="BH188" s="11">
        <f t="shared" si="169"/>
        <v>0</v>
      </c>
      <c r="BI188" s="11">
        <f t="shared" si="170"/>
        <v>0</v>
      </c>
      <c r="BJ188" s="11">
        <f t="shared" si="171"/>
        <v>0</v>
      </c>
      <c r="BK188" s="11">
        <f t="shared" si="172"/>
        <v>0</v>
      </c>
    </row>
    <row r="189" spans="6:63" x14ac:dyDescent="0.25">
      <c r="I189" s="11">
        <f t="shared" si="118"/>
        <v>-1113.3805416389498</v>
      </c>
      <c r="J189" s="11">
        <f t="shared" si="119"/>
        <v>-529.70284962590131</v>
      </c>
      <c r="K189" s="11">
        <f t="shared" si="120"/>
        <v>570.51212860995474</v>
      </c>
      <c r="L189" s="11">
        <f t="shared" si="121"/>
        <v>-1209.842539557703</v>
      </c>
      <c r="M189" s="11">
        <f t="shared" si="122"/>
        <v>1029.0532013839611</v>
      </c>
      <c r="N189" s="11">
        <f t="shared" si="123"/>
        <v>148.76093796235492</v>
      </c>
      <c r="O189" s="11">
        <f t="shared" si="124"/>
        <v>507.64600705002323</v>
      </c>
      <c r="P189" s="11">
        <f t="shared" si="125"/>
        <v>-1005.4257721559834</v>
      </c>
      <c r="Q189" s="11">
        <f t="shared" si="126"/>
        <v>-485.92320732232105</v>
      </c>
      <c r="R189" s="11">
        <f t="shared" si="127"/>
        <v>42.206834784257303</v>
      </c>
      <c r="S189" s="11">
        <f t="shared" si="128"/>
        <v>-1327.7333453418751</v>
      </c>
      <c r="T189" s="11">
        <f t="shared" si="129"/>
        <v>1303.7944559308273</v>
      </c>
      <c r="U189" s="11">
        <f t="shared" si="130"/>
        <v>1302.3295462308683</v>
      </c>
      <c r="V189" s="11">
        <f t="shared" si="131"/>
        <v>1120.388650990863</v>
      </c>
      <c r="W189" s="11">
        <f t="shared" si="132"/>
        <v>-1024.3126506007143</v>
      </c>
      <c r="X189" s="11">
        <f t="shared" si="133"/>
        <v>-1408.8200898018649</v>
      </c>
      <c r="Y189" s="11">
        <f t="shared" si="134"/>
        <v>1416.5564444783197</v>
      </c>
      <c r="Z189" s="11">
        <f t="shared" si="135"/>
        <v>1417.8245882683277</v>
      </c>
      <c r="AA189" s="11">
        <f t="shared" si="136"/>
        <v>-772.3650989095969</v>
      </c>
      <c r="AB189" s="11">
        <f t="shared" si="137"/>
        <v>259.81069722154086</v>
      </c>
      <c r="AC189" s="11">
        <f t="shared" si="138"/>
        <v>654.89226665739443</v>
      </c>
      <c r="AD189" s="11">
        <f t="shared" si="139"/>
        <v>414.42532699232777</v>
      </c>
      <c r="AE189" s="11">
        <f t="shared" si="140"/>
        <v>1159.2046091746242</v>
      </c>
      <c r="AF189" s="11">
        <f t="shared" si="141"/>
        <v>-1389.5991569804987</v>
      </c>
      <c r="AG189" s="11">
        <f t="shared" si="142"/>
        <v>-1267.5867071576297</v>
      </c>
      <c r="AH189" s="11">
        <f t="shared" si="143"/>
        <v>-1255.1796494660693</v>
      </c>
      <c r="AI189" s="11">
        <f t="shared" si="144"/>
        <v>-309.72802864782204</v>
      </c>
      <c r="AJ189" s="11">
        <f t="shared" si="145"/>
        <v>1326.9357363458726</v>
      </c>
      <c r="AK189" s="11">
        <f t="shared" si="146"/>
        <v>-1038.5133385146701</v>
      </c>
      <c r="AL189" s="11">
        <f t="shared" si="147"/>
        <v>-375.48245635308416</v>
      </c>
      <c r="AM189" s="11">
        <f t="shared" si="148"/>
        <v>1096.6328884461459</v>
      </c>
      <c r="AN189" s="11">
        <f t="shared" si="149"/>
        <v>-186.52723457698846</v>
      </c>
      <c r="AO189" s="11">
        <f t="shared" si="150"/>
        <v>-1322.282647894267</v>
      </c>
      <c r="AP189" s="11">
        <f t="shared" si="151"/>
        <v>1066.8508848803122</v>
      </c>
      <c r="AQ189" s="11">
        <f t="shared" si="152"/>
        <v>-1006.0531494737098</v>
      </c>
      <c r="AR189" s="11">
        <f t="shared" si="153"/>
        <v>-1220.5522393927149</v>
      </c>
      <c r="AS189" s="11">
        <f t="shared" si="154"/>
        <v>100.57318806151436</v>
      </c>
      <c r="AT189" s="11">
        <f t="shared" si="155"/>
        <v>508.68218724896951</v>
      </c>
      <c r="AU189" s="11">
        <f t="shared" si="156"/>
        <v>-1169.7103162542876</v>
      </c>
      <c r="AV189" s="11">
        <f t="shared" si="157"/>
        <v>-1205.8412691703559</v>
      </c>
      <c r="AW189" s="11">
        <f t="shared" si="158"/>
        <v>1286.6731354738388</v>
      </c>
      <c r="AX189" s="11">
        <f t="shared" si="159"/>
        <v>-1344.5150951850558</v>
      </c>
      <c r="AY189" s="11">
        <f t="shared" si="160"/>
        <v>-1378.7442530089218</v>
      </c>
      <c r="AZ189" s="11">
        <f t="shared" si="161"/>
        <v>198.12190936748109</v>
      </c>
      <c r="BA189" s="11">
        <f t="shared" si="162"/>
        <v>-1157.9973249015084</v>
      </c>
      <c r="BB189" s="11">
        <f t="shared" si="163"/>
        <v>-320.40446992557196</v>
      </c>
      <c r="BC189" s="11">
        <f t="shared" si="164"/>
        <v>-1155.2820617976313</v>
      </c>
      <c r="BD189" s="11">
        <f t="shared" si="165"/>
        <v>186.95920841018079</v>
      </c>
      <c r="BE189" s="11">
        <f t="shared" si="166"/>
        <v>1331.8164939507574</v>
      </c>
      <c r="BF189" s="11">
        <f t="shared" si="167"/>
        <v>1070.5956908149938</v>
      </c>
      <c r="BG189" s="11">
        <f t="shared" si="168"/>
        <v>-320.91682257145919</v>
      </c>
      <c r="BH189" s="11">
        <f t="shared" si="169"/>
        <v>-1373.6183101473066</v>
      </c>
      <c r="BI189" s="11">
        <f t="shared" si="170"/>
        <v>-976.10903905216981</v>
      </c>
      <c r="BJ189" s="11">
        <f t="shared" si="171"/>
        <v>451.9367498017188</v>
      </c>
      <c r="BK189" s="11">
        <f t="shared" si="172"/>
        <v>-531.16025812276064</v>
      </c>
    </row>
    <row r="190" spans="6:63" x14ac:dyDescent="0.25">
      <c r="F190">
        <v>-1423</v>
      </c>
      <c r="I190" s="11">
        <f t="shared" si="118"/>
        <v>-135.26690084952148</v>
      </c>
      <c r="J190" s="11">
        <f t="shared" si="119"/>
        <v>1084.4338905431841</v>
      </c>
      <c r="K190" s="11">
        <f t="shared" si="120"/>
        <v>1116.9963529202462</v>
      </c>
      <c r="L190" s="11">
        <f t="shared" si="121"/>
        <v>1041.6444696642855</v>
      </c>
      <c r="M190" s="11">
        <f t="shared" si="122"/>
        <v>-1063.1544713955909</v>
      </c>
      <c r="N190" s="11">
        <f t="shared" si="123"/>
        <v>-221.60990481356072</v>
      </c>
      <c r="O190" s="11">
        <f t="shared" si="124"/>
        <v>-1028.4091844128532</v>
      </c>
      <c r="P190" s="11">
        <f t="shared" si="125"/>
        <v>-953.3436514556372</v>
      </c>
      <c r="Q190" s="11">
        <f t="shared" si="126"/>
        <v>726.1605071055036</v>
      </c>
      <c r="R190" s="11">
        <f t="shared" si="127"/>
        <v>-1102.696231391672</v>
      </c>
      <c r="S190" s="11">
        <f t="shared" si="128"/>
        <v>-1114.1884684808524</v>
      </c>
      <c r="T190" s="11">
        <f t="shared" si="129"/>
        <v>-640.22621957829062</v>
      </c>
      <c r="U190" s="11">
        <f t="shared" si="130"/>
        <v>883.08128417763817</v>
      </c>
      <c r="V190" s="11">
        <f t="shared" si="131"/>
        <v>1081.4210759582541</v>
      </c>
      <c r="W190" s="11">
        <f t="shared" si="132"/>
        <v>-363.74043439742059</v>
      </c>
      <c r="X190" s="11">
        <f t="shared" si="133"/>
        <v>523.7721173042479</v>
      </c>
      <c r="Y190" s="11">
        <f t="shared" si="134"/>
        <v>658.54462777759159</v>
      </c>
      <c r="Z190" s="11">
        <f t="shared" si="135"/>
        <v>1061.9416251608652</v>
      </c>
      <c r="AA190" s="11">
        <f t="shared" si="136"/>
        <v>1067.533257002134</v>
      </c>
      <c r="AB190" s="11">
        <f t="shared" si="137"/>
        <v>-1045.5556576612387</v>
      </c>
      <c r="AC190" s="11">
        <f t="shared" si="138"/>
        <v>1038.1217248909645</v>
      </c>
      <c r="AD190" s="11">
        <f t="shared" si="139"/>
        <v>900.65085096828147</v>
      </c>
      <c r="AE190" s="11">
        <f t="shared" si="140"/>
        <v>1001.5791077003653</v>
      </c>
      <c r="AF190" s="11">
        <f t="shared" si="141"/>
        <v>846.33324560788026</v>
      </c>
      <c r="AG190" s="11">
        <f t="shared" si="142"/>
        <v>-1095.4884384915383</v>
      </c>
      <c r="AH190" s="11">
        <f t="shared" si="143"/>
        <v>980.5624551747502</v>
      </c>
      <c r="AI190" s="11">
        <f t="shared" si="144"/>
        <v>-1110.1676197116778</v>
      </c>
      <c r="AJ190" s="11">
        <f t="shared" si="145"/>
        <v>716.25709558206984</v>
      </c>
      <c r="AK190" s="11">
        <f t="shared" si="146"/>
        <v>-125.24920549495663</v>
      </c>
      <c r="AL190" s="11">
        <f t="shared" si="147"/>
        <v>-533.5841730451408</v>
      </c>
      <c r="AM190" s="11">
        <f t="shared" si="148"/>
        <v>1082.6004080393932</v>
      </c>
      <c r="AN190" s="11">
        <f t="shared" si="149"/>
        <v>-353.18017435824191</v>
      </c>
      <c r="AO190" s="11">
        <f t="shared" si="150"/>
        <v>797.06161382467917</v>
      </c>
      <c r="AP190" s="11">
        <f t="shared" si="151"/>
        <v>426.0069959634227</v>
      </c>
      <c r="AQ190" s="11">
        <f t="shared" si="152"/>
        <v>937.69723707234152</v>
      </c>
      <c r="AR190" s="11">
        <f t="shared" si="153"/>
        <v>728.11147082929949</v>
      </c>
      <c r="AS190" s="11">
        <f t="shared" si="154"/>
        <v>978.43722202773415</v>
      </c>
      <c r="AT190" s="11">
        <f t="shared" si="155"/>
        <v>-533.64587143410154</v>
      </c>
      <c r="AU190" s="11">
        <f t="shared" si="156"/>
        <v>-676.29400297744917</v>
      </c>
      <c r="AV190" s="11">
        <f t="shared" si="157"/>
        <v>-687.70331543125064</v>
      </c>
      <c r="AW190" s="11">
        <f t="shared" si="158"/>
        <v>-1114.2175358005477</v>
      </c>
      <c r="AX190" s="11">
        <f t="shared" si="159"/>
        <v>-831.52303889598784</v>
      </c>
      <c r="AY190" s="11">
        <f t="shared" si="160"/>
        <v>-708.99224848399081</v>
      </c>
      <c r="AZ190" s="11">
        <f t="shared" si="161"/>
        <v>34.54714084015459</v>
      </c>
      <c r="BA190" s="11">
        <f t="shared" si="162"/>
        <v>870.67052123700466</v>
      </c>
      <c r="BB190" s="11">
        <f t="shared" si="163"/>
        <v>455.92873266370032</v>
      </c>
      <c r="BC190" s="11">
        <f t="shared" si="164"/>
        <v>1098.9626487352061</v>
      </c>
      <c r="BD190" s="11">
        <f t="shared" si="165"/>
        <v>830.75276996754837</v>
      </c>
      <c r="BE190" s="11">
        <f t="shared" si="166"/>
        <v>-81.988915236755773</v>
      </c>
      <c r="BF190" s="11">
        <f t="shared" si="167"/>
        <v>-931.12026346028983</v>
      </c>
      <c r="BG190" s="11">
        <f t="shared" si="168"/>
        <v>-1057.8506193376086</v>
      </c>
      <c r="BH190" s="11">
        <f t="shared" si="169"/>
        <v>-363.85741548141169</v>
      </c>
      <c r="BI190" s="11">
        <f t="shared" si="170"/>
        <v>612.43117848982047</v>
      </c>
      <c r="BJ190" s="11">
        <f t="shared" si="171"/>
        <v>1113.5707412901818</v>
      </c>
      <c r="BK190" s="11">
        <f t="shared" si="172"/>
        <v>-1116.5865029015852</v>
      </c>
    </row>
    <row r="191" spans="6:63" x14ac:dyDescent="0.25">
      <c r="F191">
        <v>-1117</v>
      </c>
      <c r="I191" s="11">
        <f t="shared" si="118"/>
        <v>505.88808519296481</v>
      </c>
      <c r="J191" s="11">
        <f t="shared" si="119"/>
        <v>-713.12825512878032</v>
      </c>
      <c r="K191" s="11">
        <f t="shared" si="120"/>
        <v>635.76690665383342</v>
      </c>
      <c r="L191" s="11">
        <f t="shared" si="121"/>
        <v>-568.97912880492436</v>
      </c>
      <c r="M191" s="11">
        <f t="shared" si="122"/>
        <v>1422.9005924745009</v>
      </c>
      <c r="N191" s="11">
        <f t="shared" si="123"/>
        <v>1182.8779306423769</v>
      </c>
      <c r="O191" s="11">
        <f t="shared" si="124"/>
        <v>-1567.8922743081862</v>
      </c>
      <c r="P191" s="11">
        <f t="shared" si="125"/>
        <v>-596.26120963056565</v>
      </c>
      <c r="Q191" s="11">
        <f t="shared" si="126"/>
        <v>-1542.5417686574986</v>
      </c>
      <c r="R191" s="11">
        <f t="shared" si="127"/>
        <v>-1581.9807659281562</v>
      </c>
      <c r="S191" s="11">
        <f t="shared" si="128"/>
        <v>1430.4227403114814</v>
      </c>
      <c r="T191" s="11">
        <f t="shared" si="129"/>
        <v>-634.83978112930924</v>
      </c>
      <c r="U191" s="11">
        <f t="shared" si="130"/>
        <v>-35.541803940611082</v>
      </c>
      <c r="V191" s="11">
        <f t="shared" si="131"/>
        <v>-1245.2239882578863</v>
      </c>
      <c r="W191" s="11">
        <f t="shared" si="132"/>
        <v>-648.07635505141491</v>
      </c>
      <c r="X191" s="11">
        <f t="shared" si="133"/>
        <v>870.69425964966445</v>
      </c>
      <c r="Y191" s="11">
        <f t="shared" si="134"/>
        <v>1576.478000132282</v>
      </c>
      <c r="Z191" s="11">
        <f t="shared" si="135"/>
        <v>1686.959795824614</v>
      </c>
      <c r="AA191" s="11">
        <f t="shared" si="136"/>
        <v>78.630925124488158</v>
      </c>
      <c r="AB191" s="11">
        <f t="shared" si="137"/>
        <v>-1570.0674350366894</v>
      </c>
      <c r="AC191" s="11">
        <f t="shared" si="138"/>
        <v>1359.074251469237</v>
      </c>
      <c r="AD191" s="11">
        <f t="shared" si="139"/>
        <v>-1192.9983069069306</v>
      </c>
      <c r="AE191" s="11">
        <f t="shared" si="140"/>
        <v>-0.46719136526990312</v>
      </c>
      <c r="AF191" s="11">
        <f t="shared" si="141"/>
        <v>1237.3428082530197</v>
      </c>
      <c r="AG191" s="11">
        <f t="shared" si="142"/>
        <v>-1511.2386984198251</v>
      </c>
      <c r="AH191" s="11">
        <f t="shared" si="143"/>
        <v>1396.7274802213856</v>
      </c>
      <c r="AI191" s="11">
        <f t="shared" si="144"/>
        <v>-795.23786975153325</v>
      </c>
      <c r="AJ191" s="11">
        <f t="shared" si="145"/>
        <v>1453.0273154334477</v>
      </c>
      <c r="AK191" s="11">
        <f t="shared" si="146"/>
        <v>1343.5465710652859</v>
      </c>
      <c r="AL191" s="11">
        <f t="shared" si="147"/>
        <v>-891.10769470339369</v>
      </c>
      <c r="AM191" s="11">
        <f t="shared" si="148"/>
        <v>1535.9683392102447</v>
      </c>
      <c r="AN191" s="11">
        <f t="shared" si="149"/>
        <v>-1512.2399572876886</v>
      </c>
      <c r="AO191" s="11">
        <f t="shared" si="150"/>
        <v>-897.84297721408507</v>
      </c>
      <c r="AP191" s="11">
        <f t="shared" si="151"/>
        <v>892.51342312677855</v>
      </c>
      <c r="AQ191" s="11">
        <f t="shared" si="152"/>
        <v>770.54307225433331</v>
      </c>
      <c r="AR191" s="11">
        <f t="shared" si="153"/>
        <v>-1568.2455423855031</v>
      </c>
      <c r="AS191" s="11">
        <f t="shared" si="154"/>
        <v>1644.0931171648997</v>
      </c>
      <c r="AT191" s="11">
        <f t="shared" si="155"/>
        <v>92.408573522092254</v>
      </c>
      <c r="AU191" s="11">
        <f t="shared" si="156"/>
        <v>-524.88051774884013</v>
      </c>
      <c r="AV191" s="11">
        <f t="shared" si="157"/>
        <v>-1198.0510998935511</v>
      </c>
      <c r="AW191" s="11">
        <f t="shared" si="158"/>
        <v>-939.88472328543992</v>
      </c>
      <c r="AX191" s="11">
        <f t="shared" si="159"/>
        <v>-1309.785248524393</v>
      </c>
      <c r="AY191" s="11">
        <f t="shared" si="160"/>
        <v>1340.8863033154494</v>
      </c>
      <c r="AZ191" s="11">
        <f t="shared" si="161"/>
        <v>-697.54549759717349</v>
      </c>
      <c r="BA191" s="11">
        <f t="shared" si="162"/>
        <v>-1572.5338994577642</v>
      </c>
      <c r="BB191" s="11">
        <f t="shared" si="163"/>
        <v>-132.25203802307257</v>
      </c>
      <c r="BC191" s="11">
        <f t="shared" si="164"/>
        <v>-1401.5845865304125</v>
      </c>
      <c r="BD191" s="11">
        <f t="shared" si="165"/>
        <v>-417.84714125053938</v>
      </c>
      <c r="BE191" s="11">
        <f t="shared" si="166"/>
        <v>839.98718218144404</v>
      </c>
      <c r="BF191" s="11">
        <f t="shared" si="167"/>
        <v>1546.8112719567691</v>
      </c>
      <c r="BG191" s="11">
        <f t="shared" si="168"/>
        <v>1238.9667193358375</v>
      </c>
      <c r="BH191" s="11">
        <f t="shared" si="169"/>
        <v>118.39179988882934</v>
      </c>
      <c r="BI191" s="11">
        <f t="shared" si="170"/>
        <v>-1079.8449508615315</v>
      </c>
      <c r="BJ191" s="11">
        <f t="shared" si="171"/>
        <v>-1569.7309282248793</v>
      </c>
      <c r="BK191" s="11">
        <f t="shared" si="172"/>
        <v>-618.47480813594723</v>
      </c>
    </row>
    <row r="192" spans="6:63" x14ac:dyDescent="0.25">
      <c r="F192">
        <v>-1571</v>
      </c>
      <c r="I192" s="11">
        <f t="shared" si="118"/>
        <v>1722.4256043525857</v>
      </c>
      <c r="J192" s="11">
        <f t="shared" si="119"/>
        <v>-1405.3094921479383</v>
      </c>
      <c r="K192" s="11">
        <f t="shared" si="120"/>
        <v>-1536.5359794676824</v>
      </c>
      <c r="L192" s="11">
        <f t="shared" si="121"/>
        <v>-220.53054808439029</v>
      </c>
      <c r="M192" s="11">
        <f t="shared" si="122"/>
        <v>-1588.2701197330032</v>
      </c>
      <c r="N192" s="11">
        <f t="shared" si="123"/>
        <v>1244.342428737428</v>
      </c>
      <c r="O192" s="11">
        <f t="shared" si="124"/>
        <v>-541.63412241586195</v>
      </c>
      <c r="P192" s="11">
        <f t="shared" si="125"/>
        <v>-481.44175717456756</v>
      </c>
      <c r="Q192" s="11">
        <f t="shared" si="126"/>
        <v>638.98008404141854</v>
      </c>
      <c r="R192" s="11">
        <f t="shared" si="127"/>
        <v>-1733.0566904977447</v>
      </c>
      <c r="S192" s="11">
        <f t="shared" si="128"/>
        <v>-1057.2334636377036</v>
      </c>
      <c r="T192" s="11">
        <f t="shared" si="129"/>
        <v>1684.6795170996702</v>
      </c>
      <c r="U192" s="11">
        <f t="shared" si="130"/>
        <v>-1734.6605427751012</v>
      </c>
      <c r="V192" s="11">
        <f t="shared" si="131"/>
        <v>-1713.1536303623138</v>
      </c>
      <c r="W192" s="11">
        <f t="shared" si="132"/>
        <v>1359.9170477038022</v>
      </c>
      <c r="X192" s="11">
        <f t="shared" si="133"/>
        <v>-690.03624510321265</v>
      </c>
      <c r="Y192" s="11">
        <f t="shared" si="134"/>
        <v>1184.1664395885252</v>
      </c>
      <c r="Z192" s="11">
        <f t="shared" si="135"/>
        <v>-1608.1696781022235</v>
      </c>
      <c r="AA192" s="11">
        <f t="shared" si="136"/>
        <v>-1362.7576676688652</v>
      </c>
      <c r="AB192" s="11">
        <f t="shared" si="137"/>
        <v>407.16074110780983</v>
      </c>
      <c r="AC192" s="11">
        <f t="shared" si="138"/>
        <v>1384.8837737675569</v>
      </c>
      <c r="AD192" s="11">
        <f t="shared" si="139"/>
        <v>-800.68834108272301</v>
      </c>
      <c r="AE192" s="11">
        <f t="shared" si="140"/>
        <v>-1426.3653518087249</v>
      </c>
      <c r="AF192" s="11">
        <f t="shared" si="141"/>
        <v>897.11731732527619</v>
      </c>
      <c r="AG192" s="11">
        <f t="shared" si="142"/>
        <v>-1611.4805904394038</v>
      </c>
      <c r="AH192" s="11">
        <f t="shared" si="143"/>
        <v>1709.1740052682296</v>
      </c>
      <c r="AI192" s="11">
        <f t="shared" si="144"/>
        <v>1727.0905312143539</v>
      </c>
      <c r="AJ192" s="11">
        <f t="shared" si="145"/>
        <v>1707.8954401264623</v>
      </c>
      <c r="AK192" s="11">
        <f t="shared" si="146"/>
        <v>-902.89686752660486</v>
      </c>
      <c r="AL192" s="11">
        <f t="shared" si="147"/>
        <v>-1494.5199852628966</v>
      </c>
      <c r="AM192" s="11">
        <f t="shared" si="148"/>
        <v>394.96713081036899</v>
      </c>
      <c r="AN192" s="11">
        <f t="shared" si="149"/>
        <v>1519.1021469104855</v>
      </c>
      <c r="AO192" s="11">
        <f t="shared" si="150"/>
        <v>-1720.5883143414794</v>
      </c>
      <c r="AP192" s="11">
        <f t="shared" si="151"/>
        <v>1092.1589719187793</v>
      </c>
      <c r="AQ192" s="11">
        <f t="shared" si="152"/>
        <v>1141.2742665917215</v>
      </c>
      <c r="AR192" s="11">
        <f t="shared" si="153"/>
        <v>1266.1438498227535</v>
      </c>
      <c r="AS192" s="11">
        <f t="shared" si="154"/>
        <v>1094.6948207605119</v>
      </c>
      <c r="AT192" s="11">
        <f t="shared" si="155"/>
        <v>1515.9958014391057</v>
      </c>
      <c r="AU192" s="11">
        <f t="shared" si="156"/>
        <v>622.82725981439432</v>
      </c>
      <c r="AV192" s="11">
        <f t="shared" si="157"/>
        <v>-1681.5589351465685</v>
      </c>
      <c r="AW192" s="11">
        <f t="shared" si="158"/>
        <v>122.69451677054086</v>
      </c>
      <c r="AX192" s="11">
        <f t="shared" si="159"/>
        <v>-825.58259231679051</v>
      </c>
      <c r="AY192" s="11">
        <f t="shared" si="160"/>
        <v>-1577.5942816713903</v>
      </c>
      <c r="AZ192" s="11">
        <f t="shared" si="161"/>
        <v>-1488.6916998207514</v>
      </c>
      <c r="BA192" s="11">
        <f t="shared" si="162"/>
        <v>-579.1041865403854</v>
      </c>
      <c r="BB192" s="11">
        <f t="shared" si="163"/>
        <v>-845.13821576703674</v>
      </c>
      <c r="BC192" s="11">
        <f t="shared" si="164"/>
        <v>-1735.7931787979599</v>
      </c>
      <c r="BD192" s="11">
        <f t="shared" si="165"/>
        <v>-1710.1058768109954</v>
      </c>
      <c r="BE192" s="11">
        <f t="shared" si="166"/>
        <v>-1583.6992971041666</v>
      </c>
      <c r="BF192" s="11">
        <f t="shared" si="167"/>
        <v>-1364.0183467909253</v>
      </c>
      <c r="BG192" s="11">
        <f t="shared" si="168"/>
        <v>-1064.001468420835</v>
      </c>
      <c r="BH192" s="11">
        <f t="shared" si="169"/>
        <v>-701.31861079872328</v>
      </c>
      <c r="BI192" s="11">
        <f t="shared" si="170"/>
        <v>-297.33053056557276</v>
      </c>
      <c r="BJ192" s="11">
        <f t="shared" si="171"/>
        <v>124.16928194936776</v>
      </c>
      <c r="BK192" s="11">
        <f t="shared" si="172"/>
        <v>1733.3927279481854</v>
      </c>
    </row>
    <row r="193" spans="6:63" x14ac:dyDescent="0.25">
      <c r="F193">
        <v>-1739</v>
      </c>
      <c r="I193" s="11">
        <f t="shared" si="118"/>
        <v>0</v>
      </c>
      <c r="J193" s="11">
        <f t="shared" si="119"/>
        <v>0</v>
      </c>
      <c r="K193" s="11">
        <f t="shared" si="120"/>
        <v>0</v>
      </c>
      <c r="L193" s="11">
        <f t="shared" si="121"/>
        <v>0</v>
      </c>
      <c r="M193" s="11">
        <f t="shared" si="122"/>
        <v>0</v>
      </c>
      <c r="N193" s="11">
        <f t="shared" si="123"/>
        <v>0</v>
      </c>
      <c r="O193" s="11">
        <f t="shared" si="124"/>
        <v>0</v>
      </c>
      <c r="P193" s="11">
        <f t="shared" si="125"/>
        <v>0</v>
      </c>
      <c r="Q193" s="11">
        <f t="shared" si="126"/>
        <v>0</v>
      </c>
      <c r="R193" s="11">
        <f t="shared" si="127"/>
        <v>0</v>
      </c>
      <c r="S193" s="11">
        <f t="shared" si="128"/>
        <v>0</v>
      </c>
      <c r="T193" s="11">
        <f t="shared" si="129"/>
        <v>0</v>
      </c>
      <c r="U193" s="11">
        <f t="shared" si="130"/>
        <v>0</v>
      </c>
      <c r="V193" s="11">
        <f t="shared" si="131"/>
        <v>0</v>
      </c>
      <c r="W193" s="11">
        <f t="shared" si="132"/>
        <v>0</v>
      </c>
      <c r="X193" s="11">
        <f t="shared" si="133"/>
        <v>0</v>
      </c>
      <c r="Y193" s="11">
        <f t="shared" si="134"/>
        <v>0</v>
      </c>
      <c r="Z193" s="11">
        <f t="shared" si="135"/>
        <v>0</v>
      </c>
      <c r="AA193" s="11">
        <f t="shared" si="136"/>
        <v>0</v>
      </c>
      <c r="AB193" s="11">
        <f t="shared" si="137"/>
        <v>0</v>
      </c>
      <c r="AC193" s="11">
        <f t="shared" si="138"/>
        <v>0</v>
      </c>
      <c r="AD193" s="11">
        <f t="shared" si="139"/>
        <v>0</v>
      </c>
      <c r="AE193" s="11">
        <f t="shared" si="140"/>
        <v>0</v>
      </c>
      <c r="AF193" s="11">
        <f t="shared" si="141"/>
        <v>0</v>
      </c>
      <c r="AG193" s="11">
        <f t="shared" si="142"/>
        <v>0</v>
      </c>
      <c r="AH193" s="11">
        <f t="shared" si="143"/>
        <v>0</v>
      </c>
      <c r="AI193" s="11">
        <f t="shared" si="144"/>
        <v>0</v>
      </c>
      <c r="AJ193" s="11">
        <f t="shared" si="145"/>
        <v>0</v>
      </c>
      <c r="AK193" s="11">
        <f t="shared" si="146"/>
        <v>0</v>
      </c>
      <c r="AL193" s="11">
        <f t="shared" si="147"/>
        <v>0</v>
      </c>
      <c r="AM193" s="11">
        <f t="shared" si="148"/>
        <v>0</v>
      </c>
      <c r="AN193" s="11">
        <f t="shared" si="149"/>
        <v>0</v>
      </c>
      <c r="AO193" s="11">
        <f t="shared" si="150"/>
        <v>0</v>
      </c>
      <c r="AP193" s="11">
        <f t="shared" si="151"/>
        <v>0</v>
      </c>
      <c r="AQ193" s="11">
        <f t="shared" si="152"/>
        <v>0</v>
      </c>
      <c r="AR193" s="11">
        <f t="shared" si="153"/>
        <v>0</v>
      </c>
      <c r="AS193" s="11">
        <f t="shared" si="154"/>
        <v>0</v>
      </c>
      <c r="AT193" s="11">
        <f t="shared" si="155"/>
        <v>0</v>
      </c>
      <c r="AU193" s="11">
        <f t="shared" si="156"/>
        <v>0</v>
      </c>
      <c r="AV193" s="11">
        <f t="shared" si="157"/>
        <v>0</v>
      </c>
      <c r="AW193" s="11">
        <f t="shared" si="158"/>
        <v>0</v>
      </c>
      <c r="AX193" s="11">
        <f t="shared" si="159"/>
        <v>0</v>
      </c>
      <c r="AY193" s="11">
        <f t="shared" si="160"/>
        <v>0</v>
      </c>
      <c r="AZ193" s="11">
        <f t="shared" si="161"/>
        <v>0</v>
      </c>
      <c r="BA193" s="11">
        <f t="shared" si="162"/>
        <v>0</v>
      </c>
      <c r="BB193" s="11">
        <f t="shared" si="163"/>
        <v>0</v>
      </c>
      <c r="BC193" s="11">
        <f t="shared" si="164"/>
        <v>0</v>
      </c>
      <c r="BD193" s="11">
        <f t="shared" si="165"/>
        <v>0</v>
      </c>
      <c r="BE193" s="11">
        <f t="shared" si="166"/>
        <v>0</v>
      </c>
      <c r="BF193" s="11">
        <f t="shared" si="167"/>
        <v>0</v>
      </c>
      <c r="BG193" s="11">
        <f t="shared" si="168"/>
        <v>0</v>
      </c>
      <c r="BH193" s="11">
        <f t="shared" si="169"/>
        <v>0</v>
      </c>
      <c r="BI193" s="11">
        <f t="shared" si="170"/>
        <v>0</v>
      </c>
      <c r="BJ193" s="11">
        <f t="shared" si="171"/>
        <v>0</v>
      </c>
      <c r="BK193" s="11">
        <f t="shared" si="172"/>
        <v>0</v>
      </c>
    </row>
    <row r="194" spans="6:63" x14ac:dyDescent="0.25">
      <c r="I194" s="11">
        <f t="shared" si="118"/>
        <v>1869.9601113265276</v>
      </c>
      <c r="J194" s="11">
        <f t="shared" si="119"/>
        <v>-2070.1002652594052</v>
      </c>
      <c r="K194" s="11">
        <f t="shared" si="120"/>
        <v>-509.47060803880692</v>
      </c>
      <c r="L194" s="11">
        <f t="shared" si="121"/>
        <v>4053.4672487125631</v>
      </c>
      <c r="M194" s="11">
        <f t="shared" si="122"/>
        <v>4255.273766979084</v>
      </c>
      <c r="N194" s="11">
        <f t="shared" si="123"/>
        <v>3772.2229812854584</v>
      </c>
      <c r="O194" s="11">
        <f t="shared" si="124"/>
        <v>-1087.7397817149324</v>
      </c>
      <c r="P194" s="11">
        <f t="shared" si="125"/>
        <v>-3894.1455316814559</v>
      </c>
      <c r="Q194" s="11">
        <f t="shared" si="126"/>
        <v>3846.2061854908638</v>
      </c>
      <c r="R194" s="11">
        <f t="shared" si="127"/>
        <v>2949.2881442050116</v>
      </c>
      <c r="S194" s="11">
        <f t="shared" si="128"/>
        <v>1378.8460665214459</v>
      </c>
      <c r="T194" s="11">
        <f t="shared" si="129"/>
        <v>-4415.1096211684335</v>
      </c>
      <c r="U194" s="11">
        <f t="shared" si="130"/>
        <v>-4249.3067113937614</v>
      </c>
      <c r="V194" s="11">
        <f t="shared" si="131"/>
        <v>-4242.2363441090902</v>
      </c>
      <c r="W194" s="11">
        <f t="shared" si="132"/>
        <v>3067.1923935001164</v>
      </c>
      <c r="X194" s="11">
        <f t="shared" si="133"/>
        <v>-22.170194516309753</v>
      </c>
      <c r="Y194" s="11">
        <f t="shared" si="134"/>
        <v>-3987.9007808278452</v>
      </c>
      <c r="Z194" s="11">
        <f t="shared" si="135"/>
        <v>-4418.3168219519484</v>
      </c>
      <c r="AA194" s="11">
        <f t="shared" si="136"/>
        <v>4375.1540034020472</v>
      </c>
      <c r="AB194" s="11">
        <f t="shared" si="137"/>
        <v>-1549.872916437283</v>
      </c>
      <c r="AC194" s="11">
        <f t="shared" si="138"/>
        <v>-2839.31459447314</v>
      </c>
      <c r="AD194" s="11">
        <f t="shared" si="139"/>
        <v>4133.4190229777887</v>
      </c>
      <c r="AE194" s="11">
        <f t="shared" si="140"/>
        <v>-496.87104487719148</v>
      </c>
      <c r="AF194" s="11">
        <f t="shared" si="141"/>
        <v>3712.6770341666224</v>
      </c>
      <c r="AG194" s="11">
        <f t="shared" si="142"/>
        <v>810.76075793279165</v>
      </c>
      <c r="AH194" s="11">
        <f t="shared" si="143"/>
        <v>-2987.5084088741241</v>
      </c>
      <c r="AI194" s="11">
        <f t="shared" si="144"/>
        <v>-2777.5900484911854</v>
      </c>
      <c r="AJ194" s="11">
        <f t="shared" si="145"/>
        <v>3914.8227977731403</v>
      </c>
      <c r="AK194" s="11">
        <f t="shared" si="146"/>
        <v>2839.4745518827467</v>
      </c>
      <c r="AL194" s="11">
        <f t="shared" si="147"/>
        <v>-1893.6858050180354</v>
      </c>
      <c r="AM194" s="11">
        <f t="shared" si="148"/>
        <v>-1807.9110999200054</v>
      </c>
      <c r="AN194" s="11">
        <f t="shared" si="149"/>
        <v>4255.9722401661147</v>
      </c>
      <c r="AO194" s="11">
        <f t="shared" si="150"/>
        <v>-3993.707848200127</v>
      </c>
      <c r="AP194" s="11">
        <f t="shared" si="151"/>
        <v>2068.0084743879493</v>
      </c>
      <c r="AQ194" s="11">
        <f t="shared" si="152"/>
        <v>3064.5377773993428</v>
      </c>
      <c r="AR194" s="11">
        <f t="shared" si="153"/>
        <v>-2722.4254565258811</v>
      </c>
      <c r="AS194" s="11">
        <f t="shared" si="154"/>
        <v>-3972.130606789066</v>
      </c>
      <c r="AT194" s="11">
        <f t="shared" si="155"/>
        <v>2596.0570764598497</v>
      </c>
      <c r="AU194" s="11">
        <f t="shared" si="156"/>
        <v>2738.7445532732027</v>
      </c>
      <c r="AV194" s="11">
        <f t="shared" si="157"/>
        <v>2874.0017183839723</v>
      </c>
      <c r="AW194" s="11">
        <f t="shared" si="158"/>
        <v>3021.5209644201686</v>
      </c>
      <c r="AX194" s="11">
        <f t="shared" si="159"/>
        <v>3281.896185282787</v>
      </c>
      <c r="AY194" s="11">
        <f t="shared" si="160"/>
        <v>-3605.1417408555408</v>
      </c>
      <c r="AZ194" s="11">
        <f t="shared" si="161"/>
        <v>-4412.218922559643</v>
      </c>
      <c r="BA194" s="11">
        <f t="shared" si="162"/>
        <v>-3676.159011463601</v>
      </c>
      <c r="BB194" s="11">
        <f t="shared" si="163"/>
        <v>4376.104440437869</v>
      </c>
      <c r="BC194" s="11">
        <f t="shared" si="164"/>
        <v>3740.7227919246811</v>
      </c>
      <c r="BD194" s="11">
        <f t="shared" si="165"/>
        <v>3754.1796957057563</v>
      </c>
      <c r="BE194" s="11">
        <f t="shared" si="166"/>
        <v>3767.5130315734427</v>
      </c>
      <c r="BF194" s="11">
        <f t="shared" si="167"/>
        <v>3780.7223606630623</v>
      </c>
      <c r="BG194" s="11">
        <f t="shared" si="168"/>
        <v>3793.8072481904842</v>
      </c>
      <c r="BH194" s="11">
        <f t="shared" si="169"/>
        <v>3806.7672634721885</v>
      </c>
      <c r="BI194" s="11">
        <f t="shared" si="170"/>
        <v>3819.6019799347177</v>
      </c>
      <c r="BJ194" s="11">
        <f t="shared" si="171"/>
        <v>3832.310975121984</v>
      </c>
      <c r="BK194" s="11">
        <f t="shared" si="172"/>
        <v>-2780.5717948876345</v>
      </c>
    </row>
    <row r="195" spans="6:63" x14ac:dyDescent="0.25">
      <c r="F195">
        <v>-4421</v>
      </c>
      <c r="I195" s="11">
        <f t="shared" si="118"/>
        <v>0</v>
      </c>
      <c r="J195" s="11">
        <f t="shared" si="119"/>
        <v>0</v>
      </c>
      <c r="K195" s="11">
        <f t="shared" si="120"/>
        <v>0</v>
      </c>
      <c r="L195" s="11">
        <f t="shared" si="121"/>
        <v>0</v>
      </c>
      <c r="M195" s="11">
        <f t="shared" si="122"/>
        <v>0</v>
      </c>
      <c r="N195" s="11">
        <f t="shared" si="123"/>
        <v>0</v>
      </c>
      <c r="O195" s="11">
        <f t="shared" si="124"/>
        <v>0</v>
      </c>
      <c r="P195" s="11">
        <f t="shared" si="125"/>
        <v>0</v>
      </c>
      <c r="Q195" s="11">
        <f t="shared" si="126"/>
        <v>0</v>
      </c>
      <c r="R195" s="11">
        <f t="shared" si="127"/>
        <v>0</v>
      </c>
      <c r="S195" s="11">
        <f t="shared" si="128"/>
        <v>0</v>
      </c>
      <c r="T195" s="11">
        <f t="shared" si="129"/>
        <v>0</v>
      </c>
      <c r="U195" s="11">
        <f t="shared" si="130"/>
        <v>0</v>
      </c>
      <c r="V195" s="11">
        <f t="shared" si="131"/>
        <v>0</v>
      </c>
      <c r="W195" s="11">
        <f t="shared" si="132"/>
        <v>0</v>
      </c>
      <c r="X195" s="11">
        <f t="shared" si="133"/>
        <v>0</v>
      </c>
      <c r="Y195" s="11">
        <f t="shared" si="134"/>
        <v>0</v>
      </c>
      <c r="Z195" s="11">
        <f t="shared" si="135"/>
        <v>0</v>
      </c>
      <c r="AA195" s="11">
        <f t="shared" si="136"/>
        <v>0</v>
      </c>
      <c r="AB195" s="11">
        <f t="shared" si="137"/>
        <v>0</v>
      </c>
      <c r="AC195" s="11">
        <f t="shared" si="138"/>
        <v>0</v>
      </c>
      <c r="AD195" s="11">
        <f t="shared" si="139"/>
        <v>0</v>
      </c>
      <c r="AE195" s="11">
        <f t="shared" si="140"/>
        <v>0</v>
      </c>
      <c r="AF195" s="11">
        <f t="shared" si="141"/>
        <v>0</v>
      </c>
      <c r="AG195" s="11">
        <f t="shared" si="142"/>
        <v>0</v>
      </c>
      <c r="AH195" s="11">
        <f t="shared" si="143"/>
        <v>0</v>
      </c>
      <c r="AI195" s="11">
        <f t="shared" si="144"/>
        <v>0</v>
      </c>
      <c r="AJ195" s="11">
        <f t="shared" si="145"/>
        <v>0</v>
      </c>
      <c r="AK195" s="11">
        <f t="shared" si="146"/>
        <v>0</v>
      </c>
      <c r="AL195" s="11">
        <f t="shared" si="147"/>
        <v>0</v>
      </c>
      <c r="AM195" s="11">
        <f t="shared" si="148"/>
        <v>0</v>
      </c>
      <c r="AN195" s="11">
        <f t="shared" si="149"/>
        <v>0</v>
      </c>
      <c r="AO195" s="11">
        <f t="shared" si="150"/>
        <v>0</v>
      </c>
      <c r="AP195" s="11">
        <f t="shared" si="151"/>
        <v>0</v>
      </c>
      <c r="AQ195" s="11">
        <f t="shared" si="152"/>
        <v>0</v>
      </c>
      <c r="AR195" s="11">
        <f t="shared" si="153"/>
        <v>0</v>
      </c>
      <c r="AS195" s="11">
        <f t="shared" si="154"/>
        <v>0</v>
      </c>
      <c r="AT195" s="11">
        <f t="shared" si="155"/>
        <v>0</v>
      </c>
      <c r="AU195" s="11">
        <f t="shared" si="156"/>
        <v>0</v>
      </c>
      <c r="AV195" s="11">
        <f t="shared" si="157"/>
        <v>0</v>
      </c>
      <c r="AW195" s="11">
        <f t="shared" si="158"/>
        <v>0</v>
      </c>
      <c r="AX195" s="11">
        <f t="shared" si="159"/>
        <v>0</v>
      </c>
      <c r="AY195" s="11">
        <f t="shared" si="160"/>
        <v>0</v>
      </c>
      <c r="AZ195" s="11">
        <f t="shared" si="161"/>
        <v>0</v>
      </c>
      <c r="BA195" s="11">
        <f t="shared" si="162"/>
        <v>0</v>
      </c>
      <c r="BB195" s="11">
        <f t="shared" si="163"/>
        <v>0</v>
      </c>
      <c r="BC195" s="11">
        <f t="shared" si="164"/>
        <v>0</v>
      </c>
      <c r="BD195" s="11">
        <f t="shared" si="165"/>
        <v>0</v>
      </c>
      <c r="BE195" s="11">
        <f t="shared" si="166"/>
        <v>0</v>
      </c>
      <c r="BF195" s="11">
        <f t="shared" si="167"/>
        <v>0</v>
      </c>
      <c r="BG195" s="11">
        <f t="shared" si="168"/>
        <v>0</v>
      </c>
      <c r="BH195" s="11">
        <f t="shared" si="169"/>
        <v>0</v>
      </c>
      <c r="BI195" s="11">
        <f t="shared" si="170"/>
        <v>0</v>
      </c>
      <c r="BJ195" s="11">
        <f t="shared" si="171"/>
        <v>0</v>
      </c>
      <c r="BK195" s="11">
        <f t="shared" si="172"/>
        <v>0</v>
      </c>
    </row>
    <row r="196" spans="6:63" x14ac:dyDescent="0.25">
      <c r="I196" s="11">
        <f t="shared" si="118"/>
        <v>0</v>
      </c>
      <c r="J196" s="11">
        <f t="shared" si="119"/>
        <v>0</v>
      </c>
      <c r="K196" s="11">
        <f t="shared" si="120"/>
        <v>0</v>
      </c>
      <c r="L196" s="11">
        <f t="shared" si="121"/>
        <v>0</v>
      </c>
      <c r="M196" s="11">
        <f t="shared" si="122"/>
        <v>0</v>
      </c>
      <c r="N196" s="11">
        <f t="shared" si="123"/>
        <v>0</v>
      </c>
      <c r="O196" s="11">
        <f t="shared" si="124"/>
        <v>0</v>
      </c>
      <c r="P196" s="11">
        <f t="shared" si="125"/>
        <v>0</v>
      </c>
      <c r="Q196" s="11">
        <f t="shared" si="126"/>
        <v>0</v>
      </c>
      <c r="R196" s="11">
        <f t="shared" si="127"/>
        <v>0</v>
      </c>
      <c r="S196" s="11">
        <f t="shared" si="128"/>
        <v>0</v>
      </c>
      <c r="T196" s="11">
        <f t="shared" si="129"/>
        <v>0</v>
      </c>
      <c r="U196" s="11">
        <f t="shared" si="130"/>
        <v>0</v>
      </c>
      <c r="V196" s="11">
        <f t="shared" si="131"/>
        <v>0</v>
      </c>
      <c r="W196" s="11">
        <f t="shared" si="132"/>
        <v>0</v>
      </c>
      <c r="X196" s="11">
        <f t="shared" si="133"/>
        <v>0</v>
      </c>
      <c r="Y196" s="11">
        <f t="shared" si="134"/>
        <v>0</v>
      </c>
      <c r="Z196" s="11">
        <f t="shared" si="135"/>
        <v>0</v>
      </c>
      <c r="AA196" s="11">
        <f t="shared" si="136"/>
        <v>0</v>
      </c>
      <c r="AB196" s="11">
        <f t="shared" si="137"/>
        <v>0</v>
      </c>
      <c r="AC196" s="11">
        <f t="shared" si="138"/>
        <v>0</v>
      </c>
      <c r="AD196" s="11">
        <f t="shared" si="139"/>
        <v>0</v>
      </c>
      <c r="AE196" s="11">
        <f t="shared" si="140"/>
        <v>0</v>
      </c>
      <c r="AF196" s="11">
        <f t="shared" si="141"/>
        <v>0</v>
      </c>
      <c r="AG196" s="11">
        <f t="shared" si="142"/>
        <v>0</v>
      </c>
      <c r="AH196" s="11">
        <f t="shared" si="143"/>
        <v>0</v>
      </c>
      <c r="AI196" s="11">
        <f t="shared" si="144"/>
        <v>0</v>
      </c>
      <c r="AJ196" s="11">
        <f t="shared" si="145"/>
        <v>0</v>
      </c>
      <c r="AK196" s="11">
        <f t="shared" si="146"/>
        <v>0</v>
      </c>
      <c r="AL196" s="11">
        <f t="shared" si="147"/>
        <v>0</v>
      </c>
      <c r="AM196" s="11">
        <f t="shared" si="148"/>
        <v>0</v>
      </c>
      <c r="AN196" s="11">
        <f t="shared" si="149"/>
        <v>0</v>
      </c>
      <c r="AO196" s="11">
        <f t="shared" si="150"/>
        <v>0</v>
      </c>
      <c r="AP196" s="11">
        <f t="shared" si="151"/>
        <v>0</v>
      </c>
      <c r="AQ196" s="11">
        <f t="shared" si="152"/>
        <v>0</v>
      </c>
      <c r="AR196" s="11">
        <f t="shared" si="153"/>
        <v>0</v>
      </c>
      <c r="AS196" s="11">
        <f t="shared" si="154"/>
        <v>0</v>
      </c>
      <c r="AT196" s="11">
        <f t="shared" si="155"/>
        <v>0</v>
      </c>
      <c r="AU196" s="11">
        <f t="shared" si="156"/>
        <v>0</v>
      </c>
      <c r="AV196" s="11">
        <f t="shared" si="157"/>
        <v>0</v>
      </c>
      <c r="AW196" s="11">
        <f t="shared" si="158"/>
        <v>0</v>
      </c>
      <c r="AX196" s="11">
        <f t="shared" si="159"/>
        <v>0</v>
      </c>
      <c r="AY196" s="11">
        <f t="shared" si="160"/>
        <v>0</v>
      </c>
      <c r="AZ196" s="11">
        <f t="shared" si="161"/>
        <v>0</v>
      </c>
      <c r="BA196" s="11">
        <f t="shared" si="162"/>
        <v>0</v>
      </c>
      <c r="BB196" s="11">
        <f t="shared" si="163"/>
        <v>0</v>
      </c>
      <c r="BC196" s="11">
        <f t="shared" si="164"/>
        <v>0</v>
      </c>
      <c r="BD196" s="11">
        <f t="shared" si="165"/>
        <v>0</v>
      </c>
      <c r="BE196" s="11">
        <f t="shared" si="166"/>
        <v>0</v>
      </c>
      <c r="BF196" s="11">
        <f t="shared" si="167"/>
        <v>0</v>
      </c>
      <c r="BG196" s="11">
        <f t="shared" si="168"/>
        <v>0</v>
      </c>
      <c r="BH196" s="11">
        <f t="shared" si="169"/>
        <v>0</v>
      </c>
      <c r="BI196" s="11">
        <f t="shared" si="170"/>
        <v>0</v>
      </c>
      <c r="BJ196" s="11">
        <f t="shared" si="171"/>
        <v>0</v>
      </c>
      <c r="BK196" s="11">
        <f t="shared" si="172"/>
        <v>0</v>
      </c>
    </row>
    <row r="197" spans="6:63" x14ac:dyDescent="0.25">
      <c r="I197" s="11">
        <f t="shared" si="118"/>
        <v>0</v>
      </c>
      <c r="J197" s="11">
        <f t="shared" si="119"/>
        <v>0</v>
      </c>
      <c r="K197" s="11">
        <f t="shared" si="120"/>
        <v>0</v>
      </c>
      <c r="L197" s="11">
        <f t="shared" si="121"/>
        <v>0</v>
      </c>
      <c r="M197" s="11">
        <f t="shared" si="122"/>
        <v>0</v>
      </c>
      <c r="N197" s="11">
        <f t="shared" si="123"/>
        <v>0</v>
      </c>
      <c r="O197" s="11">
        <f t="shared" si="124"/>
        <v>0</v>
      </c>
      <c r="P197" s="11">
        <f t="shared" si="125"/>
        <v>0</v>
      </c>
      <c r="Q197" s="11">
        <f t="shared" si="126"/>
        <v>0</v>
      </c>
      <c r="R197" s="11">
        <f t="shared" si="127"/>
        <v>0</v>
      </c>
      <c r="S197" s="11">
        <f t="shared" si="128"/>
        <v>0</v>
      </c>
      <c r="T197" s="11">
        <f t="shared" si="129"/>
        <v>0</v>
      </c>
      <c r="U197" s="11">
        <f t="shared" si="130"/>
        <v>0</v>
      </c>
      <c r="V197" s="11">
        <f t="shared" si="131"/>
        <v>0</v>
      </c>
      <c r="W197" s="11">
        <f t="shared" si="132"/>
        <v>0</v>
      </c>
      <c r="X197" s="11">
        <f t="shared" si="133"/>
        <v>0</v>
      </c>
      <c r="Y197" s="11">
        <f t="shared" si="134"/>
        <v>0</v>
      </c>
      <c r="Z197" s="11">
        <f t="shared" si="135"/>
        <v>0</v>
      </c>
      <c r="AA197" s="11">
        <f t="shared" si="136"/>
        <v>0</v>
      </c>
      <c r="AB197" s="11">
        <f t="shared" si="137"/>
        <v>0</v>
      </c>
      <c r="AC197" s="11">
        <f t="shared" si="138"/>
        <v>0</v>
      </c>
      <c r="AD197" s="11">
        <f t="shared" si="139"/>
        <v>0</v>
      </c>
      <c r="AE197" s="11">
        <f t="shared" si="140"/>
        <v>0</v>
      </c>
      <c r="AF197" s="11">
        <f t="shared" si="141"/>
        <v>0</v>
      </c>
      <c r="AG197" s="11">
        <f t="shared" si="142"/>
        <v>0</v>
      </c>
      <c r="AH197" s="11">
        <f t="shared" si="143"/>
        <v>0</v>
      </c>
      <c r="AI197" s="11">
        <f t="shared" si="144"/>
        <v>0</v>
      </c>
      <c r="AJ197" s="11">
        <f t="shared" si="145"/>
        <v>0</v>
      </c>
      <c r="AK197" s="11">
        <f t="shared" si="146"/>
        <v>0</v>
      </c>
      <c r="AL197" s="11">
        <f t="shared" si="147"/>
        <v>0</v>
      </c>
      <c r="AM197" s="11">
        <f t="shared" si="148"/>
        <v>0</v>
      </c>
      <c r="AN197" s="11">
        <f t="shared" si="149"/>
        <v>0</v>
      </c>
      <c r="AO197" s="11">
        <f t="shared" si="150"/>
        <v>0</v>
      </c>
      <c r="AP197" s="11">
        <f t="shared" si="151"/>
        <v>0</v>
      </c>
      <c r="AQ197" s="11">
        <f t="shared" si="152"/>
        <v>0</v>
      </c>
      <c r="AR197" s="11">
        <f t="shared" si="153"/>
        <v>0</v>
      </c>
      <c r="AS197" s="11">
        <f t="shared" si="154"/>
        <v>0</v>
      </c>
      <c r="AT197" s="11">
        <f t="shared" si="155"/>
        <v>0</v>
      </c>
      <c r="AU197" s="11">
        <f t="shared" si="156"/>
        <v>0</v>
      </c>
      <c r="AV197" s="11">
        <f t="shared" si="157"/>
        <v>0</v>
      </c>
      <c r="AW197" s="11">
        <f t="shared" si="158"/>
        <v>0</v>
      </c>
      <c r="AX197" s="11">
        <f t="shared" si="159"/>
        <v>0</v>
      </c>
      <c r="AY197" s="11">
        <f t="shared" si="160"/>
        <v>0</v>
      </c>
      <c r="AZ197" s="11">
        <f t="shared" si="161"/>
        <v>0</v>
      </c>
      <c r="BA197" s="11">
        <f t="shared" si="162"/>
        <v>0</v>
      </c>
      <c r="BB197" s="11">
        <f t="shared" si="163"/>
        <v>0</v>
      </c>
      <c r="BC197" s="11">
        <f t="shared" si="164"/>
        <v>0</v>
      </c>
      <c r="BD197" s="11">
        <f t="shared" si="165"/>
        <v>0</v>
      </c>
      <c r="BE197" s="11">
        <f t="shared" si="166"/>
        <v>0</v>
      </c>
      <c r="BF197" s="11">
        <f t="shared" si="167"/>
        <v>0</v>
      </c>
      <c r="BG197" s="11">
        <f t="shared" si="168"/>
        <v>0</v>
      </c>
      <c r="BH197" s="11">
        <f t="shared" si="169"/>
        <v>0</v>
      </c>
      <c r="BI197" s="11">
        <f t="shared" si="170"/>
        <v>0</v>
      </c>
      <c r="BJ197" s="11">
        <f t="shared" si="171"/>
        <v>0</v>
      </c>
      <c r="BK197" s="11">
        <f t="shared" si="172"/>
        <v>0</v>
      </c>
    </row>
    <row r="198" spans="6:63" x14ac:dyDescent="0.25">
      <c r="I198" s="11">
        <f t="shared" si="118"/>
        <v>0</v>
      </c>
      <c r="J198" s="11">
        <f t="shared" si="119"/>
        <v>0</v>
      </c>
      <c r="K198" s="11">
        <f t="shared" si="120"/>
        <v>0</v>
      </c>
      <c r="L198" s="11">
        <f t="shared" si="121"/>
        <v>0</v>
      </c>
      <c r="M198" s="11">
        <f t="shared" si="122"/>
        <v>0</v>
      </c>
      <c r="N198" s="11">
        <f t="shared" si="123"/>
        <v>0</v>
      </c>
      <c r="O198" s="11">
        <f t="shared" si="124"/>
        <v>0</v>
      </c>
      <c r="P198" s="11">
        <f t="shared" si="125"/>
        <v>0</v>
      </c>
      <c r="Q198" s="11">
        <f t="shared" si="126"/>
        <v>0</v>
      </c>
      <c r="R198" s="11">
        <f t="shared" si="127"/>
        <v>0</v>
      </c>
      <c r="S198" s="11">
        <f t="shared" si="128"/>
        <v>0</v>
      </c>
      <c r="T198" s="11">
        <f t="shared" si="129"/>
        <v>0</v>
      </c>
      <c r="U198" s="11">
        <f t="shared" si="130"/>
        <v>0</v>
      </c>
      <c r="V198" s="11">
        <f t="shared" si="131"/>
        <v>0</v>
      </c>
      <c r="W198" s="11">
        <f t="shared" si="132"/>
        <v>0</v>
      </c>
      <c r="X198" s="11">
        <f t="shared" si="133"/>
        <v>0</v>
      </c>
      <c r="Y198" s="11">
        <f t="shared" si="134"/>
        <v>0</v>
      </c>
      <c r="Z198" s="11">
        <f t="shared" si="135"/>
        <v>0</v>
      </c>
      <c r="AA198" s="11">
        <f t="shared" si="136"/>
        <v>0</v>
      </c>
      <c r="AB198" s="11">
        <f t="shared" si="137"/>
        <v>0</v>
      </c>
      <c r="AC198" s="11">
        <f t="shared" si="138"/>
        <v>0</v>
      </c>
      <c r="AD198" s="11">
        <f t="shared" si="139"/>
        <v>0</v>
      </c>
      <c r="AE198" s="11">
        <f t="shared" si="140"/>
        <v>0</v>
      </c>
      <c r="AF198" s="11">
        <f t="shared" si="141"/>
        <v>0</v>
      </c>
      <c r="AG198" s="11">
        <f t="shared" si="142"/>
        <v>0</v>
      </c>
      <c r="AH198" s="11">
        <f t="shared" si="143"/>
        <v>0</v>
      </c>
      <c r="AI198" s="11">
        <f t="shared" si="144"/>
        <v>0</v>
      </c>
      <c r="AJ198" s="11">
        <f t="shared" si="145"/>
        <v>0</v>
      </c>
      <c r="AK198" s="11">
        <f t="shared" si="146"/>
        <v>0</v>
      </c>
      <c r="AL198" s="11">
        <f t="shared" si="147"/>
        <v>0</v>
      </c>
      <c r="AM198" s="11">
        <f t="shared" si="148"/>
        <v>0</v>
      </c>
      <c r="AN198" s="11">
        <f t="shared" si="149"/>
        <v>0</v>
      </c>
      <c r="AO198" s="11">
        <f t="shared" si="150"/>
        <v>0</v>
      </c>
      <c r="AP198" s="11">
        <f t="shared" si="151"/>
        <v>0</v>
      </c>
      <c r="AQ198" s="11">
        <f t="shared" si="152"/>
        <v>0</v>
      </c>
      <c r="AR198" s="11">
        <f t="shared" si="153"/>
        <v>0</v>
      </c>
      <c r="AS198" s="11">
        <f t="shared" si="154"/>
        <v>0</v>
      </c>
      <c r="AT198" s="11">
        <f t="shared" si="155"/>
        <v>0</v>
      </c>
      <c r="AU198" s="11">
        <f t="shared" si="156"/>
        <v>0</v>
      </c>
      <c r="AV198" s="11">
        <f t="shared" si="157"/>
        <v>0</v>
      </c>
      <c r="AW198" s="11">
        <f t="shared" si="158"/>
        <v>0</v>
      </c>
      <c r="AX198" s="11">
        <f t="shared" si="159"/>
        <v>0</v>
      </c>
      <c r="AY198" s="11">
        <f t="shared" si="160"/>
        <v>0</v>
      </c>
      <c r="AZ198" s="11">
        <f t="shared" si="161"/>
        <v>0</v>
      </c>
      <c r="BA198" s="11">
        <f t="shared" si="162"/>
        <v>0</v>
      </c>
      <c r="BB198" s="11">
        <f t="shared" si="163"/>
        <v>0</v>
      </c>
      <c r="BC198" s="11">
        <f t="shared" si="164"/>
        <v>0</v>
      </c>
      <c r="BD198" s="11">
        <f t="shared" si="165"/>
        <v>0</v>
      </c>
      <c r="BE198" s="11">
        <f t="shared" si="166"/>
        <v>0</v>
      </c>
      <c r="BF198" s="11">
        <f t="shared" si="167"/>
        <v>0</v>
      </c>
      <c r="BG198" s="11">
        <f t="shared" si="168"/>
        <v>0</v>
      </c>
      <c r="BH198" s="11">
        <f t="shared" si="169"/>
        <v>0</v>
      </c>
      <c r="BI198" s="11">
        <f t="shared" si="170"/>
        <v>0</v>
      </c>
      <c r="BJ198" s="11">
        <f t="shared" si="171"/>
        <v>0</v>
      </c>
      <c r="BK198" s="11">
        <f t="shared" si="172"/>
        <v>0</v>
      </c>
    </row>
    <row r="199" spans="6:63" x14ac:dyDescent="0.25">
      <c r="I199" s="11">
        <f t="shared" si="118"/>
        <v>1105.5470552726629</v>
      </c>
      <c r="J199" s="11">
        <f t="shared" si="119"/>
        <v>694.88504436277799</v>
      </c>
      <c r="K199" s="11">
        <f t="shared" si="120"/>
        <v>-749.18418513877168</v>
      </c>
      <c r="L199" s="11">
        <f t="shared" si="121"/>
        <v>962.53447959707046</v>
      </c>
      <c r="M199" s="11">
        <f t="shared" si="122"/>
        <v>871.77999312505278</v>
      </c>
      <c r="N199" s="11">
        <f t="shared" si="123"/>
        <v>902.20006196793815</v>
      </c>
      <c r="O199" s="11">
        <f t="shared" si="124"/>
        <v>-746.30822874684566</v>
      </c>
      <c r="P199" s="11">
        <f t="shared" si="125"/>
        <v>-925.26904314600688</v>
      </c>
      <c r="Q199" s="11">
        <f t="shared" si="126"/>
        <v>595.66431261121238</v>
      </c>
      <c r="R199" s="11">
        <f t="shared" si="127"/>
        <v>-203.76499777823699</v>
      </c>
      <c r="S199" s="11">
        <f t="shared" si="128"/>
        <v>-1176.4236535674395</v>
      </c>
      <c r="T199" s="11">
        <f t="shared" si="129"/>
        <v>1176.1798915961742</v>
      </c>
      <c r="U199" s="11">
        <f t="shared" si="130"/>
        <v>99.425372887923857</v>
      </c>
      <c r="V199" s="11">
        <f t="shared" si="131"/>
        <v>428.27131127835935</v>
      </c>
      <c r="W199" s="11">
        <f t="shared" si="132"/>
        <v>-1200.410694007576</v>
      </c>
      <c r="X199" s="11">
        <f t="shared" si="133"/>
        <v>1274.1374724458301</v>
      </c>
      <c r="Y199" s="11">
        <f t="shared" si="134"/>
        <v>447.61103018377474</v>
      </c>
      <c r="Z199" s="11">
        <f t="shared" si="135"/>
        <v>-189.52491544000347</v>
      </c>
      <c r="AA199" s="11">
        <f t="shared" si="136"/>
        <v>596.21259378411594</v>
      </c>
      <c r="AB199" s="11">
        <f t="shared" si="137"/>
        <v>-1092.0890869247596</v>
      </c>
      <c r="AC199" s="11">
        <f t="shared" si="138"/>
        <v>-826.26823938259622</v>
      </c>
      <c r="AD199" s="11">
        <f t="shared" si="139"/>
        <v>-1014.9868194459946</v>
      </c>
      <c r="AE199" s="11">
        <f t="shared" si="140"/>
        <v>-626.01441571143198</v>
      </c>
      <c r="AF199" s="11">
        <f t="shared" si="141"/>
        <v>812.11228508989564</v>
      </c>
      <c r="AG199" s="11">
        <f t="shared" si="142"/>
        <v>1157.9435124263587</v>
      </c>
      <c r="AH199" s="11">
        <f t="shared" si="143"/>
        <v>1114.2803715558539</v>
      </c>
      <c r="AI199" s="11">
        <f t="shared" si="144"/>
        <v>-1165.2400728695732</v>
      </c>
      <c r="AJ199" s="11">
        <f t="shared" si="145"/>
        <v>1013.7355069087845</v>
      </c>
      <c r="AK199" s="11">
        <f t="shared" si="146"/>
        <v>59.013781806215341</v>
      </c>
      <c r="AL199" s="11">
        <f t="shared" si="147"/>
        <v>-1159.813875569673</v>
      </c>
      <c r="AM199" s="11">
        <f t="shared" si="148"/>
        <v>954.22057066442289</v>
      </c>
      <c r="AN199" s="11">
        <f t="shared" si="149"/>
        <v>-962.31291337130483</v>
      </c>
      <c r="AO199" s="11">
        <f t="shared" si="150"/>
        <v>981.51962974838727</v>
      </c>
      <c r="AP199" s="11">
        <f t="shared" si="151"/>
        <v>-3.9143261074156412</v>
      </c>
      <c r="AQ199" s="11">
        <f t="shared" si="152"/>
        <v>1169.30651378313</v>
      </c>
      <c r="AR199" s="11">
        <f t="shared" si="153"/>
        <v>-684.40043782353098</v>
      </c>
      <c r="AS199" s="11">
        <f t="shared" si="154"/>
        <v>-543.61243291850349</v>
      </c>
      <c r="AT199" s="11">
        <f t="shared" si="155"/>
        <v>638.41852927998571</v>
      </c>
      <c r="AU199" s="11">
        <f t="shared" si="156"/>
        <v>-1111.7198796892394</v>
      </c>
      <c r="AV199" s="11">
        <f t="shared" si="157"/>
        <v>-68.863452139412175</v>
      </c>
      <c r="AW199" s="11">
        <f t="shared" si="158"/>
        <v>1063.1943897850113</v>
      </c>
      <c r="AX199" s="11">
        <f t="shared" si="159"/>
        <v>-503.57299276657466</v>
      </c>
      <c r="AY199" s="11">
        <f t="shared" si="160"/>
        <v>223.89060832579105</v>
      </c>
      <c r="AZ199" s="11">
        <f t="shared" si="161"/>
        <v>33.887317210230599</v>
      </c>
      <c r="BA199" s="11">
        <f t="shared" si="162"/>
        <v>995.30701612709049</v>
      </c>
      <c r="BB199" s="11">
        <f t="shared" si="163"/>
        <v>-145.31498548684038</v>
      </c>
      <c r="BC199" s="11">
        <f t="shared" si="164"/>
        <v>1058.4071177947105</v>
      </c>
      <c r="BD199" s="11">
        <f t="shared" si="165"/>
        <v>1147.6296036908032</v>
      </c>
      <c r="BE199" s="11">
        <f t="shared" si="166"/>
        <v>1158.2673081465116</v>
      </c>
      <c r="BF199" s="11">
        <f t="shared" si="167"/>
        <v>1089.5918284458457</v>
      </c>
      <c r="BG199" s="11">
        <f t="shared" si="168"/>
        <v>946.30578900818989</v>
      </c>
      <c r="BH199" s="11">
        <f t="shared" si="169"/>
        <v>738.22082432408263</v>
      </c>
      <c r="BI199" s="11">
        <f t="shared" si="170"/>
        <v>479.58571886431406</v>
      </c>
      <c r="BJ199" s="11">
        <f t="shared" si="171"/>
        <v>188.11071016076016</v>
      </c>
      <c r="BK199" s="11">
        <f t="shared" si="172"/>
        <v>-1166.3317961022879</v>
      </c>
    </row>
    <row r="200" spans="6:63" x14ac:dyDescent="0.25">
      <c r="F200">
        <v>1165</v>
      </c>
      <c r="I200" s="11">
        <f t="shared" si="118"/>
        <v>0</v>
      </c>
      <c r="J200" s="11">
        <f t="shared" si="119"/>
        <v>0</v>
      </c>
      <c r="K200" s="11">
        <f t="shared" si="120"/>
        <v>0</v>
      </c>
      <c r="L200" s="11">
        <f t="shared" si="121"/>
        <v>0</v>
      </c>
      <c r="M200" s="11">
        <f t="shared" si="122"/>
        <v>0</v>
      </c>
      <c r="N200" s="11">
        <f t="shared" si="123"/>
        <v>0</v>
      </c>
      <c r="O200" s="11">
        <f t="shared" si="124"/>
        <v>0</v>
      </c>
      <c r="P200" s="11">
        <f t="shared" si="125"/>
        <v>0</v>
      </c>
      <c r="Q200" s="11">
        <f t="shared" si="126"/>
        <v>0</v>
      </c>
      <c r="R200" s="11">
        <f t="shared" si="127"/>
        <v>0</v>
      </c>
      <c r="S200" s="11">
        <f t="shared" si="128"/>
        <v>0</v>
      </c>
      <c r="T200" s="11">
        <f t="shared" si="129"/>
        <v>0</v>
      </c>
      <c r="U200" s="11">
        <f t="shared" si="130"/>
        <v>0</v>
      </c>
      <c r="V200" s="11">
        <f t="shared" si="131"/>
        <v>0</v>
      </c>
      <c r="W200" s="11">
        <f t="shared" si="132"/>
        <v>0</v>
      </c>
      <c r="X200" s="11">
        <f t="shared" si="133"/>
        <v>0</v>
      </c>
      <c r="Y200" s="11">
        <f t="shared" si="134"/>
        <v>0</v>
      </c>
      <c r="Z200" s="11">
        <f t="shared" si="135"/>
        <v>0</v>
      </c>
      <c r="AA200" s="11">
        <f t="shared" si="136"/>
        <v>0</v>
      </c>
      <c r="AB200" s="11">
        <f t="shared" si="137"/>
        <v>0</v>
      </c>
      <c r="AC200" s="11">
        <f t="shared" si="138"/>
        <v>0</v>
      </c>
      <c r="AD200" s="11">
        <f t="shared" si="139"/>
        <v>0</v>
      </c>
      <c r="AE200" s="11">
        <f t="shared" si="140"/>
        <v>0</v>
      </c>
      <c r="AF200" s="11">
        <f t="shared" si="141"/>
        <v>0</v>
      </c>
      <c r="AG200" s="11">
        <f t="shared" si="142"/>
        <v>0</v>
      </c>
      <c r="AH200" s="11">
        <f t="shared" si="143"/>
        <v>0</v>
      </c>
      <c r="AI200" s="11">
        <f t="shared" si="144"/>
        <v>0</v>
      </c>
      <c r="AJ200" s="11">
        <f t="shared" si="145"/>
        <v>0</v>
      </c>
      <c r="AK200" s="11">
        <f t="shared" si="146"/>
        <v>0</v>
      </c>
      <c r="AL200" s="11">
        <f t="shared" si="147"/>
        <v>0</v>
      </c>
      <c r="AM200" s="11">
        <f t="shared" si="148"/>
        <v>0</v>
      </c>
      <c r="AN200" s="11">
        <f t="shared" si="149"/>
        <v>0</v>
      </c>
      <c r="AO200" s="11">
        <f t="shared" si="150"/>
        <v>0</v>
      </c>
      <c r="AP200" s="11">
        <f t="shared" si="151"/>
        <v>0</v>
      </c>
      <c r="AQ200" s="11">
        <f t="shared" si="152"/>
        <v>0</v>
      </c>
      <c r="AR200" s="11">
        <f t="shared" si="153"/>
        <v>0</v>
      </c>
      <c r="AS200" s="11">
        <f t="shared" si="154"/>
        <v>0</v>
      </c>
      <c r="AT200" s="11">
        <f t="shared" si="155"/>
        <v>0</v>
      </c>
      <c r="AU200" s="11">
        <f t="shared" si="156"/>
        <v>0</v>
      </c>
      <c r="AV200" s="11">
        <f t="shared" si="157"/>
        <v>0</v>
      </c>
      <c r="AW200" s="11">
        <f t="shared" si="158"/>
        <v>0</v>
      </c>
      <c r="AX200" s="11">
        <f t="shared" si="159"/>
        <v>0</v>
      </c>
      <c r="AY200" s="11">
        <f t="shared" si="160"/>
        <v>0</v>
      </c>
      <c r="AZ200" s="11">
        <f t="shared" si="161"/>
        <v>0</v>
      </c>
      <c r="BA200" s="11">
        <f t="shared" si="162"/>
        <v>0</v>
      </c>
      <c r="BB200" s="11">
        <f t="shared" si="163"/>
        <v>0</v>
      </c>
      <c r="BC200" s="11">
        <f t="shared" si="164"/>
        <v>0</v>
      </c>
      <c r="BD200" s="11">
        <f t="shared" si="165"/>
        <v>0</v>
      </c>
      <c r="BE200" s="11">
        <f t="shared" si="166"/>
        <v>0</v>
      </c>
      <c r="BF200" s="11">
        <f t="shared" si="167"/>
        <v>0</v>
      </c>
      <c r="BG200" s="11">
        <f t="shared" si="168"/>
        <v>0</v>
      </c>
      <c r="BH200" s="11">
        <f t="shared" si="169"/>
        <v>0</v>
      </c>
      <c r="BI200" s="11">
        <f t="shared" si="170"/>
        <v>0</v>
      </c>
      <c r="BJ200" s="11">
        <f t="shared" si="171"/>
        <v>0</v>
      </c>
      <c r="BK200" s="11">
        <f t="shared" si="172"/>
        <v>0</v>
      </c>
    </row>
    <row r="201" spans="6:63" x14ac:dyDescent="0.25">
      <c r="I201" s="11">
        <f t="shared" si="118"/>
        <v>0</v>
      </c>
      <c r="J201" s="11">
        <f t="shared" si="119"/>
        <v>0</v>
      </c>
      <c r="K201" s="11">
        <f t="shared" si="120"/>
        <v>0</v>
      </c>
      <c r="L201" s="11">
        <f t="shared" si="121"/>
        <v>0</v>
      </c>
      <c r="M201" s="11">
        <f t="shared" si="122"/>
        <v>0</v>
      </c>
      <c r="N201" s="11">
        <f t="shared" si="123"/>
        <v>0</v>
      </c>
      <c r="O201" s="11">
        <f t="shared" si="124"/>
        <v>0</v>
      </c>
      <c r="P201" s="11">
        <f t="shared" si="125"/>
        <v>0</v>
      </c>
      <c r="Q201" s="11">
        <f t="shared" si="126"/>
        <v>0</v>
      </c>
      <c r="R201" s="11">
        <f t="shared" si="127"/>
        <v>0</v>
      </c>
      <c r="S201" s="11">
        <f t="shared" si="128"/>
        <v>0</v>
      </c>
      <c r="T201" s="11">
        <f t="shared" si="129"/>
        <v>0</v>
      </c>
      <c r="U201" s="11">
        <f t="shared" si="130"/>
        <v>0</v>
      </c>
      <c r="V201" s="11">
        <f t="shared" si="131"/>
        <v>0</v>
      </c>
      <c r="W201" s="11">
        <f t="shared" si="132"/>
        <v>0</v>
      </c>
      <c r="X201" s="11">
        <f t="shared" si="133"/>
        <v>0</v>
      </c>
      <c r="Y201" s="11">
        <f t="shared" si="134"/>
        <v>0</v>
      </c>
      <c r="Z201" s="11">
        <f t="shared" si="135"/>
        <v>0</v>
      </c>
      <c r="AA201" s="11">
        <f t="shared" si="136"/>
        <v>0</v>
      </c>
      <c r="AB201" s="11">
        <f t="shared" si="137"/>
        <v>0</v>
      </c>
      <c r="AC201" s="11">
        <f t="shared" si="138"/>
        <v>0</v>
      </c>
      <c r="AD201" s="11">
        <f t="shared" si="139"/>
        <v>0</v>
      </c>
      <c r="AE201" s="11">
        <f t="shared" si="140"/>
        <v>0</v>
      </c>
      <c r="AF201" s="11">
        <f t="shared" si="141"/>
        <v>0</v>
      </c>
      <c r="AG201" s="11">
        <f t="shared" si="142"/>
        <v>0</v>
      </c>
      <c r="AH201" s="11">
        <f t="shared" si="143"/>
        <v>0</v>
      </c>
      <c r="AI201" s="11">
        <f t="shared" si="144"/>
        <v>0</v>
      </c>
      <c r="AJ201" s="11">
        <f t="shared" si="145"/>
        <v>0</v>
      </c>
      <c r="AK201" s="11">
        <f t="shared" si="146"/>
        <v>0</v>
      </c>
      <c r="AL201" s="11">
        <f t="shared" si="147"/>
        <v>0</v>
      </c>
      <c r="AM201" s="11">
        <f t="shared" si="148"/>
        <v>0</v>
      </c>
      <c r="AN201" s="11">
        <f t="shared" si="149"/>
        <v>0</v>
      </c>
      <c r="AO201" s="11">
        <f t="shared" si="150"/>
        <v>0</v>
      </c>
      <c r="AP201" s="11">
        <f t="shared" si="151"/>
        <v>0</v>
      </c>
      <c r="AQ201" s="11">
        <f t="shared" si="152"/>
        <v>0</v>
      </c>
      <c r="AR201" s="11">
        <f t="shared" si="153"/>
        <v>0</v>
      </c>
      <c r="AS201" s="11">
        <f t="shared" si="154"/>
        <v>0</v>
      </c>
      <c r="AT201" s="11">
        <f t="shared" si="155"/>
        <v>0</v>
      </c>
      <c r="AU201" s="11">
        <f t="shared" si="156"/>
        <v>0</v>
      </c>
      <c r="AV201" s="11">
        <f t="shared" si="157"/>
        <v>0</v>
      </c>
      <c r="AW201" s="11">
        <f t="shared" si="158"/>
        <v>0</v>
      </c>
      <c r="AX201" s="11">
        <f t="shared" si="159"/>
        <v>0</v>
      </c>
      <c r="AY201" s="11">
        <f t="shared" si="160"/>
        <v>0</v>
      </c>
      <c r="AZ201" s="11">
        <f t="shared" si="161"/>
        <v>0</v>
      </c>
      <c r="BA201" s="11">
        <f t="shared" si="162"/>
        <v>0</v>
      </c>
      <c r="BB201" s="11">
        <f t="shared" si="163"/>
        <v>0</v>
      </c>
      <c r="BC201" s="11">
        <f t="shared" si="164"/>
        <v>0</v>
      </c>
      <c r="BD201" s="11">
        <f t="shared" si="165"/>
        <v>0</v>
      </c>
      <c r="BE201" s="11">
        <f t="shared" si="166"/>
        <v>0</v>
      </c>
      <c r="BF201" s="11">
        <f t="shared" si="167"/>
        <v>0</v>
      </c>
      <c r="BG201" s="11">
        <f t="shared" si="168"/>
        <v>0</v>
      </c>
      <c r="BH201" s="11">
        <f t="shared" si="169"/>
        <v>0</v>
      </c>
      <c r="BI201" s="11">
        <f t="shared" si="170"/>
        <v>0</v>
      </c>
      <c r="BJ201" s="11">
        <f t="shared" si="171"/>
        <v>0</v>
      </c>
      <c r="BK201" s="11">
        <f t="shared" si="172"/>
        <v>0</v>
      </c>
    </row>
    <row r="202" spans="6:63" x14ac:dyDescent="0.25">
      <c r="I202" s="11">
        <f t="shared" si="118"/>
        <v>-1755.7100668954645</v>
      </c>
      <c r="J202" s="11">
        <f t="shared" si="119"/>
        <v>642.75725239120402</v>
      </c>
      <c r="K202" s="11">
        <f t="shared" si="120"/>
        <v>639.88350585496107</v>
      </c>
      <c r="L202" s="11">
        <f t="shared" si="121"/>
        <v>5780.3335353349858</v>
      </c>
      <c r="M202" s="11">
        <f t="shared" si="122"/>
        <v>-7008.8748274524914</v>
      </c>
      <c r="N202" s="11">
        <f t="shared" si="123"/>
        <v>-5661.2336322500878</v>
      </c>
      <c r="O202" s="11">
        <f t="shared" si="124"/>
        <v>8399.8593175569094</v>
      </c>
      <c r="P202" s="11">
        <f t="shared" si="125"/>
        <v>8568.9515256268805</v>
      </c>
      <c r="Q202" s="11">
        <f t="shared" si="126"/>
        <v>8441.9643828446024</v>
      </c>
      <c r="R202" s="11">
        <f t="shared" si="127"/>
        <v>5738.8070504423367</v>
      </c>
      <c r="S202" s="11">
        <f t="shared" si="128"/>
        <v>-8729.8961105998114</v>
      </c>
      <c r="T202" s="11">
        <f t="shared" si="129"/>
        <v>1819.8924581623139</v>
      </c>
      <c r="U202" s="11">
        <f t="shared" si="130"/>
        <v>-7753.4494425333787</v>
      </c>
      <c r="V202" s="11">
        <f t="shared" si="131"/>
        <v>-8544.7215583346806</v>
      </c>
      <c r="W202" s="11">
        <f t="shared" si="132"/>
        <v>5516.2536279710394</v>
      </c>
      <c r="X202" s="11">
        <f t="shared" si="133"/>
        <v>2639.5087167486417</v>
      </c>
      <c r="Y202" s="11">
        <f t="shared" si="134"/>
        <v>8747.7107727733001</v>
      </c>
      <c r="Z202" s="11">
        <f t="shared" si="135"/>
        <v>-344.11048390794275</v>
      </c>
      <c r="AA202" s="11">
        <f t="shared" si="136"/>
        <v>-4085.7749649664038</v>
      </c>
      <c r="AB202" s="11">
        <f t="shared" si="137"/>
        <v>-6967.0101748377929</v>
      </c>
      <c r="AC202" s="11">
        <f t="shared" si="138"/>
        <v>2294.0112695273351</v>
      </c>
      <c r="AD202" s="11">
        <f t="shared" si="139"/>
        <v>3213.8428248700038</v>
      </c>
      <c r="AE202" s="11">
        <f t="shared" si="140"/>
        <v>1784.3506161203502</v>
      </c>
      <c r="AF202" s="11">
        <f t="shared" si="141"/>
        <v>6722.9680239685413</v>
      </c>
      <c r="AG202" s="11">
        <f t="shared" si="142"/>
        <v>-7519.6678762802494</v>
      </c>
      <c r="AH202" s="11">
        <f t="shared" si="143"/>
        <v>-7871.5634576631583</v>
      </c>
      <c r="AI202" s="11">
        <f t="shared" si="144"/>
        <v>7791.9012123507428</v>
      </c>
      <c r="AJ202" s="11">
        <f t="shared" si="145"/>
        <v>2547.3162835165404</v>
      </c>
      <c r="AK202" s="11">
        <f t="shared" si="146"/>
        <v>-4819.0290198781995</v>
      </c>
      <c r="AL202" s="11">
        <f t="shared" si="147"/>
        <v>-8183.2223212765484</v>
      </c>
      <c r="AM202" s="11">
        <f t="shared" si="148"/>
        <v>5545.5335889369644</v>
      </c>
      <c r="AN202" s="11">
        <f t="shared" si="149"/>
        <v>282.32937816609763</v>
      </c>
      <c r="AO202" s="11">
        <f t="shared" si="150"/>
        <v>2121.8332794158391</v>
      </c>
      <c r="AP202" s="11">
        <f t="shared" si="151"/>
        <v>-6058.2527390354708</v>
      </c>
      <c r="AQ202" s="11">
        <f t="shared" si="152"/>
        <v>2276.5508224929185</v>
      </c>
      <c r="AR202" s="11">
        <f t="shared" si="153"/>
        <v>-288.16562442536883</v>
      </c>
      <c r="AS202" s="11">
        <f t="shared" si="154"/>
        <v>2146.056141142592</v>
      </c>
      <c r="AT202" s="11">
        <f t="shared" si="155"/>
        <v>-8680.1447798036497</v>
      </c>
      <c r="AU202" s="11">
        <f t="shared" si="156"/>
        <v>1442.9280498539317</v>
      </c>
      <c r="AV202" s="11">
        <f t="shared" si="157"/>
        <v>7994.5545495626411</v>
      </c>
      <c r="AW202" s="11">
        <f t="shared" si="158"/>
        <v>-6916.9866897574175</v>
      </c>
      <c r="AX202" s="11">
        <f t="shared" si="159"/>
        <v>8729.1146617480936</v>
      </c>
      <c r="AY202" s="11">
        <f t="shared" si="160"/>
        <v>2634.8453807450992</v>
      </c>
      <c r="AZ202" s="11">
        <f t="shared" si="161"/>
        <v>-6409.7382566487713</v>
      </c>
      <c r="BA202" s="11">
        <f t="shared" si="162"/>
        <v>2697.3670708374507</v>
      </c>
      <c r="BB202" s="11">
        <f t="shared" si="163"/>
        <v>8720.6668468443986</v>
      </c>
      <c r="BC202" s="11">
        <f t="shared" si="164"/>
        <v>-1280.0624999471777</v>
      </c>
      <c r="BD202" s="11">
        <f t="shared" si="165"/>
        <v>-3497.19234938521</v>
      </c>
      <c r="BE202" s="11">
        <f t="shared" si="166"/>
        <v>-5471.4808095992939</v>
      </c>
      <c r="BF202" s="11">
        <f t="shared" si="167"/>
        <v>-7065.835349051411</v>
      </c>
      <c r="BG202" s="11">
        <f t="shared" si="168"/>
        <v>-8169.5456514129555</v>
      </c>
      <c r="BH202" s="11">
        <f t="shared" si="169"/>
        <v>-8705.9712244336642</v>
      </c>
      <c r="BI202" s="11">
        <f t="shared" si="170"/>
        <v>-8637.8632358041123</v>
      </c>
      <c r="BJ202" s="11">
        <f t="shared" si="171"/>
        <v>-7969.951033216963</v>
      </c>
      <c r="BK202" s="11">
        <f t="shared" si="172"/>
        <v>7626.5162251374495</v>
      </c>
    </row>
    <row r="203" spans="6:63" x14ac:dyDescent="0.25">
      <c r="F203">
        <v>8752</v>
      </c>
    </row>
  </sheetData>
  <mergeCells count="13">
    <mergeCell ref="B77:G77"/>
    <mergeCell ref="B141:G141"/>
    <mergeCell ref="A12:G12"/>
    <mergeCell ref="A1:G1"/>
    <mergeCell ref="C6:E6"/>
    <mergeCell ref="C7:E7"/>
    <mergeCell ref="B14:G14"/>
    <mergeCell ref="B78:E78"/>
    <mergeCell ref="C2:E2"/>
    <mergeCell ref="C3:E3"/>
    <mergeCell ref="C4:E4"/>
    <mergeCell ref="C5:E5"/>
    <mergeCell ref="F11:K1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AF8BC-A295-4B4A-887C-40930FFAB10B}">
  <dimension ref="A1:BG61"/>
  <sheetViews>
    <sheetView workbookViewId="0">
      <selection sqref="A1:E3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1.7109375" bestFit="1" customWidth="1"/>
    <col min="4" max="4" width="6.7109375" style="7" bestFit="1" customWidth="1"/>
    <col min="5" max="5" width="16.42578125" bestFit="1" customWidth="1"/>
    <col min="6" max="6" width="17.5703125" bestFit="1" customWidth="1"/>
    <col min="7" max="7" width="15.7109375" bestFit="1" customWidth="1"/>
    <col min="8" max="15" width="16.42578125" bestFit="1" customWidth="1"/>
    <col min="16" max="22" width="17.5703125" bestFit="1" customWidth="1"/>
    <col min="23" max="23" width="16.42578125" bestFit="1" customWidth="1"/>
    <col min="24" max="24" width="26" bestFit="1" customWidth="1"/>
    <col min="25" max="25" width="16.42578125" bestFit="1" customWidth="1"/>
    <col min="26" max="26" width="15.7109375" bestFit="1" customWidth="1"/>
    <col min="27" max="38" width="16.42578125" bestFit="1" customWidth="1"/>
    <col min="39" max="39" width="17.5703125" bestFit="1" customWidth="1"/>
    <col min="40" max="40" width="15.7109375" bestFit="1" customWidth="1"/>
    <col min="41" max="41" width="17.5703125" bestFit="1" customWidth="1"/>
    <col min="42" max="58" width="15.7109375" bestFit="1" customWidth="1"/>
    <col min="59" max="59" width="16.42578125" bestFit="1" customWidth="1"/>
  </cols>
  <sheetData>
    <row r="1" spans="1:59" ht="15.75" x14ac:dyDescent="0.25">
      <c r="A1" s="338" t="s">
        <v>353</v>
      </c>
      <c r="B1" s="338"/>
      <c r="C1" s="338"/>
      <c r="D1" s="338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235" t="s">
        <v>291</v>
      </c>
      <c r="D3" s="236" t="s">
        <v>2</v>
      </c>
      <c r="E3" s="70">
        <f>Examples!E10</f>
        <v>-0.42241451060917029</v>
      </c>
      <c r="F3" s="70">
        <f>Examples!F10</f>
        <v>-16.668911704312116</v>
      </c>
      <c r="G3" s="70">
        <f>Examples!G10</f>
        <v>0</v>
      </c>
      <c r="H3" s="70">
        <f>Examples!H10</f>
        <v>-1.0006844626967831E-2</v>
      </c>
      <c r="I3" s="70">
        <f>Examples!I10</f>
        <v>-0.12929500342231348</v>
      </c>
      <c r="J3" s="70">
        <f>Examples!J10</f>
        <v>-0.12536618754277892</v>
      </c>
      <c r="K3" s="70">
        <f>Examples!K10</f>
        <v>-0.11930184804928132</v>
      </c>
      <c r="L3" s="70">
        <f>Examples!L10</f>
        <v>-0.11534565366187542</v>
      </c>
      <c r="M3" s="70">
        <f>Examples!M10</f>
        <v>-0.99998631042918518</v>
      </c>
      <c r="N3" s="70">
        <f>Examples!N10</f>
        <v>-3.9999315537303217</v>
      </c>
      <c r="O3" s="70">
        <f>Examples!O10</f>
        <v>-3.9899383983572894</v>
      </c>
      <c r="P3" s="70">
        <f>Examples!P10</f>
        <v>-11.626918548939081</v>
      </c>
      <c r="Q3" s="70">
        <f>Examples!Q10</f>
        <v>-21.219671457905545</v>
      </c>
      <c r="R3" s="70">
        <f>Examples!R10</f>
        <v>-21.219644079397671</v>
      </c>
      <c r="S3" s="70">
        <f>Examples!S10</f>
        <v>-29.994360027378509</v>
      </c>
      <c r="T3" s="70">
        <f>Examples!T10</f>
        <v>-29.9980424366872</v>
      </c>
      <c r="U3" s="70">
        <f>Examples!U10</f>
        <v>-30.003383983572899</v>
      </c>
      <c r="V3" s="70">
        <f>Examples!V10</f>
        <v>-67.119644079397673</v>
      </c>
      <c r="W3" s="70">
        <f>Examples!W10</f>
        <v>-0.12729637234770705</v>
      </c>
      <c r="X3" s="70">
        <f>Examples!X10</f>
        <v>-7.7221081451060922E-2</v>
      </c>
      <c r="Y3" s="70">
        <f>Examples!Y10</f>
        <v>-0.22876112251882272</v>
      </c>
      <c r="Z3" s="70">
        <f>Examples!Z10</f>
        <v>0.43998631074606431</v>
      </c>
      <c r="AA3" s="70">
        <f>Examples!AA10</f>
        <v>-1.3689253935660506E-5</v>
      </c>
      <c r="AB3" s="70">
        <f>Examples!AB10</f>
        <v>-0.45507186858316223</v>
      </c>
      <c r="AC3" s="70">
        <f>Examples!AC10</f>
        <v>-0.21132101300479125</v>
      </c>
      <c r="AD3" s="70">
        <f>Examples!AD10</f>
        <v>-0.1169472963723477</v>
      </c>
      <c r="AE3" s="70">
        <f>Examples!AE10</f>
        <v>-0.2286748485309362</v>
      </c>
      <c r="AF3" s="70">
        <f>Examples!AF10</f>
        <v>-7.0321697467488023E-2</v>
      </c>
      <c r="AG3" s="70">
        <f>Examples!AG10</f>
        <v>-7.2183436002737855E-2</v>
      </c>
      <c r="AH3" s="70">
        <f>Examples!AH10</f>
        <v>-8.8391512662559887E-2</v>
      </c>
      <c r="AI3" s="70">
        <f>Examples!AI10</f>
        <v>-7.7522245037645446E-2</v>
      </c>
      <c r="AJ3" s="70">
        <f>Examples!AJ10</f>
        <v>-6.670773442847365E-2</v>
      </c>
      <c r="AK3" s="70">
        <f>Examples!AK10</f>
        <v>-1.8199726214921286</v>
      </c>
      <c r="AL3" s="70">
        <f>Examples!AL10</f>
        <v>-9.2826830937713892E-2</v>
      </c>
      <c r="AM3" s="70">
        <f>Examples!AM10</f>
        <v>-13.774277891854894</v>
      </c>
      <c r="AN3" s="70">
        <f>Examples!AN10</f>
        <v>2.6146475017111569E-3</v>
      </c>
      <c r="AO3" s="70">
        <f>Examples!AO10</f>
        <v>-19.989582477754961</v>
      </c>
      <c r="AP3" s="70">
        <f>Examples!AP10</f>
        <v>0.22732591832078314</v>
      </c>
      <c r="AQ3" s="70">
        <f>Examples!AQ10</f>
        <v>0.22751908890409606</v>
      </c>
      <c r="AR3" s="70">
        <f>Examples!AR10</f>
        <v>0.22770807665982459</v>
      </c>
      <c r="AS3" s="70">
        <f>Examples!AS10</f>
        <v>0.22792180013689253</v>
      </c>
      <c r="AT3" s="70">
        <f>Examples!AT10</f>
        <v>0.22832306639288158</v>
      </c>
      <c r="AU3" s="70">
        <f>Examples!AU10</f>
        <v>-0.26585900068446272</v>
      </c>
      <c r="AV3" s="70">
        <f>Examples!AV10</f>
        <v>-2.3340177960301165E-2</v>
      </c>
      <c r="AW3" s="70">
        <f>Examples!AW10</f>
        <v>-0.64989733059548249</v>
      </c>
      <c r="AX3" s="70">
        <f>Examples!AX10</f>
        <v>-0.42714579055441476</v>
      </c>
      <c r="AY3" s="70">
        <f>Examples!AY10</f>
        <v>0.22914442162902121</v>
      </c>
      <c r="AZ3" s="70">
        <f>Examples!AZ10</f>
        <v>0.22917180013689253</v>
      </c>
      <c r="BA3" s="70">
        <f>Examples!BA10</f>
        <v>0.22919917864476386</v>
      </c>
      <c r="BB3" s="70">
        <f>Examples!BB10</f>
        <v>0.22922655715263518</v>
      </c>
      <c r="BC3" s="70">
        <f>Examples!BC10</f>
        <v>0.2292539356605065</v>
      </c>
      <c r="BD3" s="70">
        <f>Examples!BD10</f>
        <v>0.22928131416837783</v>
      </c>
      <c r="BE3" s="70">
        <f>Examples!BE10</f>
        <v>0.22930869267624915</v>
      </c>
      <c r="BF3" s="70">
        <f>Examples!BF10</f>
        <v>0.22933607118412047</v>
      </c>
      <c r="BG3" s="70">
        <f>Examples!BG10</f>
        <v>-0.22867898699520875</v>
      </c>
    </row>
    <row r="4" spans="1:59" x14ac:dyDescent="0.25">
      <c r="A4" s="7">
        <v>47</v>
      </c>
      <c r="B4" s="7">
        <v>342</v>
      </c>
      <c r="C4" s="242" t="s">
        <v>843</v>
      </c>
      <c r="D4" s="234" t="s">
        <v>364</v>
      </c>
      <c r="E4" s="201">
        <f>'47MoonPos'!E68</f>
        <v>405399.46557274106</v>
      </c>
      <c r="F4" s="201">
        <f>'47MoonPos'!F68</f>
        <v>372736.79278592201</v>
      </c>
      <c r="G4" s="201">
        <f>'47MoonPos'!G68</f>
        <v>402444.81238724402</v>
      </c>
      <c r="H4" s="201">
        <f>'47MoonPos'!H68</f>
        <v>364898.78988362366</v>
      </c>
      <c r="I4" s="201">
        <f>'47MoonPos'!I68</f>
        <v>360778.54793976108</v>
      </c>
      <c r="J4" s="201">
        <f>'47MoonPos'!J68</f>
        <v>383140.96817272907</v>
      </c>
      <c r="K4" s="201">
        <f>'47MoonPos'!K68</f>
        <v>387921.30096011597</v>
      </c>
      <c r="L4" s="201">
        <f>'47MoonPos'!L68</f>
        <v>404128.86103227839</v>
      </c>
      <c r="M4" s="201">
        <f>'47MoonPos'!M68</f>
        <v>368391.55703058449</v>
      </c>
      <c r="N4" s="201">
        <f>'47MoonPos'!N68</f>
        <v>383117.29265049781</v>
      </c>
      <c r="O4" s="201">
        <f>'47MoonPos'!O68</f>
        <v>405229.20586209866</v>
      </c>
      <c r="P4" s="201">
        <f>'47MoonPos'!P68</f>
        <v>386894.15841240535</v>
      </c>
      <c r="Q4" s="201">
        <f>'47MoonPos'!Q68</f>
        <v>402944.3193377509</v>
      </c>
      <c r="R4" s="201">
        <f>'47MoonPos'!R68</f>
        <v>399859.35357785173</v>
      </c>
      <c r="S4" s="201">
        <f>'47MoonPos'!S68</f>
        <v>391873.88854107796</v>
      </c>
      <c r="T4" s="201">
        <f>'47MoonPos'!T68</f>
        <v>400558.73484717577</v>
      </c>
      <c r="U4" s="201">
        <f>'47MoonPos'!U68</f>
        <v>393781.54106712493</v>
      </c>
      <c r="V4" s="201">
        <f>'47MoonPos'!V68</f>
        <v>376131.88251074927</v>
      </c>
      <c r="W4" s="201">
        <f>'47MoonPos'!W68</f>
        <v>395998.3429237805</v>
      </c>
      <c r="X4" s="269">
        <f>'47MoonPos'!X68</f>
        <v>368409.68481612689</v>
      </c>
      <c r="Y4" s="201">
        <f>'47MoonPos'!Y68</f>
        <v>373954.76088867488</v>
      </c>
      <c r="Z4" s="201">
        <f>'47MoonPos'!Z68</f>
        <v>402931.04767881171</v>
      </c>
      <c r="AA4" s="201">
        <f>'47MoonPos'!AA68</f>
        <v>400927.15639443003</v>
      </c>
      <c r="AB4" s="201">
        <f>'47MoonPos'!AB68</f>
        <v>369671.84196038841</v>
      </c>
      <c r="AC4" s="201">
        <f>'47MoonPos'!AC68</f>
        <v>385960.82215734769</v>
      </c>
      <c r="AD4" s="201">
        <f>'47MoonPos'!AD68</f>
        <v>395754.01916941314</v>
      </c>
      <c r="AE4" s="201">
        <f>'47MoonPos'!AE68</f>
        <v>383473.15801696957</v>
      </c>
      <c r="AF4" s="201">
        <f>'47MoonPos'!AF68</f>
        <v>378436.98856317403</v>
      </c>
      <c r="AG4" s="201">
        <f>'47MoonPos'!AG68</f>
        <v>393373.28934736148</v>
      </c>
      <c r="AH4" s="201">
        <f>'47MoonPos'!AH68</f>
        <v>375583.1591692142</v>
      </c>
      <c r="AI4" s="201">
        <f>'47MoonPos'!AI68</f>
        <v>399137.51106045389</v>
      </c>
      <c r="AJ4" s="201">
        <f>'47MoonPos'!AJ68</f>
        <v>368258.18340509507</v>
      </c>
      <c r="AK4" s="201">
        <f>'47MoonPos'!AK68</f>
        <v>372362.30572966934</v>
      </c>
      <c r="AL4" s="201">
        <f>'47MoonPos'!AL68</f>
        <v>393620.17482371093</v>
      </c>
      <c r="AM4" s="201">
        <f>'47MoonPos'!AM68</f>
        <v>371435.04707878933</v>
      </c>
      <c r="AN4" s="201">
        <f>'47MoonPos'!AN68</f>
        <v>372185.0753074034</v>
      </c>
      <c r="AO4" s="201">
        <f>'47MoonPos'!AO68</f>
        <v>371225.50145063578</v>
      </c>
      <c r="AP4" s="201">
        <f>'47MoonPos'!AP68</f>
        <v>388877.5987896783</v>
      </c>
      <c r="AQ4" s="201">
        <f>'47MoonPos'!AQ68</f>
        <v>370501.27025101561</v>
      </c>
      <c r="AR4" s="201">
        <f>'47MoonPos'!AR68</f>
        <v>378197.75415506848</v>
      </c>
      <c r="AS4" s="201">
        <f>'47MoonPos'!AS68</f>
        <v>404322.38682933681</v>
      </c>
      <c r="AT4" s="201">
        <f>'47MoonPos'!AT68</f>
        <v>370256.95688304119</v>
      </c>
      <c r="AU4" s="201">
        <f>'47MoonPos'!AU68</f>
        <v>357915.4449425718</v>
      </c>
      <c r="AV4" s="201">
        <f>'47MoonPos'!AV68</f>
        <v>405299.27085649723</v>
      </c>
      <c r="AW4" s="201">
        <f>'47MoonPos'!AW68</f>
        <v>361574.72286336171</v>
      </c>
      <c r="AX4" s="201">
        <f>'47MoonPos'!AX68</f>
        <v>369833.28148531221</v>
      </c>
      <c r="AY4" s="201">
        <f>'47MoonPos'!AY68</f>
        <v>375496.13098356442</v>
      </c>
      <c r="AZ4" s="201">
        <f>'47MoonPos'!AZ68</f>
        <v>379447.45203713112</v>
      </c>
      <c r="BA4" s="201">
        <f>'47MoonPos'!BA68</f>
        <v>383341.23541930271</v>
      </c>
      <c r="BB4" s="201">
        <f>'47MoonPos'!BB68</f>
        <v>387081.06330650457</v>
      </c>
      <c r="BC4" s="201">
        <f>'47MoonPos'!BC68</f>
        <v>390620.72102246946</v>
      </c>
      <c r="BD4" s="201">
        <f>'47MoonPos'!BD68</f>
        <v>393938.33894002682</v>
      </c>
      <c r="BE4" s="201">
        <f>'47MoonPos'!BE68</f>
        <v>397010.35749621352</v>
      </c>
      <c r="BF4" s="201">
        <f>'47MoonPos'!BF68</f>
        <v>399790.66594430601</v>
      </c>
      <c r="BG4" s="201">
        <f>'47MoonPos'!BG68</f>
        <v>382893.44371785282</v>
      </c>
    </row>
    <row r="5" spans="1:59" x14ac:dyDescent="0.25">
      <c r="A5" s="7">
        <v>13.3</v>
      </c>
      <c r="B5" s="7"/>
      <c r="C5" s="242" t="s">
        <v>838</v>
      </c>
      <c r="D5" s="234" t="s">
        <v>281</v>
      </c>
      <c r="E5" s="201">
        <f>'13Coords'!E7</f>
        <v>-32.884440823446667</v>
      </c>
      <c r="F5" s="201">
        <f>'13Coords'!F7</f>
        <v>-124.3618050158738</v>
      </c>
      <c r="G5" s="201">
        <f>'13Coords'!G7</f>
        <v>-137.55627488549146</v>
      </c>
      <c r="H5" s="201">
        <f>'13Coords'!H7</f>
        <v>84.678888544074837</v>
      </c>
      <c r="I5" s="201">
        <f>'13Coords'!I7</f>
        <v>-89.800142966644898</v>
      </c>
      <c r="J5" s="201">
        <f>'13Coords'!J7</f>
        <v>9.6018795865886144</v>
      </c>
      <c r="K5" s="201">
        <f>'13Coords'!K7</f>
        <v>45.658496257626503</v>
      </c>
      <c r="L5" s="201">
        <f>'13Coords'!L7</f>
        <v>149.37643165566527</v>
      </c>
      <c r="M5" s="201">
        <f>'13Coords'!M7</f>
        <v>-87.387281755454723</v>
      </c>
      <c r="N5" s="201">
        <f>'13Coords'!N7</f>
        <v>106.21109235118109</v>
      </c>
      <c r="O5" s="201">
        <f>'13Coords'!O7</f>
        <v>-133.98667148534923</v>
      </c>
      <c r="P5" s="201">
        <f>'13Coords'!P7</f>
        <v>36.550537190593957</v>
      </c>
      <c r="Q5" s="201">
        <f>'13Coords'!Q7</f>
        <v>-10.734626917202812</v>
      </c>
      <c r="R5" s="201">
        <f>'13Coords'!R7</f>
        <v>0.61182018990294862</v>
      </c>
      <c r="S5" s="201">
        <f>'13Coords'!S7</f>
        <v>-178.33246628853377</v>
      </c>
      <c r="T5" s="201">
        <f>'13Coords'!T7</f>
        <v>-156.24953135569945</v>
      </c>
      <c r="U5" s="201">
        <f>'13Coords'!U7</f>
        <v>156.97938270224694</v>
      </c>
      <c r="V5" s="201">
        <f>'13Coords'!V7</f>
        <v>120.42364681052496</v>
      </c>
      <c r="W5" s="201">
        <f>'13Coords'!W7</f>
        <v>153.61595153619675</v>
      </c>
      <c r="X5" s="269">
        <f>'13Coords'!X7</f>
        <v>134.68850352593375</v>
      </c>
      <c r="Y5" s="201">
        <f>'13Coords'!Y7</f>
        <v>-73.026233126464902</v>
      </c>
      <c r="Z5" s="201">
        <f>'13Coords'!Z7</f>
        <v>-71.251878435567562</v>
      </c>
      <c r="AA5" s="201">
        <f>'13Coords'!AA7</f>
        <v>-143.3387723147126</v>
      </c>
      <c r="AB5" s="201">
        <f>'13Coords'!AB7</f>
        <v>90.915325172713224</v>
      </c>
      <c r="AC5" s="201">
        <f>'13Coords'!AC7</f>
        <v>39.955839204597019</v>
      </c>
      <c r="AD5" s="201">
        <f>'13Coords'!AD7</f>
        <v>101.75218674688479</v>
      </c>
      <c r="AE5" s="201">
        <f>'13Coords'!AE7</f>
        <v>-30.004215367715023</v>
      </c>
      <c r="AF5" s="201">
        <f>'13Coords'!AF7</f>
        <v>-144.11173099495053</v>
      </c>
      <c r="AG5" s="201">
        <f>'13Coords'!AG7</f>
        <v>30.691159721370664</v>
      </c>
      <c r="AH5" s="201">
        <f>'13Coords'!AH7</f>
        <v>162.81281294959356</v>
      </c>
      <c r="AI5" s="201">
        <f>'13Coords'!AI7</f>
        <v>-14.725123447023297</v>
      </c>
      <c r="AJ5" s="201">
        <f>'13Coords'!AJ7</f>
        <v>150.28600171415681</v>
      </c>
      <c r="AK5" s="201">
        <f>'13Coords'!AK7</f>
        <v>-161.7402870307404</v>
      </c>
      <c r="AL5" s="201">
        <f>'13Coords'!AL7</f>
        <v>-174.29051937771285</v>
      </c>
      <c r="AM5" s="201">
        <f>'13Coords'!AM7</f>
        <v>139.80971996687757</v>
      </c>
      <c r="AN5" s="201">
        <f>'13Coords'!AN7</f>
        <v>32.182638120656499</v>
      </c>
      <c r="AO5" s="201">
        <f>'13Coords'!AO7</f>
        <v>160.03086200548685</v>
      </c>
      <c r="AP5" s="201">
        <f>'13Coords'!AP7</f>
        <v>-179.93589109973755</v>
      </c>
      <c r="AQ5" s="201">
        <f>'13Coords'!AQ7</f>
        <v>-84.986178958305345</v>
      </c>
      <c r="AR5" s="201">
        <f>'13Coords'!AR7</f>
        <v>12.099386769793449</v>
      </c>
      <c r="AS5" s="201">
        <f>'13Coords'!AS7</f>
        <v>112.26494236994778</v>
      </c>
      <c r="AT5" s="201">
        <f>'13Coords'!AT7</f>
        <v>-51.380831064148111</v>
      </c>
      <c r="AU5" s="201">
        <f>'13Coords'!AU7</f>
        <v>65.38830921862818</v>
      </c>
      <c r="AV5" s="201">
        <f>'13Coords'!AV7</f>
        <v>149.28552602728317</v>
      </c>
      <c r="AW5" s="201">
        <f>'13Coords'!AW7</f>
        <v>-78.26838611048241</v>
      </c>
      <c r="AX5" s="201">
        <f>'13Coords'!AX7</f>
        <v>-151.41275436742586</v>
      </c>
      <c r="AY5" s="201">
        <f>'13Coords'!AY7</f>
        <v>-13.202524869996836</v>
      </c>
      <c r="AZ5" s="201">
        <f>'13Coords'!AZ7</f>
        <v>-0.9161696030564046</v>
      </c>
      <c r="BA5" s="201">
        <f>'13Coords'!BA7</f>
        <v>10.930803055533122</v>
      </c>
      <c r="BB5" s="201">
        <f>'13Coords'!BB7</f>
        <v>22.632532708257486</v>
      </c>
      <c r="BC5" s="201">
        <f>'13Coords'!BC7</f>
        <v>34.448953229962129</v>
      </c>
      <c r="BD5" s="201">
        <f>'13Coords'!BD7</f>
        <v>46.585265530615729</v>
      </c>
      <c r="BE5" s="201">
        <f>'13Coords'!BE7</f>
        <v>59.166299098984247</v>
      </c>
      <c r="BF5" s="201">
        <f>'13Coords'!BF7</f>
        <v>72.206812562684561</v>
      </c>
      <c r="BG5" s="201">
        <f>'13Coords'!BG7</f>
        <v>-31.944586297889145</v>
      </c>
    </row>
    <row r="6" spans="1:59" x14ac:dyDescent="0.25">
      <c r="A6" s="7">
        <v>13.4</v>
      </c>
      <c r="B6" s="7"/>
      <c r="C6" s="242" t="s">
        <v>837</v>
      </c>
      <c r="D6" s="234" t="s">
        <v>348</v>
      </c>
      <c r="E6" s="201">
        <f>'13Coords'!E12</f>
        <v>-7.9264508755744298</v>
      </c>
      <c r="F6" s="201">
        <f>'13Coords'!F12</f>
        <v>-25.276965526261527</v>
      </c>
      <c r="G6" s="201">
        <f>'13Coords'!G12</f>
        <v>-10.897419183103345</v>
      </c>
      <c r="H6" s="201">
        <f>'13Coords'!H12</f>
        <v>18.983331939717392</v>
      </c>
      <c r="I6" s="201">
        <f>'13Coords'!I12</f>
        <v>-28.334568089077017</v>
      </c>
      <c r="J6" s="201">
        <f>'13Coords'!J12</f>
        <v>4.3694215073708786</v>
      </c>
      <c r="K6" s="201">
        <f>'13Coords'!K12</f>
        <v>21.614709435758236</v>
      </c>
      <c r="L6" s="201">
        <f>'13Coords'!L12</f>
        <v>14.367817737268341</v>
      </c>
      <c r="M6" s="201">
        <f>'13Coords'!M12</f>
        <v>-22.321254530294112</v>
      </c>
      <c r="N6" s="201">
        <f>'13Coords'!N12</f>
        <v>24.079981926991021</v>
      </c>
      <c r="O6" s="201">
        <f>'13Coords'!O12</f>
        <v>-21.722383247760924</v>
      </c>
      <c r="P6" s="201">
        <f>'13Coords'!P12</f>
        <v>19.623454731641072</v>
      </c>
      <c r="Q6" s="201">
        <f>'13Coords'!Q12</f>
        <v>-8.3894586878008823</v>
      </c>
      <c r="R6" s="201">
        <f>'13Coords'!R12</f>
        <v>-4.2820351628684126</v>
      </c>
      <c r="S6" s="201">
        <f>'13Coords'!S12</f>
        <v>-0.54485945657357127</v>
      </c>
      <c r="T6" s="201">
        <f>'13Coords'!T12</f>
        <v>-8.2116966061230823</v>
      </c>
      <c r="U6" s="201">
        <f>'13Coords'!U12</f>
        <v>6.2823478885031694</v>
      </c>
      <c r="V6" s="201">
        <f>'13Coords'!V12</f>
        <v>25.37961606894762</v>
      </c>
      <c r="W6" s="201">
        <f>'13Coords'!W12</f>
        <v>14.638515478538457</v>
      </c>
      <c r="X6" s="269">
        <f>'13Coords'!X12</f>
        <v>13.768489183654491</v>
      </c>
      <c r="Y6" s="201">
        <f>'13Coords'!Y12</f>
        <v>-17.492311109873427</v>
      </c>
      <c r="Z6" s="201">
        <f>'13Coords'!Z12</f>
        <v>-26.943428761863931</v>
      </c>
      <c r="AA6" s="201">
        <f>'13Coords'!AA12</f>
        <v>-8.9910820052464633</v>
      </c>
      <c r="AB6" s="201">
        <f>'13Coords'!AB12</f>
        <v>24.714517621728071</v>
      </c>
      <c r="AC6" s="201">
        <f>'13Coords'!AC12</f>
        <v>11.722785013016239</v>
      </c>
      <c r="AD6" s="201">
        <f>'13Coords'!AD12</f>
        <v>27.946640848118044</v>
      </c>
      <c r="AE6" s="201">
        <f>'13Coords'!AE12</f>
        <v>-7.7163267224344025</v>
      </c>
      <c r="AF6" s="201">
        <f>'13Coords'!AF12</f>
        <v>-18.005605510795402</v>
      </c>
      <c r="AG6" s="201">
        <f>'13Coords'!AG12</f>
        <v>16.548627313306259</v>
      </c>
      <c r="AH6" s="201">
        <f>'13Coords'!AH12</f>
        <v>3.3215620932845775</v>
      </c>
      <c r="AI6" s="201">
        <f>'13Coords'!AI12</f>
        <v>-1.1484075203363013</v>
      </c>
      <c r="AJ6" s="201">
        <f>'13Coords'!AJ12</f>
        <v>6.7140413879652723</v>
      </c>
      <c r="AK6" s="201">
        <f>'13Coords'!AK12</f>
        <v>-5.1650622242557054</v>
      </c>
      <c r="AL6" s="201">
        <f>'13Coords'!AL12</f>
        <v>-7.3774382663922289</v>
      </c>
      <c r="AM6" s="201">
        <f>'13Coords'!AM12</f>
        <v>16.787761683181049</v>
      </c>
      <c r="AN6" s="201">
        <f>'13Coords'!AN12</f>
        <v>7.6732149307423825</v>
      </c>
      <c r="AO6" s="201">
        <f>'13Coords'!AO12</f>
        <v>3.1068356094323266</v>
      </c>
      <c r="AP6" s="201">
        <f>'13Coords'!AP12</f>
        <v>3.980123930038487</v>
      </c>
      <c r="AQ6" s="201">
        <f>'13Coords'!AQ12</f>
        <v>-27.384245133557311</v>
      </c>
      <c r="AR6" s="201">
        <f>'13Coords'!AR12</f>
        <v>2.2263184358951804</v>
      </c>
      <c r="AS6" s="201">
        <f>'13Coords'!AS12</f>
        <v>26.731871848808527</v>
      </c>
      <c r="AT6" s="201">
        <f>'13Coords'!AT12</f>
        <v>-24.10621068535815</v>
      </c>
      <c r="AU6" s="201">
        <f>'13Coords'!AU12</f>
        <v>24.187715291825235</v>
      </c>
      <c r="AV6" s="201">
        <f>'13Coords'!AV12</f>
        <v>10.380263922752588</v>
      </c>
      <c r="AW6" s="201">
        <f>'13Coords'!AW12</f>
        <v>-24.865934759646802</v>
      </c>
      <c r="AX6" s="201">
        <f>'13Coords'!AX12</f>
        <v>-13.490453816442308</v>
      </c>
      <c r="AY6" s="201">
        <f>'13Coords'!AY12</f>
        <v>-10.549280213232207</v>
      </c>
      <c r="AZ6" s="201">
        <f>'13Coords'!AZ12</f>
        <v>-4.4954316280187872</v>
      </c>
      <c r="BA6" s="201">
        <f>'13Coords'!BA12</f>
        <v>1.6378348846126063</v>
      </c>
      <c r="BB6" s="201">
        <f>'13Coords'!BB12</f>
        <v>7.5924692201143573</v>
      </c>
      <c r="BC6" s="201">
        <f>'13Coords'!BC12</f>
        <v>13.135150170393679</v>
      </c>
      <c r="BD6" s="201">
        <f>'13Coords'!BD12</f>
        <v>18.04297851643188</v>
      </c>
      <c r="BE6" s="201">
        <f>'13Coords'!BE12</f>
        <v>22.100367836704763</v>
      </c>
      <c r="BF6" s="201">
        <f>'13Coords'!BF12</f>
        <v>25.109740369613952</v>
      </c>
      <c r="BG6" s="201">
        <f>'13Coords'!BG12</f>
        <v>-8.3135234046900823</v>
      </c>
    </row>
    <row r="7" spans="1:59" x14ac:dyDescent="0.25">
      <c r="A7" s="7">
        <v>47.2</v>
      </c>
      <c r="B7" s="7"/>
      <c r="C7" s="242" t="s">
        <v>172</v>
      </c>
      <c r="D7" s="234" t="s">
        <v>162</v>
      </c>
      <c r="E7" s="201">
        <f>'47MoonPos'!E18</f>
        <v>130.56090234054136</v>
      </c>
      <c r="F7" s="201">
        <f>'47MoonPos'!F18</f>
        <v>299.15331641305238</v>
      </c>
      <c r="G7" s="201">
        <f>'47MoonPos'!G18</f>
        <v>297.85019210000002</v>
      </c>
      <c r="H7" s="201">
        <f>'47MoonPos'!H18</f>
        <v>162.13139059895093</v>
      </c>
      <c r="I7" s="201">
        <f>'47MoonPos'!I18</f>
        <v>327.03746788970602</v>
      </c>
      <c r="J7" s="201">
        <f>'47MoonPos'!J18</f>
        <v>276.40996768909099</v>
      </c>
      <c r="K7" s="201">
        <f>'47MoonPos'!K18</f>
        <v>96.660899321082979</v>
      </c>
      <c r="L7" s="201">
        <f>'47MoonPos'!L18</f>
        <v>58.224148098946898</v>
      </c>
      <c r="M7" s="201">
        <f>'47MoonPos'!M18</f>
        <v>356.83242066384992</v>
      </c>
      <c r="N7" s="201">
        <f>'47MoonPos'!N18</f>
        <v>179.8512224140577</v>
      </c>
      <c r="O7" s="201">
        <f>'47MoonPos'!O18</f>
        <v>309.47480032686144</v>
      </c>
      <c r="P7" s="201">
        <f>'47MoonPos'!P18</f>
        <v>13.155937230214477</v>
      </c>
      <c r="Q7" s="201">
        <f>'47MoonPos'!Q18</f>
        <v>75.168532995507121</v>
      </c>
      <c r="R7" s="201">
        <f>'47MoonPos'!R18</f>
        <v>87.359284373000264</v>
      </c>
      <c r="S7" s="201">
        <f>'47MoonPos'!S18</f>
        <v>74.052741186693311</v>
      </c>
      <c r="T7" s="201">
        <f>'47MoonPos'!T18</f>
        <v>234.3965478297323</v>
      </c>
      <c r="U7" s="201">
        <f>'47MoonPos'!U18</f>
        <v>15.980760935693979</v>
      </c>
      <c r="V7" s="201">
        <f>'47MoonPos'!V18</f>
        <v>238.60104650631547</v>
      </c>
      <c r="W7" s="201">
        <f>'47MoonPos'!W18</f>
        <v>136.96215420606313</v>
      </c>
      <c r="X7" s="201">
        <f>'47MoonPos'!X18</f>
        <v>113.8423037166358</v>
      </c>
      <c r="Y7" s="201">
        <f>'47MoonPos'!Y18</f>
        <v>318.04586823962745</v>
      </c>
      <c r="Z7" s="201">
        <f>'47MoonPos'!Z18</f>
        <v>9.2834708813461475</v>
      </c>
      <c r="AA7" s="201">
        <f>'47MoonPos'!AA18</f>
        <v>291.75481754280048</v>
      </c>
      <c r="AB7" s="201">
        <f>'47MoonPos'!AB18</f>
        <v>349.31339723124984</v>
      </c>
      <c r="AC7" s="201">
        <f>'47MoonPos'!AC18</f>
        <v>163.55306855976232</v>
      </c>
      <c r="AD7" s="201">
        <f>'47MoonPos'!AD18</f>
        <v>65.065324206356308</v>
      </c>
      <c r="AE7" s="201">
        <f>'47MoonPos'!AE18</f>
        <v>356.46083768940298</v>
      </c>
      <c r="AF7" s="201">
        <f>'47MoonPos'!AF18</f>
        <v>305.91108246091608</v>
      </c>
      <c r="AG7" s="201">
        <f>'47MoonPos'!AG18</f>
        <v>196.94014218249504</v>
      </c>
      <c r="AH7" s="201">
        <f>'47MoonPos'!AH18</f>
        <v>180.01666156024294</v>
      </c>
      <c r="AI7" s="201">
        <f>'47MoonPos'!AI18</f>
        <v>339.74406337054097</v>
      </c>
      <c r="AJ7" s="201">
        <f>'47MoonPos'!AJ18</f>
        <v>115.08996649354958</v>
      </c>
      <c r="AK7" s="201">
        <f>'47MoonPos'!AK18</f>
        <v>283.89194246788975</v>
      </c>
      <c r="AL7" s="201">
        <f>'47MoonPos'!AL18</f>
        <v>5.1153035149109201</v>
      </c>
      <c r="AM7" s="201">
        <f>'47MoonPos'!AM18</f>
        <v>24.559457900933921</v>
      </c>
      <c r="AN7" s="201">
        <f>'47MoonPos'!AN18</f>
        <v>22.066732512177623</v>
      </c>
      <c r="AO7" s="201">
        <f>'47MoonPos'!AO18</f>
        <v>233.43414127454162</v>
      </c>
      <c r="AP7" s="201">
        <f>'47MoonPos'!AP18</f>
        <v>358.60509269076283</v>
      </c>
      <c r="AQ7" s="201">
        <f>'47MoonPos'!AQ18</f>
        <v>84.617600165336626</v>
      </c>
      <c r="AR7" s="201">
        <f>'47MoonPos'!AR18</f>
        <v>168.76763208732882</v>
      </c>
      <c r="AS7" s="201">
        <f>'47MoonPos'!AS18</f>
        <v>263.93166717726854</v>
      </c>
      <c r="AT7" s="201">
        <f>'47MoonPos'!AT18</f>
        <v>82.602333540737163</v>
      </c>
      <c r="AU7" s="201">
        <f>'47MoonPos'!AU18</f>
        <v>359.5807836856693</v>
      </c>
      <c r="AV7" s="201">
        <f>'47MoonPos'!AV18</f>
        <v>345.23657105018538</v>
      </c>
      <c r="AW7" s="201">
        <f>'47MoonPos'!AW18</f>
        <v>359.9422937129857</v>
      </c>
      <c r="AX7" s="201">
        <f>'47MoonPos'!AX18</f>
        <v>183.87754031168879</v>
      </c>
      <c r="AY7" s="201">
        <f>'47MoonPos'!AY18</f>
        <v>88.324806265824009</v>
      </c>
      <c r="AZ7" s="201">
        <f>'47MoonPos'!AZ18</f>
        <v>100.51555535661464</v>
      </c>
      <c r="BA7" s="201">
        <f>'47MoonPos'!BA18</f>
        <v>112.70630444740527</v>
      </c>
      <c r="BB7" s="201">
        <f>'47MoonPos'!BB18</f>
        <v>124.89705353819591</v>
      </c>
      <c r="BC7" s="201">
        <f>'47MoonPos'!BC18</f>
        <v>137.08780262898654</v>
      </c>
      <c r="BD7" s="201">
        <f>'47MoonPos'!BD18</f>
        <v>149.27855171974807</v>
      </c>
      <c r="BE7" s="201">
        <f>'47MoonPos'!BE18</f>
        <v>161.46930081055325</v>
      </c>
      <c r="BF7" s="201">
        <f>'47MoonPos'!BF18</f>
        <v>173.66004990131478</v>
      </c>
      <c r="BG7" s="201">
        <f>'47MoonPos'!BG18</f>
        <v>354.61811565356038</v>
      </c>
    </row>
    <row r="8" spans="1:59" x14ac:dyDescent="0.25">
      <c r="A8" s="7">
        <v>47.3</v>
      </c>
      <c r="B8" s="7"/>
      <c r="C8" s="242" t="s">
        <v>174</v>
      </c>
      <c r="D8" s="234" t="s">
        <v>5</v>
      </c>
      <c r="E8" s="201">
        <f>'47MoonPos'!E23</f>
        <v>271.00787076402594</v>
      </c>
      <c r="F8" s="201">
        <f>'47MoonPos'!F23</f>
        <v>52.49550381640438</v>
      </c>
      <c r="G8" s="201">
        <f>'47MoonPos'!G23</f>
        <v>357.52910919999999</v>
      </c>
      <c r="H8" s="201">
        <f>'47MoonPos'!H23</f>
        <v>357.29220620518151</v>
      </c>
      <c r="I8" s="201">
        <f>'47MoonPos'!I23</f>
        <v>23.031776070199157</v>
      </c>
      <c r="J8" s="201">
        <f>'47MoonPos'!J23</f>
        <v>164.46541665493896</v>
      </c>
      <c r="K8" s="201">
        <f>'47MoonPos'!K23</f>
        <v>22.775879290364628</v>
      </c>
      <c r="L8" s="201">
        <f>'47MoonPos'!L23</f>
        <v>165.19512014576094</v>
      </c>
      <c r="M8" s="201">
        <f>'47MoonPos'!M23</f>
        <v>358.9714762115982</v>
      </c>
      <c r="N8" s="201">
        <f>'47MoonPos'!N23</f>
        <v>3.7894861753156874</v>
      </c>
      <c r="O8" s="201">
        <f>'47MoonPos'!O23</f>
        <v>3.5336012974439654</v>
      </c>
      <c r="P8" s="201">
        <f>'47MoonPos'!P23</f>
        <v>119.48270911106374</v>
      </c>
      <c r="Q8" s="201">
        <f>'47MoonPos'!Q23</f>
        <v>29.43958738038782</v>
      </c>
      <c r="R8" s="201">
        <f>'47MoonPos'!R23</f>
        <v>30.425187842221931</v>
      </c>
      <c r="S8" s="201">
        <f>'47MoonPos'!S23</f>
        <v>228.9147503443528</v>
      </c>
      <c r="T8" s="201">
        <f>'47MoonPos'!T23</f>
        <v>96.351478110533208</v>
      </c>
      <c r="U8" s="201">
        <f>'47MoonPos'!U23</f>
        <v>264.06081332312897</v>
      </c>
      <c r="V8" s="201">
        <f>'47MoonPos'!V23</f>
        <v>73.382065530866385</v>
      </c>
      <c r="W8" s="201">
        <f>'47MoonPos'!W23</f>
        <v>94.980596716686705</v>
      </c>
      <c r="X8" s="201">
        <f>'47MoonPos'!X23</f>
        <v>97.64351360962246</v>
      </c>
      <c r="Y8" s="201">
        <f>'47MoonPos'!Y23</f>
        <v>42.345947003534093</v>
      </c>
      <c r="Z8" s="201">
        <f>'47MoonPos'!Z23</f>
        <v>356.61840732349265</v>
      </c>
      <c r="AA8" s="201">
        <f>'47MoonPos'!AA23</f>
        <v>357.03630905912519</v>
      </c>
      <c r="AB8" s="201">
        <f>'47MoonPos'!AB23</f>
        <v>175.37399428797289</v>
      </c>
      <c r="AC8" s="201">
        <f>'47MoonPos'!AC23</f>
        <v>310.1733276569521</v>
      </c>
      <c r="AD8" s="201">
        <f>'47MoonPos'!AD23</f>
        <v>107.537503606266</v>
      </c>
      <c r="AE8" s="201">
        <f>'47MoonPos'!AE23</f>
        <v>45.451728638320674</v>
      </c>
      <c r="AF8" s="201">
        <f>'47MoonPos'!AF23</f>
        <v>346.01478476685543</v>
      </c>
      <c r="AG8" s="201">
        <f>'47MoonPos'!AG23</f>
        <v>278.99396556713828</v>
      </c>
      <c r="AH8" s="201">
        <f>'47MoonPos'!AH23</f>
        <v>55.518598371668759</v>
      </c>
      <c r="AI8" s="201">
        <f>'47MoonPos'!AI23</f>
        <v>86.801910503219915</v>
      </c>
      <c r="AJ8" s="201">
        <f>'47MoonPos'!AJ23</f>
        <v>116.11402203385569</v>
      </c>
      <c r="AK8" s="201">
        <f>'47MoonPos'!AK23</f>
        <v>0.24267102826706832</v>
      </c>
      <c r="AL8" s="201">
        <f>'47MoonPos'!AL23</f>
        <v>255.85135260478955</v>
      </c>
      <c r="AM8" s="201">
        <f>'47MoonPos'!AM23</f>
        <v>216.57731013023295</v>
      </c>
      <c r="AN8" s="201">
        <f>'47MoonPos'!AN23</f>
        <v>91.653936106025924</v>
      </c>
      <c r="AO8" s="201">
        <f>'47MoonPos'!AO23</f>
        <v>31.482496240525506</v>
      </c>
      <c r="AP8" s="201">
        <f>'47MoonPos'!AP23</f>
        <v>261.04626731777898</v>
      </c>
      <c r="AQ8" s="201">
        <f>'47MoonPos'!AQ23</f>
        <v>268.00022484768851</v>
      </c>
      <c r="AR8" s="201">
        <f>'47MoonPos'!AR23</f>
        <v>274.8036045573117</v>
      </c>
      <c r="AS8" s="201">
        <f>'47MoonPos'!AS23</f>
        <v>282.4974467416705</v>
      </c>
      <c r="AT8" s="201">
        <f>'47MoonPos'!AT23</f>
        <v>296.9426508429442</v>
      </c>
      <c r="AU8" s="201">
        <f>'47MoonPos'!AU23</f>
        <v>146.85756241423951</v>
      </c>
      <c r="AV8" s="201">
        <f>'47MoonPos'!AV23</f>
        <v>237.30486892488636</v>
      </c>
      <c r="AW8" s="201">
        <f>'47MoonPos'!AW23</f>
        <v>1.842356284854759</v>
      </c>
      <c r="AX8" s="201">
        <f>'47MoonPos'!AX23</f>
        <v>100.68628545734282</v>
      </c>
      <c r="AY8" s="201">
        <f>'47MoonPos'!AY23</f>
        <v>326.51065923771966</v>
      </c>
      <c r="AZ8" s="201">
        <f>'47MoonPos'!AZ23</f>
        <v>327.49625951754024</v>
      </c>
      <c r="BA8" s="201">
        <f>'47MoonPos'!BA23</f>
        <v>328.48185979736445</v>
      </c>
      <c r="BB8" s="201">
        <f>'47MoonPos'!BB23</f>
        <v>329.46746007718502</v>
      </c>
      <c r="BC8" s="201">
        <f>'47MoonPos'!BC23</f>
        <v>330.45306035700742</v>
      </c>
      <c r="BD8" s="201">
        <f>'47MoonPos'!BD23</f>
        <v>331.43866063682981</v>
      </c>
      <c r="BE8" s="201">
        <f>'47MoonPos'!BE23</f>
        <v>332.4242609166522</v>
      </c>
      <c r="BF8" s="201">
        <f>'47MoonPos'!BF23</f>
        <v>333.40986119647096</v>
      </c>
      <c r="BG8" s="201">
        <f>'47MoonPos'!BG23</f>
        <v>45.302747854554582</v>
      </c>
    </row>
    <row r="9" spans="1:59" x14ac:dyDescent="0.25">
      <c r="A9" s="7">
        <v>47.4</v>
      </c>
      <c r="B9" s="7"/>
      <c r="C9" s="242" t="s">
        <v>129</v>
      </c>
      <c r="D9" s="234" t="s">
        <v>6</v>
      </c>
      <c r="E9" s="201">
        <f>'47MoonPos'!E28</f>
        <v>159.23887449351605</v>
      </c>
      <c r="F9" s="201">
        <f>'47MoonPos'!F28</f>
        <v>311.53267276473343</v>
      </c>
      <c r="G9" s="201">
        <f>'47MoonPos'!G28</f>
        <v>134.96339639999999</v>
      </c>
      <c r="H9" s="201">
        <f>'47MoonPos'!H28</f>
        <v>39.708473982776013</v>
      </c>
      <c r="I9" s="201">
        <f>'47MoonPos'!I28</f>
        <v>355.53433525294531</v>
      </c>
      <c r="J9" s="201">
        <f>'47MoonPos'!J28</f>
        <v>70.360814861298422</v>
      </c>
      <c r="K9" s="201">
        <f>'47MoonPos'!K28</f>
        <v>84.256740361081029</v>
      </c>
      <c r="L9" s="201">
        <f>'47MoonPos'!L28</f>
        <v>172.14821355039749</v>
      </c>
      <c r="M9" s="201">
        <f>'47MoonPos'!M28</f>
        <v>302.63726533536101</v>
      </c>
      <c r="N9" s="201">
        <f>'47MoonPos'!N28</f>
        <v>92.29477880243212</v>
      </c>
      <c r="O9" s="201">
        <f>'47MoonPos'!O28</f>
        <v>181.01651470921934</v>
      </c>
      <c r="P9" s="201">
        <f>'47MoonPos'!P28</f>
        <v>103.7571789259091</v>
      </c>
      <c r="Q9" s="201">
        <f>'47MoonPos'!Q28</f>
        <v>215.56000832468271</v>
      </c>
      <c r="R9" s="201">
        <f>'47MoonPos'!R28</f>
        <v>228.62499172054231</v>
      </c>
      <c r="S9" s="201">
        <f>'47MoonPos'!S28</f>
        <v>107.7489040568471</v>
      </c>
      <c r="T9" s="201">
        <f>'47MoonPos'!T28</f>
        <v>150.50911374203861</v>
      </c>
      <c r="U9" s="201">
        <f>'47MoonPos'!U28</f>
        <v>121.53154463879764</v>
      </c>
      <c r="V9" s="201">
        <f>'47MoonPos'!V28</f>
        <v>310.48390570655465</v>
      </c>
      <c r="W9" s="201">
        <f>'47MoonPos'!W28</f>
        <v>229.2788161349963</v>
      </c>
      <c r="X9" s="201">
        <f>'47MoonPos'!X28</f>
        <v>5.1508325229588081</v>
      </c>
      <c r="Y9" s="201">
        <f>'47MoonPos'!Y28</f>
        <v>50.415258410823299</v>
      </c>
      <c r="Z9" s="201">
        <f>'47MoonPos'!Z28</f>
        <v>215.93429579414078</v>
      </c>
      <c r="AA9" s="201">
        <f>'47MoonPos'!AA28</f>
        <v>128.43089992490923</v>
      </c>
      <c r="AB9" s="201">
        <f>'47MoonPos'!AB28</f>
        <v>55.184883808309678</v>
      </c>
      <c r="AC9" s="201">
        <f>'47MoonPos'!AC28</f>
        <v>92.81570062400715</v>
      </c>
      <c r="AD9" s="201">
        <f>'47MoonPos'!AD28</f>
        <v>127.84612921589724</v>
      </c>
      <c r="AE9" s="201">
        <f>'47MoonPos'!AE28</f>
        <v>91.585107380655245</v>
      </c>
      <c r="AF9" s="201">
        <f>'47MoonPos'!AF28</f>
        <v>57.529047072792309</v>
      </c>
      <c r="AG9" s="201">
        <f>'47MoonPos'!AG28</f>
        <v>249.10952877897944</v>
      </c>
      <c r="AH9" s="201">
        <f>'47MoonPos'!AH28</f>
        <v>74.633725015526579</v>
      </c>
      <c r="AI9" s="201">
        <f>'47MoonPos'!AI28</f>
        <v>221.43591047821974</v>
      </c>
      <c r="AJ9" s="201">
        <f>'47MoonPos'!AJ28</f>
        <v>342.10811216900765</v>
      </c>
      <c r="AK9" s="201">
        <f>'47MoonPos'!AK28</f>
        <v>326.11839624634013</v>
      </c>
      <c r="AL9" s="201">
        <f>'47MoonPos'!AL28</f>
        <v>118.10487411002396</v>
      </c>
      <c r="AM9" s="201">
        <f>'47MoonPos'!AM28</f>
        <v>306.77126701455563</v>
      </c>
      <c r="AN9" s="201">
        <f>'47MoonPos'!AN28</f>
        <v>302.67022320240858</v>
      </c>
      <c r="AO9" s="201">
        <f>'47MoonPos'!AO28</f>
        <v>52.210569512099028</v>
      </c>
      <c r="AP9" s="201">
        <f>'47MoonPos'!AP28</f>
        <v>254.63462562383211</v>
      </c>
      <c r="AQ9" s="201">
        <f>'47MoonPos'!AQ28</f>
        <v>346.81540998458513</v>
      </c>
      <c r="AR9" s="201">
        <f>'47MoonPos'!AR28</f>
        <v>77.000153743123519</v>
      </c>
      <c r="AS9" s="201">
        <f>'47MoonPos'!AS28</f>
        <v>178.98875581099128</v>
      </c>
      <c r="AT9" s="201">
        <f>'47MoonPos'!AT28</f>
        <v>10.472560338384937</v>
      </c>
      <c r="AU9" s="201">
        <f>'47MoonPos'!AU28</f>
        <v>347.34997121147171</v>
      </c>
      <c r="AV9" s="201">
        <f>'47MoonPos'!AV28</f>
        <v>157.05691112927161</v>
      </c>
      <c r="AW9" s="201">
        <f>'47MoonPos'!AW28</f>
        <v>324.69692951266188</v>
      </c>
      <c r="AX9" s="201">
        <f>'47MoonPos'!AX28</f>
        <v>61.477477870648727</v>
      </c>
      <c r="AY9" s="201">
        <f>'47MoonPos'!AY28</f>
        <v>42.422352130291983</v>
      </c>
      <c r="AZ9" s="201">
        <f>'47MoonPos'!AZ28</f>
        <v>55.487345190224005</v>
      </c>
      <c r="BA9" s="201">
        <f>'47MoonPos'!BA28</f>
        <v>68.552338250170578</v>
      </c>
      <c r="BB9" s="201">
        <f>'47MoonPos'!BB28</f>
        <v>81.617331310117152</v>
      </c>
      <c r="BC9" s="201">
        <f>'47MoonPos'!BC28</f>
        <v>94.682324370107381</v>
      </c>
      <c r="BD9" s="201">
        <f>'47MoonPos'!BD28</f>
        <v>107.74731743009761</v>
      </c>
      <c r="BE9" s="201">
        <f>'47MoonPos'!BE28</f>
        <v>120.81231049008784</v>
      </c>
      <c r="BF9" s="201">
        <f>'47MoonPos'!BF28</f>
        <v>133.87730355010717</v>
      </c>
      <c r="BG9" s="201">
        <f>'47MoonPos'!BG28</f>
        <v>89.610236933120177</v>
      </c>
    </row>
    <row r="10" spans="1:59" x14ac:dyDescent="0.25">
      <c r="A10" s="7">
        <v>25</v>
      </c>
      <c r="B10" s="7"/>
      <c r="C10" s="242" t="s">
        <v>836</v>
      </c>
      <c r="D10" s="234" t="s">
        <v>361</v>
      </c>
      <c r="E10" s="201">
        <f>'25SolarCoords'!E54</f>
        <v>-4.4705505926618061</v>
      </c>
      <c r="F10" s="201">
        <f>'25SolarCoords'!F54</f>
        <v>-18.300135432159713</v>
      </c>
      <c r="G10" s="201">
        <f>'25SolarCoords'!G54</f>
        <v>-23.030943068651396</v>
      </c>
      <c r="H10" s="201">
        <f>'25SolarCoords'!H54</f>
        <v>-23.049885651212975</v>
      </c>
      <c r="I10" s="201">
        <f>'25SolarCoords'!I54</f>
        <v>-18.652271770268513</v>
      </c>
      <c r="J10" s="201">
        <f>'25SolarCoords'!J54</f>
        <v>23.425545120977883</v>
      </c>
      <c r="K10" s="201">
        <f>'25SolarCoords'!K54</f>
        <v>-18.713390909598086</v>
      </c>
      <c r="L10" s="201">
        <f>'25SolarCoords'!L54</f>
        <v>23.436054399741003</v>
      </c>
      <c r="M10" s="201">
        <f>'25SolarCoords'!M54</f>
        <v>-23.062485313079566</v>
      </c>
      <c r="N10" s="201">
        <f>'25SolarCoords'!N54</f>
        <v>-23.117037619597831</v>
      </c>
      <c r="O10" s="201">
        <f>'25SolarCoords'!O54</f>
        <v>-23.133704547856645</v>
      </c>
      <c r="P10" s="201">
        <f>'25SolarCoords'!P54</f>
        <v>9.4346780148548355</v>
      </c>
      <c r="Q10" s="201">
        <f>'25SolarCoords'!Q54</f>
        <v>-23.512160918700904</v>
      </c>
      <c r="R10" s="201">
        <f>'25SolarCoords'!R54</f>
        <v>-23.452927523175649</v>
      </c>
      <c r="S10" s="201">
        <f>'25SolarCoords'!S54</f>
        <v>23.494937497338029</v>
      </c>
      <c r="T10" s="201">
        <f>'25SolarCoords'!T54</f>
        <v>-11.604297636520439</v>
      </c>
      <c r="U10" s="201">
        <f>'25SolarCoords'!U54</f>
        <v>16.949794188318993</v>
      </c>
      <c r="V10" s="201">
        <f>'25SolarCoords'!V54</f>
        <v>-21.74336659395291</v>
      </c>
      <c r="W10" s="201">
        <f>'25SolarCoords'!W54</f>
        <v>7.6689860818817257</v>
      </c>
      <c r="X10" s="269">
        <f>'25SolarCoords'!X54</f>
        <v>8.6966225238421124</v>
      </c>
      <c r="Y10" s="201">
        <f>'25SolarCoords'!Y54</f>
        <v>-12.784515397422142</v>
      </c>
      <c r="Z10" s="201">
        <f>'25SolarCoords'!Z54</f>
        <v>-23.047072183818656</v>
      </c>
      <c r="AA10" s="201">
        <f>'25SolarCoords'!AA54</f>
        <v>-23.069641271410834</v>
      </c>
      <c r="AB10" s="201">
        <f>'25SolarCoords'!AB54</f>
        <v>23.223718484066662</v>
      </c>
      <c r="AC10" s="201">
        <f>'25SolarCoords'!AC54</f>
        <v>-18.072669589796643</v>
      </c>
      <c r="AD10" s="201">
        <f>'25SolarCoords'!AD54</f>
        <v>12.200653833086657</v>
      </c>
      <c r="AE10" s="201">
        <f>'25SolarCoords'!AE54</f>
        <v>-11.689344985171781</v>
      </c>
      <c r="AF10" s="201">
        <f>'25SolarCoords'!AF54</f>
        <v>-23.429069396321033</v>
      </c>
      <c r="AG10" s="201">
        <f>'25SolarCoords'!AG54</f>
        <v>-7.785042847011777</v>
      </c>
      <c r="AH10" s="201">
        <f>'25SolarCoords'!AH54</f>
        <v>-7.8581105707950485</v>
      </c>
      <c r="AI10" s="201">
        <f>'25SolarCoords'!AI54</f>
        <v>4.5562821943857514</v>
      </c>
      <c r="AJ10" s="201">
        <f>'25SolarCoords'!AJ54</f>
        <v>15.014563577961809</v>
      </c>
      <c r="AK10" s="201">
        <f>'25SolarCoords'!AK54</f>
        <v>-23.085234182869801</v>
      </c>
      <c r="AL10" s="201">
        <f>'25SolarCoords'!AL54</f>
        <v>1.2804676037233289</v>
      </c>
      <c r="AM10" s="201">
        <f>'25SolarCoords'!AM54</f>
        <v>21.334826315041038</v>
      </c>
      <c r="AN10" s="201">
        <f>'25SolarCoords'!AN54</f>
        <v>6.4855404305665765</v>
      </c>
      <c r="AO10" s="201">
        <f>'25SolarCoords'!AO54</f>
        <v>-23.205350476281868</v>
      </c>
      <c r="AP10" s="201">
        <f>'25SolarCoords'!AP54</f>
        <v>-0.98691889225084339</v>
      </c>
      <c r="AQ10" s="201">
        <f>'25SolarCoords'!AQ54</f>
        <v>-3.7286722603603097</v>
      </c>
      <c r="AR10" s="201">
        <f>'25SolarCoords'!AR54</f>
        <v>-6.3770607595029674</v>
      </c>
      <c r="AS10" s="201">
        <f>'25SolarCoords'!AS54</f>
        <v>-9.2895336443774728</v>
      </c>
      <c r="AT10" s="201">
        <f>'25SolarCoords'!AT54</f>
        <v>-14.350710636730399</v>
      </c>
      <c r="AU10" s="201">
        <f>'25SolarCoords'!AU54</f>
        <v>22.00657005319443</v>
      </c>
      <c r="AV10" s="201">
        <f>'25SolarCoords'!AV54</f>
        <v>8.3429076773781894</v>
      </c>
      <c r="AW10" s="201">
        <f>'25SolarCoords'!AW54</f>
        <v>-22.742621100225055</v>
      </c>
      <c r="AX10" s="201">
        <f>'25SolarCoords'!AX54</f>
        <v>9.5920891705543898</v>
      </c>
      <c r="AY10" s="201">
        <f>'25SolarCoords'!AY54</f>
        <v>-21.762759366689725</v>
      </c>
      <c r="AZ10" s="201">
        <f>'25SolarCoords'!AZ54</f>
        <v>-21.916538369520513</v>
      </c>
      <c r="BA10" s="201">
        <f>'25SolarCoords'!BA54</f>
        <v>-22.063302466939369</v>
      </c>
      <c r="BB10" s="201">
        <f>'25SolarCoords'!BB54</f>
        <v>-22.202977132546206</v>
      </c>
      <c r="BC10" s="201">
        <f>'25SolarCoords'!BC54</f>
        <v>-22.335491917899041</v>
      </c>
      <c r="BD10" s="201">
        <f>'25SolarCoords'!BD54</f>
        <v>-22.46078007799662</v>
      </c>
      <c r="BE10" s="201">
        <f>'25SolarCoords'!BE54</f>
        <v>-22.578778169421494</v>
      </c>
      <c r="BF10" s="201">
        <f>'25SolarCoords'!BF54</f>
        <v>-22.689425712441828</v>
      </c>
      <c r="BG10" s="201">
        <f>'25SolarCoords'!BG54</f>
        <v>-11.742605308734428</v>
      </c>
    </row>
    <row r="11" spans="1:59" x14ac:dyDescent="0.25">
      <c r="A11" s="7">
        <v>25</v>
      </c>
      <c r="C11" s="242" t="s">
        <v>835</v>
      </c>
      <c r="D11" s="234" t="s">
        <v>819</v>
      </c>
      <c r="E11" s="201">
        <f>'25SolarCoords'!E48</f>
        <v>190.38831168149184</v>
      </c>
      <c r="F11" s="201">
        <f>'25SolarCoords'!F48</f>
        <v>310.98221317188575</v>
      </c>
      <c r="G11" s="201">
        <f>'25SolarCoords'!G48</f>
        <v>281.28222263200234</v>
      </c>
      <c r="H11" s="201">
        <f>'25SolarCoords'!H48</f>
        <v>280.99927940227485</v>
      </c>
      <c r="I11" s="201">
        <f>'25SolarCoords'!I48</f>
        <v>308.89195092069309</v>
      </c>
      <c r="J11" s="201">
        <f>'25SolarCoords'!J48</f>
        <v>87.475509816020704</v>
      </c>
      <c r="K11" s="201">
        <f>'25SolarCoords'!K48</f>
        <v>308.64134546903045</v>
      </c>
      <c r="L11" s="201">
        <f>'25SolarCoords'!L48</f>
        <v>88.266040935650523</v>
      </c>
      <c r="M11" s="201">
        <f>'25SolarCoords'!M48</f>
        <v>281.04620781993287</v>
      </c>
      <c r="N11" s="201">
        <f>'25SolarCoords'!N48</f>
        <v>280.86741348237126</v>
      </c>
      <c r="O11" s="201">
        <f>'25SolarCoords'!O48</f>
        <v>280.59949222086397</v>
      </c>
      <c r="P11" s="201">
        <f>'25SolarCoords'!P48</f>
        <v>22.364542082145107</v>
      </c>
      <c r="Q11" s="201">
        <f>'25SolarCoords'!Q48</f>
        <v>277.79040583658889</v>
      </c>
      <c r="R11" s="201">
        <f>'25SolarCoords'!R48</f>
        <v>278.89570534187044</v>
      </c>
      <c r="S11" s="201">
        <f>'25SolarCoords'!S48</f>
        <v>99.892484053290261</v>
      </c>
      <c r="T11" s="201">
        <f>'25SolarCoords'!T48</f>
        <v>332.26688209981825</v>
      </c>
      <c r="U11" s="201">
        <f>'25SolarCoords'!U48</f>
        <v>136.31765191314167</v>
      </c>
      <c r="V11" s="201">
        <f>'25SolarCoords'!V48</f>
        <v>242.73821438375785</v>
      </c>
      <c r="W11" s="201">
        <f>'25SolarCoords'!W48</f>
        <v>18.088284070957258</v>
      </c>
      <c r="X11" s="269">
        <f>'25SolarCoords'!X48</f>
        <v>20.657596753067835</v>
      </c>
      <c r="Y11" s="201">
        <f>'25SolarCoords'!Y48</f>
        <v>328.43859533754585</v>
      </c>
      <c r="Z11" s="201">
        <f>'25SolarCoords'!Z48</f>
        <v>281.08680700733896</v>
      </c>
      <c r="AA11" s="201">
        <f>'25SolarCoords'!AA48</f>
        <v>280.7299826618584</v>
      </c>
      <c r="AB11" s="201">
        <f>'25SolarCoords'!AB48</f>
        <v>98.361032532336395</v>
      </c>
      <c r="AC11" s="201">
        <f>'25SolarCoords'!AC48</f>
        <v>228.82972052405214</v>
      </c>
      <c r="AD11" s="201">
        <f>'25SolarCoords'!AD48</f>
        <v>29.904658731142209</v>
      </c>
      <c r="AE11" s="201">
        <f>'25SolarCoords'!AE48</f>
        <v>331.49439451781808</v>
      </c>
      <c r="AF11" s="201">
        <f>'25SolarCoords'!AF48</f>
        <v>268.21029020199194</v>
      </c>
      <c r="AG11" s="201">
        <f>'25SolarCoords'!AG48</f>
        <v>198.3808363047203</v>
      </c>
      <c r="AH11" s="201">
        <f>'25SolarCoords'!AH48</f>
        <v>359.87257821105368</v>
      </c>
      <c r="AI11" s="201">
        <f>'25SolarCoords'!AI48</f>
        <v>10.59075198158849</v>
      </c>
      <c r="AJ11" s="201">
        <f>'25SolarCoords'!AJ48</f>
        <v>38.219309703306166</v>
      </c>
      <c r="AK11" s="201">
        <f>'25SolarCoords'!AK48</f>
        <v>280.93659597638441</v>
      </c>
      <c r="AL11" s="201">
        <f>'25SolarCoords'!AL48</f>
        <v>177.04537899083999</v>
      </c>
      <c r="AM11" s="201">
        <f>'25SolarCoords'!AM48</f>
        <v>116.69381858752637</v>
      </c>
      <c r="AN11" s="201">
        <f>'25SolarCoords'!AN48</f>
        <v>15.202775479407311</v>
      </c>
      <c r="AO11" s="201">
        <f>'25SolarCoords'!AO48</f>
        <v>282.34748179299567</v>
      </c>
      <c r="AP11" s="201">
        <f>'25SolarCoords'!AP48</f>
        <v>182.27708553300695</v>
      </c>
      <c r="AQ11" s="201">
        <f>'25SolarCoords'!AQ48</f>
        <v>188.64487292695313</v>
      </c>
      <c r="AR11" s="201">
        <f>'25SolarCoords'!AR48</f>
        <v>194.93793326896935</v>
      </c>
      <c r="AS11" s="201">
        <f>'25SolarCoords'!AS48</f>
        <v>202.16411520819989</v>
      </c>
      <c r="AT11" s="201">
        <f>'25SolarCoords'!AT48</f>
        <v>216.16256401425218</v>
      </c>
      <c r="AU11" s="201">
        <f>'25SolarCoords'!AU48</f>
        <v>68.751614709287537</v>
      </c>
      <c r="AV11" s="201">
        <f>'25SolarCoords'!AV48</f>
        <v>160.22517142786506</v>
      </c>
      <c r="AW11" s="201">
        <f>'25SolarCoords'!AW48</f>
        <v>284.9063845817434</v>
      </c>
      <c r="AX11" s="201">
        <f>'25SolarCoords'!AX48</f>
        <v>22.938669288947029</v>
      </c>
      <c r="AY11" s="201">
        <f>'25SolarCoords'!AY48</f>
        <v>247.0392507229806</v>
      </c>
      <c r="AZ11" s="201">
        <f>'25SolarCoords'!AZ48</f>
        <v>248.1185136585492</v>
      </c>
      <c r="BA11" s="201">
        <f>'25SolarCoords'!BA48</f>
        <v>249.20040595341828</v>
      </c>
      <c r="BB11" s="201">
        <f>'25SolarCoords'!BB48</f>
        <v>250.28483331486765</v>
      </c>
      <c r="BC11" s="201">
        <f>'25SolarCoords'!BC48</f>
        <v>251.37169705355811</v>
      </c>
      <c r="BD11" s="201">
        <f>'25SolarCoords'!BD48</f>
        <v>252.46089431316847</v>
      </c>
      <c r="BE11" s="201">
        <f>'25SolarCoords'!BE48</f>
        <v>253.55231829432469</v>
      </c>
      <c r="BF11" s="201">
        <f>'25SolarCoords'!BF48</f>
        <v>254.64585845996498</v>
      </c>
      <c r="BG11" s="201">
        <f>'25SolarCoords'!BG48</f>
        <v>331.34847517918104</v>
      </c>
    </row>
    <row r="12" spans="1:59" x14ac:dyDescent="0.25">
      <c r="A12" s="7">
        <v>25</v>
      </c>
      <c r="C12" s="242" t="s">
        <v>823</v>
      </c>
      <c r="D12" s="234" t="s">
        <v>195</v>
      </c>
      <c r="E12" s="201">
        <f>'25SolarCoords'!E81</f>
        <v>0.9999305937072811</v>
      </c>
      <c r="F12" s="201">
        <f>'25SolarCoords'!F81</f>
        <v>0.98965534123386001</v>
      </c>
      <c r="G12" s="201">
        <f>'25SolarCoords'!G81</f>
        <v>0.98332758221176864</v>
      </c>
      <c r="H12" s="201">
        <f>'25SolarCoords'!H81</f>
        <v>0.98330212826667085</v>
      </c>
      <c r="I12" s="201">
        <f>'25SolarCoords'!I81</f>
        <v>0.98466545354335833</v>
      </c>
      <c r="J12" s="201">
        <f>'25SolarCoords'!J81</f>
        <v>1.016144108953243</v>
      </c>
      <c r="K12" s="201">
        <f>'25SolarCoords'!K81</f>
        <v>0.9846183681255426</v>
      </c>
      <c r="L12" s="201">
        <f>'25SolarCoords'!L81</f>
        <v>1.0161996071985366</v>
      </c>
      <c r="M12" s="201">
        <f>'25SolarCoords'!M81</f>
        <v>0.98326683334435139</v>
      </c>
      <c r="N12" s="201">
        <f>'25SolarCoords'!N81</f>
        <v>0.98315319696067449</v>
      </c>
      <c r="O12" s="201">
        <f>'25SolarCoords'!O81</f>
        <v>0.98319387911574263</v>
      </c>
      <c r="P12" s="201">
        <f>'25SolarCoords'!P81</f>
        <v>1.0086903527592823</v>
      </c>
      <c r="Q12" s="201">
        <f>'25SolarCoords'!Q81</f>
        <v>0.9848275346133758</v>
      </c>
      <c r="R12" s="201">
        <f>'25SolarCoords'!R81</f>
        <v>0.98497710823764895</v>
      </c>
      <c r="S12" s="201">
        <f>'25SolarCoords'!S81</f>
        <v>1.0119229316756564</v>
      </c>
      <c r="T12" s="201">
        <f>'25SolarCoords'!T81</f>
        <v>1.0022593424897337</v>
      </c>
      <c r="U12" s="201">
        <f>'25SolarCoords'!U81</f>
        <v>1.0022217128221138</v>
      </c>
      <c r="V12" s="201">
        <f>'25SolarCoords'!V81</f>
        <v>0.99487960324873892</v>
      </c>
      <c r="W12" s="201">
        <f>'25SolarCoords'!W81</f>
        <v>1.0016653326775367</v>
      </c>
      <c r="X12" s="200">
        <f>'25SolarCoords'!X81</f>
        <v>1.0024969397769039</v>
      </c>
      <c r="Y12" s="201">
        <f>'25SolarCoords'!Y81</f>
        <v>0.98781896963773963</v>
      </c>
      <c r="Z12" s="201">
        <f>'25SolarCoords'!Z81</f>
        <v>0.98333321066409396</v>
      </c>
      <c r="AA12" s="201">
        <f>'25SolarCoords'!AA81</f>
        <v>0.98333180415607269</v>
      </c>
      <c r="AB12" s="201">
        <f>'25SolarCoords'!AB81</f>
        <v>1.0166708311893458</v>
      </c>
      <c r="AC12" s="201">
        <f>'25SolarCoords'!AC81</f>
        <v>0.98937564201277661</v>
      </c>
      <c r="AD12" s="201">
        <f>'25SolarCoords'!AD81</f>
        <v>1.0052788405469686</v>
      </c>
      <c r="AE12" s="201">
        <f>'25SolarCoords'!AE81</f>
        <v>0.98847045812688494</v>
      </c>
      <c r="AF12" s="201">
        <f>'25SolarCoords'!AF81</f>
        <v>0.98382449625110546</v>
      </c>
      <c r="AG12" s="201">
        <f>'25SolarCoords'!AG81</f>
        <v>0.99760774951494113</v>
      </c>
      <c r="AH12" s="201">
        <f>'25SolarCoords'!AH81</f>
        <v>0.99069328564076442</v>
      </c>
      <c r="AI12" s="201">
        <f>'25SolarCoords'!AI81</f>
        <v>0.99938365815387042</v>
      </c>
      <c r="AJ12" s="201">
        <f>'25SolarCoords'!AJ81</f>
        <v>1.0075807626072024</v>
      </c>
      <c r="AK12" s="201">
        <f>'25SolarCoords'!AK81</f>
        <v>0.98320482230095296</v>
      </c>
      <c r="AL12" s="201">
        <f>'25SolarCoords'!AL81</f>
        <v>1.0043944589102423</v>
      </c>
      <c r="AM12" s="201">
        <f>'25SolarCoords'!AM81</f>
        <v>1.0140071594830045</v>
      </c>
      <c r="AN12" s="201">
        <f>'25SolarCoords'!AN81</f>
        <v>1.0007811496036327</v>
      </c>
      <c r="AO12" s="201">
        <f>'25SolarCoords'!AO81</f>
        <v>0.98515662496233014</v>
      </c>
      <c r="AP12" s="201">
        <f>'25SolarCoords'!AP81</f>
        <v>1.0029304736174134</v>
      </c>
      <c r="AQ12" s="201">
        <f>'25SolarCoords'!AQ81</f>
        <v>1.0008946104048624</v>
      </c>
      <c r="AR12" s="201">
        <f>'25SolarCoords'!AR81</f>
        <v>0.99888154177277078</v>
      </c>
      <c r="AS12" s="201">
        <f>'25SolarCoords'!AS81</f>
        <v>0.99668669149411948</v>
      </c>
      <c r="AT12" s="201">
        <f>'25SolarCoords'!AT81</f>
        <v>0.99269868752488766</v>
      </c>
      <c r="AU12" s="201">
        <f>'25SolarCoords'!AU81</f>
        <v>1.014133675893182</v>
      </c>
      <c r="AV12" s="201">
        <f>'25SolarCoords'!AV81</f>
        <v>1.0092484511657851</v>
      </c>
      <c r="AW12" s="201">
        <f>'25SolarCoords'!AW81</f>
        <v>0.98331547685750409</v>
      </c>
      <c r="AX12" s="201">
        <f>'25SolarCoords'!AX81</f>
        <v>1.0033603818353916</v>
      </c>
      <c r="AY12" s="201">
        <f>'25SolarCoords'!AY81</f>
        <v>0.98619706719364675</v>
      </c>
      <c r="AZ12" s="201">
        <f>'25SolarCoords'!AZ81</f>
        <v>0.98602922010771166</v>
      </c>
      <c r="BA12" s="201">
        <f>'25SolarCoords'!BA81</f>
        <v>0.98586602246105004</v>
      </c>
      <c r="BB12" s="201">
        <f>'25SolarCoords'!BB81</f>
        <v>0.98570781791012396</v>
      </c>
      <c r="BC12" s="201">
        <f>'25SolarCoords'!BC81</f>
        <v>0.98555489224581283</v>
      </c>
      <c r="BD12" s="201">
        <f>'25SolarCoords'!BD81</f>
        <v>0.98540746527119261</v>
      </c>
      <c r="BE12" s="201">
        <f>'25SolarCoords'!BE81</f>
        <v>0.98526568969929706</v>
      </c>
      <c r="BF12" s="201">
        <f>'25SolarCoords'!BF81</f>
        <v>0.98512965585063483</v>
      </c>
      <c r="BG12" s="201">
        <f>'25SolarCoords'!BG81</f>
        <v>0.98843872159817692</v>
      </c>
    </row>
    <row r="13" spans="1:59" x14ac:dyDescent="0.25">
      <c r="A13" s="7"/>
      <c r="C13" s="97" t="s">
        <v>829</v>
      </c>
      <c r="D13" s="7" t="s">
        <v>828</v>
      </c>
      <c r="E13" s="11">
        <f t="shared" ref="E13:AJ13" si="0">E12*AU2Km</f>
        <v>149587487.6573967</v>
      </c>
      <c r="F13" s="11">
        <f t="shared" si="0"/>
        <v>148050331.76656049</v>
      </c>
      <c r="G13" s="11">
        <f t="shared" si="0"/>
        <v>147103712.49060985</v>
      </c>
      <c r="H13" s="11">
        <f t="shared" si="0"/>
        <v>147099904.63462254</v>
      </c>
      <c r="I13" s="11">
        <f t="shared" si="0"/>
        <v>147303855.1930742</v>
      </c>
      <c r="J13" s="11">
        <f t="shared" si="0"/>
        <v>152012995.01460868</v>
      </c>
      <c r="K13" s="11">
        <f t="shared" si="0"/>
        <v>147296811.31482837</v>
      </c>
      <c r="L13" s="11">
        <f t="shared" si="0"/>
        <v>152021297.43393168</v>
      </c>
      <c r="M13" s="11">
        <f t="shared" si="0"/>
        <v>147094624.58939734</v>
      </c>
      <c r="N13" s="11">
        <f t="shared" si="0"/>
        <v>147077624.82836625</v>
      </c>
      <c r="O13" s="11">
        <f t="shared" si="0"/>
        <v>147083710.79213956</v>
      </c>
      <c r="P13" s="11">
        <f t="shared" si="0"/>
        <v>150897928.9593423</v>
      </c>
      <c r="Q13" s="11">
        <f t="shared" si="0"/>
        <v>147328102.17602813</v>
      </c>
      <c r="R13" s="11">
        <f t="shared" si="0"/>
        <v>147350478.07173094</v>
      </c>
      <c r="S13" s="11">
        <f t="shared" si="0"/>
        <v>151381515.88207248</v>
      </c>
      <c r="T13" s="11">
        <f t="shared" si="0"/>
        <v>149935863.51662588</v>
      </c>
      <c r="U13" s="11">
        <f t="shared" si="0"/>
        <v>149930234.19847512</v>
      </c>
      <c r="V13" s="11">
        <f t="shared" si="0"/>
        <v>148831870.23991823</v>
      </c>
      <c r="W13" s="11">
        <f t="shared" si="0"/>
        <v>149847000.91355163</v>
      </c>
      <c r="X13" s="11">
        <f t="shared" si="0"/>
        <v>149971407.56486851</v>
      </c>
      <c r="Y13" s="11">
        <f t="shared" si="0"/>
        <v>147775614.48598343</v>
      </c>
      <c r="Z13" s="11">
        <f t="shared" si="0"/>
        <v>147104554.49509302</v>
      </c>
      <c r="AA13" s="11">
        <f t="shared" si="0"/>
        <v>147104344.08448792</v>
      </c>
      <c r="AB13" s="11">
        <f t="shared" si="0"/>
        <v>152091791.53957525</v>
      </c>
      <c r="AC13" s="11">
        <f t="shared" si="0"/>
        <v>148008489.35865247</v>
      </c>
      <c r="AD13" s="11">
        <f t="shared" si="0"/>
        <v>150387573.99654382</v>
      </c>
      <c r="AE13" s="11">
        <f t="shared" si="0"/>
        <v>147873075.77673927</v>
      </c>
      <c r="AF13" s="11">
        <f t="shared" si="0"/>
        <v>147178049.77281111</v>
      </c>
      <c r="AG13" s="11">
        <f t="shared" si="0"/>
        <v>149239995.11227569</v>
      </c>
      <c r="AH13" s="11">
        <f t="shared" si="0"/>
        <v>148205606.03972903</v>
      </c>
      <c r="AI13" s="11">
        <f t="shared" si="0"/>
        <v>149505667.26320127</v>
      </c>
      <c r="AJ13" s="11">
        <f t="shared" si="0"/>
        <v>150731936.63525146</v>
      </c>
      <c r="AK13" s="11">
        <f t="shared" ref="AK13:BG13" si="1">AK12*AU2Km</f>
        <v>147085347.86934561</v>
      </c>
      <c r="AL13" s="11">
        <f t="shared" si="1"/>
        <v>150255272.38681135</v>
      </c>
      <c r="AM13" s="11">
        <f t="shared" si="1"/>
        <v>151693311.92408672</v>
      </c>
      <c r="AN13" s="11">
        <f t="shared" si="1"/>
        <v>149714729.0083946</v>
      </c>
      <c r="AO13" s="11">
        <f t="shared" si="1"/>
        <v>147377333.39149666</v>
      </c>
      <c r="AP13" s="11">
        <f t="shared" si="1"/>
        <v>150036263.3042812</v>
      </c>
      <c r="AQ13" s="11">
        <f t="shared" si="1"/>
        <v>149731702.50266543</v>
      </c>
      <c r="AR13" s="11">
        <f t="shared" si="1"/>
        <v>149430551.72174969</v>
      </c>
      <c r="AS13" s="11">
        <f t="shared" si="1"/>
        <v>149102206.79357791</v>
      </c>
      <c r="AT13" s="11">
        <f t="shared" si="1"/>
        <v>148505609.89147356</v>
      </c>
      <c r="AU13" s="11">
        <f t="shared" si="1"/>
        <v>151712238.50965676</v>
      </c>
      <c r="AV13" s="11">
        <f t="shared" si="1"/>
        <v>150981419.29259115</v>
      </c>
      <c r="AW13" s="11">
        <f t="shared" si="1"/>
        <v>147101901.55538791</v>
      </c>
      <c r="AX13" s="11">
        <f t="shared" si="1"/>
        <v>150100576.65828329</v>
      </c>
      <c r="AY13" s="11">
        <f t="shared" si="1"/>
        <v>147532981.33387861</v>
      </c>
      <c r="AZ13" s="11">
        <f t="shared" si="1"/>
        <v>147507871.76722103</v>
      </c>
      <c r="BA13" s="11">
        <f t="shared" si="1"/>
        <v>147483457.74677867</v>
      </c>
      <c r="BB13" s="11">
        <f t="shared" si="1"/>
        <v>147459790.68282652</v>
      </c>
      <c r="BC13" s="11">
        <f t="shared" si="1"/>
        <v>147436913.32907155</v>
      </c>
      <c r="BD13" s="11">
        <f t="shared" si="1"/>
        <v>147414858.56758595</v>
      </c>
      <c r="BE13" s="11">
        <f t="shared" si="1"/>
        <v>147393649.2439144</v>
      </c>
      <c r="BF13" s="11">
        <f t="shared" si="1"/>
        <v>147373298.86981261</v>
      </c>
      <c r="BG13" s="11">
        <f t="shared" si="1"/>
        <v>147868328.05962142</v>
      </c>
    </row>
    <row r="14" spans="1:59" x14ac:dyDescent="0.25">
      <c r="A14" s="7"/>
      <c r="C14" s="97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247">
        <v>1.0024976999999999</v>
      </c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</row>
    <row r="15" spans="1:59" x14ac:dyDescent="0.25">
      <c r="C15" t="s">
        <v>832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42" t="s">
        <v>365</v>
      </c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</row>
    <row r="16" spans="1:59" x14ac:dyDescent="0.25">
      <c r="A16">
        <v>48.2</v>
      </c>
      <c r="B16">
        <v>345</v>
      </c>
      <c r="C16" t="s">
        <v>615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42" t="s">
        <v>366</v>
      </c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</row>
    <row r="17" spans="1:59" x14ac:dyDescent="0.25">
      <c r="C17" t="s">
        <v>616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</row>
    <row r="18" spans="1:59" x14ac:dyDescent="0.25">
      <c r="C18" t="s">
        <v>882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</row>
    <row r="19" spans="1:59" x14ac:dyDescent="0.25">
      <c r="C19" t="s">
        <v>883</v>
      </c>
      <c r="D19" s="7" t="s">
        <v>884</v>
      </c>
      <c r="E19" s="11">
        <f t="shared" ref="E19:AJ19" si="2">ACOS(SIN(E10*Deg2Rad)*SIN(E6*Deg2Rad)+COS(E10*Deg2Rad)*COS(E6*Deg2Rad)*COS((E11-E5)*Deg2Rad))*Rad2Deg</f>
        <v>135.08860618200001</v>
      </c>
      <c r="F19" s="11">
        <f t="shared" si="2"/>
        <v>69.433606686438097</v>
      </c>
      <c r="G19" s="11">
        <f t="shared" si="2"/>
        <v>57.208548988764413</v>
      </c>
      <c r="H19" s="11">
        <f t="shared" si="2"/>
        <v>164.24281344730986</v>
      </c>
      <c r="I19" s="11">
        <f t="shared" si="2"/>
        <v>36.609849211120277</v>
      </c>
      <c r="J19" s="11">
        <f t="shared" si="2"/>
        <v>77.145111238513294</v>
      </c>
      <c r="K19" s="11">
        <f t="shared" si="2"/>
        <v>103.04730040056899</v>
      </c>
      <c r="L19" s="11">
        <f t="shared" si="2"/>
        <v>58.122983355517938</v>
      </c>
      <c r="M19" s="11">
        <f t="shared" si="2"/>
        <v>7.8147793657761433</v>
      </c>
      <c r="N19" s="11">
        <f t="shared" si="2"/>
        <v>175.00978217042956</v>
      </c>
      <c r="O19" s="11">
        <f t="shared" si="2"/>
        <v>50.174655820313291</v>
      </c>
      <c r="P19" s="11">
        <f t="shared" si="2"/>
        <v>17.080071264220937</v>
      </c>
      <c r="Q19" s="11">
        <f t="shared" si="2"/>
        <v>69.730937051902075</v>
      </c>
      <c r="R19" s="11">
        <f t="shared" si="2"/>
        <v>80.704690494023907</v>
      </c>
      <c r="S19" s="11">
        <f t="shared" si="2"/>
        <v>82.680478850529113</v>
      </c>
      <c r="T19" s="11">
        <f t="shared" si="2"/>
        <v>125.10138967878596</v>
      </c>
      <c r="U19" s="11">
        <f t="shared" si="2"/>
        <v>22.844551417182387</v>
      </c>
      <c r="V19" s="11">
        <f t="shared" si="2"/>
        <v>127.40119626120752</v>
      </c>
      <c r="W19" s="11">
        <f t="shared" si="2"/>
        <v>130.58116084394084</v>
      </c>
      <c r="X19" s="11">
        <f t="shared" si="2"/>
        <v>110.79308891926945</v>
      </c>
      <c r="Y19" s="11">
        <f t="shared" si="2"/>
        <v>40.225835240948662</v>
      </c>
      <c r="Z19" s="11">
        <f t="shared" si="2"/>
        <v>7.9595276428793991</v>
      </c>
      <c r="AA19" s="11">
        <f t="shared" si="2"/>
        <v>62.702112795971438</v>
      </c>
      <c r="AB19" s="11">
        <f t="shared" si="2"/>
        <v>6.9639678045953364</v>
      </c>
      <c r="AC19" s="11">
        <f t="shared" si="2"/>
        <v>169.33412776862852</v>
      </c>
      <c r="AD19" s="11">
        <f t="shared" si="2"/>
        <v>68.405098254867212</v>
      </c>
      <c r="AE19" s="11">
        <f t="shared" si="2"/>
        <v>4.2386268930412356</v>
      </c>
      <c r="AF19" s="11">
        <f t="shared" si="2"/>
        <v>48.983995330441552</v>
      </c>
      <c r="AG19" s="11">
        <f t="shared" si="2"/>
        <v>165.1249888565581</v>
      </c>
      <c r="AH19" s="11">
        <f t="shared" si="2"/>
        <v>162.43073869206742</v>
      </c>
      <c r="AI19" s="11">
        <f t="shared" si="2"/>
        <v>25.929303263376347</v>
      </c>
      <c r="AJ19" s="11">
        <f t="shared" si="2"/>
        <v>109.27380638379685</v>
      </c>
      <c r="AK19" s="11">
        <f t="shared" ref="AK19:BG19" si="3">ACOS(SIN(AK10*Deg2Rad)*SIN(AK6*Deg2Rad)+COS(AK10*Deg2Rad)*COS(AK6*Deg2Rad)*COS((AK11-AK5)*Deg2Rad))*Rad2Deg</f>
        <v>81.252483905174245</v>
      </c>
      <c r="AL19" s="11">
        <f t="shared" si="3"/>
        <v>12.233949601512487</v>
      </c>
      <c r="AM19" s="11">
        <f t="shared" si="3"/>
        <v>22.293243028615667</v>
      </c>
      <c r="AN19" s="11">
        <f t="shared" si="3"/>
        <v>16.890960309345655</v>
      </c>
      <c r="AO19" s="11">
        <f t="shared" si="3"/>
        <v>120.79588094610338</v>
      </c>
      <c r="AP19" s="11">
        <f t="shared" si="3"/>
        <v>5.4371285860764198</v>
      </c>
      <c r="AQ19" s="11">
        <f t="shared" si="3"/>
        <v>85.064901438326771</v>
      </c>
      <c r="AR19" s="11">
        <f t="shared" si="3"/>
        <v>174.97634570672219</v>
      </c>
      <c r="AS19" s="11">
        <f t="shared" si="3"/>
        <v>94.074861120690286</v>
      </c>
      <c r="AT19" s="11">
        <f t="shared" si="3"/>
        <v>86.369138850806664</v>
      </c>
      <c r="AU19" s="11">
        <f t="shared" si="3"/>
        <v>3.7849973045700125</v>
      </c>
      <c r="AV19" s="11">
        <f t="shared" si="3"/>
        <v>10.983505183763336</v>
      </c>
      <c r="AW19" s="11">
        <f t="shared" si="3"/>
        <v>3.5977509870533031</v>
      </c>
      <c r="AX19" s="11">
        <f t="shared" si="3"/>
        <v>173.23153108648796</v>
      </c>
      <c r="AY19" s="11">
        <f t="shared" si="3"/>
        <v>94.983583236068981</v>
      </c>
      <c r="AZ19" s="11">
        <f t="shared" si="3"/>
        <v>107.5577549795226</v>
      </c>
      <c r="BA19" s="11">
        <f t="shared" si="3"/>
        <v>119.86422467389428</v>
      </c>
      <c r="BB19" s="11">
        <f t="shared" si="3"/>
        <v>131.92369355016939</v>
      </c>
      <c r="BC19" s="11">
        <f t="shared" si="3"/>
        <v>143.75359324202429</v>
      </c>
      <c r="BD19" s="11">
        <f t="shared" si="3"/>
        <v>155.35843302980643</v>
      </c>
      <c r="BE19" s="11">
        <f t="shared" si="3"/>
        <v>166.69022274215737</v>
      </c>
      <c r="BF19" s="11">
        <f t="shared" si="3"/>
        <v>176.70923359607673</v>
      </c>
      <c r="BG19" s="11">
        <f t="shared" si="3"/>
        <v>4.7191653605404831</v>
      </c>
    </row>
    <row r="20" spans="1:59" x14ac:dyDescent="0.25">
      <c r="C20" t="s">
        <v>833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42" t="s">
        <v>362</v>
      </c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</row>
    <row r="21" spans="1:59" x14ac:dyDescent="0.25">
      <c r="C21" t="s">
        <v>834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42" t="s">
        <v>363</v>
      </c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</row>
    <row r="22" spans="1:59" x14ac:dyDescent="0.25">
      <c r="C22" t="s">
        <v>839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42" t="s">
        <v>367</v>
      </c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</row>
    <row r="23" spans="1:59" x14ac:dyDescent="0.25">
      <c r="C23" t="s">
        <v>840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</row>
    <row r="24" spans="1:59" x14ac:dyDescent="0.25">
      <c r="C24" t="s">
        <v>841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</row>
    <row r="25" spans="1:59" x14ac:dyDescent="0.2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</row>
    <row r="26" spans="1:59" x14ac:dyDescent="0.25">
      <c r="A26">
        <v>48.3</v>
      </c>
      <c r="B26">
        <v>346</v>
      </c>
      <c r="C26" t="s">
        <v>842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</row>
    <row r="27" spans="1:59" x14ac:dyDescent="0.25">
      <c r="C27" t="s">
        <v>885</v>
      </c>
      <c r="D27" s="7" t="s">
        <v>182</v>
      </c>
      <c r="E27">
        <f t="shared" ref="E27:AJ27" si="4">ATAN2( (E4 - E13*COS(E19*Deg2Rad)),  (E13* SIN(E19*Deg2Rad)) )*Rad2Deg</f>
        <v>44.801975608545121</v>
      </c>
      <c r="F27">
        <f t="shared" si="4"/>
        <v>110.43121777387567</v>
      </c>
      <c r="G27">
        <f t="shared" si="4"/>
        <v>122.65948490509754</v>
      </c>
      <c r="H27">
        <f t="shared" si="4"/>
        <v>15.718681770844645</v>
      </c>
      <c r="I27">
        <f t="shared" si="4"/>
        <v>143.30629864233103</v>
      </c>
      <c r="J27">
        <f t="shared" si="4"/>
        <v>102.71401839669903</v>
      </c>
      <c r="K27">
        <f t="shared" si="4"/>
        <v>76.805788424033153</v>
      </c>
      <c r="L27">
        <f t="shared" si="4"/>
        <v>121.74749300309873</v>
      </c>
      <c r="M27">
        <f t="shared" si="4"/>
        <v>172.16566098347502</v>
      </c>
      <c r="N27">
        <f t="shared" si="4"/>
        <v>4.9772690181777683</v>
      </c>
      <c r="O27">
        <f t="shared" si="4"/>
        <v>129.70389725502332</v>
      </c>
      <c r="P27">
        <f t="shared" si="4"/>
        <v>162.87667608611241</v>
      </c>
      <c r="Q27">
        <f t="shared" si="4"/>
        <v>110.12192290173111</v>
      </c>
      <c r="R27">
        <f t="shared" si="4"/>
        <v>99.141802858663908</v>
      </c>
      <c r="S27">
        <f t="shared" si="4"/>
        <v>97.172362807986659</v>
      </c>
      <c r="T27">
        <f t="shared" si="4"/>
        <v>54.773572512226814</v>
      </c>
      <c r="U27">
        <f t="shared" si="4"/>
        <v>157.09688431626299</v>
      </c>
      <c r="V27">
        <f t="shared" si="4"/>
        <v>52.483951248601933</v>
      </c>
      <c r="W27">
        <f t="shared" si="4"/>
        <v>49.30403946031641</v>
      </c>
      <c r="X27" s="8">
        <f t="shared" si="4"/>
        <v>69.075444185805196</v>
      </c>
      <c r="Y27">
        <f t="shared" si="4"/>
        <v>139.680348556686</v>
      </c>
      <c r="Z27">
        <f t="shared" si="4"/>
        <v>172.01868152545347</v>
      </c>
      <c r="AA27">
        <f t="shared" si="4"/>
        <v>117.15894699879681</v>
      </c>
      <c r="AB27">
        <f t="shared" si="4"/>
        <v>173.01910649792939</v>
      </c>
      <c r="AC27">
        <f t="shared" si="4"/>
        <v>10.638289948199724</v>
      </c>
      <c r="AD27">
        <f t="shared" si="4"/>
        <v>111.45457196970386</v>
      </c>
      <c r="AE27">
        <f t="shared" si="4"/>
        <v>175.75036279922816</v>
      </c>
      <c r="AF27">
        <f t="shared" si="4"/>
        <v>130.90465716982897</v>
      </c>
      <c r="AG27">
        <f t="shared" si="4"/>
        <v>14.83634042659474</v>
      </c>
      <c r="AH27">
        <f t="shared" si="4"/>
        <v>17.525537356214155</v>
      </c>
      <c r="AI27">
        <f t="shared" si="4"/>
        <v>154.00365074146538</v>
      </c>
      <c r="AJ27">
        <f t="shared" si="4"/>
        <v>70.594164781411038</v>
      </c>
      <c r="AK27">
        <f t="shared" ref="AK27:BG27" si="5">ATAN2( (AK4 - AK13*COS(AK19*Deg2Rad)),  (AK13* SIN(AK19*Deg2Rad)) )*Rad2Deg</f>
        <v>98.604097988034894</v>
      </c>
      <c r="AL27">
        <f t="shared" si="5"/>
        <v>167.7341627505003</v>
      </c>
      <c r="AM27">
        <f t="shared" si="5"/>
        <v>157.65341602701386</v>
      </c>
      <c r="AN27">
        <f t="shared" si="5"/>
        <v>163.06755632393205</v>
      </c>
      <c r="AO27">
        <f t="shared" si="5"/>
        <v>59.080307592411664</v>
      </c>
      <c r="AP27">
        <f t="shared" si="5"/>
        <v>174.54876371135126</v>
      </c>
      <c r="AQ27">
        <f t="shared" si="5"/>
        <v>94.793819717492909</v>
      </c>
      <c r="AR27">
        <f t="shared" si="5"/>
        <v>5.0109880121576476</v>
      </c>
      <c r="AS27">
        <f t="shared" si="5"/>
        <v>85.770192172191884</v>
      </c>
      <c r="AT27">
        <f t="shared" si="5"/>
        <v>93.488274759763286</v>
      </c>
      <c r="AU27">
        <f t="shared" si="5"/>
        <v>176.20605867017301</v>
      </c>
      <c r="AV27">
        <f t="shared" si="5"/>
        <v>168.98711317604932</v>
      </c>
      <c r="AW27">
        <f t="shared" si="5"/>
        <v>176.39338986134467</v>
      </c>
      <c r="AX27">
        <f t="shared" si="5"/>
        <v>6.7518714328063014</v>
      </c>
      <c r="AY27">
        <f t="shared" si="5"/>
        <v>84.87117312099474</v>
      </c>
      <c r="AZ27">
        <f t="shared" si="5"/>
        <v>72.301833561500445</v>
      </c>
      <c r="BA27">
        <f t="shared" si="5"/>
        <v>60.00679437125698</v>
      </c>
      <c r="BB27">
        <f t="shared" si="5"/>
        <v>47.964598799582582</v>
      </c>
      <c r="BC27">
        <f t="shared" si="5"/>
        <v>36.156845089383779</v>
      </c>
      <c r="BD27">
        <f t="shared" si="5"/>
        <v>24.577883058495079</v>
      </c>
      <c r="BE27">
        <f t="shared" si="5"/>
        <v>13.274341322938717</v>
      </c>
      <c r="BF27">
        <f t="shared" si="5"/>
        <v>3.2818682997010415</v>
      </c>
      <c r="BG27">
        <f t="shared" si="5"/>
        <v>175.26859696174634</v>
      </c>
    </row>
    <row r="28" spans="1:59" x14ac:dyDescent="0.25"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267" t="s">
        <v>886</v>
      </c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</row>
    <row r="29" spans="1:59" x14ac:dyDescent="0.25">
      <c r="A29" s="7"/>
      <c r="C29" s="6" t="s">
        <v>831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</row>
    <row r="30" spans="1:59" x14ac:dyDescent="0.25">
      <c r="A30">
        <v>48.4</v>
      </c>
      <c r="B30">
        <v>346</v>
      </c>
      <c r="C30" t="s">
        <v>177</v>
      </c>
    </row>
    <row r="31" spans="1:59" x14ac:dyDescent="0.25">
      <c r="C31" t="s">
        <v>354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</row>
    <row r="32" spans="1:59" x14ac:dyDescent="0.25">
      <c r="C32" t="s">
        <v>178</v>
      </c>
      <c r="E32" s="13" t="s">
        <v>181</v>
      </c>
      <c r="F32" s="13" t="s">
        <v>181</v>
      </c>
      <c r="G32" s="13" t="s">
        <v>181</v>
      </c>
      <c r="H32" s="13" t="s">
        <v>181</v>
      </c>
      <c r="I32" s="13" t="s">
        <v>181</v>
      </c>
      <c r="J32" s="13" t="s">
        <v>181</v>
      </c>
      <c r="K32" s="13" t="s">
        <v>181</v>
      </c>
      <c r="L32" s="13" t="s">
        <v>181</v>
      </c>
      <c r="M32" s="13" t="s">
        <v>181</v>
      </c>
      <c r="N32" s="13" t="s">
        <v>181</v>
      </c>
      <c r="O32" s="13" t="s">
        <v>181</v>
      </c>
      <c r="P32" s="13" t="s">
        <v>181</v>
      </c>
      <c r="Q32" s="13" t="s">
        <v>181</v>
      </c>
      <c r="R32" s="13" t="s">
        <v>181</v>
      </c>
      <c r="S32" s="13" t="s">
        <v>181</v>
      </c>
      <c r="T32" s="13" t="s">
        <v>181</v>
      </c>
      <c r="U32" s="13" t="s">
        <v>181</v>
      </c>
      <c r="V32" s="13" t="s">
        <v>181</v>
      </c>
      <c r="W32" s="13" t="s">
        <v>181</v>
      </c>
      <c r="X32" s="13" t="s">
        <v>181</v>
      </c>
      <c r="Y32" s="13" t="s">
        <v>181</v>
      </c>
      <c r="Z32" s="13" t="s">
        <v>181</v>
      </c>
      <c r="AA32" s="13" t="s">
        <v>181</v>
      </c>
      <c r="AB32" s="13" t="s">
        <v>181</v>
      </c>
      <c r="AC32" s="13" t="s">
        <v>181</v>
      </c>
      <c r="AD32" s="13" t="s">
        <v>181</v>
      </c>
      <c r="AE32" s="13" t="s">
        <v>181</v>
      </c>
      <c r="AF32" s="13" t="s">
        <v>181</v>
      </c>
      <c r="AG32" s="13" t="s">
        <v>181</v>
      </c>
      <c r="AH32" s="13" t="s">
        <v>181</v>
      </c>
      <c r="AI32" s="13" t="s">
        <v>181</v>
      </c>
      <c r="AJ32" s="13" t="s">
        <v>181</v>
      </c>
      <c r="AK32" s="13" t="s">
        <v>181</v>
      </c>
      <c r="AL32" s="13" t="s">
        <v>181</v>
      </c>
      <c r="AM32" s="13" t="s">
        <v>181</v>
      </c>
      <c r="AN32" s="13" t="s">
        <v>181</v>
      </c>
      <c r="AO32" s="13" t="s">
        <v>181</v>
      </c>
      <c r="AP32" s="13" t="s">
        <v>181</v>
      </c>
      <c r="AQ32" s="13" t="s">
        <v>181</v>
      </c>
      <c r="AR32" s="13" t="s">
        <v>181</v>
      </c>
      <c r="AS32" s="13" t="s">
        <v>181</v>
      </c>
      <c r="AT32" s="13" t="s">
        <v>181</v>
      </c>
      <c r="AU32" s="13" t="s">
        <v>181</v>
      </c>
      <c r="AV32" s="13" t="s">
        <v>181</v>
      </c>
      <c r="AW32" s="13" t="s">
        <v>181</v>
      </c>
      <c r="AX32" s="13" t="s">
        <v>181</v>
      </c>
      <c r="AY32" s="13" t="s">
        <v>181</v>
      </c>
      <c r="AZ32" s="13" t="s">
        <v>181</v>
      </c>
      <c r="BA32" s="13" t="s">
        <v>181</v>
      </c>
      <c r="BB32" s="13" t="s">
        <v>181</v>
      </c>
      <c r="BC32" s="13" t="s">
        <v>181</v>
      </c>
      <c r="BD32" s="13" t="s">
        <v>181</v>
      </c>
      <c r="BE32" s="13" t="s">
        <v>181</v>
      </c>
      <c r="BF32" s="13" t="s">
        <v>181</v>
      </c>
      <c r="BG32" s="13" t="s">
        <v>181</v>
      </c>
    </row>
    <row r="33" spans="1:59" x14ac:dyDescent="0.25">
      <c r="C33" t="s">
        <v>355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</row>
    <row r="34" spans="1:59" x14ac:dyDescent="0.25">
      <c r="C34" t="s">
        <v>179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</row>
    <row r="35" spans="1:59" x14ac:dyDescent="0.25">
      <c r="C35" t="s">
        <v>356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</row>
    <row r="36" spans="1:59" x14ac:dyDescent="0.25">
      <c r="C36" t="s">
        <v>180</v>
      </c>
      <c r="D36" s="7" t="s">
        <v>182</v>
      </c>
      <c r="E36" s="13">
        <f t="shared" ref="E36:AJ36" si="6" xml:space="preserve"> 180 - E7 - 6.289 * SIN( E9 *Deg2Rad )+ 2.1 * SIN( E8 *Deg2Rad)    - 1.274 * SIN( (2*E7 -E9) *Deg2Rad)    - 0.658 * SIN( (2*E7) *Deg2Rad)    - 0.214 * SIN( (2*E9) *Deg2Rad)    - 0.11 * SIN( E7  *Deg2Rad)</f>
        <v>44.571856170948848</v>
      </c>
      <c r="F36" s="13">
        <f t="shared" si="6"/>
        <v>-110.69140370236605</v>
      </c>
      <c r="G36" s="13">
        <f t="shared" si="6"/>
        <v>-122.78742335015131</v>
      </c>
      <c r="H36" s="13">
        <f t="shared" si="6"/>
        <v>15.124796773514415</v>
      </c>
      <c r="I36" s="13">
        <f t="shared" si="6"/>
        <v>-143.91317066183558</v>
      </c>
      <c r="J36" s="13">
        <f t="shared" si="6"/>
        <v>-102.72583618625634</v>
      </c>
      <c r="K36" s="13">
        <f t="shared" si="6"/>
        <v>76.690261775644061</v>
      </c>
      <c r="L36" s="13">
        <f t="shared" si="6"/>
        <v>121.88103974599402</v>
      </c>
      <c r="M36" s="13">
        <f t="shared" si="6"/>
        <v>-172.29154180307836</v>
      </c>
      <c r="N36" s="13">
        <f t="shared" si="6"/>
        <v>-4.7034367792501328</v>
      </c>
      <c r="O36" s="13">
        <f t="shared" si="6"/>
        <v>-129.7565307047233</v>
      </c>
      <c r="P36" s="13">
        <f t="shared" si="6"/>
        <v>163.58923854690693</v>
      </c>
      <c r="Q36" s="13">
        <f t="shared" si="6"/>
        <v>110.04328879806711</v>
      </c>
      <c r="R36" s="13">
        <f t="shared" si="6"/>
        <v>99.070168346370309</v>
      </c>
      <c r="S36" s="13">
        <f t="shared" si="6"/>
        <v>97.220635385427855</v>
      </c>
      <c r="T36" s="13">
        <f t="shared" si="6"/>
        <v>-54.907734209659345</v>
      </c>
      <c r="U36" s="13">
        <f t="shared" si="6"/>
        <v>157.65621695417869</v>
      </c>
      <c r="V36" s="13">
        <f t="shared" si="6"/>
        <v>-52.378093446917418</v>
      </c>
      <c r="W36" s="13">
        <f t="shared" si="6"/>
        <v>49.370810607300022</v>
      </c>
      <c r="X36" s="13">
        <f t="shared" si="6"/>
        <v>68.883355086378529</v>
      </c>
      <c r="Y36" s="13">
        <f t="shared" si="6"/>
        <v>-140.04905958436333</v>
      </c>
      <c r="Z36" s="13">
        <f t="shared" si="6"/>
        <v>173.47248406730878</v>
      </c>
      <c r="AA36" s="13">
        <f t="shared" si="6"/>
        <v>-117.2953513488485</v>
      </c>
      <c r="AB36" s="13">
        <f t="shared" si="6"/>
        <v>-173.00860673721419</v>
      </c>
      <c r="AC36" s="13">
        <f t="shared" si="6"/>
        <v>9.9425969774095151</v>
      </c>
      <c r="AD36" s="13">
        <f t="shared" si="6"/>
        <v>111.52462767521335</v>
      </c>
      <c r="AE36" s="13">
        <f t="shared" si="6"/>
        <v>-179.89167399143193</v>
      </c>
      <c r="AF36" s="13">
        <f t="shared" si="6"/>
        <v>-130.88947027597149</v>
      </c>
      <c r="AG36" s="13">
        <f t="shared" si="6"/>
        <v>-14.350985579222554</v>
      </c>
      <c r="AH36" s="13">
        <f t="shared" si="6"/>
        <v>-3.2312400221453483</v>
      </c>
      <c r="AI36" s="13">
        <f t="shared" si="6"/>
        <v>-154.49364901144705</v>
      </c>
      <c r="AJ36" s="13">
        <f t="shared" si="6"/>
        <v>70.440507289004373</v>
      </c>
      <c r="AK36" s="13">
        <f t="shared" ref="AK36:BG36" si="7" xml:space="preserve"> 180 - AK7 - 6.289 * SIN( AK9 *Deg2Rad )+ 2.1 * SIN( AK8 *Deg2Rad)    - 1.274 * SIN( (2*AK7 -AK9) *Deg2Rad)    - 0.658 * SIN( (2*AK7) *Deg2Rad)    - 0.214 * SIN( (2*AK9) *Deg2Rad)    - 0.11 * SIN( AK7  *Deg2Rad)</f>
        <v>-98.644115623572986</v>
      </c>
      <c r="AL36" s="13">
        <f t="shared" si="7"/>
        <v>168.56463912696557</v>
      </c>
      <c r="AM36" s="13">
        <f t="shared" si="7"/>
        <v>157.64431445516698</v>
      </c>
      <c r="AN36" s="13">
        <f t="shared" si="7"/>
        <v>163.77280396506384</v>
      </c>
      <c r="AO36" s="13">
        <f t="shared" si="7"/>
        <v>-59.095250154262608</v>
      </c>
      <c r="AP36" s="13">
        <f t="shared" si="7"/>
        <v>-175.93338586446239</v>
      </c>
      <c r="AQ36" s="13">
        <f t="shared" si="7"/>
        <v>94.634553878461759</v>
      </c>
      <c r="AR36" s="13">
        <f t="shared" si="7"/>
        <v>4.4047776748801004</v>
      </c>
      <c r="AS36" s="13">
        <f t="shared" si="7"/>
        <v>-85.868478254821156</v>
      </c>
      <c r="AT36" s="13">
        <f t="shared" si="7"/>
        <v>93.485058146774477</v>
      </c>
      <c r="AU36" s="13">
        <f t="shared" si="7"/>
        <v>-177.2142977734633</v>
      </c>
      <c r="AV36" s="13">
        <f t="shared" si="7"/>
        <v>-169.09551080790567</v>
      </c>
      <c r="AW36" s="13">
        <f t="shared" si="7"/>
        <v>-176.77121482875756</v>
      </c>
      <c r="AX36" s="13">
        <f t="shared" si="7"/>
        <v>-6.5735317308550822</v>
      </c>
      <c r="AY36" s="13">
        <f t="shared" si="7"/>
        <v>84.999489149629085</v>
      </c>
      <c r="AZ36" s="13">
        <f t="shared" si="7"/>
        <v>72.381224757695492</v>
      </c>
      <c r="BA36" s="13">
        <f t="shared" si="7"/>
        <v>60.06321146310659</v>
      </c>
      <c r="BB36" s="13">
        <f t="shared" si="7"/>
        <v>48.018799933491792</v>
      </c>
      <c r="BC36" s="13">
        <f t="shared" si="7"/>
        <v>36.213511076450764</v>
      </c>
      <c r="BD36" s="13">
        <f t="shared" si="7"/>
        <v>24.612677737439338</v>
      </c>
      <c r="BE36" s="13">
        <f t="shared" si="7"/>
        <v>13.186996461253617</v>
      </c>
      <c r="BF36" s="13">
        <f t="shared" si="7"/>
        <v>1.9149351786885034</v>
      </c>
      <c r="BG36" s="13">
        <f t="shared" si="7"/>
        <v>-178.03075213407132</v>
      </c>
    </row>
    <row r="37" spans="1:59" x14ac:dyDescent="0.25"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9">
        <v>0.67859999999999998</v>
      </c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</row>
    <row r="38" spans="1:59" x14ac:dyDescent="0.25">
      <c r="C38" t="s">
        <v>895</v>
      </c>
      <c r="D38" s="7" t="s">
        <v>1</v>
      </c>
      <c r="E38" s="14">
        <f t="shared" ref="E38:AJ38" si="8">(1 + COS(E27*Deg2Rad))/2</f>
        <v>0.85477321985570565</v>
      </c>
      <c r="F38" s="14">
        <f t="shared" si="8"/>
        <v>0.32545866179796024</v>
      </c>
      <c r="G38" s="14">
        <f t="shared" si="8"/>
        <v>0.23017743257988899</v>
      </c>
      <c r="H38" s="14">
        <f t="shared" si="8"/>
        <v>0.98130173185133596</v>
      </c>
      <c r="I38" s="14">
        <f t="shared" si="8"/>
        <v>9.9079331222667488E-2</v>
      </c>
      <c r="J38" s="14">
        <f t="shared" si="8"/>
        <v>0.38995756047280611</v>
      </c>
      <c r="K38" s="14">
        <f t="shared" si="8"/>
        <v>0.61412625556666189</v>
      </c>
      <c r="L38" s="14">
        <f t="shared" si="8"/>
        <v>0.23691164215564897</v>
      </c>
      <c r="M38" s="14">
        <f t="shared" si="8"/>
        <v>4.666837862178308E-3</v>
      </c>
      <c r="N38" s="14">
        <f t="shared" si="8"/>
        <v>0.99811459851599627</v>
      </c>
      <c r="O38" s="14">
        <f t="shared" si="8"/>
        <v>0.18058992472838276</v>
      </c>
      <c r="P38" s="14">
        <f t="shared" si="8"/>
        <v>2.2163381030378515E-2</v>
      </c>
      <c r="Q38" s="14">
        <f t="shared" si="8"/>
        <v>0.32799050396762569</v>
      </c>
      <c r="R38" s="14">
        <f t="shared" si="8"/>
        <v>0.42056078011957276</v>
      </c>
      <c r="S38" s="14">
        <f t="shared" si="8"/>
        <v>0.43757266872092193</v>
      </c>
      <c r="T38" s="14">
        <f t="shared" si="8"/>
        <v>0.78840458010297954</v>
      </c>
      <c r="U38" s="14">
        <f t="shared" si="8"/>
        <v>3.9417877972039272E-2</v>
      </c>
      <c r="V38" s="14">
        <f t="shared" si="8"/>
        <v>0.80449181310694939</v>
      </c>
      <c r="W38" s="14">
        <f t="shared" si="8"/>
        <v>0.82602247615594759</v>
      </c>
      <c r="X38" s="14">
        <f t="shared" si="8"/>
        <v>0.67856917385943272</v>
      </c>
      <c r="Y38" s="14">
        <f t="shared" si="8"/>
        <v>0.11877677633121775</v>
      </c>
      <c r="Z38" s="14">
        <f t="shared" si="8"/>
        <v>4.8433029667175886E-3</v>
      </c>
      <c r="AA38" s="14">
        <f t="shared" si="8"/>
        <v>0.27176973299045559</v>
      </c>
      <c r="AB38" s="14">
        <f t="shared" si="8"/>
        <v>3.7066318092401906E-3</v>
      </c>
      <c r="AC38" s="14">
        <f t="shared" si="8"/>
        <v>0.99140609880774189</v>
      </c>
      <c r="AD38" s="14">
        <f t="shared" si="8"/>
        <v>0.31711829368303246</v>
      </c>
      <c r="AE38" s="14">
        <f t="shared" si="8"/>
        <v>1.3746728312520884E-3</v>
      </c>
      <c r="AF38" s="14">
        <f t="shared" si="8"/>
        <v>0.17259887522395306</v>
      </c>
      <c r="AG38" s="14">
        <f t="shared" si="8"/>
        <v>0.98333058754738589</v>
      </c>
      <c r="AH38" s="14">
        <f t="shared" si="8"/>
        <v>0.9767914140768863</v>
      </c>
      <c r="AI38" s="14">
        <f t="shared" si="8"/>
        <v>5.0589011814960172E-2</v>
      </c>
      <c r="AJ38" s="14">
        <f t="shared" si="8"/>
        <v>0.66612859575945749</v>
      </c>
      <c r="AK38" s="14">
        <f t="shared" ref="AK38:BG38" si="9">(1 + COS(AK27*Deg2Rad))/2</f>
        <v>0.42519696886829528</v>
      </c>
      <c r="AL38" s="14">
        <f t="shared" si="9"/>
        <v>1.1413789677382713E-2</v>
      </c>
      <c r="AM38" s="14">
        <f t="shared" si="9"/>
        <v>3.7549550911624374E-2</v>
      </c>
      <c r="AN38" s="14">
        <f t="shared" si="9"/>
        <v>2.1675589573150911E-2</v>
      </c>
      <c r="AO38" s="14">
        <f t="shared" si="9"/>
        <v>0.75691806817743756</v>
      </c>
      <c r="AP38" s="14">
        <f t="shared" si="9"/>
        <v>2.2612945227846737E-3</v>
      </c>
      <c r="AQ38" s="14">
        <f t="shared" si="9"/>
        <v>0.45821482256525442</v>
      </c>
      <c r="AR38" s="14">
        <f t="shared" si="9"/>
        <v>0.9980889826532886</v>
      </c>
      <c r="AS38" s="14">
        <f t="shared" si="9"/>
        <v>0.53687851740106307</v>
      </c>
      <c r="AT38" s="14">
        <f t="shared" si="9"/>
        <v>0.46957786204368313</v>
      </c>
      <c r="AU38" s="14">
        <f t="shared" si="9"/>
        <v>1.0957646181309344E-3</v>
      </c>
      <c r="AV38" s="14">
        <f t="shared" si="9"/>
        <v>9.2078788324760907E-3</v>
      </c>
      <c r="AW38" s="14">
        <f t="shared" si="9"/>
        <v>9.9026113656214276E-4</v>
      </c>
      <c r="AX38" s="14">
        <f t="shared" si="9"/>
        <v>0.99653230867032772</v>
      </c>
      <c r="AY38" s="14">
        <f t="shared" si="9"/>
        <v>0.54469770885556423</v>
      </c>
      <c r="AZ38" s="14">
        <f t="shared" si="9"/>
        <v>0.6520012869984847</v>
      </c>
      <c r="BA38" s="14">
        <f t="shared" si="9"/>
        <v>0.7499486497995691</v>
      </c>
      <c r="BB38" s="14">
        <f t="shared" si="9"/>
        <v>0.8347948218230774</v>
      </c>
      <c r="BC38" s="14">
        <f t="shared" si="9"/>
        <v>0.90370246230329876</v>
      </c>
      <c r="BD38" s="14">
        <f t="shared" si="9"/>
        <v>0.95469836564338206</v>
      </c>
      <c r="BE38" s="14">
        <f t="shared" si="9"/>
        <v>0.98664089899645258</v>
      </c>
      <c r="BF38" s="14">
        <f t="shared" si="9"/>
        <v>0.99917999160663862</v>
      </c>
      <c r="BG38" s="14">
        <f t="shared" si="9"/>
        <v>1.7038361286300652E-3</v>
      </c>
    </row>
    <row r="39" spans="1:59" x14ac:dyDescent="0.25">
      <c r="A39">
        <v>48.1</v>
      </c>
      <c r="B39">
        <v>345</v>
      </c>
      <c r="C39" t="s">
        <v>896</v>
      </c>
      <c r="D39" s="7" t="s">
        <v>1</v>
      </c>
      <c r="E39" s="14">
        <f t="shared" ref="E39:W39" si="10">(1 + COS(E36*Deg2Rad))/2</f>
        <v>0.85618542970003297</v>
      </c>
      <c r="F39" s="14">
        <f t="shared" si="10"/>
        <v>0.32333275416252927</v>
      </c>
      <c r="G39" s="14">
        <f t="shared" si="10"/>
        <v>0.22923815522735214</v>
      </c>
      <c r="H39" s="14">
        <f t="shared" si="10"/>
        <v>0.98267989896596286</v>
      </c>
      <c r="I39" s="14">
        <f t="shared" si="10"/>
        <v>9.5937349025497387E-2</v>
      </c>
      <c r="J39" s="14">
        <f t="shared" si="10"/>
        <v>0.38985696180989532</v>
      </c>
      <c r="K39" s="14">
        <f t="shared" si="10"/>
        <v>0.61510756965731772</v>
      </c>
      <c r="L39" s="14">
        <f t="shared" si="10"/>
        <v>0.23592131747449979</v>
      </c>
      <c r="M39" s="14">
        <f t="shared" si="10"/>
        <v>4.5182952887085626E-3</v>
      </c>
      <c r="N39" s="14">
        <f t="shared" si="10"/>
        <v>0.99831623504911615</v>
      </c>
      <c r="O39" s="14">
        <f t="shared" si="10"/>
        <v>0.18023668390655634</v>
      </c>
      <c r="P39" s="14">
        <f t="shared" si="10"/>
        <v>2.0369536270246236E-2</v>
      </c>
      <c r="Q39" s="14">
        <f t="shared" si="10"/>
        <v>0.32863499323100198</v>
      </c>
      <c r="R39" s="14">
        <f t="shared" si="10"/>
        <v>0.42117803080106592</v>
      </c>
      <c r="S39" s="14">
        <f t="shared" si="10"/>
        <v>0.43715472954346946</v>
      </c>
      <c r="T39" s="14">
        <f t="shared" si="10"/>
        <v>0.78744740344119224</v>
      </c>
      <c r="U39" s="14">
        <f t="shared" si="10"/>
        <v>3.7540258147309991E-2</v>
      </c>
      <c r="V39" s="14">
        <f t="shared" si="10"/>
        <v>0.80522402224546497</v>
      </c>
      <c r="W39" s="14">
        <f t="shared" si="10"/>
        <v>0.82558047216593788</v>
      </c>
      <c r="X39" s="14">
        <f>(1 + COS(X27*Deg2Rad))/2</f>
        <v>0.67856917385943272</v>
      </c>
      <c r="Y39" s="14">
        <f t="shared" ref="Y39:BG39" si="11">(1 + COS(Y36*Deg2Rad))/2</f>
        <v>0.11670272502785956</v>
      </c>
      <c r="Z39" s="14">
        <f t="shared" si="11"/>
        <v>3.241312009220787E-3</v>
      </c>
      <c r="AA39" s="14">
        <f t="shared" si="11"/>
        <v>0.27071127216711544</v>
      </c>
      <c r="AB39" s="14">
        <f t="shared" si="11"/>
        <v>3.7177764218414566E-3</v>
      </c>
      <c r="AC39" s="14">
        <f t="shared" si="11"/>
        <v>0.99249061596848764</v>
      </c>
      <c r="AD39" s="14">
        <f t="shared" si="11"/>
        <v>0.31654944101088234</v>
      </c>
      <c r="AE39" s="14">
        <f t="shared" si="11"/>
        <v>8.9363484973015161E-7</v>
      </c>
      <c r="AF39" s="14">
        <f t="shared" si="11"/>
        <v>0.1726990534223945</v>
      </c>
      <c r="AG39" s="14">
        <f t="shared" si="11"/>
        <v>0.98439777584634713</v>
      </c>
      <c r="AH39" s="14">
        <f t="shared" si="11"/>
        <v>0.99920508979219269</v>
      </c>
      <c r="AI39" s="14">
        <f t="shared" si="11"/>
        <v>4.8731220741031089E-2</v>
      </c>
      <c r="AJ39" s="14">
        <f t="shared" si="11"/>
        <v>0.66739273247592368</v>
      </c>
      <c r="AK39" s="14">
        <f t="shared" si="11"/>
        <v>0.42485169762166702</v>
      </c>
      <c r="AL39" s="14">
        <f t="shared" si="11"/>
        <v>9.9254994932664875E-3</v>
      </c>
      <c r="AM39" s="14">
        <f t="shared" si="11"/>
        <v>3.757975524355428E-2</v>
      </c>
      <c r="AN39" s="14">
        <f t="shared" si="11"/>
        <v>1.9919424256626739E-2</v>
      </c>
      <c r="AO39" s="14">
        <f t="shared" si="11"/>
        <v>0.75680619212887201</v>
      </c>
      <c r="AP39" s="14">
        <f t="shared" si="11"/>
        <v>1.2588626619230436E-3</v>
      </c>
      <c r="AQ39" s="14">
        <f t="shared" si="11"/>
        <v>0.45959997696701266</v>
      </c>
      <c r="AR39" s="14">
        <f t="shared" si="11"/>
        <v>0.99852317572780258</v>
      </c>
      <c r="AS39" s="14">
        <f t="shared" si="11"/>
        <v>0.5360230918748905</v>
      </c>
      <c r="AT39" s="14">
        <f t="shared" si="11"/>
        <v>0.46960588032875666</v>
      </c>
      <c r="AU39" s="14">
        <f t="shared" si="11"/>
        <v>5.9085181422519062E-4</v>
      </c>
      <c r="AV39" s="14">
        <f t="shared" si="11"/>
        <v>9.0280530846193474E-3</v>
      </c>
      <c r="AW39" s="14">
        <f t="shared" si="11"/>
        <v>7.9370316126864404E-4</v>
      </c>
      <c r="AX39" s="14">
        <f t="shared" si="11"/>
        <v>0.99671287789501917</v>
      </c>
      <c r="AY39" s="14">
        <f t="shared" si="11"/>
        <v>0.54358231241849986</v>
      </c>
      <c r="AZ39" s="14">
        <f t="shared" si="11"/>
        <v>0.65134111268303607</v>
      </c>
      <c r="BA39" s="14">
        <f t="shared" si="11"/>
        <v>0.74952212748738445</v>
      </c>
      <c r="BB39" s="14">
        <f t="shared" si="11"/>
        <v>0.83444336455692159</v>
      </c>
      <c r="BC39" s="14">
        <f t="shared" si="11"/>
        <v>0.90341050867515427</v>
      </c>
      <c r="BD39" s="14">
        <f t="shared" si="11"/>
        <v>0.95457198853164971</v>
      </c>
      <c r="BE39" s="14">
        <f t="shared" si="11"/>
        <v>0.98681535153574873</v>
      </c>
      <c r="BF39" s="14">
        <f t="shared" si="11"/>
        <v>0.99972076974558521</v>
      </c>
      <c r="BG39" s="14">
        <f t="shared" si="11"/>
        <v>2.952927322394383E-4</v>
      </c>
    </row>
    <row r="40" spans="1:59" x14ac:dyDescent="0.25">
      <c r="C40" t="s">
        <v>183</v>
      </c>
      <c r="E40" s="80">
        <f>E39</f>
        <v>0.85618542970003297</v>
      </c>
      <c r="F40" s="80">
        <f t="shared" ref="F40:Y40" si="12">F39</f>
        <v>0.32333275416252927</v>
      </c>
      <c r="G40" s="80">
        <f t="shared" si="12"/>
        <v>0.22923815522735214</v>
      </c>
      <c r="H40" s="80">
        <f t="shared" si="12"/>
        <v>0.98267989896596286</v>
      </c>
      <c r="I40" s="80">
        <f t="shared" si="12"/>
        <v>9.5937349025497387E-2</v>
      </c>
      <c r="J40" s="80">
        <f t="shared" si="12"/>
        <v>0.38985696180989532</v>
      </c>
      <c r="K40" s="80">
        <f t="shared" si="12"/>
        <v>0.61510756965731772</v>
      </c>
      <c r="L40" s="80">
        <f t="shared" si="12"/>
        <v>0.23592131747449979</v>
      </c>
      <c r="M40" s="80">
        <f t="shared" si="12"/>
        <v>4.5182952887085626E-3</v>
      </c>
      <c r="N40" s="80">
        <f t="shared" si="12"/>
        <v>0.99831623504911615</v>
      </c>
      <c r="O40" s="80">
        <f t="shared" si="12"/>
        <v>0.18023668390655634</v>
      </c>
      <c r="P40" s="80">
        <f t="shared" si="12"/>
        <v>2.0369536270246236E-2</v>
      </c>
      <c r="Q40" s="80">
        <f t="shared" si="12"/>
        <v>0.32863499323100198</v>
      </c>
      <c r="R40" s="80">
        <f t="shared" si="12"/>
        <v>0.42117803080106592</v>
      </c>
      <c r="S40" s="80">
        <f t="shared" si="12"/>
        <v>0.43715472954346946</v>
      </c>
      <c r="T40" s="80">
        <f t="shared" si="12"/>
        <v>0.78744740344119224</v>
      </c>
      <c r="U40" s="80">
        <f t="shared" si="12"/>
        <v>3.7540258147309991E-2</v>
      </c>
      <c r="V40" s="80">
        <f t="shared" si="12"/>
        <v>0.80522402224546497</v>
      </c>
      <c r="W40" s="80">
        <f t="shared" si="12"/>
        <v>0.82558047216593788</v>
      </c>
      <c r="X40" s="80">
        <f t="shared" si="12"/>
        <v>0.67856917385943272</v>
      </c>
      <c r="Y40" s="80">
        <f t="shared" si="12"/>
        <v>0.11670272502785956</v>
      </c>
      <c r="Z40" s="80">
        <f t="shared" ref="Z40" si="13">Z39</f>
        <v>3.241312009220787E-3</v>
      </c>
      <c r="AA40" s="80">
        <f t="shared" ref="AA40" si="14">AA39</f>
        <v>0.27071127216711544</v>
      </c>
      <c r="AB40" s="80">
        <f t="shared" ref="AB40" si="15">AB39</f>
        <v>3.7177764218414566E-3</v>
      </c>
      <c r="AC40" s="80">
        <f t="shared" ref="AC40" si="16">AC39</f>
        <v>0.99249061596848764</v>
      </c>
      <c r="AD40" s="80">
        <f t="shared" ref="AD40" si="17">AD39</f>
        <v>0.31654944101088234</v>
      </c>
      <c r="AE40" s="80">
        <f t="shared" ref="AE40" si="18">AE39</f>
        <v>8.9363484973015161E-7</v>
      </c>
      <c r="AF40" s="80">
        <f t="shared" ref="AF40" si="19">AF39</f>
        <v>0.1726990534223945</v>
      </c>
      <c r="AG40" s="80">
        <f t="shared" ref="AG40" si="20">AG39</f>
        <v>0.98439777584634713</v>
      </c>
      <c r="AH40" s="80">
        <f t="shared" ref="AH40" si="21">AH39</f>
        <v>0.99920508979219269</v>
      </c>
      <c r="AI40" s="80">
        <f t="shared" ref="AI40" si="22">AI39</f>
        <v>4.8731220741031089E-2</v>
      </c>
      <c r="AJ40" s="80">
        <f t="shared" ref="AJ40" si="23">AJ39</f>
        <v>0.66739273247592368</v>
      </c>
      <c r="AK40" s="80">
        <f t="shared" ref="AK40" si="24">AK39</f>
        <v>0.42485169762166702</v>
      </c>
      <c r="AL40" s="80">
        <f t="shared" ref="AL40" si="25">AL39</f>
        <v>9.9254994932664875E-3</v>
      </c>
      <c r="AM40" s="80">
        <f t="shared" ref="AM40" si="26">AM39</f>
        <v>3.757975524355428E-2</v>
      </c>
      <c r="AN40" s="80">
        <f t="shared" ref="AN40" si="27">AN39</f>
        <v>1.9919424256626739E-2</v>
      </c>
      <c r="AO40" s="80">
        <f t="shared" ref="AO40" si="28">AO39</f>
        <v>0.75680619212887201</v>
      </c>
      <c r="AP40" s="80">
        <f t="shared" ref="AP40" si="29">AP39</f>
        <v>1.2588626619230436E-3</v>
      </c>
      <c r="AQ40" s="80">
        <f t="shared" ref="AQ40" si="30">AQ39</f>
        <v>0.45959997696701266</v>
      </c>
      <c r="AR40" s="80">
        <f t="shared" ref="AR40" si="31">AR39</f>
        <v>0.99852317572780258</v>
      </c>
      <c r="AS40" s="80">
        <f t="shared" ref="AS40" si="32">AS39</f>
        <v>0.5360230918748905</v>
      </c>
      <c r="AT40" s="80">
        <f t="shared" ref="AT40" si="33">AT39</f>
        <v>0.46960588032875666</v>
      </c>
      <c r="AU40" s="80">
        <f t="shared" ref="AU40" si="34">AU39</f>
        <v>5.9085181422519062E-4</v>
      </c>
      <c r="AV40" s="80">
        <f t="shared" ref="AV40" si="35">AV39</f>
        <v>9.0280530846193474E-3</v>
      </c>
      <c r="AW40" s="80">
        <f t="shared" ref="AW40" si="36">AW39</f>
        <v>7.9370316126864404E-4</v>
      </c>
      <c r="AX40" s="80">
        <f t="shared" ref="AX40" si="37">AX39</f>
        <v>0.99671287789501917</v>
      </c>
      <c r="AY40" s="80">
        <f t="shared" ref="AY40" si="38">AY39</f>
        <v>0.54358231241849986</v>
      </c>
      <c r="AZ40" s="80">
        <f t="shared" ref="AZ40" si="39">AZ39</f>
        <v>0.65134111268303607</v>
      </c>
      <c r="BA40" s="80">
        <f t="shared" ref="BA40" si="40">BA39</f>
        <v>0.74952212748738445</v>
      </c>
      <c r="BB40" s="80">
        <f t="shared" ref="BB40" si="41">BB39</f>
        <v>0.83444336455692159</v>
      </c>
      <c r="BC40" s="80">
        <f t="shared" ref="BC40" si="42">BC39</f>
        <v>0.90341050867515427</v>
      </c>
      <c r="BD40" s="80">
        <f t="shared" ref="BD40" si="43">BD39</f>
        <v>0.95457198853164971</v>
      </c>
      <c r="BE40" s="80">
        <f t="shared" ref="BE40" si="44">BE39</f>
        <v>0.98681535153574873</v>
      </c>
      <c r="BF40" s="80">
        <f t="shared" ref="BF40" si="45">BF39</f>
        <v>0.99972076974558521</v>
      </c>
      <c r="BG40" s="80">
        <f t="shared" ref="BG40" si="46">BG39</f>
        <v>2.952927322394383E-4</v>
      </c>
    </row>
    <row r="41" spans="1:59" x14ac:dyDescent="0.25">
      <c r="C41" t="s">
        <v>29</v>
      </c>
      <c r="E41" s="271" t="str">
        <f>LOOKUP(E39,Lookups!$A$51:$C$55)</f>
        <v>Gibbous</v>
      </c>
      <c r="F41" s="271" t="str">
        <f>LOOKUP(F39,Lookups!$A$51:$C$55)</f>
        <v>Crescent</v>
      </c>
      <c r="G41" s="271" t="str">
        <f>LOOKUP(G39,Lookups!$A$51:$C$55)</f>
        <v>Crescent</v>
      </c>
      <c r="H41" s="271" t="str">
        <f>LOOKUP(H39,Lookups!$A$51:$C$55)</f>
        <v>Gibbous</v>
      </c>
      <c r="I41" s="271" t="str">
        <f>LOOKUP(I39,Lookups!$A$51:$C$55)</f>
        <v>Crescent</v>
      </c>
      <c r="J41" s="271" t="str">
        <f>LOOKUP(J39,Lookups!$A$51:$C$55)</f>
        <v>Crescent</v>
      </c>
      <c r="K41" s="271" t="str">
        <f>LOOKUP(K39,Lookups!$A$51:$C$55)</f>
        <v>Gibbous</v>
      </c>
      <c r="L41" s="271" t="str">
        <f>LOOKUP(L39,Lookups!$A$51:$C$55)</f>
        <v>Crescent</v>
      </c>
      <c r="M41" s="271" t="str">
        <f>LOOKUP(M39,Lookups!$A$51:$C$55)</f>
        <v>Crescent</v>
      </c>
      <c r="N41" s="271" t="str">
        <f>LOOKUP(N39,Lookups!$A$51:$C$55)</f>
        <v>Full</v>
      </c>
      <c r="O41" s="271" t="str">
        <f>LOOKUP(O39,Lookups!$A$51:$C$55)</f>
        <v>Crescent</v>
      </c>
      <c r="P41" s="271" t="str">
        <f>LOOKUP(P39,Lookups!$A$51:$C$55)</f>
        <v>Crescent</v>
      </c>
      <c r="Q41" s="271" t="str">
        <f>LOOKUP(Q39,Lookups!$A$51:$C$55)</f>
        <v>Crescent</v>
      </c>
      <c r="R41" s="271" t="str">
        <f>LOOKUP(R39,Lookups!$A$51:$C$55)</f>
        <v>Crescent</v>
      </c>
      <c r="S41" s="271" t="str">
        <f>LOOKUP(S39,Lookups!$A$51:$C$55)</f>
        <v>Crescent</v>
      </c>
      <c r="T41" s="271" t="str">
        <f>LOOKUP(T39,Lookups!$A$51:$C$55)</f>
        <v>Gibbous</v>
      </c>
      <c r="U41" s="271" t="str">
        <f>LOOKUP(U39,Lookups!$A$51:$C$55)</f>
        <v>Crescent</v>
      </c>
      <c r="V41" s="271" t="str">
        <f>LOOKUP(V39,Lookups!$A$51:$C$55)</f>
        <v>Gibbous</v>
      </c>
      <c r="W41" s="271" t="str">
        <f>LOOKUP(W39,Lookups!$A$51:$C$55)</f>
        <v>Gibbous</v>
      </c>
      <c r="X41" s="271" t="str">
        <f>LOOKUP(X39,Lookups!$A$51:$C$55)</f>
        <v>Gibbous</v>
      </c>
      <c r="Y41" s="271" t="str">
        <f>LOOKUP(Y39,Lookups!$A$51:$C$55)</f>
        <v>Crescent</v>
      </c>
      <c r="Z41" s="271" t="str">
        <f>LOOKUP(Z39,Lookups!$A$51:$C$55)</f>
        <v>Crescent</v>
      </c>
      <c r="AA41" s="271" t="str">
        <f>LOOKUP(AA39,Lookups!$A$51:$C$55)</f>
        <v>Crescent</v>
      </c>
      <c r="AB41" s="271" t="str">
        <f>LOOKUP(AB39,Lookups!$A$51:$C$55)</f>
        <v>Crescent</v>
      </c>
      <c r="AC41" s="271" t="str">
        <f>LOOKUP(AC39,Lookups!$A$51:$C$55)</f>
        <v>Full</v>
      </c>
      <c r="AD41" s="271" t="str">
        <f>LOOKUP(AD39,Lookups!$A$51:$C$55)</f>
        <v>Crescent</v>
      </c>
      <c r="AE41" s="271" t="str">
        <f>LOOKUP(AE39,Lookups!$A$51:$C$55)</f>
        <v>New</v>
      </c>
      <c r="AF41" s="271" t="str">
        <f>LOOKUP(AF39,Lookups!$A$51:$C$55)</f>
        <v>Crescent</v>
      </c>
      <c r="AG41" s="271" t="str">
        <f>LOOKUP(AG39,Lookups!$A$51:$C$55)</f>
        <v>Gibbous</v>
      </c>
      <c r="AH41" s="271" t="str">
        <f>LOOKUP(AH39,Lookups!$A$51:$C$55)</f>
        <v>Full</v>
      </c>
      <c r="AI41" s="271" t="str">
        <f>LOOKUP(AI39,Lookups!$A$51:$C$55)</f>
        <v>Crescent</v>
      </c>
      <c r="AJ41" s="271" t="str">
        <f>LOOKUP(AJ39,Lookups!$A$51:$C$55)</f>
        <v>Gibbous</v>
      </c>
      <c r="AK41" s="271" t="str">
        <f>LOOKUP(AK39,Lookups!$A$51:$C$55)</f>
        <v>Crescent</v>
      </c>
      <c r="AL41" s="271" t="str">
        <f>LOOKUP(AL39,Lookups!$A$51:$C$55)</f>
        <v>Crescent</v>
      </c>
      <c r="AM41" s="271" t="str">
        <f>LOOKUP(AM39,Lookups!$A$51:$C$55)</f>
        <v>Crescent</v>
      </c>
      <c r="AN41" s="271" t="str">
        <f>LOOKUP(AN39,Lookups!$A$51:$C$55)</f>
        <v>Crescent</v>
      </c>
      <c r="AO41" s="271" t="str">
        <f>LOOKUP(AO39,Lookups!$A$51:$C$55)</f>
        <v>Gibbous</v>
      </c>
      <c r="AP41" s="271" t="str">
        <f>LOOKUP(AP39,Lookups!$A$51:$C$55)</f>
        <v>New</v>
      </c>
      <c r="AQ41" s="271" t="str">
        <f>LOOKUP(AQ39,Lookups!$A$51:$C$55)</f>
        <v>Quarter</v>
      </c>
      <c r="AR41" s="271" t="str">
        <f>LOOKUP(AR39,Lookups!$A$51:$C$55)</f>
        <v>Full</v>
      </c>
      <c r="AS41" s="271" t="str">
        <f>LOOKUP(AS39,Lookups!$A$51:$C$55)</f>
        <v>Quarter</v>
      </c>
      <c r="AT41" s="271" t="str">
        <f>LOOKUP(AT39,Lookups!$A$51:$C$55)</f>
        <v>Quarter</v>
      </c>
      <c r="AU41" s="271" t="str">
        <f>LOOKUP(AU39,Lookups!$A$51:$C$55)</f>
        <v>New</v>
      </c>
      <c r="AV41" s="271" t="str">
        <f>LOOKUP(AV39,Lookups!$A$51:$C$55)</f>
        <v>Crescent</v>
      </c>
      <c r="AW41" s="271" t="str">
        <f>LOOKUP(AW39,Lookups!$A$51:$C$55)</f>
        <v>New</v>
      </c>
      <c r="AX41" s="271" t="str">
        <f>LOOKUP(AX39,Lookups!$A$51:$C$55)</f>
        <v>Full</v>
      </c>
      <c r="AY41" s="271" t="str">
        <f>LOOKUP(AY39,Lookups!$A$51:$C$55)</f>
        <v>Gibbous</v>
      </c>
      <c r="AZ41" s="271" t="str">
        <f>LOOKUP(AZ39,Lookups!$A$51:$C$55)</f>
        <v>Gibbous</v>
      </c>
      <c r="BA41" s="271" t="str">
        <f>LOOKUP(BA39,Lookups!$A$51:$C$55)</f>
        <v>Gibbous</v>
      </c>
      <c r="BB41" s="271" t="str">
        <f>LOOKUP(BB39,Lookups!$A$51:$C$55)</f>
        <v>Gibbous</v>
      </c>
      <c r="BC41" s="271" t="str">
        <f>LOOKUP(BC39,Lookups!$A$51:$C$55)</f>
        <v>Gibbous</v>
      </c>
      <c r="BD41" s="271" t="str">
        <f>LOOKUP(BD39,Lookups!$A$51:$C$55)</f>
        <v>Gibbous</v>
      </c>
      <c r="BE41" s="271" t="str">
        <f>LOOKUP(BE39,Lookups!$A$51:$C$55)</f>
        <v>Gibbous</v>
      </c>
      <c r="BF41" s="271" t="str">
        <f>LOOKUP(BF39,Lookups!$A$51:$C$55)</f>
        <v>Full</v>
      </c>
      <c r="BG41" s="271" t="str">
        <f>LOOKUP(BG39,Lookups!$A$51:$C$55)</f>
        <v>New</v>
      </c>
    </row>
    <row r="43" spans="1:59" x14ac:dyDescent="0.25">
      <c r="A43">
        <v>48.5</v>
      </c>
      <c r="B43">
        <v>346</v>
      </c>
      <c r="C43" t="s">
        <v>897</v>
      </c>
      <c r="D43" s="7" t="s">
        <v>649</v>
      </c>
      <c r="E43">
        <f t="shared" ref="E43:AJ43" si="47">COS(E10*Deg2Rad)*SIN((E11-E5)*Deg2Rad)</f>
        <v>-0.68338664776283298</v>
      </c>
      <c r="F43">
        <f t="shared" si="47"/>
        <v>0.91853275212875352</v>
      </c>
      <c r="G43">
        <f t="shared" si="47"/>
        <v>0.7875064870775027</v>
      </c>
      <c r="H43">
        <f t="shared" si="47"/>
        <v>-0.25857378371084566</v>
      </c>
      <c r="I43">
        <f t="shared" si="47"/>
        <v>0.59230101232345822</v>
      </c>
      <c r="J43">
        <f t="shared" si="47"/>
        <v>0.89710324810530839</v>
      </c>
      <c r="K43">
        <f t="shared" si="47"/>
        <v>-0.94004092291524766</v>
      </c>
      <c r="L43">
        <f t="shared" si="47"/>
        <v>-0.8033230716151839</v>
      </c>
      <c r="M43">
        <f t="shared" si="47"/>
        <v>0.13493980431974401</v>
      </c>
      <c r="N43">
        <f t="shared" si="47"/>
        <v>8.565177728779591E-2</v>
      </c>
      <c r="O43">
        <f t="shared" si="47"/>
        <v>0.74945514958503234</v>
      </c>
      <c r="P43">
        <f t="shared" si="47"/>
        <v>-0.2417553796066631</v>
      </c>
      <c r="Q43">
        <f t="shared" si="47"/>
        <v>-0.86946227721518399</v>
      </c>
      <c r="R43">
        <f t="shared" si="47"/>
        <v>-0.90781566737623942</v>
      </c>
      <c r="S43">
        <f t="shared" si="47"/>
        <v>-0.90766208574717011</v>
      </c>
      <c r="T43">
        <f t="shared" si="47"/>
        <v>0.76643705735246825</v>
      </c>
      <c r="U43">
        <f t="shared" si="47"/>
        <v>-0.33752236263013985</v>
      </c>
      <c r="V43">
        <f t="shared" si="47"/>
        <v>0.7849973033938199</v>
      </c>
      <c r="W43">
        <f t="shared" si="47"/>
        <v>-0.69429861718843655</v>
      </c>
      <c r="X43">
        <f t="shared" si="47"/>
        <v>-0.90282523155737793</v>
      </c>
      <c r="Y43">
        <f t="shared" si="47"/>
        <v>0.64574468565385101</v>
      </c>
      <c r="Z43">
        <f t="shared" si="47"/>
        <v>-0.12267615818824923</v>
      </c>
      <c r="AA43">
        <f t="shared" si="47"/>
        <v>0.82740019590694691</v>
      </c>
      <c r="AB43">
        <f t="shared" si="47"/>
        <v>0.11908653125244134</v>
      </c>
      <c r="AC43">
        <f t="shared" si="47"/>
        <v>-0.146649402304908</v>
      </c>
      <c r="AD43">
        <f t="shared" si="47"/>
        <v>-0.92876840811875139</v>
      </c>
      <c r="AE43">
        <f t="shared" si="47"/>
        <v>2.5610300863338171E-2</v>
      </c>
      <c r="AF43">
        <f t="shared" si="47"/>
        <v>0.72620513993871605</v>
      </c>
      <c r="AG43">
        <f t="shared" si="47"/>
        <v>0.21124135114286913</v>
      </c>
      <c r="AH43">
        <f t="shared" si="47"/>
        <v>-0.29061423969400735</v>
      </c>
      <c r="AI43">
        <f t="shared" si="47"/>
        <v>0.42625701306229635</v>
      </c>
      <c r="AJ43">
        <f t="shared" si="47"/>
        <v>-0.89510804461409332</v>
      </c>
      <c r="AK43">
        <f t="shared" ref="AK43:BG43" si="48">COS(AK10*Deg2Rad)*SIN((AK11-AK5)*Deg2Rad)</f>
        <v>0.91241885610973072</v>
      </c>
      <c r="AL43">
        <f t="shared" si="48"/>
        <v>-0.15060383760193879</v>
      </c>
      <c r="AM43">
        <f t="shared" si="48"/>
        <v>-0.36568812671731221</v>
      </c>
      <c r="AN43">
        <f t="shared" si="48"/>
        <v>-0.2901666677255143</v>
      </c>
      <c r="AO43">
        <f t="shared" si="48"/>
        <v>0.7767364306751775</v>
      </c>
      <c r="AP43">
        <f t="shared" si="48"/>
        <v>3.8608397864402948E-2</v>
      </c>
      <c r="AQ43">
        <f t="shared" si="48"/>
        <v>-0.99588000114447572</v>
      </c>
      <c r="AR43">
        <f t="shared" si="48"/>
        <v>-4.9215301598953869E-2</v>
      </c>
      <c r="AS43">
        <f t="shared" si="48"/>
        <v>0.98688369241282436</v>
      </c>
      <c r="AT43">
        <f t="shared" si="48"/>
        <v>-0.9679063895473089</v>
      </c>
      <c r="AU43">
        <f t="shared" si="48"/>
        <v>5.4392619936506958E-2</v>
      </c>
      <c r="AV43">
        <f t="shared" si="48"/>
        <v>0.18776654665934875</v>
      </c>
      <c r="AW43">
        <f t="shared" si="48"/>
        <v>5.1075955202064593E-2</v>
      </c>
      <c r="AX43">
        <f t="shared" si="48"/>
        <v>9.7050537899502853E-2</v>
      </c>
      <c r="AY43">
        <f t="shared" si="48"/>
        <v>-0.9152899454437089</v>
      </c>
      <c r="AZ43">
        <f t="shared" si="48"/>
        <v>-0.86631031452930851</v>
      </c>
      <c r="BA43">
        <f t="shared" si="48"/>
        <v>-0.7882472355945217</v>
      </c>
      <c r="BB43">
        <f t="shared" si="48"/>
        <v>-0.68426916956514272</v>
      </c>
      <c r="BC43">
        <f t="shared" si="48"/>
        <v>-0.55566696833852702</v>
      </c>
      <c r="BD43">
        <f t="shared" si="48"/>
        <v>-0.40331291466471536</v>
      </c>
      <c r="BE43">
        <f t="shared" si="48"/>
        <v>-0.2294101907628967</v>
      </c>
      <c r="BF43">
        <f t="shared" si="48"/>
        <v>-3.9263046127270662E-2</v>
      </c>
      <c r="BG43">
        <f t="shared" si="48"/>
        <v>5.6240942954649237E-2</v>
      </c>
    </row>
    <row r="44" spans="1:59" x14ac:dyDescent="0.25">
      <c r="C44" t="s">
        <v>359</v>
      </c>
      <c r="D44" s="7" t="s">
        <v>816</v>
      </c>
      <c r="E44">
        <f t="shared" ref="E44:AJ44" si="49">SIN(E10*Deg2Rad)*COS(E6*Deg2Rad)-COS(E10*Deg2Rad)*SIN(E6*Deg2Rad)*COS((E11-E5)*Deg2Rad)</f>
        <v>-0.17730262973688105</v>
      </c>
      <c r="F44">
        <f t="shared" si="49"/>
        <v>-0.18135912249016428</v>
      </c>
      <c r="G44">
        <f t="shared" si="49"/>
        <v>-0.2941455758860208</v>
      </c>
      <c r="H44">
        <f t="shared" si="49"/>
        <v>-8.2976298360441236E-2</v>
      </c>
      <c r="I44">
        <f t="shared" si="49"/>
        <v>6.9485143741610689E-2</v>
      </c>
      <c r="J44">
        <f t="shared" si="49"/>
        <v>0.38171620922537941</v>
      </c>
      <c r="K44">
        <f t="shared" si="49"/>
        <v>-0.25565128143731353</v>
      </c>
      <c r="L44">
        <f t="shared" si="49"/>
        <v>0.27529042821225524</v>
      </c>
      <c r="M44">
        <f t="shared" si="49"/>
        <v>-1.6715184244149972E-2</v>
      </c>
      <c r="N44">
        <f t="shared" si="49"/>
        <v>1.5174917031650581E-2</v>
      </c>
      <c r="O44">
        <f t="shared" si="49"/>
        <v>-0.16775411686478234</v>
      </c>
      <c r="P44">
        <f t="shared" si="49"/>
        <v>-0.16678922139771243</v>
      </c>
      <c r="Q44">
        <f t="shared" si="49"/>
        <v>-0.35216781297508015</v>
      </c>
      <c r="R44">
        <f t="shared" si="49"/>
        <v>-0.38701553480967854</v>
      </c>
      <c r="S44">
        <f t="shared" si="49"/>
        <v>0.39989764800552335</v>
      </c>
      <c r="T44">
        <f t="shared" si="49"/>
        <v>-0.28621735879493471</v>
      </c>
      <c r="U44">
        <f t="shared" si="49"/>
        <v>0.1918409732484618</v>
      </c>
      <c r="V44">
        <f t="shared" si="49"/>
        <v>-0.12187565213690138</v>
      </c>
      <c r="W44">
        <f t="shared" si="49"/>
        <v>0.30784292501212313</v>
      </c>
      <c r="X44">
        <f t="shared" si="49"/>
        <v>0.24266379859990253</v>
      </c>
      <c r="Y44">
        <f t="shared" si="49"/>
        <v>8.6056335802389694E-3</v>
      </c>
      <c r="Z44">
        <f t="shared" si="49"/>
        <v>6.4229964685789398E-2</v>
      </c>
      <c r="AA44">
        <f t="shared" si="49"/>
        <v>-0.3241597742392649</v>
      </c>
      <c r="AB44">
        <f t="shared" si="49"/>
        <v>-2.277671551056859E-2</v>
      </c>
      <c r="AC44">
        <f t="shared" si="49"/>
        <v>-0.11291164395544334</v>
      </c>
      <c r="AD44">
        <f t="shared" si="49"/>
        <v>4.3982541235832617E-2</v>
      </c>
      <c r="AE44">
        <f t="shared" si="49"/>
        <v>-6.9331665793518515E-2</v>
      </c>
      <c r="AF44">
        <f t="shared" si="49"/>
        <v>-0.20478285729820109</v>
      </c>
      <c r="AG44">
        <f t="shared" si="49"/>
        <v>0.1458690537153827</v>
      </c>
      <c r="AH44">
        <f t="shared" si="49"/>
        <v>-8.1620455773361272E-2</v>
      </c>
      <c r="AI44">
        <f t="shared" si="49"/>
        <v>9.74825124657967E-2</v>
      </c>
      <c r="AJ44">
        <f t="shared" si="49"/>
        <v>0.29971132297407288</v>
      </c>
      <c r="AK44">
        <f t="shared" ref="AK44:BG44" si="50">SIN(AK10*Deg2Rad)*COS(AK6*Deg2Rad)-COS(AK10*Deg2Rad)*SIN(AK6*Deg2Rad)*COS((AK11-AK5)*Deg2Rad)</f>
        <v>-0.37995176127002911</v>
      </c>
      <c r="AL44">
        <f t="shared" si="50"/>
        <v>0.14906961831294047</v>
      </c>
      <c r="AM44">
        <f t="shared" si="50"/>
        <v>0.1008780203748334</v>
      </c>
      <c r="AN44">
        <f t="shared" si="50"/>
        <v>-1.4943992614936438E-2</v>
      </c>
      <c r="AO44">
        <f t="shared" si="50"/>
        <v>-0.36681856305333599</v>
      </c>
      <c r="AP44">
        <f t="shared" si="50"/>
        <v>-8.6530947102810868E-2</v>
      </c>
      <c r="AQ44">
        <f t="shared" si="50"/>
        <v>-2.8676382935124756E-2</v>
      </c>
      <c r="AR44">
        <f t="shared" si="50"/>
        <v>-7.242813859345032E-2</v>
      </c>
      <c r="AS44">
        <f t="shared" si="50"/>
        <v>-0.14495199856375729</v>
      </c>
      <c r="AT44">
        <f t="shared" si="50"/>
        <v>-0.24320110163910039</v>
      </c>
      <c r="AU44">
        <f t="shared" si="50"/>
        <v>-3.7404677108952233E-2</v>
      </c>
      <c r="AV44">
        <f t="shared" si="50"/>
        <v>-3.2311429258555652E-2</v>
      </c>
      <c r="AW44">
        <f t="shared" si="50"/>
        <v>3.6455150612370035E-2</v>
      </c>
      <c r="AX44">
        <f t="shared" si="50"/>
        <v>-6.6869899688329931E-2</v>
      </c>
      <c r="AY44">
        <f t="shared" si="50"/>
        <v>-0.39331649627470455</v>
      </c>
      <c r="AZ44">
        <f t="shared" si="50"/>
        <v>-0.39812492480005263</v>
      </c>
      <c r="BA44">
        <f t="shared" si="50"/>
        <v>-0.36154629500624513</v>
      </c>
      <c r="BB44">
        <f t="shared" si="50"/>
        <v>-0.29217161276627468</v>
      </c>
      <c r="BC44">
        <f t="shared" si="50"/>
        <v>-0.20204333796179924</v>
      </c>
      <c r="BD44">
        <f t="shared" si="50"/>
        <v>-0.10572568150789952</v>
      </c>
      <c r="BE44">
        <f t="shared" si="50"/>
        <v>-1.9242660753950869E-2</v>
      </c>
      <c r="BF44">
        <f t="shared" si="50"/>
        <v>4.1875211304067017E-2</v>
      </c>
      <c r="BG44">
        <f t="shared" si="50"/>
        <v>-6.0046800312587439E-2</v>
      </c>
    </row>
    <row r="45" spans="1:59" x14ac:dyDescent="0.25">
      <c r="C45" t="s">
        <v>360</v>
      </c>
    </row>
    <row r="47" spans="1:59" x14ac:dyDescent="0.25">
      <c r="C47" t="s">
        <v>887</v>
      </c>
      <c r="D47" s="7" t="s">
        <v>358</v>
      </c>
      <c r="E47">
        <f t="shared" ref="E47:AJ47" si="51">ATAN2(E44,E43)*Rad2Deg</f>
        <v>-104.54453500136579</v>
      </c>
      <c r="F47">
        <f t="shared" si="51"/>
        <v>101.16906863054253</v>
      </c>
      <c r="G47">
        <f t="shared" si="51"/>
        <v>110.48142019956796</v>
      </c>
      <c r="H47">
        <f t="shared" si="51"/>
        <v>-107.79142991298248</v>
      </c>
      <c r="I47">
        <f t="shared" si="51"/>
        <v>83.308991726847424</v>
      </c>
      <c r="J47">
        <f t="shared" si="51"/>
        <v>66.950313466763475</v>
      </c>
      <c r="K47">
        <f t="shared" si="51"/>
        <v>-105.21406515968891</v>
      </c>
      <c r="L47">
        <f t="shared" si="51"/>
        <v>-71.083947950472464</v>
      </c>
      <c r="M47">
        <f t="shared" si="51"/>
        <v>97.0613390832915</v>
      </c>
      <c r="N47">
        <f t="shared" si="51"/>
        <v>79.953167198180211</v>
      </c>
      <c r="O47">
        <f t="shared" si="51"/>
        <v>102.61682159586249</v>
      </c>
      <c r="P47">
        <f t="shared" si="51"/>
        <v>-124.60214465596863</v>
      </c>
      <c r="Q47">
        <f t="shared" si="51"/>
        <v>-112.04996230075911</v>
      </c>
      <c r="R47">
        <f t="shared" si="51"/>
        <v>-113.08928405551515</v>
      </c>
      <c r="S47">
        <f t="shared" si="51"/>
        <v>-66.222676025220721</v>
      </c>
      <c r="T47">
        <f t="shared" si="51"/>
        <v>110.47758449132766</v>
      </c>
      <c r="U47">
        <f t="shared" si="51"/>
        <v>-60.386964493479269</v>
      </c>
      <c r="V47">
        <f t="shared" si="51"/>
        <v>98.825063922727111</v>
      </c>
      <c r="W47">
        <f t="shared" si="51"/>
        <v>-66.088128090054738</v>
      </c>
      <c r="X47">
        <f t="shared" si="51"/>
        <v>-74.955452184598229</v>
      </c>
      <c r="Y47">
        <f t="shared" si="51"/>
        <v>89.236482608931382</v>
      </c>
      <c r="Z47">
        <f t="shared" si="51"/>
        <v>-62.36464489515604</v>
      </c>
      <c r="AA47">
        <f t="shared" si="51"/>
        <v>111.39430805331985</v>
      </c>
      <c r="AB47">
        <f t="shared" si="51"/>
        <v>100.82773297430442</v>
      </c>
      <c r="AC47">
        <f t="shared" si="51"/>
        <v>-127.59421180307997</v>
      </c>
      <c r="AD47">
        <f t="shared" si="51"/>
        <v>-87.28873987801137</v>
      </c>
      <c r="AE47">
        <f t="shared" si="51"/>
        <v>159.72636381789223</v>
      </c>
      <c r="AF47">
        <f t="shared" si="51"/>
        <v>105.74794087611434</v>
      </c>
      <c r="AG47">
        <f t="shared" si="51"/>
        <v>55.373653756940499</v>
      </c>
      <c r="AH47">
        <f t="shared" si="51"/>
        <v>-105.68766163198687</v>
      </c>
      <c r="AI47">
        <f t="shared" si="51"/>
        <v>77.118312842808791</v>
      </c>
      <c r="AJ47">
        <f t="shared" si="51"/>
        <v>-71.487776271982213</v>
      </c>
      <c r="AK47">
        <f t="shared" ref="AK47:BG47" si="52">ATAN2(AK44,AK43)*Rad2Deg</f>
        <v>112.60794475939755</v>
      </c>
      <c r="AL47">
        <f t="shared" si="52"/>
        <v>-45.293331025400342</v>
      </c>
      <c r="AM47">
        <f t="shared" si="52"/>
        <v>-74.578051672463971</v>
      </c>
      <c r="AN47">
        <f t="shared" si="52"/>
        <v>-92.948208686342014</v>
      </c>
      <c r="AO47">
        <f t="shared" si="52"/>
        <v>115.27931209641325</v>
      </c>
      <c r="AP47">
        <f t="shared" si="52"/>
        <v>155.9545160213512</v>
      </c>
      <c r="AQ47">
        <f t="shared" si="52"/>
        <v>-91.649377262724272</v>
      </c>
      <c r="AR47">
        <f t="shared" si="52"/>
        <v>-145.8036856391532</v>
      </c>
      <c r="AS47">
        <f t="shared" si="52"/>
        <v>98.355772914740399</v>
      </c>
      <c r="AT47">
        <f t="shared" si="52"/>
        <v>-104.10444453525221</v>
      </c>
      <c r="AU47">
        <f t="shared" si="52"/>
        <v>124.51549711289201</v>
      </c>
      <c r="AV47">
        <f t="shared" si="52"/>
        <v>99.763999695640848</v>
      </c>
      <c r="AW47">
        <f t="shared" si="52"/>
        <v>54.482884052642206</v>
      </c>
      <c r="AX47">
        <f t="shared" si="52"/>
        <v>124.56767405742484</v>
      </c>
      <c r="AY47">
        <f t="shared" si="52"/>
        <v>-113.25406369927363</v>
      </c>
      <c r="AZ47">
        <f t="shared" si="52"/>
        <v>-114.68180272803745</v>
      </c>
      <c r="BA47">
        <f t="shared" si="52"/>
        <v>-114.6395598167808</v>
      </c>
      <c r="BB47">
        <f t="shared" si="52"/>
        <v>-113.12168029217423</v>
      </c>
      <c r="BC47">
        <f t="shared" si="52"/>
        <v>-109.98152391901529</v>
      </c>
      <c r="BD47">
        <f t="shared" si="52"/>
        <v>-104.68916942558018</v>
      </c>
      <c r="BE47">
        <f t="shared" si="52"/>
        <v>-94.794679979851765</v>
      </c>
      <c r="BF47">
        <f t="shared" si="52"/>
        <v>-43.156056469770554</v>
      </c>
      <c r="BG47">
        <f t="shared" si="52"/>
        <v>136.87450329763072</v>
      </c>
    </row>
    <row r="48" spans="1:59" x14ac:dyDescent="0.25">
      <c r="C48" t="s">
        <v>888</v>
      </c>
      <c r="E48">
        <f t="shared" ref="E48:V48" si="53">MOD(E47,360)</f>
        <v>255.45546499863423</v>
      </c>
      <c r="F48">
        <f t="shared" si="53"/>
        <v>101.16906863054253</v>
      </c>
      <c r="G48">
        <f t="shared" si="53"/>
        <v>110.48142019956796</v>
      </c>
      <c r="H48">
        <f t="shared" si="53"/>
        <v>252.20857008701751</v>
      </c>
      <c r="I48">
        <f t="shared" si="53"/>
        <v>83.308991726847424</v>
      </c>
      <c r="J48">
        <f t="shared" si="53"/>
        <v>66.950313466763475</v>
      </c>
      <c r="K48">
        <f t="shared" si="53"/>
        <v>254.78593484031109</v>
      </c>
      <c r="L48">
        <f t="shared" si="53"/>
        <v>288.91605204952754</v>
      </c>
      <c r="M48">
        <f t="shared" si="53"/>
        <v>97.0613390832915</v>
      </c>
      <c r="N48">
        <f t="shared" si="53"/>
        <v>79.953167198180211</v>
      </c>
      <c r="O48">
        <f t="shared" si="53"/>
        <v>102.61682159586249</v>
      </c>
      <c r="P48">
        <f t="shared" si="53"/>
        <v>235.39785534403137</v>
      </c>
      <c r="Q48">
        <f t="shared" si="53"/>
        <v>247.95003769924091</v>
      </c>
      <c r="R48">
        <f t="shared" si="53"/>
        <v>246.91071594448485</v>
      </c>
      <c r="S48">
        <f t="shared" si="53"/>
        <v>293.77732397477928</v>
      </c>
      <c r="T48">
        <f t="shared" si="53"/>
        <v>110.47758449132766</v>
      </c>
      <c r="U48">
        <f t="shared" si="53"/>
        <v>299.61303550652076</v>
      </c>
      <c r="V48">
        <f t="shared" si="53"/>
        <v>98.825063922727111</v>
      </c>
      <c r="W48">
        <f>MOD(W47,360)</f>
        <v>293.91187190994526</v>
      </c>
      <c r="X48" s="8">
        <f>MOD(X47,360)</f>
        <v>285.04454781540176</v>
      </c>
      <c r="Y48">
        <f>MOD(Y47,360)</f>
        <v>89.236482608931382</v>
      </c>
      <c r="Z48">
        <f t="shared" ref="Z48:BG48" si="54">MOD(Z47,360)</f>
        <v>297.63535510484394</v>
      </c>
      <c r="AA48">
        <f t="shared" si="54"/>
        <v>111.39430805331985</v>
      </c>
      <c r="AB48">
        <f t="shared" si="54"/>
        <v>100.82773297430442</v>
      </c>
      <c r="AC48">
        <f t="shared" si="54"/>
        <v>232.40578819692001</v>
      </c>
      <c r="AD48">
        <f t="shared" si="54"/>
        <v>272.71126012198863</v>
      </c>
      <c r="AE48">
        <f t="shared" si="54"/>
        <v>159.72636381789223</v>
      </c>
      <c r="AF48">
        <f t="shared" si="54"/>
        <v>105.74794087611434</v>
      </c>
      <c r="AG48">
        <f t="shared" si="54"/>
        <v>55.373653756940499</v>
      </c>
      <c r="AH48">
        <f t="shared" si="54"/>
        <v>254.31233836801312</v>
      </c>
      <c r="AI48">
        <f t="shared" si="54"/>
        <v>77.118312842808791</v>
      </c>
      <c r="AJ48">
        <f t="shared" si="54"/>
        <v>288.51222372801777</v>
      </c>
      <c r="AK48">
        <f t="shared" si="54"/>
        <v>112.60794475939755</v>
      </c>
      <c r="AL48">
        <f t="shared" si="54"/>
        <v>314.70666897459967</v>
      </c>
      <c r="AM48">
        <f t="shared" si="54"/>
        <v>285.42194832753603</v>
      </c>
      <c r="AN48">
        <f t="shared" si="54"/>
        <v>267.05179131365799</v>
      </c>
      <c r="AO48">
        <f t="shared" si="54"/>
        <v>115.27931209641325</v>
      </c>
      <c r="AP48">
        <f t="shared" si="54"/>
        <v>155.9545160213512</v>
      </c>
      <c r="AQ48">
        <f t="shared" si="54"/>
        <v>268.35062273727573</v>
      </c>
      <c r="AR48">
        <f t="shared" si="54"/>
        <v>214.1963143608468</v>
      </c>
      <c r="AS48">
        <f t="shared" si="54"/>
        <v>98.355772914740399</v>
      </c>
      <c r="AT48">
        <f t="shared" si="54"/>
        <v>255.89555546474779</v>
      </c>
      <c r="AU48">
        <f t="shared" si="54"/>
        <v>124.51549711289201</v>
      </c>
      <c r="AV48">
        <f t="shared" si="54"/>
        <v>99.763999695640848</v>
      </c>
      <c r="AW48">
        <f t="shared" si="54"/>
        <v>54.482884052642206</v>
      </c>
      <c r="AX48">
        <f t="shared" si="54"/>
        <v>124.56767405742484</v>
      </c>
      <c r="AY48">
        <f t="shared" si="54"/>
        <v>246.74593630072638</v>
      </c>
      <c r="AZ48">
        <f t="shared" si="54"/>
        <v>245.31819727196256</v>
      </c>
      <c r="BA48">
        <f t="shared" si="54"/>
        <v>245.3604401832192</v>
      </c>
      <c r="BB48">
        <f t="shared" si="54"/>
        <v>246.87831970782577</v>
      </c>
      <c r="BC48">
        <f t="shared" si="54"/>
        <v>250.01847608098473</v>
      </c>
      <c r="BD48">
        <f t="shared" si="54"/>
        <v>255.31083057441981</v>
      </c>
      <c r="BE48">
        <f t="shared" si="54"/>
        <v>265.20532002014824</v>
      </c>
      <c r="BF48">
        <f t="shared" si="54"/>
        <v>316.84394353022947</v>
      </c>
      <c r="BG48">
        <f t="shared" si="54"/>
        <v>136.87450329763072</v>
      </c>
    </row>
    <row r="49" spans="3:59" x14ac:dyDescent="0.25">
      <c r="C49" t="s">
        <v>898</v>
      </c>
      <c r="X49" s="268">
        <v>285</v>
      </c>
    </row>
    <row r="50" spans="3:59" x14ac:dyDescent="0.25">
      <c r="C50" s="6" t="s">
        <v>890</v>
      </c>
      <c r="E50" s="71" t="str">
        <f>IF(E41="Full","",IF(E41="New","",IF(E48&gt;=200,"Waxing", "Waning")))</f>
        <v>Waxing</v>
      </c>
      <c r="F50" s="71" t="str">
        <f t="shared" ref="F50:BG50" si="55">IF(F41="Full","",IF(F41="New","",IF(F48&gt;=200,"Waxing", "Waning")))</f>
        <v>Waning</v>
      </c>
      <c r="G50" s="71" t="str">
        <f t="shared" si="55"/>
        <v>Waning</v>
      </c>
      <c r="H50" s="71" t="str">
        <f t="shared" si="55"/>
        <v>Waxing</v>
      </c>
      <c r="I50" s="71" t="str">
        <f t="shared" si="55"/>
        <v>Waning</v>
      </c>
      <c r="J50" s="71" t="str">
        <f t="shared" si="55"/>
        <v>Waning</v>
      </c>
      <c r="K50" s="71" t="str">
        <f t="shared" si="55"/>
        <v>Waxing</v>
      </c>
      <c r="L50" s="71" t="str">
        <f t="shared" si="55"/>
        <v>Waxing</v>
      </c>
      <c r="M50" s="71" t="str">
        <f t="shared" si="55"/>
        <v>Waning</v>
      </c>
      <c r="N50" s="71" t="str">
        <f t="shared" si="55"/>
        <v/>
      </c>
      <c r="O50" s="71" t="str">
        <f t="shared" si="55"/>
        <v>Waning</v>
      </c>
      <c r="P50" s="71" t="str">
        <f t="shared" si="55"/>
        <v>Waxing</v>
      </c>
      <c r="Q50" s="71" t="str">
        <f t="shared" si="55"/>
        <v>Waxing</v>
      </c>
      <c r="R50" s="71" t="str">
        <f t="shared" si="55"/>
        <v>Waxing</v>
      </c>
      <c r="S50" s="71" t="str">
        <f t="shared" si="55"/>
        <v>Waxing</v>
      </c>
      <c r="T50" s="71" t="str">
        <f t="shared" si="55"/>
        <v>Waning</v>
      </c>
      <c r="U50" s="71" t="str">
        <f t="shared" si="55"/>
        <v>Waxing</v>
      </c>
      <c r="V50" s="71" t="str">
        <f t="shared" si="55"/>
        <v>Waning</v>
      </c>
      <c r="W50" s="71" t="str">
        <f t="shared" si="55"/>
        <v>Waxing</v>
      </c>
      <c r="X50" s="71" t="str">
        <f t="shared" si="55"/>
        <v>Waxing</v>
      </c>
      <c r="Y50" s="71" t="str">
        <f t="shared" si="55"/>
        <v>Waning</v>
      </c>
      <c r="Z50" s="71" t="str">
        <f t="shared" si="55"/>
        <v>Waxing</v>
      </c>
      <c r="AA50" s="71" t="str">
        <f t="shared" si="55"/>
        <v>Waning</v>
      </c>
      <c r="AB50" s="71" t="str">
        <f t="shared" si="55"/>
        <v>Waning</v>
      </c>
      <c r="AC50" s="71" t="str">
        <f t="shared" si="55"/>
        <v/>
      </c>
      <c r="AD50" s="71" t="str">
        <f t="shared" si="55"/>
        <v>Waxing</v>
      </c>
      <c r="AE50" s="71" t="str">
        <f t="shared" si="55"/>
        <v/>
      </c>
      <c r="AF50" s="71" t="str">
        <f t="shared" si="55"/>
        <v>Waning</v>
      </c>
      <c r="AG50" s="71" t="str">
        <f t="shared" si="55"/>
        <v>Waning</v>
      </c>
      <c r="AH50" s="71" t="str">
        <f t="shared" si="55"/>
        <v/>
      </c>
      <c r="AI50" s="71" t="str">
        <f t="shared" si="55"/>
        <v>Waning</v>
      </c>
      <c r="AJ50" s="71" t="str">
        <f t="shared" si="55"/>
        <v>Waxing</v>
      </c>
      <c r="AK50" s="71" t="str">
        <f t="shared" si="55"/>
        <v>Waning</v>
      </c>
      <c r="AL50" s="71" t="str">
        <f t="shared" si="55"/>
        <v>Waxing</v>
      </c>
      <c r="AM50" s="71" t="str">
        <f t="shared" si="55"/>
        <v>Waxing</v>
      </c>
      <c r="AN50" s="71" t="str">
        <f t="shared" si="55"/>
        <v>Waxing</v>
      </c>
      <c r="AO50" s="71" t="str">
        <f t="shared" si="55"/>
        <v>Waning</v>
      </c>
      <c r="AP50" s="71" t="str">
        <f t="shared" si="55"/>
        <v/>
      </c>
      <c r="AQ50" s="71" t="str">
        <f t="shared" si="55"/>
        <v>Waxing</v>
      </c>
      <c r="AR50" s="71" t="str">
        <f t="shared" si="55"/>
        <v/>
      </c>
      <c r="AS50" s="71" t="str">
        <f t="shared" si="55"/>
        <v>Waning</v>
      </c>
      <c r="AT50" s="71" t="str">
        <f t="shared" si="55"/>
        <v>Waxing</v>
      </c>
      <c r="AU50" s="71" t="str">
        <f t="shared" si="55"/>
        <v/>
      </c>
      <c r="AV50" s="71" t="str">
        <f t="shared" si="55"/>
        <v>Waning</v>
      </c>
      <c r="AW50" s="71" t="str">
        <f t="shared" si="55"/>
        <v/>
      </c>
      <c r="AX50" s="71" t="str">
        <f t="shared" si="55"/>
        <v/>
      </c>
      <c r="AY50" s="71" t="str">
        <f t="shared" si="55"/>
        <v>Waxing</v>
      </c>
      <c r="AZ50" s="71" t="str">
        <f t="shared" si="55"/>
        <v>Waxing</v>
      </c>
      <c r="BA50" s="71" t="str">
        <f t="shared" si="55"/>
        <v>Waxing</v>
      </c>
      <c r="BB50" s="71" t="str">
        <f t="shared" si="55"/>
        <v>Waxing</v>
      </c>
      <c r="BC50" s="71" t="str">
        <f t="shared" si="55"/>
        <v>Waxing</v>
      </c>
      <c r="BD50" s="71" t="str">
        <f t="shared" si="55"/>
        <v>Waxing</v>
      </c>
      <c r="BE50" s="71" t="str">
        <f t="shared" si="55"/>
        <v>Waxing</v>
      </c>
      <c r="BF50" s="71" t="str">
        <f t="shared" si="55"/>
        <v/>
      </c>
      <c r="BG50" s="71" t="str">
        <f t="shared" si="55"/>
        <v/>
      </c>
    </row>
    <row r="51" spans="3:59" x14ac:dyDescent="0.25">
      <c r="C51" s="6" t="s">
        <v>889</v>
      </c>
      <c r="AI51" t="str">
        <f>AI2</f>
        <v>8.b</v>
      </c>
      <c r="AJ51" t="str">
        <f t="shared" ref="AJ51:BG51" si="56">AJ2</f>
        <v>8.c</v>
      </c>
      <c r="AK51" t="str">
        <f t="shared" si="56"/>
        <v>8.d</v>
      </c>
      <c r="AL51" t="str">
        <f t="shared" si="56"/>
        <v>9.a</v>
      </c>
      <c r="AM51" t="str">
        <f t="shared" si="56"/>
        <v>Muslim date 1-1-1</v>
      </c>
      <c r="AN51" t="str">
        <f t="shared" si="56"/>
        <v>9.b</v>
      </c>
      <c r="AO51" t="str">
        <f t="shared" si="56"/>
        <v>Gregorian Epoch</v>
      </c>
      <c r="AP51" t="str">
        <f t="shared" si="56"/>
        <v>New Moon</v>
      </c>
      <c r="AQ51" t="str">
        <f t="shared" si="56"/>
        <v>1st Qtr Moon</v>
      </c>
      <c r="AR51" t="str">
        <f t="shared" si="56"/>
        <v>Full Moon</v>
      </c>
      <c r="AS51" t="str">
        <f t="shared" si="56"/>
        <v>3rd Qtr Moon</v>
      </c>
      <c r="AT51" t="str">
        <f t="shared" si="56"/>
        <v>Eclipse</v>
      </c>
      <c r="AU51" t="str">
        <f t="shared" si="56"/>
        <v>54.c lunar eclipse</v>
      </c>
      <c r="AV51" t="str">
        <f t="shared" si="56"/>
        <v>54.d lunar eclipse</v>
      </c>
      <c r="AW51" t="str">
        <f t="shared" si="56"/>
        <v>p 387 eclipse</v>
      </c>
      <c r="AX51" t="str">
        <f t="shared" si="56"/>
        <v>p 387</v>
      </c>
      <c r="AY51" t="str">
        <f t="shared" si="56"/>
        <v>new+16</v>
      </c>
      <c r="AZ51" t="str">
        <f t="shared" si="56"/>
        <v>new+17</v>
      </c>
      <c r="BA51" t="str">
        <f t="shared" si="56"/>
        <v>new+18</v>
      </c>
      <c r="BB51" t="str">
        <f t="shared" si="56"/>
        <v>new+19</v>
      </c>
      <c r="BC51" t="str">
        <f t="shared" si="56"/>
        <v>new+20</v>
      </c>
      <c r="BD51" t="str">
        <f t="shared" si="56"/>
        <v>new+21</v>
      </c>
      <c r="BE51" t="str">
        <f t="shared" si="56"/>
        <v>new+22 3rd</v>
      </c>
      <c r="BF51" t="str">
        <f t="shared" si="56"/>
        <v>new+23</v>
      </c>
      <c r="BG51" t="str">
        <f t="shared" si="56"/>
        <v>z</v>
      </c>
    </row>
    <row r="53" spans="3:59" x14ac:dyDescent="0.25">
      <c r="C53" s="340" t="s">
        <v>899</v>
      </c>
      <c r="D53" s="340"/>
      <c r="E53" s="340"/>
    </row>
    <row r="54" spans="3:59" x14ac:dyDescent="0.25">
      <c r="AI54" s="270"/>
    </row>
    <row r="57" spans="3:59" x14ac:dyDescent="0.25">
      <c r="AK57" s="270"/>
    </row>
    <row r="58" spans="3:59" x14ac:dyDescent="0.25">
      <c r="AK58" s="270"/>
    </row>
    <row r="59" spans="3:59" x14ac:dyDescent="0.25">
      <c r="AK59" s="29"/>
    </row>
    <row r="60" spans="3:59" x14ac:dyDescent="0.25">
      <c r="AK60" s="29"/>
    </row>
    <row r="61" spans="3:59" x14ac:dyDescent="0.25">
      <c r="AK61" s="29"/>
    </row>
  </sheetData>
  <mergeCells count="2">
    <mergeCell ref="A1:D1"/>
    <mergeCell ref="C53:E5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02D4-60CC-4D40-8308-DCF4737C056E}">
  <dimension ref="A1:BG390"/>
  <sheetViews>
    <sheetView topLeftCell="A200" workbookViewId="0">
      <selection activeCell="AV224" sqref="AV224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41.140625" bestFit="1" customWidth="1"/>
    <col min="4" max="4" width="10.85546875" style="7" bestFit="1" customWidth="1"/>
    <col min="5" max="5" width="18.28515625" bestFit="1" customWidth="1"/>
    <col min="6" max="13" width="18.28515625" hidden="1" customWidth="1"/>
    <col min="14" max="14" width="17.85546875" hidden="1" customWidth="1"/>
    <col min="15" max="15" width="19.85546875" hidden="1" customWidth="1"/>
    <col min="16" max="16" width="18.85546875" hidden="1" customWidth="1"/>
    <col min="17" max="19" width="19.5703125" hidden="1" customWidth="1"/>
    <col min="20" max="22" width="20.5703125" hidden="1" customWidth="1"/>
    <col min="23" max="36" width="18.28515625" hidden="1" customWidth="1"/>
    <col min="37" max="37" width="19.85546875" hidden="1" customWidth="1"/>
    <col min="38" max="38" width="18.28515625" hidden="1" customWidth="1"/>
    <col min="39" max="39" width="17.85546875" hidden="1" customWidth="1"/>
    <col min="40" max="40" width="18.28515625" hidden="1" customWidth="1"/>
    <col min="41" max="41" width="17.85546875" hidden="1" customWidth="1"/>
    <col min="42" max="45" width="18.28515625" hidden="1" customWidth="1"/>
    <col min="46" max="59" width="18.28515625" bestFit="1" customWidth="1"/>
  </cols>
  <sheetData>
    <row r="1" spans="1:59" ht="15.75" x14ac:dyDescent="0.25">
      <c r="A1" s="338" t="s">
        <v>368</v>
      </c>
      <c r="B1" s="338"/>
      <c r="C1" s="338"/>
      <c r="D1" s="338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67" t="s">
        <v>291</v>
      </c>
      <c r="D3" s="68" t="s">
        <v>168</v>
      </c>
      <c r="E3" s="61">
        <f>Examples!E3</f>
        <v>21097.81</v>
      </c>
      <c r="F3" s="61" t="str">
        <f>Examples!F3</f>
        <v>0333-01-27 12:00:00</v>
      </c>
      <c r="G3" s="61">
        <f>Examples!G3</f>
        <v>36526.5</v>
      </c>
      <c r="H3" s="61">
        <f>Examples!H3</f>
        <v>36161</v>
      </c>
      <c r="I3" s="61">
        <f>Examples!I3</f>
        <v>31804</v>
      </c>
      <c r="J3" s="61">
        <f>Examples!J3</f>
        <v>31947.5</v>
      </c>
      <c r="K3" s="61">
        <f>Examples!K3</f>
        <v>32169</v>
      </c>
      <c r="L3" s="61">
        <f>Examples!L3</f>
        <v>32313.5</v>
      </c>
      <c r="M3" s="61">
        <f>Examples!M3</f>
        <v>1.000011574074074</v>
      </c>
      <c r="N3" s="61" t="str">
        <f>Examples!N3</f>
        <v>1600-01-01</v>
      </c>
      <c r="O3" s="61" t="str">
        <f>Examples!O3</f>
        <v>1600-12-31</v>
      </c>
      <c r="P3" s="61" t="str">
        <f>Examples!P3</f>
        <v>0837-04-10 07:12</v>
      </c>
      <c r="Q3" s="61" t="str">
        <f>Examples!Q3</f>
        <v>-0123-12-31</v>
      </c>
      <c r="R3" s="61" t="str">
        <f>Examples!R3</f>
        <v>-0122-01-01</v>
      </c>
      <c r="S3" s="61" t="str">
        <f>Examples!S3</f>
        <v>-1000-07-12 12:00</v>
      </c>
      <c r="T3" s="61" t="str">
        <f>Examples!T3</f>
        <v>-1000-02-29</v>
      </c>
      <c r="U3" s="61" t="str">
        <f>Examples!U3</f>
        <v>-1001-08-17 21:36</v>
      </c>
      <c r="V3" s="61" t="str">
        <f>Examples!V3</f>
        <v>-4712-01-01 12:00</v>
      </c>
      <c r="W3" s="61">
        <f>Examples!W3</f>
        <v>31877</v>
      </c>
      <c r="X3" s="61">
        <f>Examples!X3</f>
        <v>33706</v>
      </c>
      <c r="Y3" s="61">
        <f>Examples!Y3</f>
        <v>28171</v>
      </c>
      <c r="Z3" s="61">
        <f>Examples!Z3</f>
        <v>52597</v>
      </c>
      <c r="AA3" s="61">
        <f>Examples!AA3</f>
        <v>36526</v>
      </c>
      <c r="AB3" s="61">
        <f>Examples!AB3</f>
        <v>19905</v>
      </c>
      <c r="AC3" s="61">
        <f>Examples!AC3</f>
        <v>28808</v>
      </c>
      <c r="AD3" s="61">
        <f>Examples!AD3</f>
        <v>32255</v>
      </c>
      <c r="AE3" s="61">
        <f>Examples!AE3</f>
        <v>28174.151157407407</v>
      </c>
      <c r="AF3" s="61">
        <f>Examples!AF3</f>
        <v>33958</v>
      </c>
      <c r="AG3" s="61">
        <f>Examples!AG3</f>
        <v>33890</v>
      </c>
      <c r="AH3" s="61">
        <f>Examples!AH3</f>
        <v>33298</v>
      </c>
      <c r="AI3" s="61">
        <f>Examples!AI3</f>
        <v>33695</v>
      </c>
      <c r="AJ3" s="61">
        <f>Examples!AJ3</f>
        <v>34090</v>
      </c>
      <c r="AK3" s="61" t="str">
        <f>Examples!AK3</f>
        <v>1818-01-01</v>
      </c>
      <c r="AL3" s="61">
        <f>Examples!AL3</f>
        <v>33136</v>
      </c>
      <c r="AM3" s="61" t="str">
        <f>Examples!AM3</f>
        <v>0622-07-16</v>
      </c>
      <c r="AN3" s="61">
        <f>Examples!AN3</f>
        <v>36622</v>
      </c>
      <c r="AO3" s="61" t="str">
        <f>Examples!AO3</f>
        <v>0001-01-03</v>
      </c>
      <c r="AP3" s="61">
        <f>Examples!AP3</f>
        <v>44829.57916666667</v>
      </c>
      <c r="AQ3" s="61">
        <f>Examples!AQ3</f>
        <v>44836.634722222225</v>
      </c>
      <c r="AR3" s="61">
        <f>Examples!AR3</f>
        <v>44843.537499999999</v>
      </c>
      <c r="AS3" s="61">
        <f>Examples!AS3</f>
        <v>44851.34375</v>
      </c>
      <c r="AT3" s="61">
        <f>Examples!AT3</f>
        <v>44866</v>
      </c>
      <c r="AU3" s="61">
        <f>Examples!AU3</f>
        <v>26816</v>
      </c>
      <c r="AV3" s="61">
        <f>Examples!AV3</f>
        <v>35674</v>
      </c>
      <c r="AW3" s="61">
        <f>Examples!AW3</f>
        <v>12789</v>
      </c>
      <c r="AX3" s="61">
        <f>Examples!AX3</f>
        <v>20925</v>
      </c>
      <c r="AY3" s="61">
        <f>Examples!AY3</f>
        <v>44896</v>
      </c>
      <c r="AZ3" s="61">
        <f>Examples!AZ3</f>
        <v>44897</v>
      </c>
      <c r="BA3" s="61">
        <f>Examples!BA3</f>
        <v>44898</v>
      </c>
      <c r="BB3" s="61">
        <f>Examples!BB3</f>
        <v>44899</v>
      </c>
      <c r="BC3" s="61">
        <f>Examples!BC3</f>
        <v>44900</v>
      </c>
      <c r="BD3" s="61">
        <f>Examples!BD3</f>
        <v>44901</v>
      </c>
      <c r="BE3" s="61">
        <f>Examples!BE3</f>
        <v>44902</v>
      </c>
      <c r="BF3" s="61">
        <f>Examples!BF3</f>
        <v>44903</v>
      </c>
      <c r="BG3" s="61">
        <f>Examples!BG3</f>
        <v>28174</v>
      </c>
    </row>
    <row r="4" spans="1:59" x14ac:dyDescent="0.25">
      <c r="A4" s="7"/>
      <c r="B4" s="26"/>
      <c r="C4" s="117" t="s">
        <v>560</v>
      </c>
      <c r="D4" s="119"/>
      <c r="E4" s="120">
        <f>'07JD'!E90</f>
        <v>21116.19719602447</v>
      </c>
      <c r="F4" s="120" t="str">
        <f>'07JD'!F90</f>
        <v>333-3-2 22:29:5.54</v>
      </c>
      <c r="G4" s="120">
        <f>'07JD'!G90</f>
        <v>36531.760257791262</v>
      </c>
      <c r="H4" s="120">
        <f>'07JD'!H90</f>
        <v>36177.657837793231</v>
      </c>
      <c r="I4" s="120">
        <f>'07JD'!I90</f>
        <v>31806.573188359849</v>
      </c>
      <c r="J4" s="120">
        <f>'07JD'!J90</f>
        <v>31954.234533697832</v>
      </c>
      <c r="K4" s="120">
        <f>'07JD'!K90</f>
        <v>32161.226696273778</v>
      </c>
      <c r="L4" s="120">
        <f>'07JD'!L90</f>
        <v>32308.385188464075</v>
      </c>
      <c r="M4" s="120">
        <f>'07JD'!M90</f>
        <v>1.5776915256865323</v>
      </c>
      <c r="N4" s="120" t="str">
        <f>'07JD'!N90</f>
        <v>1600-1-16 5:7:43.43</v>
      </c>
      <c r="O4" s="120" t="str">
        <f>'07JD'!O90</f>
        <v>1601-2-3 4:43:51.51</v>
      </c>
      <c r="P4" s="120" t="str">
        <f>'07JD'!P90</f>
        <v>837-4-8 23:13:43.43</v>
      </c>
      <c r="Q4" s="120" t="str">
        <f>'07JD'!Q90</f>
        <v>-122-1-23 8:58:2.25</v>
      </c>
      <c r="R4" s="120" t="str">
        <f>'07JD'!R90</f>
        <v>-123-12-24 14:20:3.36</v>
      </c>
      <c r="S4" s="120" t="str">
        <f>'07JD'!S90</f>
        <v>-1000-7-6 3:3:21.21</v>
      </c>
      <c r="T4" s="120" t="str">
        <f>'07JD'!T90</f>
        <v>-1000-4-9 5:59:8.88</v>
      </c>
      <c r="U4" s="120" t="str">
        <f>'07JD'!U90</f>
        <v>-1001-8-15 23:52:43.43</v>
      </c>
      <c r="V4" s="120" t="str">
        <f>'07JD'!V90</f>
        <v>-4712-1-11 6:10:47.47</v>
      </c>
      <c r="W4" s="120">
        <f>'07JD'!W90</f>
        <v>31895.066107186023</v>
      </c>
      <c r="X4" s="120">
        <f>'07JD'!X90</f>
        <v>33726.739891719073</v>
      </c>
      <c r="Y4" s="120">
        <f>'07JD'!Y90</f>
        <v>28174.15118268365</v>
      </c>
      <c r="Z4" s="120">
        <f>'07JD'!Z90</f>
        <v>52596.409288668539</v>
      </c>
      <c r="AA4" s="120">
        <f>'07JD'!AA90</f>
        <v>36531.760257791262</v>
      </c>
      <c r="AB4" s="120">
        <f>'07JD'!AB90</f>
        <v>19905.518249634188</v>
      </c>
      <c r="AC4" s="120">
        <f>'07JD'!AC90</f>
        <v>28824.347401978448</v>
      </c>
      <c r="AD4" s="120">
        <f>'07JD'!AD90</f>
        <v>32249.500564297661</v>
      </c>
      <c r="AE4" s="120">
        <f>'07JD'!AE90</f>
        <v>28174.15118268365</v>
      </c>
      <c r="AF4" s="120">
        <f>'07JD'!AF90</f>
        <v>33962.030430479441</v>
      </c>
      <c r="AG4" s="120">
        <f>'07JD'!AG90</f>
        <v>33902.8574780114</v>
      </c>
      <c r="AH4" s="120">
        <f>'07JD'!AH90</f>
        <v>33313.341374580283</v>
      </c>
      <c r="AI4" s="120">
        <f>'07JD'!AI90</f>
        <v>33697.210075245239</v>
      </c>
      <c r="AJ4" s="120">
        <f>'07JD'!AJ90</f>
        <v>34110.588611789513</v>
      </c>
      <c r="AK4" s="120" t="str">
        <f>'07JD'!AK90</f>
        <v>1818-1-6 23:42:49.49</v>
      </c>
      <c r="AL4" s="120">
        <f>'07JD'!AL90</f>
        <v>33135.032788457349</v>
      </c>
      <c r="AM4" s="120" t="str">
        <f>'07JD'!AM90</f>
        <v>622-7-14 6:42:47.47</v>
      </c>
      <c r="AN4" s="120">
        <f>'07JD'!AN90</f>
        <v>36620.759100174531</v>
      </c>
      <c r="AO4" s="120" t="str">
        <f>'07JD'!AO90</f>
        <v>1-1-13 13:57:4.43</v>
      </c>
      <c r="AP4" s="120">
        <f>'07JD'!AP90</f>
        <v>44829.913620128296</v>
      </c>
      <c r="AQ4" s="120">
        <f>'07JD'!AQ90</f>
        <v>44829.913620128296</v>
      </c>
      <c r="AR4" s="120">
        <f>'07JD'!AR90</f>
        <v>44859.451232156716</v>
      </c>
      <c r="AS4" s="120">
        <f>'07JD'!AS90</f>
        <v>44859.451232156716</v>
      </c>
      <c r="AT4" s="120">
        <f>'07JD'!AT90</f>
        <v>44859.451232156716</v>
      </c>
      <c r="AU4" s="120">
        <f>'07JD'!AU90</f>
        <v>26816.190961009823</v>
      </c>
      <c r="AV4" s="120">
        <f>'07JD'!AV90</f>
        <v>35674.994955319446</v>
      </c>
      <c r="AW4" s="120">
        <f>'07JD'!AW90</f>
        <v>12789.222554526757</v>
      </c>
      <c r="AX4" s="120">
        <f>'07JD'!AX90</f>
        <v>20939.996080751996</v>
      </c>
      <c r="AY4" s="120">
        <f>'07JD'!AY90</f>
        <v>44888.957164985128</v>
      </c>
      <c r="AZ4" s="120">
        <f>'07JD'!AZ90</f>
        <v>44888.957164985128</v>
      </c>
      <c r="BA4" s="120">
        <f>'07JD'!BA90</f>
        <v>44918.429170388263</v>
      </c>
      <c r="BB4" s="120">
        <f>'07JD'!BB90</f>
        <v>44918.429170388263</v>
      </c>
      <c r="BC4" s="120">
        <f>'07JD'!BC90</f>
        <v>44918.429170388263</v>
      </c>
      <c r="BD4" s="120">
        <f>'07JD'!BD90</f>
        <v>44918.429170388263</v>
      </c>
      <c r="BE4" s="120">
        <f>'07JD'!BE90</f>
        <v>44918.429170388263</v>
      </c>
      <c r="BF4" s="120">
        <f>'07JD'!BF90</f>
        <v>44918.429170388263</v>
      </c>
      <c r="BG4" s="120">
        <f>'07JD'!BG90</f>
        <v>28174.15118268365</v>
      </c>
    </row>
    <row r="5" spans="1:59" x14ac:dyDescent="0.25">
      <c r="A5" s="7"/>
      <c r="B5" s="26"/>
      <c r="C5" s="117" t="s">
        <v>566</v>
      </c>
      <c r="D5" s="119"/>
      <c r="E5" s="120">
        <f>'07JD'!E115</f>
        <v>21123.450242244639</v>
      </c>
      <c r="F5" s="120" t="str">
        <f>'07JD'!F115</f>
        <v>333-3-10 4:7:21.21</v>
      </c>
      <c r="G5" s="120">
        <f>'07JD'!G115</f>
        <v>36539.566086384002</v>
      </c>
      <c r="H5" s="120">
        <f>'07JD'!H115</f>
        <v>36184.802979915403</v>
      </c>
      <c r="I5" s="120">
        <f>'07JD'!I115</f>
        <v>31813.681776707992</v>
      </c>
      <c r="J5" s="120">
        <f>'07JD'!J115</f>
        <v>31962.357663162518</v>
      </c>
      <c r="K5" s="120">
        <f>'07JD'!K115</f>
        <v>32167.912847874686</v>
      </c>
      <c r="L5" s="120">
        <f>'07JD'!L115</f>
        <v>32316.43325295113</v>
      </c>
      <c r="M5" s="120">
        <f>'07JD'!M115</f>
        <v>8.2360753039829433</v>
      </c>
      <c r="N5" s="120" t="str">
        <f>'07JD'!N115</f>
        <v>1600-1-23 0:3:59.59</v>
      </c>
      <c r="O5" s="120" t="str">
        <f>'07JD'!O115</f>
        <v>1601-2-10 4:34:9.94</v>
      </c>
      <c r="P5" s="120" t="str">
        <f>'07JD'!P115</f>
        <v>837-4-16 19:57:51.51</v>
      </c>
      <c r="Q5" s="120" t="str">
        <f>'07JD'!Q115</f>
        <v>-122-1-31 12:37:32.32</v>
      </c>
      <c r="R5" s="120" t="str">
        <f>'07JD'!R115</f>
        <v>-122-1-1 19:52:16.16</v>
      </c>
      <c r="S5" s="120" t="str">
        <f>'07JD'!S115</f>
        <v>-1000-7-13 3:29:38.38</v>
      </c>
      <c r="T5" s="120" t="str">
        <f>'07JD'!T115</f>
        <v>-1000-4-15 20:52:16.16</v>
      </c>
      <c r="U5" s="120" t="str">
        <f>'07JD'!U115</f>
        <v>-1001-8-24 0:14:3.33</v>
      </c>
      <c r="V5" s="120" t="str">
        <f>'07JD'!V115</f>
        <v>-4712-1-19 0:34:53.53</v>
      </c>
      <c r="W5" s="120">
        <f>'07JD'!W115</f>
        <v>31903.101607511286</v>
      </c>
      <c r="X5" s="120">
        <f>'07JD'!X115</f>
        <v>33733.655967213213</v>
      </c>
      <c r="Y5" s="120">
        <f>'07JD'!Y115</f>
        <v>28182.118699906394</v>
      </c>
      <c r="Z5" s="120">
        <f>'07JD'!Z115</f>
        <v>52604.168870490044</v>
      </c>
      <c r="AA5" s="120">
        <f>'07JD'!AA115</f>
        <v>36539.566086384002</v>
      </c>
      <c r="AB5" s="120">
        <f>'07JD'!AB115</f>
        <v>19913.065167994704</v>
      </c>
      <c r="AC5" s="120">
        <f>'07JD'!AC115</f>
        <v>28831.024119220208</v>
      </c>
      <c r="AD5" s="120">
        <f>'07JD'!AD115</f>
        <v>32256.939438761212</v>
      </c>
      <c r="AE5" s="120">
        <f>'07JD'!AE115</f>
        <v>28182.118699906394</v>
      </c>
      <c r="AF5" s="120">
        <f>'07JD'!AF115</f>
        <v>33970.152291456237</v>
      </c>
      <c r="AG5" s="120">
        <f>'07JD'!AG115</f>
        <v>33910.383502758574</v>
      </c>
      <c r="AH5" s="120">
        <f>'07JD'!AH115</f>
        <v>33320.252634451725</v>
      </c>
      <c r="AI5" s="120">
        <f>'07JD'!AI115</f>
        <v>33704.421562260482</v>
      </c>
      <c r="AJ5" s="120">
        <f>'07JD'!AJ115</f>
        <v>34117.765587031376</v>
      </c>
      <c r="AK5" s="120" t="str">
        <f>'07JD'!AK115</f>
        <v>1818-1-14 6:52:43.43</v>
      </c>
      <c r="AL5" s="120">
        <f>'07JD'!AL115</f>
        <v>33143.087782351766</v>
      </c>
      <c r="AM5" s="120" t="str">
        <f>'07JD'!AM115</f>
        <v>622-7-21 2:10:34.34</v>
      </c>
      <c r="AN5" s="120">
        <f>'07JD'!AN115</f>
        <v>36627.563559597824</v>
      </c>
      <c r="AO5" s="120" t="str">
        <f>'07JD'!AO115</f>
        <v>1-1-21 12:3:10.10</v>
      </c>
      <c r="AP5" s="120">
        <f>'07JD'!AP115</f>
        <v>44837.010571724735</v>
      </c>
      <c r="AQ5" s="120">
        <f>'07JD'!AQ115</f>
        <v>44837.010571724735</v>
      </c>
      <c r="AR5" s="120">
        <f>'07JD'!AR115</f>
        <v>44866.276523806155</v>
      </c>
      <c r="AS5" s="120">
        <f>'07JD'!AS115</f>
        <v>44866.276523806155</v>
      </c>
      <c r="AT5" s="120">
        <f>'07JD'!AT115</f>
        <v>44866.276523806155</v>
      </c>
      <c r="AU5" s="120">
        <f>'07JD'!AU115</f>
        <v>26822.882925361861</v>
      </c>
      <c r="AV5" s="120">
        <f>'07JD'!AV115</f>
        <v>35683.064044978004</v>
      </c>
      <c r="AW5" s="120">
        <f>'07JD'!AW115</f>
        <v>12795.87165132165</v>
      </c>
      <c r="AX5" s="120">
        <f>'07JD'!AX115</f>
        <v>20947.104197993409</v>
      </c>
      <c r="AY5" s="120">
        <f>'07JD'!AY115</f>
        <v>44895.609480618499</v>
      </c>
      <c r="AZ5" s="120">
        <f>'07JD'!AZ115</f>
        <v>44895.609480618499</v>
      </c>
      <c r="BA5" s="120">
        <f>'07JD'!BA115</f>
        <v>44925.056800891645</v>
      </c>
      <c r="BB5" s="120">
        <f>'07JD'!BB115</f>
        <v>44925.056800891645</v>
      </c>
      <c r="BC5" s="120">
        <f>'07JD'!BC115</f>
        <v>44925.056800891645</v>
      </c>
      <c r="BD5" s="120">
        <f>'07JD'!BD115</f>
        <v>44925.056800891645</v>
      </c>
      <c r="BE5" s="120">
        <f>'07JD'!BE115</f>
        <v>44925.056800891645</v>
      </c>
      <c r="BF5" s="120">
        <f>'07JD'!BF115</f>
        <v>44925.056800891645</v>
      </c>
      <c r="BG5" s="120">
        <f>'07JD'!BG115</f>
        <v>28182.118699906394</v>
      </c>
    </row>
    <row r="6" spans="1:59" x14ac:dyDescent="0.25">
      <c r="A6" s="7"/>
      <c r="B6" s="26"/>
      <c r="C6" s="117" t="s">
        <v>564</v>
      </c>
      <c r="D6" s="119"/>
      <c r="E6" s="120">
        <f>'07JD'!E140</f>
        <v>21131.605962742586</v>
      </c>
      <c r="F6" s="120" t="str">
        <f>'07JD'!F140</f>
        <v>333-3-18 7:53:16.16</v>
      </c>
      <c r="G6" s="120">
        <f>'07JD'!G140</f>
        <v>36546.195466312114</v>
      </c>
      <c r="H6" s="120">
        <f>'07JD'!H140</f>
        <v>36191.672052350361</v>
      </c>
      <c r="I6" s="120">
        <f>'07JD'!I140</f>
        <v>31821.874232928734</v>
      </c>
      <c r="J6" s="120">
        <f>'07JD'!J140</f>
        <v>31969.14820641838</v>
      </c>
      <c r="K6" s="120">
        <f>'07JD'!K140</f>
        <v>32175.869766638614</v>
      </c>
      <c r="L6" s="120">
        <f>'07JD'!L140</f>
        <v>32323.824007491581</v>
      </c>
      <c r="M6" s="120">
        <f>'07JD'!M140</f>
        <v>15.796870124991983</v>
      </c>
      <c r="N6" s="120" t="str">
        <f>'07JD'!N140</f>
        <v>1600-1-30 6:36:1.13</v>
      </c>
      <c r="O6" s="120" t="str">
        <f>'07JD'!O140</f>
        <v>1601-2-17 4:24:31.31</v>
      </c>
      <c r="P6" s="120" t="str">
        <f>'07JD'!P140</f>
        <v>837-4-24 11:53:30.30</v>
      </c>
      <c r="Q6" s="120" t="str">
        <f>'07JD'!Q140</f>
        <v>-122-2-7 7:57:7.71</v>
      </c>
      <c r="R6" s="120" t="str">
        <f>'07JD'!R140</f>
        <v>-122-1-8 21:35:8.85</v>
      </c>
      <c r="S6" s="120" t="str">
        <f>'07JD'!S140</f>
        <v>-1000-7-21 7:20:35.35</v>
      </c>
      <c r="T6" s="120" t="str">
        <f>'07JD'!T140</f>
        <v>-1000-4-23 10:37:13.13</v>
      </c>
      <c r="U6" s="120" t="str">
        <f>'07JD'!U140</f>
        <v>-1001-8-31 12:18:21.21</v>
      </c>
      <c r="V6" s="120" t="str">
        <f>'07JD'!V140</f>
        <v>-4712-1-26 19:31:20.20</v>
      </c>
      <c r="W6" s="120">
        <f>'07JD'!W140</f>
        <v>31910.535442486871</v>
      </c>
      <c r="X6" s="120">
        <f>'07JD'!X140</f>
        <v>33740.669102856889</v>
      </c>
      <c r="Y6" s="120">
        <f>'07JD'!Y140</f>
        <v>28189.718067021109</v>
      </c>
      <c r="Z6" s="120">
        <f>'07JD'!Z140</f>
        <v>52610.786347764079</v>
      </c>
      <c r="AA6" s="120">
        <f>'07JD'!AA140</f>
        <v>36546.195466312114</v>
      </c>
      <c r="AB6" s="120">
        <f>'07JD'!AB140</f>
        <v>19921.020571232773</v>
      </c>
      <c r="AC6" s="120">
        <f>'07JD'!AC140</f>
        <v>28838.521886244416</v>
      </c>
      <c r="AD6" s="120">
        <f>'07JD'!AD140</f>
        <v>32264.987252334133</v>
      </c>
      <c r="AE6" s="120">
        <f>'07JD'!AE140</f>
        <v>28189.718067021109</v>
      </c>
      <c r="AF6" s="120">
        <f>'07JD'!AF140</f>
        <v>33977.526537954807</v>
      </c>
      <c r="AG6" s="120">
        <f>'07JD'!AG140</f>
        <v>33918.389706082642</v>
      </c>
      <c r="AH6" s="120">
        <f>'07JD'!AH140</f>
        <v>33327.304452354088</v>
      </c>
      <c r="AI6" s="120">
        <f>'07JD'!AI140</f>
        <v>33711.196789393667</v>
      </c>
      <c r="AJ6" s="120">
        <f>'07JD'!AJ140</f>
        <v>34124.543834437151</v>
      </c>
      <c r="AK6" s="120" t="str">
        <f>'07JD'!AK140</f>
        <v>1818-1-22 10:37:55.55</v>
      </c>
      <c r="AL6" s="120">
        <f>'07JD'!AL140</f>
        <v>33150.501896647736</v>
      </c>
      <c r="AM6" s="120" t="str">
        <f>'07JD'!AM140</f>
        <v>622-7-28 5:25:29.29</v>
      </c>
      <c r="AN6" s="120">
        <f>'07JD'!AN140</f>
        <v>36634.737949036993</v>
      </c>
      <c r="AO6" s="120" t="str">
        <f>'07JD'!AO140</f>
        <v>1-1-28 4:2:2.23</v>
      </c>
      <c r="AP6" s="120">
        <f>'07JD'!AP140</f>
        <v>44843.872232026886</v>
      </c>
      <c r="AQ6" s="120">
        <f>'07JD'!AQ140</f>
        <v>44843.872232026886</v>
      </c>
      <c r="AR6" s="120">
        <f>'07JD'!AR140</f>
        <v>44873.46058840584</v>
      </c>
      <c r="AS6" s="120">
        <f>'07JD'!AS140</f>
        <v>44873.46058840584</v>
      </c>
      <c r="AT6" s="120">
        <f>'07JD'!AT140</f>
        <v>44873.46058840584</v>
      </c>
      <c r="AU6" s="120">
        <f>'07JD'!AU140</f>
        <v>26830.857815690804</v>
      </c>
      <c r="AV6" s="120">
        <f>'07JD'!AV140</f>
        <v>35689.785734951496</v>
      </c>
      <c r="AW6" s="120">
        <f>'07JD'!AW140</f>
        <v>12803.655966325197</v>
      </c>
      <c r="AX6" s="120">
        <f>'07JD'!AX140</f>
        <v>20953.940781256184</v>
      </c>
      <c r="AY6" s="120">
        <f>'07JD'!AY140</f>
        <v>44903.173172035255</v>
      </c>
      <c r="AZ6" s="120">
        <f>'07JD'!AZ140</f>
        <v>44903.173172035255</v>
      </c>
      <c r="BA6" s="120">
        <f>'07JD'!BA140</f>
        <v>44932.964708357118</v>
      </c>
      <c r="BB6" s="120">
        <f>'07JD'!BB140</f>
        <v>44932.964708357118</v>
      </c>
      <c r="BC6" s="120">
        <f>'07JD'!BC140</f>
        <v>44932.964708357118</v>
      </c>
      <c r="BD6" s="120">
        <f>'07JD'!BD140</f>
        <v>44932.964708357118</v>
      </c>
      <c r="BE6" s="120">
        <f>'07JD'!BE140</f>
        <v>44932.964708357118</v>
      </c>
      <c r="BF6" s="120">
        <f>'07JD'!BF140</f>
        <v>44932.964708357118</v>
      </c>
      <c r="BG6" s="120">
        <f>'07JD'!BG140</f>
        <v>28189.718067021109</v>
      </c>
    </row>
    <row r="7" spans="1:59" x14ac:dyDescent="0.25">
      <c r="A7" s="35"/>
      <c r="B7" s="35"/>
      <c r="C7" s="118" t="s">
        <v>565</v>
      </c>
      <c r="D7" s="121"/>
      <c r="E7" s="122">
        <f>'07JD'!E165</f>
        <v>21138.916748937219</v>
      </c>
      <c r="F7" s="122" t="str">
        <f>'07JD'!F165</f>
        <v>333-3-25 14:21:24.24</v>
      </c>
      <c r="G7" s="122">
        <f>'07JD'!G165</f>
        <v>36553.331841323525</v>
      </c>
      <c r="H7" s="122">
        <f>'07JD'!H165</f>
        <v>36199.499346585479</v>
      </c>
      <c r="I7" s="122">
        <f>'07JD'!I165</f>
        <v>31829.372715489473</v>
      </c>
      <c r="J7" s="122">
        <f>'07JD'!J165</f>
        <v>31975.845600096975</v>
      </c>
      <c r="K7" s="122">
        <f>'07JD'!K165</f>
        <v>32183.95954205934</v>
      </c>
      <c r="L7" s="122">
        <f>'07JD'!L165</f>
        <v>32330.484125072602</v>
      </c>
      <c r="M7" s="122">
        <f>'07JD'!M165</f>
        <v>23.99502891395241</v>
      </c>
      <c r="N7" s="122" t="str">
        <f>'07JD'!N165</f>
        <v>1600-2-7 9:50:1.16</v>
      </c>
      <c r="O7" s="122" t="str">
        <f>'07JD'!O165</f>
        <v>1601-2-25 2:17:9.91</v>
      </c>
      <c r="P7" s="122" t="str">
        <f>'07JD'!P165</f>
        <v>837-5-1 6:35:1.16</v>
      </c>
      <c r="Q7" s="122" t="str">
        <f>'07JD'!Q165</f>
        <v>-122-2-14 1:12:57.57</v>
      </c>
      <c r="R7" s="122" t="str">
        <f>'07JD'!R165</f>
        <v>-122-1-15 13:3:46.46</v>
      </c>
      <c r="S7" s="122" t="str">
        <f>'07JD'!S165</f>
        <v>-1000-7-28 20:3:47.47</v>
      </c>
      <c r="T7" s="122" t="str">
        <f>'07JD'!T165</f>
        <v>-1000-5-1 14:8:6.68</v>
      </c>
      <c r="U7" s="122" t="str">
        <f>'07JD'!U165</f>
        <v>-1001-9-7 5:38:24.24</v>
      </c>
      <c r="V7" s="122" t="str">
        <f>'07JD'!V165</f>
        <v>-4712-2-2 16:6:46.46</v>
      </c>
      <c r="W7" s="122">
        <f>'07JD'!W165</f>
        <v>31917.168935103808</v>
      </c>
      <c r="X7" s="122">
        <f>'07JD'!X165</f>
        <v>33748.662768030073</v>
      </c>
      <c r="Y7" s="122">
        <f>'07JD'!Y165</f>
        <v>28196.482858564705</v>
      </c>
      <c r="Z7" s="122">
        <f>'07JD'!Z165</f>
        <v>52617.991863890551</v>
      </c>
      <c r="AA7" s="122">
        <f>'07JD'!AA165</f>
        <v>36553.331841323525</v>
      </c>
      <c r="AB7" s="122">
        <f>'07JD'!AB165</f>
        <v>19928.010134564713</v>
      </c>
      <c r="AC7" s="122">
        <f>'07JD'!AC165</f>
        <v>28846.737802466378</v>
      </c>
      <c r="AD7" s="122">
        <f>'07JD'!AD165</f>
        <v>32272.058072366752</v>
      </c>
      <c r="AE7" s="122">
        <f>'07JD'!AE165</f>
        <v>28196.482858564705</v>
      </c>
      <c r="AF7" s="122">
        <f>'07JD'!AF165</f>
        <v>33984.16825811984</v>
      </c>
      <c r="AG7" s="122">
        <f>'07JD'!AG165</f>
        <v>33925.486206534784</v>
      </c>
      <c r="AH7" s="122">
        <f>'07JD'!AH165</f>
        <v>33335.282128506806</v>
      </c>
      <c r="AI7" s="122">
        <f>'07JD'!AI165</f>
        <v>33718.903359331656</v>
      </c>
      <c r="AJ7" s="122">
        <f>'07JD'!AJ165</f>
        <v>34132.233879762702</v>
      </c>
      <c r="AK7" s="122" t="str">
        <f>'07JD'!AK165</f>
        <v>1818-1-29 16:55:43.43</v>
      </c>
      <c r="AL7" s="122">
        <f>'07JD'!AL165</f>
        <v>33157.147470206488</v>
      </c>
      <c r="AM7" s="122" t="str">
        <f>'07JD'!AM165</f>
        <v>622-8-5 6:51:35.35</v>
      </c>
      <c r="AN7" s="122">
        <f>'07JD'!AN165</f>
        <v>36642.813311886974</v>
      </c>
      <c r="AO7" s="122" t="str">
        <f>'07JD'!AO165</f>
        <v>1-2-4 2:53:56.56</v>
      </c>
      <c r="AP7" s="122">
        <f>'07JD'!AP165</f>
        <v>44851.719587889034</v>
      </c>
      <c r="AQ7" s="122">
        <f>'07JD'!AQ165</f>
        <v>44851.719587889034</v>
      </c>
      <c r="AR7" s="122">
        <f>'07JD'!AR165</f>
        <v>44881.561231534462</v>
      </c>
      <c r="AS7" s="122">
        <f>'07JD'!AS165</f>
        <v>44881.561231534462</v>
      </c>
      <c r="AT7" s="122">
        <f>'07JD'!AT165</f>
        <v>44881.561231534462</v>
      </c>
      <c r="AU7" s="122">
        <f>'07JD'!AU165</f>
        <v>26838.823594016489</v>
      </c>
      <c r="AV7" s="122">
        <f>'07JD'!AV165</f>
        <v>35696.566814030521</v>
      </c>
      <c r="AW7" s="122">
        <f>'07JD'!AW165</f>
        <v>12811.832651881501</v>
      </c>
      <c r="AX7" s="122">
        <f>'07JD'!AX165</f>
        <v>20961.710943603422</v>
      </c>
      <c r="AY7" s="122">
        <f>'07JD'!AY165</f>
        <v>44911.37314569857</v>
      </c>
      <c r="AZ7" s="122">
        <f>'07JD'!AZ165</f>
        <v>44911.37314569857</v>
      </c>
      <c r="BA7" s="122">
        <f>'07JD'!BA165</f>
        <v>44941.091380720027</v>
      </c>
      <c r="BB7" s="122">
        <f>'07JD'!BB165</f>
        <v>44941.091380720027</v>
      </c>
      <c r="BC7" s="122">
        <f>'07JD'!BC165</f>
        <v>44941.091380720027</v>
      </c>
      <c r="BD7" s="122">
        <f>'07JD'!BD165</f>
        <v>44941.091380720027</v>
      </c>
      <c r="BE7" s="122">
        <f>'07JD'!BE165</f>
        <v>44941.091380720027</v>
      </c>
      <c r="BF7" s="122">
        <f>'07JD'!BF165</f>
        <v>44941.091380720027</v>
      </c>
      <c r="BG7" s="122">
        <f>'07JD'!BG165</f>
        <v>28196.482858564705</v>
      </c>
    </row>
    <row r="8" spans="1:59" x14ac:dyDescent="0.25">
      <c r="A8" s="100"/>
      <c r="B8" s="100"/>
      <c r="C8" s="100" t="s">
        <v>555</v>
      </c>
      <c r="D8" s="101" t="s">
        <v>555</v>
      </c>
      <c r="E8" s="101" t="s">
        <v>555</v>
      </c>
      <c r="F8" s="101" t="s">
        <v>555</v>
      </c>
      <c r="G8" s="101" t="s">
        <v>555</v>
      </c>
      <c r="H8" s="101" t="s">
        <v>555</v>
      </c>
      <c r="I8" s="101" t="s">
        <v>555</v>
      </c>
      <c r="J8" s="101" t="s">
        <v>555</v>
      </c>
      <c r="K8" s="101" t="s">
        <v>555</v>
      </c>
      <c r="L8" s="101" t="s">
        <v>555</v>
      </c>
      <c r="M8" s="101" t="s">
        <v>555</v>
      </c>
      <c r="N8" s="101" t="s">
        <v>555</v>
      </c>
      <c r="O8" s="101" t="s">
        <v>555</v>
      </c>
      <c r="P8" s="101" t="s">
        <v>555</v>
      </c>
      <c r="Q8" s="101" t="s">
        <v>555</v>
      </c>
      <c r="R8" s="101" t="s">
        <v>555</v>
      </c>
      <c r="S8" s="101" t="s">
        <v>555</v>
      </c>
      <c r="T8" s="101" t="s">
        <v>555</v>
      </c>
      <c r="U8" s="101" t="s">
        <v>555</v>
      </c>
      <c r="V8" s="101" t="s">
        <v>555</v>
      </c>
      <c r="W8" s="101" t="s">
        <v>555</v>
      </c>
      <c r="X8" s="101" t="s">
        <v>555</v>
      </c>
      <c r="Y8" s="101" t="s">
        <v>555</v>
      </c>
      <c r="Z8" s="101" t="s">
        <v>555</v>
      </c>
      <c r="AA8" s="101" t="s">
        <v>555</v>
      </c>
      <c r="AB8" s="101" t="s">
        <v>555</v>
      </c>
      <c r="AC8" s="101" t="s">
        <v>555</v>
      </c>
      <c r="AD8" s="101" t="s">
        <v>555</v>
      </c>
      <c r="AE8" s="101" t="s">
        <v>555</v>
      </c>
      <c r="AF8" s="101" t="s">
        <v>555</v>
      </c>
      <c r="AG8" s="101" t="s">
        <v>555</v>
      </c>
      <c r="AH8" s="101" t="s">
        <v>555</v>
      </c>
      <c r="AI8" s="101" t="s">
        <v>555</v>
      </c>
      <c r="AJ8" s="101" t="s">
        <v>555</v>
      </c>
      <c r="AK8" s="101" t="s">
        <v>555</v>
      </c>
      <c r="AL8" s="101" t="s">
        <v>555</v>
      </c>
      <c r="AM8" s="101" t="s">
        <v>555</v>
      </c>
      <c r="AN8" s="101" t="s">
        <v>555</v>
      </c>
      <c r="AO8" s="101" t="s">
        <v>555</v>
      </c>
      <c r="AP8" s="101" t="s">
        <v>555</v>
      </c>
      <c r="AQ8" s="101" t="s">
        <v>555</v>
      </c>
      <c r="AR8" s="101" t="s">
        <v>555</v>
      </c>
      <c r="AS8" s="101" t="s">
        <v>555</v>
      </c>
      <c r="AT8" s="101" t="s">
        <v>555</v>
      </c>
      <c r="AU8" s="101" t="s">
        <v>555</v>
      </c>
      <c r="AV8" s="101" t="s">
        <v>555</v>
      </c>
      <c r="AW8" s="101" t="s">
        <v>555</v>
      </c>
      <c r="AX8" s="101" t="s">
        <v>555</v>
      </c>
      <c r="AY8" s="101" t="s">
        <v>555</v>
      </c>
      <c r="AZ8" s="101" t="s">
        <v>555</v>
      </c>
      <c r="BA8" s="101" t="s">
        <v>555</v>
      </c>
      <c r="BB8" s="101" t="s">
        <v>555</v>
      </c>
      <c r="BC8" s="101" t="s">
        <v>555</v>
      </c>
      <c r="BD8" s="101" t="s">
        <v>555</v>
      </c>
      <c r="BE8" s="101" t="s">
        <v>555</v>
      </c>
      <c r="BF8" s="101" t="s">
        <v>555</v>
      </c>
      <c r="BG8" s="101" t="s">
        <v>555</v>
      </c>
    </row>
    <row r="9" spans="1:59" x14ac:dyDescent="0.25">
      <c r="A9" s="89"/>
      <c r="B9" s="89"/>
      <c r="C9" s="130" t="s">
        <v>577</v>
      </c>
      <c r="D9" s="47" t="s">
        <v>323</v>
      </c>
      <c r="E9" s="47">
        <f>IF(ISNUMBER(E3),YEAR(E3),IF(LEFT(E3,1)="-",LEFT(E3,5),LEFT(E3,4)))</f>
        <v>1957</v>
      </c>
      <c r="F9" s="47" t="str">
        <f t="shared" ref="F9:X9" si="0">IF(ISNUMBER(F3),YEAR(F3),IF(LEFT(F3,1)="-",LEFT(F3,5),LEFT(F3,4)))</f>
        <v>0333</v>
      </c>
      <c r="G9" s="47">
        <f t="shared" si="0"/>
        <v>2000</v>
      </c>
      <c r="H9" s="47">
        <f t="shared" si="0"/>
        <v>1999</v>
      </c>
      <c r="I9" s="47">
        <f t="shared" si="0"/>
        <v>1987</v>
      </c>
      <c r="J9" s="47">
        <f t="shared" si="0"/>
        <v>1987</v>
      </c>
      <c r="K9" s="47">
        <f t="shared" si="0"/>
        <v>1988</v>
      </c>
      <c r="L9" s="47">
        <f t="shared" si="0"/>
        <v>1988</v>
      </c>
      <c r="M9" s="47">
        <f t="shared" si="0"/>
        <v>1900</v>
      </c>
      <c r="N9" s="47" t="str">
        <f t="shared" si="0"/>
        <v>1600</v>
      </c>
      <c r="O9" s="47" t="str">
        <f t="shared" si="0"/>
        <v>1600</v>
      </c>
      <c r="P9" s="47" t="str">
        <f t="shared" si="0"/>
        <v>0837</v>
      </c>
      <c r="Q9" s="47" t="str">
        <f t="shared" si="0"/>
        <v>-0123</v>
      </c>
      <c r="R9" s="47" t="str">
        <f t="shared" si="0"/>
        <v>-0122</v>
      </c>
      <c r="S9" s="47" t="str">
        <f t="shared" si="0"/>
        <v>-1000</v>
      </c>
      <c r="T9" s="47" t="str">
        <f t="shared" si="0"/>
        <v>-1000</v>
      </c>
      <c r="U9" s="47" t="str">
        <f t="shared" si="0"/>
        <v>-1001</v>
      </c>
      <c r="V9" s="47" t="str">
        <f t="shared" si="0"/>
        <v>-4712</v>
      </c>
      <c r="W9" s="47">
        <f t="shared" si="0"/>
        <v>1987</v>
      </c>
      <c r="X9" s="47">
        <f t="shared" si="0"/>
        <v>1992</v>
      </c>
      <c r="Y9" s="47">
        <f>IF(ISNUMBER(Y3),YEAR(Y3),IF(LEFT(Y3,1)="-",LEFT(Y3,5),LEFT(Y3,4)))</f>
        <v>1977</v>
      </c>
      <c r="Z9" s="47">
        <f t="shared" ref="Z9:AE9" si="1">IF(ISNUMBER(Z3),YEAR(Z3),IF(LEFT(Z3,1)="-",LEFT(Z3,5),LEFT(Z3,4)))</f>
        <v>2044</v>
      </c>
      <c r="AA9" s="47">
        <f t="shared" si="1"/>
        <v>2000</v>
      </c>
      <c r="AB9" s="47">
        <f t="shared" si="1"/>
        <v>1954</v>
      </c>
      <c r="AC9" s="47">
        <f t="shared" si="1"/>
        <v>1978</v>
      </c>
      <c r="AD9" s="47">
        <f t="shared" si="1"/>
        <v>1988</v>
      </c>
      <c r="AE9" s="47">
        <f t="shared" si="1"/>
        <v>1977</v>
      </c>
      <c r="AF9" s="47">
        <f t="shared" ref="AF9:BG9" si="2">IF(ISNUMBER(AF3),YEAR(AF3),IF(LEFT(AF3,1)="-",LEFT(AF3,5),LEFT(AF3,4)))</f>
        <v>1992</v>
      </c>
      <c r="AG9" s="47">
        <f t="shared" si="2"/>
        <v>1992</v>
      </c>
      <c r="AH9" s="47">
        <f t="shared" si="2"/>
        <v>1991</v>
      </c>
      <c r="AI9" s="47">
        <f t="shared" si="2"/>
        <v>1992</v>
      </c>
      <c r="AJ9" s="47">
        <f t="shared" si="2"/>
        <v>1993</v>
      </c>
      <c r="AK9" s="47" t="str">
        <f t="shared" si="2"/>
        <v>1818</v>
      </c>
      <c r="AL9" s="47">
        <f t="shared" si="2"/>
        <v>1990</v>
      </c>
      <c r="AM9" s="47" t="str">
        <f t="shared" si="2"/>
        <v>0622</v>
      </c>
      <c r="AN9" s="47">
        <f t="shared" si="2"/>
        <v>2000</v>
      </c>
      <c r="AO9" s="47" t="str">
        <f t="shared" si="2"/>
        <v>0001</v>
      </c>
      <c r="AP9" s="47">
        <f t="shared" si="2"/>
        <v>2022</v>
      </c>
      <c r="AQ9" s="47">
        <f t="shared" si="2"/>
        <v>2022</v>
      </c>
      <c r="AR9" s="47">
        <f t="shared" si="2"/>
        <v>2022</v>
      </c>
      <c r="AS9" s="47">
        <f t="shared" si="2"/>
        <v>2022</v>
      </c>
      <c r="AT9" s="47">
        <f t="shared" si="2"/>
        <v>2022</v>
      </c>
      <c r="AU9" s="47">
        <f t="shared" si="2"/>
        <v>1973</v>
      </c>
      <c r="AV9" s="47">
        <f t="shared" si="2"/>
        <v>1997</v>
      </c>
      <c r="AW9" s="47">
        <f t="shared" si="2"/>
        <v>1935</v>
      </c>
      <c r="AX9" s="47">
        <f t="shared" si="2"/>
        <v>1957</v>
      </c>
      <c r="AY9" s="47">
        <f t="shared" si="2"/>
        <v>2022</v>
      </c>
      <c r="AZ9" s="47">
        <f t="shared" si="2"/>
        <v>2022</v>
      </c>
      <c r="BA9" s="47">
        <f t="shared" si="2"/>
        <v>2022</v>
      </c>
      <c r="BB9" s="47">
        <f t="shared" si="2"/>
        <v>2022</v>
      </c>
      <c r="BC9" s="47">
        <f t="shared" si="2"/>
        <v>2022</v>
      </c>
      <c r="BD9" s="47">
        <f t="shared" si="2"/>
        <v>2022</v>
      </c>
      <c r="BE9" s="47">
        <f t="shared" si="2"/>
        <v>2022</v>
      </c>
      <c r="BF9" s="47">
        <f t="shared" si="2"/>
        <v>2022</v>
      </c>
      <c r="BG9" s="47">
        <f t="shared" si="2"/>
        <v>1977</v>
      </c>
    </row>
    <row r="10" spans="1:59" x14ac:dyDescent="0.25">
      <c r="A10" s="346" t="s">
        <v>582</v>
      </c>
      <c r="B10" s="346"/>
      <c r="C10" s="346"/>
      <c r="D10" s="47" t="s">
        <v>519</v>
      </c>
      <c r="E10" s="47">
        <f>IF(ISNUMBER(E3),MONTH(E3),IF(LEFT(E3,1)="-",MID(E3,7,2),MID(E3,6,2)))</f>
        <v>10</v>
      </c>
      <c r="F10" s="47" t="str">
        <f t="shared" ref="F10:X10" si="3">IF(ISNUMBER(F3),MONTH(F3),IF(LEFT(F3,1)="-",MID(F3,7,2),MID(F3,6,2)))</f>
        <v>01</v>
      </c>
      <c r="G10" s="47">
        <f t="shared" si="3"/>
        <v>1</v>
      </c>
      <c r="H10" s="47">
        <f t="shared" si="3"/>
        <v>1</v>
      </c>
      <c r="I10" s="47">
        <f t="shared" si="3"/>
        <v>1</v>
      </c>
      <c r="J10" s="47">
        <f t="shared" si="3"/>
        <v>6</v>
      </c>
      <c r="K10" s="47">
        <f t="shared" si="3"/>
        <v>1</v>
      </c>
      <c r="L10" s="47">
        <f t="shared" si="3"/>
        <v>6</v>
      </c>
      <c r="M10" s="47">
        <f t="shared" si="3"/>
        <v>1</v>
      </c>
      <c r="N10" s="47" t="str">
        <f t="shared" si="3"/>
        <v>01</v>
      </c>
      <c r="O10" s="47" t="str">
        <f t="shared" si="3"/>
        <v>12</v>
      </c>
      <c r="P10" s="47" t="str">
        <f t="shared" si="3"/>
        <v>04</v>
      </c>
      <c r="Q10" s="47" t="str">
        <f t="shared" si="3"/>
        <v>12</v>
      </c>
      <c r="R10" s="47" t="str">
        <f t="shared" si="3"/>
        <v>01</v>
      </c>
      <c r="S10" s="47" t="str">
        <f t="shared" si="3"/>
        <v>07</v>
      </c>
      <c r="T10" s="47" t="str">
        <f t="shared" si="3"/>
        <v>02</v>
      </c>
      <c r="U10" s="47" t="str">
        <f t="shared" si="3"/>
        <v>08</v>
      </c>
      <c r="V10" s="47" t="str">
        <f t="shared" si="3"/>
        <v>01</v>
      </c>
      <c r="W10" s="47">
        <f t="shared" si="3"/>
        <v>4</v>
      </c>
      <c r="X10" s="47">
        <f t="shared" si="3"/>
        <v>4</v>
      </c>
      <c r="Y10" s="47">
        <f>IF(ISNUMBER(Y3),MONTH(Y3),IF(LEFT(Y3,1)="-",MID(Y3,7,2),MID(Y3,6,2)))</f>
        <v>2</v>
      </c>
      <c r="Z10" s="47">
        <f t="shared" ref="Z10:AE10" si="4">IF(ISNUMBER(Z3),MONTH(Z3),IF(LEFT(Z3,1)="-",MID(Z3,7,2),MID(Z3,6,2)))</f>
        <v>1</v>
      </c>
      <c r="AA10" s="47">
        <f t="shared" si="4"/>
        <v>1</v>
      </c>
      <c r="AB10" s="47">
        <f t="shared" si="4"/>
        <v>6</v>
      </c>
      <c r="AC10" s="47">
        <f t="shared" si="4"/>
        <v>11</v>
      </c>
      <c r="AD10" s="47">
        <f t="shared" si="4"/>
        <v>4</v>
      </c>
      <c r="AE10" s="47">
        <f t="shared" si="4"/>
        <v>2</v>
      </c>
      <c r="AF10" s="47">
        <f t="shared" ref="AF10:BG10" si="5">IF(ISNUMBER(AF3),MONTH(AF3),IF(LEFT(AF3,1)="-",MID(AF3,7,2),MID(AF3,6,2)))</f>
        <v>12</v>
      </c>
      <c r="AG10" s="47">
        <f t="shared" si="5"/>
        <v>10</v>
      </c>
      <c r="AH10" s="47">
        <f t="shared" si="5"/>
        <v>3</v>
      </c>
      <c r="AI10" s="47">
        <f t="shared" si="5"/>
        <v>4</v>
      </c>
      <c r="AJ10" s="47">
        <f t="shared" si="5"/>
        <v>5</v>
      </c>
      <c r="AK10" s="47" t="str">
        <f t="shared" si="5"/>
        <v>01</v>
      </c>
      <c r="AL10" s="47">
        <f t="shared" si="5"/>
        <v>9</v>
      </c>
      <c r="AM10" s="47" t="str">
        <f t="shared" si="5"/>
        <v>07</v>
      </c>
      <c r="AN10" s="47">
        <f t="shared" si="5"/>
        <v>4</v>
      </c>
      <c r="AO10" s="47" t="str">
        <f t="shared" si="5"/>
        <v>01</v>
      </c>
      <c r="AP10" s="47">
        <f t="shared" si="5"/>
        <v>9</v>
      </c>
      <c r="AQ10" s="47">
        <f t="shared" si="5"/>
        <v>10</v>
      </c>
      <c r="AR10" s="47">
        <f t="shared" si="5"/>
        <v>10</v>
      </c>
      <c r="AS10" s="47">
        <f t="shared" si="5"/>
        <v>10</v>
      </c>
      <c r="AT10" s="47">
        <f t="shared" si="5"/>
        <v>11</v>
      </c>
      <c r="AU10" s="47">
        <f t="shared" si="5"/>
        <v>6</v>
      </c>
      <c r="AV10" s="47">
        <f t="shared" si="5"/>
        <v>9</v>
      </c>
      <c r="AW10" s="47">
        <f t="shared" si="5"/>
        <v>1</v>
      </c>
      <c r="AX10" s="47">
        <f t="shared" si="5"/>
        <v>4</v>
      </c>
      <c r="AY10" s="47">
        <f t="shared" si="5"/>
        <v>12</v>
      </c>
      <c r="AZ10" s="47">
        <f t="shared" si="5"/>
        <v>12</v>
      </c>
      <c r="BA10" s="47">
        <f t="shared" si="5"/>
        <v>12</v>
      </c>
      <c r="BB10" s="47">
        <f t="shared" si="5"/>
        <v>12</v>
      </c>
      <c r="BC10" s="47">
        <f t="shared" si="5"/>
        <v>12</v>
      </c>
      <c r="BD10" s="47">
        <f t="shared" si="5"/>
        <v>12</v>
      </c>
      <c r="BE10" s="47">
        <f t="shared" si="5"/>
        <v>12</v>
      </c>
      <c r="BF10" s="47">
        <f t="shared" si="5"/>
        <v>12</v>
      </c>
      <c r="BG10" s="47">
        <f t="shared" si="5"/>
        <v>2</v>
      </c>
    </row>
    <row r="11" spans="1:59" x14ac:dyDescent="0.25">
      <c r="A11" s="346" t="s">
        <v>583</v>
      </c>
      <c r="B11" s="346"/>
      <c r="C11" s="346"/>
      <c r="D11" s="47" t="s">
        <v>576</v>
      </c>
      <c r="E11" s="47">
        <f>'07JD'!E50</f>
        <v>277</v>
      </c>
      <c r="F11" s="47">
        <f>'07JD'!F50</f>
        <v>27</v>
      </c>
      <c r="G11" s="47">
        <f>'07JD'!G50</f>
        <v>1</v>
      </c>
      <c r="H11" s="47">
        <f>'07JD'!H50</f>
        <v>1</v>
      </c>
      <c r="I11" s="47">
        <f>'07JD'!I50</f>
        <v>27</v>
      </c>
      <c r="J11" s="47">
        <f>'07JD'!J50</f>
        <v>170</v>
      </c>
      <c r="K11" s="47">
        <f>'07JD'!K50</f>
        <v>27</v>
      </c>
      <c r="L11" s="47">
        <f>'07JD'!L50</f>
        <v>171</v>
      </c>
      <c r="M11" s="47">
        <f>'07JD'!M50</f>
        <v>1</v>
      </c>
      <c r="N11" s="47">
        <f>'07JD'!N50</f>
        <v>1</v>
      </c>
      <c r="O11" s="47">
        <f>'07JD'!O50</f>
        <v>366</v>
      </c>
      <c r="P11" s="47">
        <f>'07JD'!P50</f>
        <v>100</v>
      </c>
      <c r="Q11" s="47">
        <f>'07JD'!Q50</f>
        <v>365</v>
      </c>
      <c r="R11" s="47">
        <f>'07JD'!R50</f>
        <v>1</v>
      </c>
      <c r="S11" s="47">
        <f>'07JD'!S50</f>
        <v>194</v>
      </c>
      <c r="T11" s="47">
        <f>'07JD'!T50</f>
        <v>60</v>
      </c>
      <c r="U11" s="47">
        <f>'07JD'!U50</f>
        <v>229</v>
      </c>
      <c r="V11" s="47">
        <f>'07JD'!V50</f>
        <v>1</v>
      </c>
      <c r="W11" s="47">
        <f>'07JD'!W50</f>
        <v>100</v>
      </c>
      <c r="X11" s="47">
        <f>'07JD'!X50</f>
        <v>103</v>
      </c>
      <c r="Y11" s="47">
        <f>'07JD'!Y50</f>
        <v>46</v>
      </c>
      <c r="Z11" s="47">
        <f>'07JD'!Z50</f>
        <v>1</v>
      </c>
      <c r="AA11" s="47">
        <f>'07JD'!AA50</f>
        <v>1</v>
      </c>
      <c r="AB11" s="47">
        <f>'07JD'!AB50</f>
        <v>181</v>
      </c>
      <c r="AC11" s="47">
        <f>'07JD'!AC50</f>
        <v>318</v>
      </c>
      <c r="AD11" s="47">
        <f>'07JD'!AD50</f>
        <v>113</v>
      </c>
      <c r="AE11" s="47">
        <f>'07JD'!AE50</f>
        <v>49</v>
      </c>
      <c r="AF11" s="47">
        <f>'07JD'!AF50</f>
        <v>355</v>
      </c>
      <c r="AG11" s="47">
        <f>'07JD'!AG50</f>
        <v>287</v>
      </c>
      <c r="AH11" s="47">
        <f>'07JD'!AH50</f>
        <v>60</v>
      </c>
      <c r="AI11" s="47">
        <f>'07JD'!AI50</f>
        <v>92</v>
      </c>
      <c r="AJ11" s="47">
        <f>'07JD'!AJ50</f>
        <v>121</v>
      </c>
      <c r="AK11" s="47">
        <f>'07JD'!AK50</f>
        <v>1</v>
      </c>
      <c r="AL11" s="47">
        <f>'07JD'!AL50</f>
        <v>263</v>
      </c>
      <c r="AM11" s="47">
        <f>'07JD'!AM50</f>
        <v>197</v>
      </c>
      <c r="AN11" s="47">
        <f>'07JD'!AN50</f>
        <v>97</v>
      </c>
      <c r="AO11" s="47">
        <f>'07JD'!AO50</f>
        <v>3</v>
      </c>
      <c r="AP11" s="47">
        <f>'07JD'!AP50</f>
        <v>268</v>
      </c>
      <c r="AQ11" s="47">
        <f>'07JD'!AQ50</f>
        <v>275</v>
      </c>
      <c r="AR11" s="47">
        <f>'07JD'!AR50</f>
        <v>282</v>
      </c>
      <c r="AS11" s="47">
        <f>'07JD'!AS50</f>
        <v>290</v>
      </c>
      <c r="AT11" s="47">
        <f>'07JD'!AT50</f>
        <v>305</v>
      </c>
      <c r="AU11" s="47">
        <f>'07JD'!AU50</f>
        <v>152</v>
      </c>
      <c r="AV11" s="47">
        <f>'07JD'!AV50</f>
        <v>244</v>
      </c>
      <c r="AW11" s="47">
        <f>'07JD'!AW50</f>
        <v>5</v>
      </c>
      <c r="AX11" s="47">
        <f>'07JD'!AX50</f>
        <v>105</v>
      </c>
      <c r="AY11" s="47">
        <f>'07JD'!AY50</f>
        <v>335</v>
      </c>
      <c r="AZ11" s="47">
        <f>'07JD'!AZ50</f>
        <v>336</v>
      </c>
      <c r="BA11" s="47">
        <f>'07JD'!BA50</f>
        <v>337</v>
      </c>
      <c r="BB11" s="47">
        <f>'07JD'!BB50</f>
        <v>338</v>
      </c>
      <c r="BC11" s="47">
        <f>'07JD'!BC50</f>
        <v>339</v>
      </c>
      <c r="BD11" s="47">
        <f>'07JD'!BD50</f>
        <v>340</v>
      </c>
      <c r="BE11" s="47">
        <f>'07JD'!BE50</f>
        <v>341</v>
      </c>
      <c r="BF11" s="47">
        <f>'07JD'!BF50</f>
        <v>342</v>
      </c>
      <c r="BG11" s="47">
        <f>'07JD'!BG50</f>
        <v>49</v>
      </c>
    </row>
    <row r="12" spans="1:59" x14ac:dyDescent="0.25">
      <c r="A12" s="89"/>
      <c r="B12" s="89"/>
      <c r="C12" s="131"/>
      <c r="D12" s="132" t="s">
        <v>194</v>
      </c>
      <c r="E12" s="132">
        <f t="shared" ref="E12:AJ12" si="6">IF(ISNUMBER(E3),DAY(E3),IF(LEFT(E3,1)="-",MID(E3,10,2),MID(E3,9,2)))</f>
        <v>4</v>
      </c>
      <c r="F12" s="132" t="str">
        <f t="shared" si="6"/>
        <v>27</v>
      </c>
      <c r="G12" s="132">
        <f t="shared" si="6"/>
        <v>1</v>
      </c>
      <c r="H12" s="132">
        <f t="shared" si="6"/>
        <v>1</v>
      </c>
      <c r="I12" s="132">
        <f t="shared" si="6"/>
        <v>27</v>
      </c>
      <c r="J12" s="132">
        <f t="shared" si="6"/>
        <v>19</v>
      </c>
      <c r="K12" s="132">
        <f t="shared" si="6"/>
        <v>27</v>
      </c>
      <c r="L12" s="132">
        <f t="shared" si="6"/>
        <v>19</v>
      </c>
      <c r="M12" s="132">
        <f t="shared" si="6"/>
        <v>1</v>
      </c>
      <c r="N12" s="132" t="str">
        <f t="shared" si="6"/>
        <v>01</v>
      </c>
      <c r="O12" s="132" t="str">
        <f t="shared" si="6"/>
        <v>31</v>
      </c>
      <c r="P12" s="132" t="str">
        <f t="shared" si="6"/>
        <v>10</v>
      </c>
      <c r="Q12" s="132" t="str">
        <f t="shared" si="6"/>
        <v>31</v>
      </c>
      <c r="R12" s="132" t="str">
        <f t="shared" si="6"/>
        <v>01</v>
      </c>
      <c r="S12" s="132" t="str">
        <f t="shared" si="6"/>
        <v>12</v>
      </c>
      <c r="T12" s="132" t="str">
        <f t="shared" si="6"/>
        <v>29</v>
      </c>
      <c r="U12" s="132" t="str">
        <f t="shared" si="6"/>
        <v>17</v>
      </c>
      <c r="V12" s="132" t="str">
        <f t="shared" si="6"/>
        <v>01</v>
      </c>
      <c r="W12" s="132">
        <f t="shared" si="6"/>
        <v>10</v>
      </c>
      <c r="X12" s="132">
        <f t="shared" si="6"/>
        <v>12</v>
      </c>
      <c r="Y12" s="132">
        <f t="shared" si="6"/>
        <v>15</v>
      </c>
      <c r="Z12" s="132">
        <f t="shared" si="6"/>
        <v>1</v>
      </c>
      <c r="AA12" s="132">
        <f t="shared" si="6"/>
        <v>1</v>
      </c>
      <c r="AB12" s="132">
        <f t="shared" si="6"/>
        <v>30</v>
      </c>
      <c r="AC12" s="132">
        <f t="shared" si="6"/>
        <v>14</v>
      </c>
      <c r="AD12" s="132">
        <f t="shared" si="6"/>
        <v>22</v>
      </c>
      <c r="AE12" s="132">
        <f t="shared" si="6"/>
        <v>18</v>
      </c>
      <c r="AF12" s="132">
        <f t="shared" si="6"/>
        <v>20</v>
      </c>
      <c r="AG12" s="132">
        <f t="shared" si="6"/>
        <v>13</v>
      </c>
      <c r="AH12" s="132">
        <f t="shared" si="6"/>
        <v>1</v>
      </c>
      <c r="AI12" s="132">
        <f t="shared" si="6"/>
        <v>1</v>
      </c>
      <c r="AJ12" s="132">
        <f t="shared" si="6"/>
        <v>1</v>
      </c>
      <c r="AK12" s="132" t="str">
        <f t="shared" ref="AK12:BG12" si="7">IF(ISNUMBER(AK3),DAY(AK3),IF(LEFT(AK3,1)="-",MID(AK3,10,2),MID(AK3,9,2)))</f>
        <v>01</v>
      </c>
      <c r="AL12" s="132">
        <f t="shared" si="7"/>
        <v>20</v>
      </c>
      <c r="AM12" s="132" t="str">
        <f t="shared" si="7"/>
        <v>16</v>
      </c>
      <c r="AN12" s="132">
        <f t="shared" si="7"/>
        <v>6</v>
      </c>
      <c r="AO12" s="132" t="str">
        <f t="shared" si="7"/>
        <v>03</v>
      </c>
      <c r="AP12" s="132">
        <f t="shared" si="7"/>
        <v>25</v>
      </c>
      <c r="AQ12" s="132">
        <f t="shared" si="7"/>
        <v>2</v>
      </c>
      <c r="AR12" s="132">
        <f t="shared" si="7"/>
        <v>9</v>
      </c>
      <c r="AS12" s="132">
        <f t="shared" si="7"/>
        <v>17</v>
      </c>
      <c r="AT12" s="132">
        <f t="shared" si="7"/>
        <v>1</v>
      </c>
      <c r="AU12" s="132">
        <f t="shared" si="7"/>
        <v>1</v>
      </c>
      <c r="AV12" s="132">
        <f t="shared" si="7"/>
        <v>1</v>
      </c>
      <c r="AW12" s="132">
        <f t="shared" si="7"/>
        <v>5</v>
      </c>
      <c r="AX12" s="132">
        <f t="shared" si="7"/>
        <v>15</v>
      </c>
      <c r="AY12" s="132">
        <f t="shared" si="7"/>
        <v>1</v>
      </c>
      <c r="AZ12" s="132">
        <f t="shared" si="7"/>
        <v>2</v>
      </c>
      <c r="BA12" s="132">
        <f t="shared" si="7"/>
        <v>3</v>
      </c>
      <c r="BB12" s="132">
        <f t="shared" si="7"/>
        <v>4</v>
      </c>
      <c r="BC12" s="132">
        <f t="shared" si="7"/>
        <v>5</v>
      </c>
      <c r="BD12" s="132">
        <f t="shared" si="7"/>
        <v>6</v>
      </c>
      <c r="BE12" s="132">
        <f t="shared" si="7"/>
        <v>7</v>
      </c>
      <c r="BF12" s="132">
        <f t="shared" si="7"/>
        <v>8</v>
      </c>
      <c r="BG12" s="132">
        <f t="shared" si="7"/>
        <v>18</v>
      </c>
    </row>
    <row r="13" spans="1:59" x14ac:dyDescent="0.25">
      <c r="A13">
        <v>49.2</v>
      </c>
      <c r="B13">
        <v>350</v>
      </c>
      <c r="C13" t="s">
        <v>112</v>
      </c>
      <c r="D13" s="7" t="s">
        <v>575</v>
      </c>
      <c r="E13" s="28">
        <f t="shared" ref="E13:AJ13" si="8">IF(ISNUMBER(E3),((E3-DATE(E9,1,0))/365.25)+E9,E9+(E11+E12)/365.25)</f>
        <v>1957.7606023271733</v>
      </c>
      <c r="F13" s="28">
        <f t="shared" si="8"/>
        <v>333.14784394250512</v>
      </c>
      <c r="G13" s="28">
        <f t="shared" si="8"/>
        <v>2000.0041067761806</v>
      </c>
      <c r="H13" s="28">
        <f t="shared" si="8"/>
        <v>1999.0027378507871</v>
      </c>
      <c r="I13" s="28">
        <f t="shared" si="8"/>
        <v>1987.0739219712525</v>
      </c>
      <c r="J13" s="28">
        <f t="shared" si="8"/>
        <v>1987.466803559206</v>
      </c>
      <c r="K13" s="28">
        <f t="shared" si="8"/>
        <v>1988.0739219712525</v>
      </c>
      <c r="L13" s="28">
        <f t="shared" si="8"/>
        <v>1988.4695414099931</v>
      </c>
      <c r="M13" s="28">
        <f t="shared" si="8"/>
        <v>1900.0027378824752</v>
      </c>
      <c r="N13" s="28">
        <f t="shared" si="8"/>
        <v>1600.0054757015744</v>
      </c>
      <c r="O13" s="28">
        <f t="shared" si="8"/>
        <v>1601.0869267624914</v>
      </c>
      <c r="P13" s="28">
        <f t="shared" si="8"/>
        <v>837.30116358658449</v>
      </c>
      <c r="Q13" s="28">
        <f t="shared" si="8"/>
        <v>-121.91581108829568</v>
      </c>
      <c r="R13" s="28">
        <f t="shared" si="8"/>
        <v>-121.99452429842573</v>
      </c>
      <c r="S13" s="28">
        <f t="shared" si="8"/>
        <v>-999.4360027378508</v>
      </c>
      <c r="T13" s="28">
        <f t="shared" si="8"/>
        <v>-999.75633127994524</v>
      </c>
      <c r="U13" s="28">
        <f t="shared" si="8"/>
        <v>-1000.3264887063655</v>
      </c>
      <c r="V13" s="28">
        <f t="shared" si="8"/>
        <v>-4711.9945242984259</v>
      </c>
      <c r="W13" s="28">
        <f t="shared" si="8"/>
        <v>1987.2737850787132</v>
      </c>
      <c r="X13" s="28">
        <f t="shared" si="8"/>
        <v>1992.2819986310747</v>
      </c>
      <c r="Y13" s="28">
        <f t="shared" si="8"/>
        <v>1977.125941136208</v>
      </c>
      <c r="Z13" s="28">
        <f t="shared" si="8"/>
        <v>2044.0027378507871</v>
      </c>
      <c r="AA13" s="28">
        <f t="shared" si="8"/>
        <v>2000.0027378507871</v>
      </c>
      <c r="AB13" s="28">
        <f t="shared" si="8"/>
        <v>1954.495550992471</v>
      </c>
      <c r="AC13" s="28">
        <f t="shared" si="8"/>
        <v>1978.8706365503081</v>
      </c>
      <c r="AD13" s="28">
        <f t="shared" si="8"/>
        <v>1988.3093771389458</v>
      </c>
      <c r="AE13" s="28">
        <f t="shared" si="8"/>
        <v>1977.1345685349963</v>
      </c>
      <c r="AF13" s="28">
        <f t="shared" si="8"/>
        <v>1992.971937029432</v>
      </c>
      <c r="AG13" s="28">
        <f t="shared" si="8"/>
        <v>1992.7857631759068</v>
      </c>
      <c r="AH13" s="28">
        <f t="shared" si="8"/>
        <v>1991.1642710472279</v>
      </c>
      <c r="AI13" s="28">
        <f t="shared" si="8"/>
        <v>1992.2518822724162</v>
      </c>
      <c r="AJ13" s="28">
        <f t="shared" si="8"/>
        <v>1993.3312799452431</v>
      </c>
      <c r="AK13" s="28">
        <f t="shared" ref="AK13:BG13" si="9">IF(ISNUMBER(AK3),((AK3-DATE(AK9,1,0))/365.25)+AK9,AK9+(AK11+AK12)/365.25)</f>
        <v>1818.0054757015744</v>
      </c>
      <c r="AL13" s="28">
        <f t="shared" si="9"/>
        <v>1990.7200547570158</v>
      </c>
      <c r="AM13" s="28">
        <f t="shared" si="9"/>
        <v>622.58316221765915</v>
      </c>
      <c r="AN13" s="28">
        <f t="shared" si="9"/>
        <v>2000.2655715263518</v>
      </c>
      <c r="AO13" s="28">
        <f t="shared" si="9"/>
        <v>1.0164271047227926</v>
      </c>
      <c r="AP13" s="28">
        <f t="shared" si="9"/>
        <v>2022.7353296828655</v>
      </c>
      <c r="AQ13" s="28">
        <f t="shared" si="9"/>
        <v>2022.7546467411971</v>
      </c>
      <c r="AR13" s="28">
        <f t="shared" si="9"/>
        <v>2022.7735455167694</v>
      </c>
      <c r="AS13" s="28">
        <f t="shared" si="9"/>
        <v>2022.7949178644765</v>
      </c>
      <c r="AT13" s="28">
        <f t="shared" si="9"/>
        <v>2022.8350444900752</v>
      </c>
      <c r="AU13" s="28">
        <f t="shared" si="9"/>
        <v>1973.4161533196441</v>
      </c>
      <c r="AV13" s="28">
        <f t="shared" si="9"/>
        <v>1997.6680355920603</v>
      </c>
      <c r="AW13" s="28">
        <f t="shared" si="9"/>
        <v>1935.0136892539356</v>
      </c>
      <c r="AX13" s="28">
        <f t="shared" si="9"/>
        <v>1957.2874743326488</v>
      </c>
      <c r="AY13" s="28">
        <f t="shared" si="9"/>
        <v>2022.9171800136892</v>
      </c>
      <c r="AZ13" s="28">
        <f t="shared" si="9"/>
        <v>2022.9199178644765</v>
      </c>
      <c r="BA13" s="28">
        <f t="shared" si="9"/>
        <v>2022.9226557152635</v>
      </c>
      <c r="BB13" s="28">
        <f t="shared" si="9"/>
        <v>2022.9253935660506</v>
      </c>
      <c r="BC13" s="28">
        <f t="shared" si="9"/>
        <v>2022.9281314168377</v>
      </c>
      <c r="BD13" s="28">
        <f t="shared" si="9"/>
        <v>2022.930869267625</v>
      </c>
      <c r="BE13" s="28">
        <f t="shared" si="9"/>
        <v>2022.9336071184121</v>
      </c>
      <c r="BF13" s="28">
        <f t="shared" si="9"/>
        <v>2022.9363449691991</v>
      </c>
      <c r="BG13" s="28">
        <f t="shared" si="9"/>
        <v>1977.1341546885694</v>
      </c>
    </row>
    <row r="14" spans="1:59" x14ac:dyDescent="0.25">
      <c r="C14" t="s">
        <v>113</v>
      </c>
      <c r="E14" s="28">
        <f>(E13-2000)*12.3685</f>
        <v>-522.43799011635735</v>
      </c>
      <c r="F14" s="28">
        <f t="shared" ref="F14:X14" si="10">(F13-2000)*12.3685</f>
        <v>-20616.460892197127</v>
      </c>
      <c r="G14" s="28">
        <f t="shared" si="10"/>
        <v>5.0794661189827478E-2</v>
      </c>
      <c r="H14" s="28">
        <f t="shared" si="10"/>
        <v>-12.334636892540114</v>
      </c>
      <c r="I14" s="28">
        <f t="shared" si="10"/>
        <v>-159.87619609856341</v>
      </c>
      <c r="J14" s="28">
        <f t="shared" si="10"/>
        <v>-155.01684017796023</v>
      </c>
      <c r="K14" s="28">
        <f t="shared" si="10"/>
        <v>-147.5076960985634</v>
      </c>
      <c r="L14" s="28">
        <f t="shared" si="10"/>
        <v>-142.61447707050036</v>
      </c>
      <c r="M14" s="28">
        <f t="shared" si="10"/>
        <v>-1236.8161365006051</v>
      </c>
      <c r="N14" s="28">
        <f t="shared" si="10"/>
        <v>-4947.3322737850767</v>
      </c>
      <c r="O14" s="28">
        <f t="shared" si="10"/>
        <v>-4933.9563463381246</v>
      </c>
      <c r="P14" s="28">
        <f t="shared" si="10"/>
        <v>-14380.840558179327</v>
      </c>
      <c r="Q14" s="28">
        <f t="shared" si="10"/>
        <v>-26244.915709445584</v>
      </c>
      <c r="R14" s="28">
        <f t="shared" si="10"/>
        <v>-26245.88927378508</v>
      </c>
      <c r="S14" s="28">
        <f t="shared" si="10"/>
        <v>-37098.524199863103</v>
      </c>
      <c r="T14" s="28">
        <f t="shared" si="10"/>
        <v>-37102.486183435998</v>
      </c>
      <c r="U14" s="28">
        <f t="shared" si="10"/>
        <v>-37109.538175564681</v>
      </c>
      <c r="V14" s="28">
        <f t="shared" si="10"/>
        <v>-83017.304273785077</v>
      </c>
      <c r="W14" s="28">
        <f t="shared" si="10"/>
        <v>-157.40418925393556</v>
      </c>
      <c r="X14" s="28">
        <f t="shared" si="10"/>
        <v>-95.460099931553103</v>
      </c>
      <c r="Y14" s="28">
        <f>(Y13-2000)*12.3685</f>
        <v>-282.91779705681154</v>
      </c>
      <c r="Z14" s="28">
        <f t="shared" ref="Z14:AE14" si="11">(Z13-2000)*12.3685</f>
        <v>544.24786310745981</v>
      </c>
      <c r="AA14" s="28">
        <f t="shared" si="11"/>
        <v>3.3863107459884981E-2</v>
      </c>
      <c r="AB14" s="28">
        <f t="shared" si="11"/>
        <v>-562.82177754962299</v>
      </c>
      <c r="AC14" s="28">
        <f t="shared" si="11"/>
        <v>-261.33853182751471</v>
      </c>
      <c r="AD14" s="28">
        <f t="shared" si="11"/>
        <v>-144.59546885694863</v>
      </c>
      <c r="AE14" s="28">
        <f t="shared" si="11"/>
        <v>-282.81108907489784</v>
      </c>
      <c r="AF14" s="28">
        <f t="shared" ref="AF14" si="12">(AF13-2000)*12.3685</f>
        <v>-86.926596851470848</v>
      </c>
      <c r="AG14" s="28">
        <f t="shared" ref="AG14" si="13">(AG13-2000)*12.3685</f>
        <v>-89.229288158796464</v>
      </c>
      <c r="AH14" s="28">
        <f t="shared" ref="AH14" si="14">(AH13-2000)*12.3685</f>
        <v>-109.28471355236189</v>
      </c>
      <c r="AI14" s="28">
        <f t="shared" ref="AI14" si="15">(AI13-2000)*12.3685</f>
        <v>-95.832594113620274</v>
      </c>
      <c r="AJ14" s="28">
        <f t="shared" ref="AJ14" si="16">(AJ13-2000)*12.3685</f>
        <v>-82.482063997261108</v>
      </c>
      <c r="AK14" s="28">
        <f t="shared" ref="AK14" si="17">(AK13-2000)*12.3685</f>
        <v>-2250.9992737850771</v>
      </c>
      <c r="AL14" s="28">
        <f t="shared" ref="AL14" si="18">(AL13-2000)*12.3685</f>
        <v>-114.77900273785058</v>
      </c>
      <c r="AM14" s="28">
        <f t="shared" ref="AM14" si="19">(AM13-2000)*12.3685</f>
        <v>-17036.580158110879</v>
      </c>
      <c r="AN14" s="28">
        <f t="shared" ref="AN14" si="20">(AN13-2000)*12.3685</f>
        <v>3.2847214236819626</v>
      </c>
      <c r="AO14" s="28">
        <f t="shared" ref="AO14" si="21">(AO13-2000)*12.3685</f>
        <v>-24724.428321355233</v>
      </c>
      <c r="AP14" s="28">
        <f t="shared" ref="AP14" si="22">(AP13-2000)*12.3685</f>
        <v>281.20192518252242</v>
      </c>
      <c r="AQ14" s="28">
        <f t="shared" ref="AQ14" si="23">(AQ13-2000)*12.3685</f>
        <v>281.44084821849657</v>
      </c>
      <c r="AR14" s="28">
        <f t="shared" ref="AR14" si="24">(AR13-2000)*12.3685</f>
        <v>281.67459772416288</v>
      </c>
      <c r="AS14" s="28">
        <f t="shared" ref="AS14" si="25">(AS13-2000)*12.3685</f>
        <v>281.93894160677723</v>
      </c>
      <c r="AT14" s="28">
        <f t="shared" ref="AT14" si="26">(AT13-2000)*12.3685</f>
        <v>282.4352477754955</v>
      </c>
      <c r="AU14" s="28">
        <f t="shared" ref="AU14" si="27">(AU13-2000)*12.3685</f>
        <v>-328.80230766598214</v>
      </c>
      <c r="AV14" s="28">
        <f t="shared" ref="AV14" si="28">(AV13-2000)*12.3685</f>
        <v>-28.842901779602453</v>
      </c>
      <c r="AW14" s="28">
        <f t="shared" ref="AW14" si="29">(AW13-2000)*12.3685</f>
        <v>-803.7831844626977</v>
      </c>
      <c r="AX14" s="28">
        <f t="shared" ref="AX14" si="30">(AX13-2000)*12.3685</f>
        <v>-528.28987371663334</v>
      </c>
      <c r="AY14" s="28">
        <f t="shared" ref="AY14" si="31">(AY13-2000)*12.3685</f>
        <v>283.45114099931453</v>
      </c>
      <c r="AZ14" s="28">
        <f t="shared" ref="AZ14" si="32">(AZ13-2000)*12.3685</f>
        <v>283.48500410677724</v>
      </c>
      <c r="BA14" s="28">
        <f t="shared" ref="BA14" si="33">(BA13-2000)*12.3685</f>
        <v>283.51886721423716</v>
      </c>
      <c r="BB14" s="28">
        <f t="shared" ref="BB14" si="34">(BB13-2000)*12.3685</f>
        <v>283.55273032169703</v>
      </c>
      <c r="BC14" s="28">
        <f t="shared" ref="BC14" si="35">(BC13-2000)*12.3685</f>
        <v>283.58659342915689</v>
      </c>
      <c r="BD14" s="28">
        <f t="shared" ref="BD14" si="36">(BD13-2000)*12.3685</f>
        <v>283.6204565366196</v>
      </c>
      <c r="BE14" s="28">
        <f t="shared" ref="BE14:BG14" si="37">(BE13-2000)*12.3685</f>
        <v>283.65431964407946</v>
      </c>
      <c r="BF14" s="28">
        <f t="shared" si="37"/>
        <v>283.68818275153939</v>
      </c>
      <c r="BG14" s="28">
        <f t="shared" si="37"/>
        <v>-282.81620773442904</v>
      </c>
    </row>
    <row r="15" spans="1:59" x14ac:dyDescent="0.25">
      <c r="A15" s="35"/>
      <c r="B15" s="35"/>
      <c r="C15" s="35" t="s">
        <v>569</v>
      </c>
      <c r="D15" s="86" t="s">
        <v>371</v>
      </c>
      <c r="E15" s="92">
        <f>ROUND(E14,0)</f>
        <v>-522</v>
      </c>
      <c r="F15" s="92">
        <f t="shared" ref="F15:X15" si="38">ROUND(F14,0)</f>
        <v>-20616</v>
      </c>
      <c r="G15" s="92">
        <f t="shared" si="38"/>
        <v>0</v>
      </c>
      <c r="H15" s="92">
        <f t="shared" si="38"/>
        <v>-12</v>
      </c>
      <c r="I15" s="92">
        <f t="shared" si="38"/>
        <v>-160</v>
      </c>
      <c r="J15" s="92">
        <f t="shared" si="38"/>
        <v>-155</v>
      </c>
      <c r="K15" s="92">
        <f t="shared" si="38"/>
        <v>-148</v>
      </c>
      <c r="L15" s="92">
        <f t="shared" si="38"/>
        <v>-143</v>
      </c>
      <c r="M15" s="92">
        <f t="shared" si="38"/>
        <v>-1237</v>
      </c>
      <c r="N15" s="92">
        <f t="shared" si="38"/>
        <v>-4947</v>
      </c>
      <c r="O15" s="92">
        <f t="shared" si="38"/>
        <v>-4934</v>
      </c>
      <c r="P15" s="92">
        <f t="shared" si="38"/>
        <v>-14381</v>
      </c>
      <c r="Q15" s="92">
        <f t="shared" si="38"/>
        <v>-26245</v>
      </c>
      <c r="R15" s="92">
        <f t="shared" si="38"/>
        <v>-26246</v>
      </c>
      <c r="S15" s="92">
        <f t="shared" si="38"/>
        <v>-37099</v>
      </c>
      <c r="T15" s="92">
        <f t="shared" si="38"/>
        <v>-37102</v>
      </c>
      <c r="U15" s="92">
        <f t="shared" si="38"/>
        <v>-37110</v>
      </c>
      <c r="V15" s="92">
        <f t="shared" si="38"/>
        <v>-83017</v>
      </c>
      <c r="W15" s="92">
        <f t="shared" si="38"/>
        <v>-157</v>
      </c>
      <c r="X15" s="92">
        <f t="shared" si="38"/>
        <v>-95</v>
      </c>
      <c r="Y15" s="124">
        <f>ROUND(Y14,0)</f>
        <v>-283</v>
      </c>
      <c r="Z15" s="92">
        <f t="shared" ref="Z15:AE15" si="39">ROUND(Z14,0)</f>
        <v>544</v>
      </c>
      <c r="AA15" s="92">
        <f t="shared" si="39"/>
        <v>0</v>
      </c>
      <c r="AB15" s="92">
        <f t="shared" si="39"/>
        <v>-563</v>
      </c>
      <c r="AC15" s="92">
        <f t="shared" si="39"/>
        <v>-261</v>
      </c>
      <c r="AD15" s="92">
        <f t="shared" si="39"/>
        <v>-145</v>
      </c>
      <c r="AE15" s="92">
        <f t="shared" si="39"/>
        <v>-283</v>
      </c>
      <c r="AF15" s="92">
        <f t="shared" ref="AF15" si="40">ROUND(AF14,0)</f>
        <v>-87</v>
      </c>
      <c r="AG15" s="92">
        <f t="shared" ref="AG15" si="41">ROUND(AG14,0)</f>
        <v>-89</v>
      </c>
      <c r="AH15" s="92">
        <f t="shared" ref="AH15" si="42">ROUND(AH14,0)</f>
        <v>-109</v>
      </c>
      <c r="AI15" s="92">
        <f t="shared" ref="AI15" si="43">ROUND(AI14,0)</f>
        <v>-96</v>
      </c>
      <c r="AJ15" s="92">
        <f t="shared" ref="AJ15" si="44">ROUND(AJ14,0)</f>
        <v>-82</v>
      </c>
      <c r="AK15" s="92">
        <f t="shared" ref="AK15" si="45">ROUND(AK14,0)</f>
        <v>-2251</v>
      </c>
      <c r="AL15" s="92">
        <f t="shared" ref="AL15" si="46">ROUND(AL14,0)</f>
        <v>-115</v>
      </c>
      <c r="AM15" s="92">
        <f t="shared" ref="AM15" si="47">ROUND(AM14,0)</f>
        <v>-17037</v>
      </c>
      <c r="AN15" s="92">
        <f t="shared" ref="AN15" si="48">ROUND(AN14,0)</f>
        <v>3</v>
      </c>
      <c r="AO15" s="92">
        <f t="shared" ref="AO15" si="49">ROUND(AO14,0)</f>
        <v>-24724</v>
      </c>
      <c r="AP15" s="92">
        <f t="shared" ref="AP15" si="50">ROUND(AP14,0)</f>
        <v>281</v>
      </c>
      <c r="AQ15" s="92">
        <f t="shared" ref="AQ15" si="51">ROUND(AQ14,0)</f>
        <v>281</v>
      </c>
      <c r="AR15" s="92">
        <f t="shared" ref="AR15" si="52">ROUND(AR14,0)</f>
        <v>282</v>
      </c>
      <c r="AS15" s="92">
        <f t="shared" ref="AS15" si="53">ROUND(AS14,0)</f>
        <v>282</v>
      </c>
      <c r="AT15" s="92">
        <f t="shared" ref="AT15" si="54">ROUND(AT14,0)</f>
        <v>282</v>
      </c>
      <c r="AU15" s="92">
        <f t="shared" ref="AU15" si="55">ROUND(AU14,0)</f>
        <v>-329</v>
      </c>
      <c r="AV15" s="92">
        <f t="shared" ref="AV15" si="56">ROUND(AV14,0)</f>
        <v>-29</v>
      </c>
      <c r="AW15" s="92">
        <f t="shared" ref="AW15" si="57">ROUND(AW14,0)</f>
        <v>-804</v>
      </c>
      <c r="AX15" s="92">
        <f t="shared" ref="AX15" si="58">ROUND(AX14,0)</f>
        <v>-528</v>
      </c>
      <c r="AY15" s="92">
        <f t="shared" ref="AY15" si="59">ROUND(AY14,0)</f>
        <v>283</v>
      </c>
      <c r="AZ15" s="92">
        <f t="shared" ref="AZ15" si="60">ROUND(AZ14,0)</f>
        <v>283</v>
      </c>
      <c r="BA15" s="92">
        <f t="shared" ref="BA15" si="61">ROUND(BA14,0)</f>
        <v>284</v>
      </c>
      <c r="BB15" s="92">
        <f t="shared" ref="BB15" si="62">ROUND(BB14,0)</f>
        <v>284</v>
      </c>
      <c r="BC15" s="92">
        <f t="shared" ref="BC15" si="63">ROUND(BC14,0)</f>
        <v>284</v>
      </c>
      <c r="BD15" s="92">
        <f t="shared" ref="BD15" si="64">ROUND(BD14,0)</f>
        <v>284</v>
      </c>
      <c r="BE15" s="92">
        <f t="shared" ref="BE15:BG15" si="65">ROUND(BE14,0)</f>
        <v>284</v>
      </c>
      <c r="BF15" s="92">
        <f t="shared" si="65"/>
        <v>284</v>
      </c>
      <c r="BG15" s="92">
        <f t="shared" si="65"/>
        <v>-283</v>
      </c>
    </row>
    <row r="16" spans="1:59" x14ac:dyDescent="0.25">
      <c r="A16">
        <v>49.3</v>
      </c>
      <c r="B16">
        <v>350</v>
      </c>
      <c r="C16" t="s">
        <v>116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</row>
    <row r="17" spans="1:59" x14ac:dyDescent="0.25">
      <c r="A17" s="35"/>
      <c r="B17" s="35"/>
      <c r="C17" s="35" t="s">
        <v>117</v>
      </c>
      <c r="D17" s="86" t="s">
        <v>375</v>
      </c>
      <c r="E17" s="93">
        <f>E15/1236.85</f>
        <v>-0.42203985932004695</v>
      </c>
      <c r="F17" s="93">
        <f t="shared" ref="F17:X17" si="66">F15/1236.85</f>
        <v>-16.66814892670898</v>
      </c>
      <c r="G17" s="93">
        <f t="shared" si="66"/>
        <v>0</v>
      </c>
      <c r="H17" s="93">
        <f t="shared" si="66"/>
        <v>-9.7020657314953324E-3</v>
      </c>
      <c r="I17" s="93">
        <f t="shared" si="66"/>
        <v>-0.12936087641993776</v>
      </c>
      <c r="J17" s="93">
        <f t="shared" si="66"/>
        <v>-0.12531834903181471</v>
      </c>
      <c r="K17" s="93">
        <f t="shared" si="66"/>
        <v>-0.11965881068844242</v>
      </c>
      <c r="L17" s="93">
        <f t="shared" si="66"/>
        <v>-0.11561628330031937</v>
      </c>
      <c r="M17" s="93">
        <f t="shared" si="66"/>
        <v>-1.0001212758216438</v>
      </c>
      <c r="N17" s="93">
        <f t="shared" si="66"/>
        <v>-3.9996765978089504</v>
      </c>
      <c r="O17" s="93">
        <f t="shared" si="66"/>
        <v>-3.9891660265998303</v>
      </c>
      <c r="P17" s="93">
        <f t="shared" si="66"/>
        <v>-11.627117273719531</v>
      </c>
      <c r="Q17" s="93">
        <f t="shared" si="66"/>
        <v>-21.219226260257916</v>
      </c>
      <c r="R17" s="93">
        <f t="shared" si="66"/>
        <v>-21.220034765735541</v>
      </c>
      <c r="S17" s="93">
        <f t="shared" si="66"/>
        <v>-29.994744714395441</v>
      </c>
      <c r="T17" s="93">
        <f t="shared" si="66"/>
        <v>-29.997170230828317</v>
      </c>
      <c r="U17" s="93">
        <f t="shared" si="66"/>
        <v>-30.003638274649312</v>
      </c>
      <c r="V17" s="93">
        <f t="shared" si="66"/>
        <v>-67.119699235962329</v>
      </c>
      <c r="W17" s="93">
        <f t="shared" si="66"/>
        <v>-0.12693535998706393</v>
      </c>
      <c r="X17" s="93">
        <f t="shared" si="66"/>
        <v>-7.6808020374338037E-2</v>
      </c>
      <c r="Y17" s="123">
        <f>Y15/1236.85</f>
        <v>-0.2288070501677649</v>
      </c>
      <c r="Z17" s="93">
        <f t="shared" ref="Z17:AE17" si="67">Z15/1236.85</f>
        <v>0.43982697982778834</v>
      </c>
      <c r="AA17" s="93">
        <f t="shared" si="67"/>
        <v>0</v>
      </c>
      <c r="AB17" s="93">
        <f t="shared" si="67"/>
        <v>-0.45518858390265599</v>
      </c>
      <c r="AC17" s="93">
        <f t="shared" si="67"/>
        <v>-0.21101992966002348</v>
      </c>
      <c r="AD17" s="93">
        <f t="shared" si="67"/>
        <v>-0.1172332942555686</v>
      </c>
      <c r="AE17" s="93">
        <f t="shared" si="67"/>
        <v>-0.2288070501677649</v>
      </c>
      <c r="AF17" s="93">
        <f t="shared" ref="AF17:BG17" si="68">AF15/1236.85</f>
        <v>-7.0339976553341149E-2</v>
      </c>
      <c r="AG17" s="93">
        <f t="shared" si="68"/>
        <v>-7.1956987508590378E-2</v>
      </c>
      <c r="AH17" s="93">
        <f t="shared" si="68"/>
        <v>-8.8127097061082599E-2</v>
      </c>
      <c r="AI17" s="93">
        <f t="shared" si="68"/>
        <v>-7.7616525851962659E-2</v>
      </c>
      <c r="AJ17" s="93">
        <f t="shared" si="68"/>
        <v>-6.6297449165218097E-2</v>
      </c>
      <c r="AK17" s="93">
        <f t="shared" si="68"/>
        <v>-1.8199458301329994</v>
      </c>
      <c r="AL17" s="93">
        <f t="shared" si="68"/>
        <v>-9.2978129926830258E-2</v>
      </c>
      <c r="AM17" s="93">
        <f t="shared" si="68"/>
        <v>-13.774507822290497</v>
      </c>
      <c r="AN17" s="93">
        <f t="shared" si="68"/>
        <v>2.4255164328738331E-3</v>
      </c>
      <c r="AO17" s="93">
        <f t="shared" si="68"/>
        <v>-19.989489428790883</v>
      </c>
      <c r="AP17" s="93">
        <f t="shared" si="68"/>
        <v>0.22719003921251568</v>
      </c>
      <c r="AQ17" s="93">
        <f t="shared" si="68"/>
        <v>0.22719003921251568</v>
      </c>
      <c r="AR17" s="93">
        <f t="shared" si="68"/>
        <v>0.2279985446901403</v>
      </c>
      <c r="AS17" s="93">
        <f t="shared" si="68"/>
        <v>0.2279985446901403</v>
      </c>
      <c r="AT17" s="93">
        <f t="shared" si="68"/>
        <v>0.2279985446901403</v>
      </c>
      <c r="AU17" s="93">
        <f t="shared" si="68"/>
        <v>-0.26599830213849701</v>
      </c>
      <c r="AV17" s="93">
        <f t="shared" si="68"/>
        <v>-2.3446658851113716E-2</v>
      </c>
      <c r="AW17" s="93">
        <f t="shared" si="68"/>
        <v>-0.6500384040101872</v>
      </c>
      <c r="AX17" s="93">
        <f t="shared" si="68"/>
        <v>-0.42689089218579457</v>
      </c>
      <c r="AY17" s="93">
        <f t="shared" si="68"/>
        <v>0.2288070501677649</v>
      </c>
      <c r="AZ17" s="93">
        <f t="shared" si="68"/>
        <v>0.2288070501677649</v>
      </c>
      <c r="BA17" s="93">
        <f t="shared" si="68"/>
        <v>0.22961555564538952</v>
      </c>
      <c r="BB17" s="93">
        <f t="shared" si="68"/>
        <v>0.22961555564538952</v>
      </c>
      <c r="BC17" s="93">
        <f t="shared" si="68"/>
        <v>0.22961555564538952</v>
      </c>
      <c r="BD17" s="93">
        <f t="shared" si="68"/>
        <v>0.22961555564538952</v>
      </c>
      <c r="BE17" s="93">
        <f t="shared" si="68"/>
        <v>0.22961555564538952</v>
      </c>
      <c r="BF17" s="93">
        <f t="shared" si="68"/>
        <v>0.22961555564538952</v>
      </c>
      <c r="BG17" s="93">
        <f t="shared" si="68"/>
        <v>-0.2288070501677649</v>
      </c>
    </row>
    <row r="18" spans="1:59" x14ac:dyDescent="0.25">
      <c r="A18">
        <v>49.1</v>
      </c>
      <c r="B18">
        <v>349</v>
      </c>
      <c r="C18" t="s">
        <v>121</v>
      </c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</row>
    <row r="19" spans="1:59" x14ac:dyDescent="0.25">
      <c r="C19" t="s">
        <v>122</v>
      </c>
    </row>
    <row r="20" spans="1:59" x14ac:dyDescent="0.25">
      <c r="C20" t="s">
        <v>123</v>
      </c>
    </row>
    <row r="21" spans="1:59" x14ac:dyDescent="0.25">
      <c r="C21" t="s">
        <v>124</v>
      </c>
      <c r="D21" s="7" t="s">
        <v>379</v>
      </c>
      <c r="E21" s="15">
        <f xml:space="preserve"> 2451550.09766 + 29.530588861 *E15    + 0.00015437* E17^2    - 0.00000015* E17^3   + 0.00000000073* E17^4</f>
        <v>2436135.1303020651</v>
      </c>
      <c r="F21" s="15">
        <f t="shared" ref="F21:X21" si="69" xml:space="preserve"> 2451550.09766 + 29.530588861 *F15    + 0.00015437* F17^2    - 0.00000015* F17^3   + 0.00000000073* F17^4</f>
        <v>1842747.5213407839</v>
      </c>
      <c r="G21" s="15">
        <f t="shared" si="69"/>
        <v>2451550.09766</v>
      </c>
      <c r="H21" s="15">
        <f t="shared" si="69"/>
        <v>2451195.7305936823</v>
      </c>
      <c r="I21" s="15">
        <f t="shared" si="69"/>
        <v>2446825.2034448241</v>
      </c>
      <c r="J21" s="15">
        <f t="shared" si="69"/>
        <v>2446972.8563889698</v>
      </c>
      <c r="K21" s="15">
        <f t="shared" si="69"/>
        <v>2447179.5705107828</v>
      </c>
      <c r="L21" s="15">
        <f t="shared" si="69"/>
        <v>2447327.2234549401</v>
      </c>
      <c r="M21" s="15">
        <f t="shared" si="69"/>
        <v>2415020.7593935011</v>
      </c>
      <c r="N21" s="15">
        <f t="shared" si="69"/>
        <v>2305462.2770439382</v>
      </c>
      <c r="O21" s="15">
        <f t="shared" si="69"/>
        <v>2305846.1746860915</v>
      </c>
      <c r="P21" s="15">
        <f t="shared" si="69"/>
        <v>2026870.720368339</v>
      </c>
      <c r="Q21" s="15">
        <f t="shared" si="69"/>
        <v>1676519.8640901106</v>
      </c>
      <c r="R21" s="15">
        <f t="shared" si="69"/>
        <v>1676490.3335067327</v>
      </c>
      <c r="S21" s="15">
        <f t="shared" si="69"/>
        <v>1355994.9250288475</v>
      </c>
      <c r="T21" s="15">
        <f t="shared" si="69"/>
        <v>1355906.3332859003</v>
      </c>
      <c r="U21" s="15">
        <f t="shared" si="69"/>
        <v>1355670.0886380509</v>
      </c>
      <c r="V21" s="15">
        <f t="shared" si="69"/>
        <v>9.9578039574834847</v>
      </c>
      <c r="W21" s="15">
        <f t="shared" si="69"/>
        <v>2446913.7952113105</v>
      </c>
      <c r="X21" s="15">
        <f t="shared" si="69"/>
        <v>2448744.6917191157</v>
      </c>
      <c r="Y21" s="85">
        <f xml:space="preserve"> 2451550.09766 + 29.530588861 *Y15    + 0.00015437* Y17^2    - 0.00000015* Y17^3   + 0.00000000073* Y17^4</f>
        <v>2443192.9410204203</v>
      </c>
      <c r="Z21" s="15">
        <f t="shared" ref="Z21:AE21" si="70" xml:space="preserve"> 2451550.09766 + 29.530588861 *Z15    + 0.00015437* Z17^2    - 0.00000015* Z17^3   + 0.00000000073* Z17^4</f>
        <v>2467614.7380302339</v>
      </c>
      <c r="AA21" s="15">
        <f t="shared" si="70"/>
        <v>2451550.09766</v>
      </c>
      <c r="AB21" s="15">
        <f t="shared" si="70"/>
        <v>2434924.3761632559</v>
      </c>
      <c r="AC21" s="15">
        <f t="shared" si="70"/>
        <v>2443842.6139741545</v>
      </c>
      <c r="AD21" s="15">
        <f t="shared" si="70"/>
        <v>2447268.1622772771</v>
      </c>
      <c r="AE21" s="15">
        <f t="shared" si="70"/>
        <v>2443192.9410204203</v>
      </c>
      <c r="AF21" s="15">
        <f t="shared" ref="AF21:BG21" si="71" xml:space="preserve"> 2451550.09766 + 29.530588861 *AF15    + 0.00015437* AF17^2    - 0.00000015* AF17^3   + 0.00000000073* AF17^4</f>
        <v>2448980.9364298568</v>
      </c>
      <c r="AG21" s="15">
        <f t="shared" si="71"/>
        <v>2448921.87525217</v>
      </c>
      <c r="AH21" s="15">
        <f t="shared" si="71"/>
        <v>2448331.2634753501</v>
      </c>
      <c r="AI21" s="15">
        <f t="shared" si="71"/>
        <v>2448715.1611302737</v>
      </c>
      <c r="AJ21" s="15">
        <f t="shared" si="71"/>
        <v>2449128.5893740766</v>
      </c>
      <c r="AK21" s="15">
        <f t="shared" si="71"/>
        <v>2385076.7426461061</v>
      </c>
      <c r="AL21" s="15">
        <f t="shared" si="71"/>
        <v>2448154.0799423195</v>
      </c>
      <c r="AM21" s="15">
        <f t="shared" si="71"/>
        <v>1948437.484943164</v>
      </c>
      <c r="AN21" s="15">
        <f t="shared" si="71"/>
        <v>2451638.6894265837</v>
      </c>
      <c r="AO21" s="15">
        <f t="shared" si="71"/>
        <v>1721435.881658416</v>
      </c>
      <c r="AP21" s="15">
        <f t="shared" si="71"/>
        <v>2459848.193137907</v>
      </c>
      <c r="AQ21" s="15">
        <f t="shared" si="71"/>
        <v>2459848.193137907</v>
      </c>
      <c r="AR21" s="15">
        <f t="shared" si="71"/>
        <v>2459877.7237268249</v>
      </c>
      <c r="AS21" s="15">
        <f t="shared" si="71"/>
        <v>2459877.7237268249</v>
      </c>
      <c r="AT21" s="15">
        <f t="shared" si="71"/>
        <v>2459877.7237268249</v>
      </c>
      <c r="AU21" s="15">
        <f t="shared" si="71"/>
        <v>2441834.5339356563</v>
      </c>
      <c r="AV21" s="15">
        <f t="shared" si="71"/>
        <v>2450693.7105831159</v>
      </c>
      <c r="AW21" s="15">
        <f t="shared" si="71"/>
        <v>2427807.5042810258</v>
      </c>
      <c r="AX21" s="15">
        <f t="shared" si="71"/>
        <v>2435957.9467695351</v>
      </c>
      <c r="AY21" s="15">
        <f t="shared" si="71"/>
        <v>2459907.2543157428</v>
      </c>
      <c r="AZ21" s="15">
        <f t="shared" si="71"/>
        <v>2459907.2543157428</v>
      </c>
      <c r="BA21" s="15">
        <f t="shared" si="71"/>
        <v>2459936.7849046611</v>
      </c>
      <c r="BB21" s="15">
        <f t="shared" si="71"/>
        <v>2459936.7849046611</v>
      </c>
      <c r="BC21" s="15">
        <f t="shared" si="71"/>
        <v>2459936.7849046611</v>
      </c>
      <c r="BD21" s="15">
        <f t="shared" si="71"/>
        <v>2459936.7849046611</v>
      </c>
      <c r="BE21" s="15">
        <f t="shared" si="71"/>
        <v>2459936.7849046611</v>
      </c>
      <c r="BF21" s="15">
        <f t="shared" si="71"/>
        <v>2459936.7849046611</v>
      </c>
      <c r="BG21" s="15">
        <f t="shared" si="71"/>
        <v>2443192.9410204203</v>
      </c>
    </row>
    <row r="22" spans="1:59" x14ac:dyDescent="0.25">
      <c r="A22" s="35">
        <v>47.6</v>
      </c>
      <c r="B22" s="35">
        <v>338</v>
      </c>
      <c r="C22" s="35" t="s">
        <v>125</v>
      </c>
      <c r="D22" s="86" t="s">
        <v>383</v>
      </c>
      <c r="E22" s="94">
        <f xml:space="preserve"> 1 - 0.002516 *E17 - 0.0000074 *E17^2</f>
        <v>1.0010605342154921</v>
      </c>
      <c r="F22" s="94">
        <f t="shared" ref="F22:X22" si="72" xml:space="preserve"> 1 - 0.002516 *F17 - 0.0000074 *F17^2</f>
        <v>1.039881141503642</v>
      </c>
      <c r="G22" s="94">
        <f t="shared" si="72"/>
        <v>1</v>
      </c>
      <c r="H22" s="94">
        <f t="shared" si="72"/>
        <v>1.000024409700818</v>
      </c>
      <c r="I22" s="94">
        <f t="shared" si="72"/>
        <v>1.0003253481317236</v>
      </c>
      <c r="J22" s="94">
        <f t="shared" si="72"/>
        <v>1.0003151847514684</v>
      </c>
      <c r="K22" s="94">
        <f t="shared" si="72"/>
        <v>1.0003009556127829</v>
      </c>
      <c r="L22" s="94">
        <f t="shared" si="72"/>
        <v>1.0002907916520587</v>
      </c>
      <c r="M22" s="94">
        <f t="shared" si="72"/>
        <v>1.0025089033349763</v>
      </c>
      <c r="N22" s="94">
        <f t="shared" si="72"/>
        <v>1.0099448054647231</v>
      </c>
      <c r="O22" s="94">
        <f t="shared" si="72"/>
        <v>1.0099189822255756</v>
      </c>
      <c r="P22" s="94">
        <f t="shared" si="72"/>
        <v>1.0282534221255619</v>
      </c>
      <c r="Q22" s="94">
        <f t="shared" si="72"/>
        <v>1.0500556821039873</v>
      </c>
      <c r="R22" s="94">
        <f t="shared" si="72"/>
        <v>1.0500574623921939</v>
      </c>
      <c r="S22" s="94">
        <f t="shared" si="72"/>
        <v>1.0688091108438538</v>
      </c>
      <c r="T22" s="94">
        <f t="shared" si="72"/>
        <v>1.06881413665902</v>
      </c>
      <c r="U22" s="94">
        <f t="shared" si="72"/>
        <v>1.0688275384071193</v>
      </c>
      <c r="V22" s="94">
        <f t="shared" si="72"/>
        <v>1.1355357634887886</v>
      </c>
      <c r="W22" s="94">
        <f t="shared" si="72"/>
        <v>1.0003192501325939</v>
      </c>
      <c r="X22" s="94">
        <f t="shared" si="72"/>
        <v>1.000193205323169</v>
      </c>
      <c r="Y22" s="125">
        <f xml:space="preserve"> 1 - 0.002516 *Y17 - 0.0000074 *Y17^2</f>
        <v>1.0005752911284922</v>
      </c>
      <c r="Z22" s="94">
        <f t="shared" ref="Z22:AE22" si="73" xml:space="preserve"> 1 - 0.002516 *Z17 - 0.0000074 *Z17^2</f>
        <v>0.99889196380523915</v>
      </c>
      <c r="AA22" s="94">
        <f t="shared" si="73"/>
        <v>1</v>
      </c>
      <c r="AB22" s="94">
        <f t="shared" si="73"/>
        <v>1.0011437212219119</v>
      </c>
      <c r="AC22" s="94">
        <f t="shared" si="73"/>
        <v>1.0005305966253855</v>
      </c>
      <c r="AD22" s="94">
        <f t="shared" si="73"/>
        <v>1.0002948572653718</v>
      </c>
      <c r="AE22" s="94">
        <f t="shared" si="73"/>
        <v>1.0005752911284922</v>
      </c>
      <c r="AF22" s="94">
        <f t="shared" ref="AF22:BG22" si="74" xml:space="preserve"> 1 - 0.002516 *AF17 - 0.0000074 *AF17^2</f>
        <v>1.0001769387679371</v>
      </c>
      <c r="AG22" s="94">
        <f t="shared" si="74"/>
        <v>1.0001810054647919</v>
      </c>
      <c r="AH22" s="94">
        <f t="shared" si="74"/>
        <v>1.0002216703049551</v>
      </c>
      <c r="AI22" s="94">
        <f t="shared" si="74"/>
        <v>1.0001952385990378</v>
      </c>
      <c r="AJ22" s="94">
        <f t="shared" si="74"/>
        <v>1.0001667718564966</v>
      </c>
      <c r="AK22" s="94">
        <f t="shared" si="74"/>
        <v>1.0045544734077123</v>
      </c>
      <c r="AL22" s="94">
        <f t="shared" si="74"/>
        <v>1.0002338690023944</v>
      </c>
      <c r="AM22" s="94">
        <f t="shared" si="74"/>
        <v>1.03325260739436</v>
      </c>
      <c r="AN22" s="94">
        <f t="shared" si="74"/>
        <v>0.99999389735711974</v>
      </c>
      <c r="AO22" s="94">
        <f t="shared" si="74"/>
        <v>1.0473366657144221</v>
      </c>
      <c r="AP22" s="94">
        <f t="shared" si="74"/>
        <v>0.99942800790801833</v>
      </c>
      <c r="AQ22" s="94">
        <f t="shared" si="74"/>
        <v>0.99942800790801833</v>
      </c>
      <c r="AR22" s="94">
        <f t="shared" si="74"/>
        <v>0.9994259709848704</v>
      </c>
      <c r="AS22" s="94">
        <f t="shared" si="74"/>
        <v>0.9994259709848704</v>
      </c>
      <c r="AT22" s="94">
        <f t="shared" si="74"/>
        <v>0.9994259709848704</v>
      </c>
      <c r="AU22" s="94">
        <f t="shared" si="74"/>
        <v>1.0006687281404647</v>
      </c>
      <c r="AV22" s="94">
        <f t="shared" si="74"/>
        <v>1.0000589877255504</v>
      </c>
      <c r="AW22" s="94">
        <f t="shared" si="74"/>
        <v>1.001632369755032</v>
      </c>
      <c r="AX22" s="94">
        <f t="shared" si="74"/>
        <v>1.001072708939569</v>
      </c>
      <c r="AY22" s="94">
        <f t="shared" si="74"/>
        <v>0.99942393405204799</v>
      </c>
      <c r="AZ22" s="94">
        <f t="shared" si="74"/>
        <v>0.99942393405204799</v>
      </c>
      <c r="BA22" s="94">
        <f t="shared" si="74"/>
        <v>0.99942189710955109</v>
      </c>
      <c r="BB22" s="94">
        <f t="shared" si="74"/>
        <v>0.99942189710955109</v>
      </c>
      <c r="BC22" s="94">
        <f t="shared" si="74"/>
        <v>0.99942189710955109</v>
      </c>
      <c r="BD22" s="94">
        <f t="shared" si="74"/>
        <v>0.99942189710955109</v>
      </c>
      <c r="BE22" s="94">
        <f t="shared" si="74"/>
        <v>0.99942189710955109</v>
      </c>
      <c r="BF22" s="94">
        <f t="shared" si="74"/>
        <v>0.99942189710955109</v>
      </c>
      <c r="BG22" s="94">
        <f t="shared" si="74"/>
        <v>1.0005752911284922</v>
      </c>
    </row>
    <row r="23" spans="1:59" x14ac:dyDescent="0.25">
      <c r="A23">
        <v>49.4</v>
      </c>
      <c r="B23">
        <v>350</v>
      </c>
      <c r="C23" t="s">
        <v>126</v>
      </c>
    </row>
    <row r="24" spans="1:59" x14ac:dyDescent="0.25">
      <c r="C24" t="s">
        <v>0</v>
      </c>
    </row>
    <row r="25" spans="1:59" x14ac:dyDescent="0.25">
      <c r="C25" t="s">
        <v>127</v>
      </c>
      <c r="D25" s="7" t="s">
        <v>385</v>
      </c>
      <c r="E25" s="15">
        <f xml:space="preserve"> 2.5534 + 29.1053567 *E15   - 0.0000014 *E17^2   - 0.00000011 *E17^3</f>
        <v>-15190.442797641097</v>
      </c>
      <c r="F25" s="15">
        <f t="shared" ref="F25:X25" si="75" xml:space="preserve"> 2.5534 + 29.1053567 *F15   - 0.0000014 *F17^2   - 0.00000011 *F17^3</f>
        <v>-600033.48020676291</v>
      </c>
      <c r="G25" s="15">
        <f t="shared" si="75"/>
        <v>2.5533999999999999</v>
      </c>
      <c r="H25" s="15">
        <f t="shared" si="75"/>
        <v>-346.71088040013166</v>
      </c>
      <c r="I25" s="15">
        <f t="shared" si="75"/>
        <v>-4654.3036720231903</v>
      </c>
      <c r="J25" s="15">
        <f t="shared" si="75"/>
        <v>-4508.7768885217702</v>
      </c>
      <c r="K25" s="15">
        <f t="shared" si="75"/>
        <v>-4305.0393916198573</v>
      </c>
      <c r="L25" s="15">
        <f t="shared" si="75"/>
        <v>-4159.5126081185444</v>
      </c>
      <c r="M25" s="15">
        <f t="shared" si="75"/>
        <v>-36000.7728391903</v>
      </c>
      <c r="N25" s="15">
        <f t="shared" si="75"/>
        <v>-143981.6462102581</v>
      </c>
      <c r="O25" s="15">
        <f t="shared" si="75"/>
        <v>-143603.27657309591</v>
      </c>
      <c r="P25" s="15">
        <f t="shared" si="75"/>
        <v>-418561.58131906035</v>
      </c>
      <c r="Q25" s="15">
        <f t="shared" si="75"/>
        <v>-763867.53277090972</v>
      </c>
      <c r="R25" s="15">
        <f t="shared" si="75"/>
        <v>-763896.63812753756</v>
      </c>
      <c r="S25" s="15">
        <f t="shared" si="75"/>
        <v>-1079777.0731044193</v>
      </c>
      <c r="T25" s="15">
        <f t="shared" si="75"/>
        <v>-1079864.3891740025</v>
      </c>
      <c r="U25" s="15">
        <f t="shared" si="75"/>
        <v>-1080097.232026225</v>
      </c>
      <c r="V25" s="15">
        <f t="shared" si="75"/>
        <v>-2416236.8168094098</v>
      </c>
      <c r="W25" s="15">
        <f t="shared" si="75"/>
        <v>-4566.9876019223329</v>
      </c>
      <c r="X25" s="15">
        <f t="shared" si="75"/>
        <v>-2762.4554865082096</v>
      </c>
      <c r="Y25" s="85">
        <f xml:space="preserve"> 2.5534 + 29.1053567 *Y15   - 0.0000014 *Y17^2   - 0.00000011 *Y17^3</f>
        <v>-8234.2625461719763</v>
      </c>
      <c r="Z25" s="15">
        <f t="shared" ref="Z25:AE25" si="76" xml:space="preserve"> 2.5534 + 29.1053567 *Z15   - 0.0000014 *Z17^2   - 0.00000011 *Z17^3</f>
        <v>15835.867444519816</v>
      </c>
      <c r="AA25" s="15">
        <f t="shared" si="76"/>
        <v>2.5533999999999999</v>
      </c>
      <c r="AB25" s="15">
        <f t="shared" si="76"/>
        <v>-16383.762422379703</v>
      </c>
      <c r="AC25" s="15">
        <f t="shared" si="76"/>
        <v>-7593.9446987613092</v>
      </c>
      <c r="AD25" s="15">
        <f t="shared" si="76"/>
        <v>-4217.7233215190645</v>
      </c>
      <c r="AE25" s="15">
        <f t="shared" si="76"/>
        <v>-8234.2625461719763</v>
      </c>
      <c r="AF25" s="15">
        <f t="shared" ref="AF25:BG25" si="77" xml:space="preserve"> 2.5534 + 29.1053567 *AF15   - 0.0000014 *AF17^2   - 0.00000011 *AF17^3</f>
        <v>-2529.6126329068888</v>
      </c>
      <c r="AG25" s="15">
        <f t="shared" si="77"/>
        <v>-2587.8233463072083</v>
      </c>
      <c r="AH25" s="15">
        <f t="shared" si="77"/>
        <v>-3169.930480310798</v>
      </c>
      <c r="AI25" s="15">
        <f t="shared" si="77"/>
        <v>-2791.5608432083832</v>
      </c>
      <c r="AJ25" s="15">
        <f t="shared" si="77"/>
        <v>-2384.0858494061222</v>
      </c>
      <c r="AK25" s="15">
        <f t="shared" si="77"/>
        <v>-65513.604535674014</v>
      </c>
      <c r="AL25" s="15">
        <f t="shared" si="77"/>
        <v>-3344.5626205120152</v>
      </c>
      <c r="AM25" s="15">
        <f t="shared" si="77"/>
        <v>-495865.40867604315</v>
      </c>
      <c r="AN25" s="15">
        <f t="shared" si="77"/>
        <v>89.869470099991759</v>
      </c>
      <c r="AO25" s="15">
        <f t="shared" si="77"/>
        <v>-719598.28533159837</v>
      </c>
      <c r="AP25" s="15">
        <f t="shared" si="77"/>
        <v>8181.1586326264496</v>
      </c>
      <c r="AQ25" s="15">
        <f t="shared" si="77"/>
        <v>8181.1586326264496</v>
      </c>
      <c r="AR25" s="15">
        <f t="shared" si="77"/>
        <v>8210.2639893259202</v>
      </c>
      <c r="AS25" s="15">
        <f t="shared" si="77"/>
        <v>8210.2639893259202</v>
      </c>
      <c r="AT25" s="15">
        <f t="shared" si="77"/>
        <v>8210.2639893259202</v>
      </c>
      <c r="AU25" s="15">
        <f t="shared" si="77"/>
        <v>-9573.1089543969865</v>
      </c>
      <c r="AV25" s="15">
        <f t="shared" si="77"/>
        <v>-841.50194430076829</v>
      </c>
      <c r="AW25" s="15">
        <f t="shared" si="77"/>
        <v>-23398.153387361355</v>
      </c>
      <c r="AX25" s="15">
        <f t="shared" si="77"/>
        <v>-15365.074937846573</v>
      </c>
      <c r="AY25" s="15">
        <f t="shared" si="77"/>
        <v>8239.3693460253889</v>
      </c>
      <c r="AZ25" s="15">
        <f t="shared" si="77"/>
        <v>8239.3693460253889</v>
      </c>
      <c r="BA25" s="15">
        <f t="shared" si="77"/>
        <v>8268.4747027248577</v>
      </c>
      <c r="BB25" s="15">
        <f t="shared" si="77"/>
        <v>8268.4747027248577</v>
      </c>
      <c r="BC25" s="15">
        <f t="shared" si="77"/>
        <v>8268.4747027248577</v>
      </c>
      <c r="BD25" s="15">
        <f t="shared" si="77"/>
        <v>8268.4747027248577</v>
      </c>
      <c r="BE25" s="15">
        <f t="shared" si="77"/>
        <v>8268.4747027248577</v>
      </c>
      <c r="BF25" s="15">
        <f t="shared" si="77"/>
        <v>8268.4747027248577</v>
      </c>
      <c r="BG25" s="15">
        <f t="shared" si="77"/>
        <v>-8234.2625461719763</v>
      </c>
    </row>
    <row r="26" spans="1:59" x14ac:dyDescent="0.25">
      <c r="A26" s="35"/>
      <c r="B26" s="35"/>
      <c r="C26" s="35" t="s">
        <v>128</v>
      </c>
      <c r="D26" s="86" t="s">
        <v>557</v>
      </c>
      <c r="E26" s="94">
        <f>MOD(E25,360)</f>
        <v>289.55720235890294</v>
      </c>
      <c r="F26" s="94">
        <f t="shared" ref="F26:X26" si="78">MOD(F25,360)</f>
        <v>86.519793237093836</v>
      </c>
      <c r="G26" s="94">
        <f t="shared" si="78"/>
        <v>2.5533999999999999</v>
      </c>
      <c r="H26" s="94">
        <f t="shared" si="78"/>
        <v>13.289119599868343</v>
      </c>
      <c r="I26" s="94">
        <f t="shared" si="78"/>
        <v>25.696327976809698</v>
      </c>
      <c r="J26" s="94">
        <f t="shared" si="78"/>
        <v>171.22311147822984</v>
      </c>
      <c r="K26" s="94">
        <f t="shared" si="78"/>
        <v>14.96060838014273</v>
      </c>
      <c r="L26" s="94">
        <f t="shared" si="78"/>
        <v>160.48739188145555</v>
      </c>
      <c r="M26" s="94">
        <f t="shared" si="78"/>
        <v>359.22716080969985</v>
      </c>
      <c r="N26" s="94">
        <f t="shared" si="78"/>
        <v>18.353789741900982</v>
      </c>
      <c r="O26" s="94">
        <f t="shared" si="78"/>
        <v>36.723426904092776</v>
      </c>
      <c r="P26" s="94">
        <f t="shared" si="78"/>
        <v>118.41868093964877</v>
      </c>
      <c r="Q26" s="94">
        <f t="shared" si="78"/>
        <v>52.467229090281762</v>
      </c>
      <c r="R26" s="94">
        <f t="shared" si="78"/>
        <v>23.361872462439351</v>
      </c>
      <c r="S26" s="94">
        <f t="shared" si="78"/>
        <v>222.92689558072016</v>
      </c>
      <c r="T26" s="94">
        <f t="shared" si="78"/>
        <v>135.61082599754445</v>
      </c>
      <c r="U26" s="94">
        <f t="shared" si="78"/>
        <v>262.76797377504408</v>
      </c>
      <c r="V26" s="94">
        <f t="shared" si="78"/>
        <v>83.183190590236336</v>
      </c>
      <c r="W26" s="94">
        <f t="shared" si="78"/>
        <v>113.01239807766706</v>
      </c>
      <c r="X26" s="94">
        <f t="shared" si="78"/>
        <v>117.54451349179044</v>
      </c>
      <c r="Y26" s="125">
        <f>MOD(Y25,360)</f>
        <v>45.737453828023718</v>
      </c>
      <c r="Z26" s="94">
        <f t="shared" ref="Z26:AE26" si="79">MOD(Z25,360)</f>
        <v>355.86744451981576</v>
      </c>
      <c r="AA26" s="94">
        <f t="shared" si="79"/>
        <v>2.5533999999999999</v>
      </c>
      <c r="AB26" s="94">
        <f t="shared" si="79"/>
        <v>176.23757762029709</v>
      </c>
      <c r="AC26" s="94">
        <f t="shared" si="79"/>
        <v>326.05530123869084</v>
      </c>
      <c r="AD26" s="94">
        <f t="shared" si="79"/>
        <v>102.27667848093552</v>
      </c>
      <c r="AE26" s="94">
        <f t="shared" si="79"/>
        <v>45.737453828023718</v>
      </c>
      <c r="AF26" s="94">
        <f t="shared" ref="AF26" si="80">MOD(AF25,360)</f>
        <v>350.38736709311115</v>
      </c>
      <c r="AG26" s="94">
        <f t="shared" ref="AG26" si="81">MOD(AG25,360)</f>
        <v>292.17665369279166</v>
      </c>
      <c r="AH26" s="94">
        <f t="shared" ref="AH26" si="82">MOD(AH25,360)</f>
        <v>70.069519689202025</v>
      </c>
      <c r="AI26" s="94">
        <f t="shared" ref="AI26" si="83">MOD(AI25,360)</f>
        <v>88.439156791616824</v>
      </c>
      <c r="AJ26" s="94">
        <f t="shared" ref="AJ26" si="84">MOD(AJ25,360)</f>
        <v>135.91415059387782</v>
      </c>
      <c r="AK26" s="94">
        <f t="shared" ref="AK26" si="85">MOD(AK25,360)</f>
        <v>6.395464325985813</v>
      </c>
      <c r="AL26" s="94">
        <f t="shared" ref="AL26" si="86">MOD(AL25,360)</f>
        <v>255.4373794879848</v>
      </c>
      <c r="AM26" s="94">
        <f t="shared" ref="AM26" si="87">MOD(AM25,360)</f>
        <v>214.59132395684719</v>
      </c>
      <c r="AN26" s="94">
        <f t="shared" ref="AN26" si="88">MOD(AN25,360)</f>
        <v>89.869470099991759</v>
      </c>
      <c r="AO26" s="94">
        <f t="shared" ref="AO26" si="89">MOD(AO25,360)</f>
        <v>41.714668401633389</v>
      </c>
      <c r="AP26" s="94">
        <f t="shared" ref="AP26" si="90">MOD(AP25,360)</f>
        <v>261.15863262644962</v>
      </c>
      <c r="AQ26" s="94">
        <f t="shared" ref="AQ26" si="91">MOD(AQ25,360)</f>
        <v>261.15863262644962</v>
      </c>
      <c r="AR26" s="94">
        <f t="shared" ref="AR26" si="92">MOD(AR25,360)</f>
        <v>290.26398932592019</v>
      </c>
      <c r="AS26" s="94">
        <f t="shared" ref="AS26" si="93">MOD(AS25,360)</f>
        <v>290.26398932592019</v>
      </c>
      <c r="AT26" s="94">
        <f t="shared" ref="AT26" si="94">MOD(AT25,360)</f>
        <v>290.26398932592019</v>
      </c>
      <c r="AU26" s="94">
        <f t="shared" ref="AU26" si="95">MOD(AU25,360)</f>
        <v>146.89104560301348</v>
      </c>
      <c r="AV26" s="94">
        <f t="shared" ref="AV26" si="96">MOD(AV25,360)</f>
        <v>238.49805569923171</v>
      </c>
      <c r="AW26" s="94">
        <f t="shared" ref="AW26" si="97">MOD(AW25,360)</f>
        <v>1.8466126386447286</v>
      </c>
      <c r="AX26" s="94">
        <f t="shared" ref="AX26" si="98">MOD(AX25,360)</f>
        <v>114.92506215342655</v>
      </c>
      <c r="AY26" s="94">
        <f t="shared" ref="AY26" si="99">MOD(AY25,360)</f>
        <v>319.36934602538895</v>
      </c>
      <c r="AZ26" s="94">
        <f t="shared" ref="AZ26" si="100">MOD(AZ25,360)</f>
        <v>319.36934602538895</v>
      </c>
      <c r="BA26" s="94">
        <f t="shared" ref="BA26" si="101">MOD(BA25,360)</f>
        <v>348.47470272485771</v>
      </c>
      <c r="BB26" s="94">
        <f t="shared" ref="BB26" si="102">MOD(BB25,360)</f>
        <v>348.47470272485771</v>
      </c>
      <c r="BC26" s="94">
        <f t="shared" ref="BC26" si="103">MOD(BC25,360)</f>
        <v>348.47470272485771</v>
      </c>
      <c r="BD26" s="94">
        <f t="shared" ref="BD26" si="104">MOD(BD25,360)</f>
        <v>348.47470272485771</v>
      </c>
      <c r="BE26" s="94">
        <f t="shared" ref="BE26:BG26" si="105">MOD(BE25,360)</f>
        <v>348.47470272485771</v>
      </c>
      <c r="BF26" s="94">
        <f t="shared" si="105"/>
        <v>348.47470272485771</v>
      </c>
      <c r="BG26" s="94">
        <f t="shared" si="105"/>
        <v>45.737453828023718</v>
      </c>
    </row>
    <row r="27" spans="1:59" x14ac:dyDescent="0.25">
      <c r="A27">
        <v>49.5</v>
      </c>
      <c r="B27">
        <v>350</v>
      </c>
      <c r="C27" t="s">
        <v>129</v>
      </c>
    </row>
    <row r="28" spans="1:59" x14ac:dyDescent="0.25">
      <c r="C28" t="s">
        <v>130</v>
      </c>
    </row>
    <row r="29" spans="1:59" x14ac:dyDescent="0.25">
      <c r="C29" t="s">
        <v>132</v>
      </c>
    </row>
    <row r="30" spans="1:59" x14ac:dyDescent="0.25">
      <c r="C30" t="s">
        <v>133</v>
      </c>
      <c r="D30" s="7" t="s">
        <v>392</v>
      </c>
      <c r="E30" s="13">
        <f xml:space="preserve"> 201.5643 + 385.81693528 *E15    + 0.0107582 *E17^2    + 0.00001238 *E17^3    - 0.000000058 *E17^4</f>
        <v>-201194.87400086725</v>
      </c>
      <c r="F30" s="13">
        <f t="shared" ref="F30:X30" si="106" xml:space="preserve"> 201.5643 + 385.81693528 *F15    + 0.0107582 *F17^2    + 0.00001238 *F17^3    - 0.000000058 *F17^4</f>
        <v>-7953797.4463190287</v>
      </c>
      <c r="G30" s="13">
        <f t="shared" si="106"/>
        <v>201.5643</v>
      </c>
      <c r="H30" s="13">
        <f t="shared" si="106"/>
        <v>-4428.2389223473401</v>
      </c>
      <c r="I30" s="13">
        <f t="shared" si="106"/>
        <v>-61529.145164796551</v>
      </c>
      <c r="J30" s="13">
        <f t="shared" si="106"/>
        <v>-59600.060499470201</v>
      </c>
      <c r="K30" s="13">
        <f t="shared" si="106"/>
        <v>-56899.341967422835</v>
      </c>
      <c r="L30" s="13">
        <f t="shared" si="106"/>
        <v>-54970.257301252939</v>
      </c>
      <c r="M30" s="13">
        <f t="shared" si="106"/>
        <v>-477053.97389299289</v>
      </c>
      <c r="N30" s="13">
        <f t="shared" si="106"/>
        <v>-1908434.6432337638</v>
      </c>
      <c r="O30" s="13">
        <f t="shared" si="106"/>
        <v>-1903419.0239720771</v>
      </c>
      <c r="P30" s="13">
        <f t="shared" si="106"/>
        <v>-5548230.348081925</v>
      </c>
      <c r="Q30" s="13">
        <f t="shared" si="106"/>
        <v>-10125559.188221987</v>
      </c>
      <c r="R30" s="13">
        <f t="shared" si="106"/>
        <v>-10125945.004803441</v>
      </c>
      <c r="S30" s="13">
        <f t="shared" si="106"/>
        <v>-14313211.619696124</v>
      </c>
      <c r="T30" s="13">
        <f t="shared" si="106"/>
        <v>-14314369.069032764</v>
      </c>
      <c r="U30" s="13">
        <f t="shared" si="106"/>
        <v>-14317455.600596601</v>
      </c>
      <c r="V30" s="13">
        <f t="shared" si="106"/>
        <v>-32029119.406145275</v>
      </c>
      <c r="W30" s="13">
        <f t="shared" si="106"/>
        <v>-60371.694365642914</v>
      </c>
      <c r="X30" s="13">
        <f t="shared" si="106"/>
        <v>-36451.044488137915</v>
      </c>
      <c r="Y30" s="14">
        <f xml:space="preserve"> 201.5643 + 385.81693528 *Y15    + 0.0107582 *Y17^2    + 0.00001238 *Y17^3    - 0.000000058 *Y17^4</f>
        <v>-108984.627821168</v>
      </c>
      <c r="Z30" s="13">
        <f t="shared" ref="Z30:AE30" si="107" xml:space="preserve"> 201.5643 + 385.81693528 *Z15    + 0.0107582 *Z17^2    + 0.00001238 *Z17^3    - 0.000000058 *Z17^4</f>
        <v>210085.97917452094</v>
      </c>
      <c r="AA30" s="13">
        <f t="shared" si="107"/>
        <v>201.5643</v>
      </c>
      <c r="AB30" s="13">
        <f t="shared" si="107"/>
        <v>-217013.36803474714</v>
      </c>
      <c r="AC30" s="13">
        <f t="shared" si="107"/>
        <v>-100496.65532914014</v>
      </c>
      <c r="AD30" s="13">
        <f t="shared" si="107"/>
        <v>-55741.891167763075</v>
      </c>
      <c r="AE30" s="13">
        <f t="shared" si="107"/>
        <v>-108984.627821168</v>
      </c>
      <c r="AF30" s="13">
        <f t="shared" ref="AF30:BG30" si="108" xml:space="preserve"> 201.5643 + 385.81693528 *AF15    + 0.0107582 *AF17^2    + 0.00001238 *AF17^3    - 0.000000058 *AF17^4</f>
        <v>-33364.509016135831</v>
      </c>
      <c r="AG30" s="13">
        <f t="shared" si="108"/>
        <v>-34136.142884220717</v>
      </c>
      <c r="AH30" s="13">
        <f t="shared" si="108"/>
        <v>-41852.48156197615</v>
      </c>
      <c r="AI30" s="13">
        <f t="shared" si="108"/>
        <v>-36836.8614220749</v>
      </c>
      <c r="AJ30" s="13">
        <f t="shared" si="108"/>
        <v>-31435.424345677533</v>
      </c>
      <c r="AK30" s="13">
        <f t="shared" si="108"/>
        <v>-868272.3214572029</v>
      </c>
      <c r="AL30" s="13">
        <f t="shared" si="108"/>
        <v>-44167.383164206047</v>
      </c>
      <c r="AM30" s="13">
        <f t="shared" si="108"/>
        <v>-6572959.5552796284</v>
      </c>
      <c r="AN30" s="13">
        <f t="shared" si="108"/>
        <v>1359.0151059032921</v>
      </c>
      <c r="AO30" s="13">
        <f t="shared" si="108"/>
        <v>-9538732.1529489662</v>
      </c>
      <c r="AP30" s="13">
        <f t="shared" si="108"/>
        <v>108616.12366911287</v>
      </c>
      <c r="AQ30" s="13">
        <f t="shared" si="108"/>
        <v>108616.12366911287</v>
      </c>
      <c r="AR30" s="13">
        <f t="shared" si="108"/>
        <v>109001.94060835369</v>
      </c>
      <c r="AS30" s="13">
        <f t="shared" si="108"/>
        <v>109001.94060835369</v>
      </c>
      <c r="AT30" s="13">
        <f t="shared" si="108"/>
        <v>109001.94060835369</v>
      </c>
      <c r="AU30" s="13">
        <f t="shared" si="108"/>
        <v>-126732.20664615581</v>
      </c>
      <c r="AV30" s="13">
        <f t="shared" si="108"/>
        <v>-10987.126817205884</v>
      </c>
      <c r="AW30" s="13">
        <f t="shared" si="108"/>
        <v>-309995.24712265411</v>
      </c>
      <c r="AX30" s="13">
        <f t="shared" si="108"/>
        <v>-203509.77556827548</v>
      </c>
      <c r="AY30" s="13">
        <f t="shared" si="108"/>
        <v>109387.75754760859</v>
      </c>
      <c r="AZ30" s="13">
        <f t="shared" si="108"/>
        <v>109387.75754760859</v>
      </c>
      <c r="BA30" s="13">
        <f t="shared" si="108"/>
        <v>109773.57448687755</v>
      </c>
      <c r="BB30" s="13">
        <f t="shared" si="108"/>
        <v>109773.57448687755</v>
      </c>
      <c r="BC30" s="13">
        <f t="shared" si="108"/>
        <v>109773.57448687755</v>
      </c>
      <c r="BD30" s="13">
        <f t="shared" si="108"/>
        <v>109773.57448687755</v>
      </c>
      <c r="BE30" s="13">
        <f t="shared" si="108"/>
        <v>109773.57448687755</v>
      </c>
      <c r="BF30" s="13">
        <f t="shared" si="108"/>
        <v>109773.57448687755</v>
      </c>
      <c r="BG30" s="13">
        <f t="shared" si="108"/>
        <v>-108984.627821168</v>
      </c>
    </row>
    <row r="31" spans="1:59" x14ac:dyDescent="0.25">
      <c r="A31" s="35"/>
      <c r="B31" s="35"/>
      <c r="C31" s="35" t="s">
        <v>134</v>
      </c>
      <c r="D31" s="86" t="s">
        <v>557</v>
      </c>
      <c r="E31" s="94">
        <f>MOD(E30,360)</f>
        <v>45.12599913275335</v>
      </c>
      <c r="F31" s="94">
        <f t="shared" ref="F31:X31" si="109">MOD(F30,360)</f>
        <v>42.553680971264839</v>
      </c>
      <c r="G31" s="94">
        <f t="shared" si="109"/>
        <v>201.5643</v>
      </c>
      <c r="H31" s="94">
        <f t="shared" si="109"/>
        <v>251.76107765265988</v>
      </c>
      <c r="I31" s="94">
        <f t="shared" si="109"/>
        <v>30.854835203448602</v>
      </c>
      <c r="J31" s="94">
        <f t="shared" si="109"/>
        <v>159.93950052979926</v>
      </c>
      <c r="K31" s="94">
        <f t="shared" si="109"/>
        <v>340.6580325771647</v>
      </c>
      <c r="L31" s="94">
        <f t="shared" si="109"/>
        <v>109.74269874706079</v>
      </c>
      <c r="M31" s="94">
        <f t="shared" si="109"/>
        <v>306.02610700711375</v>
      </c>
      <c r="N31" s="94">
        <f t="shared" si="109"/>
        <v>285.35676623624749</v>
      </c>
      <c r="O31" s="94">
        <f t="shared" si="109"/>
        <v>260.97602792293765</v>
      </c>
      <c r="P31" s="94">
        <f t="shared" si="109"/>
        <v>89.651918075047433</v>
      </c>
      <c r="Q31" s="94">
        <f t="shared" si="109"/>
        <v>160.81177801266313</v>
      </c>
      <c r="R31" s="94">
        <f t="shared" si="109"/>
        <v>134.9951965585351</v>
      </c>
      <c r="S31" s="94">
        <f t="shared" si="109"/>
        <v>28.3803038764745</v>
      </c>
      <c r="T31" s="94">
        <f t="shared" si="109"/>
        <v>310.93096723593771</v>
      </c>
      <c r="U31" s="94">
        <f t="shared" si="109"/>
        <v>104.39940339885652</v>
      </c>
      <c r="V31" s="94">
        <f t="shared" si="109"/>
        <v>80.59385472536087</v>
      </c>
      <c r="W31" s="94">
        <f t="shared" si="109"/>
        <v>108.30563435708609</v>
      </c>
      <c r="X31" s="94">
        <f t="shared" si="109"/>
        <v>268.95551186208468</v>
      </c>
      <c r="Y31" s="125">
        <f>MOD(Y30,360)</f>
        <v>95.37217883199628</v>
      </c>
      <c r="Z31" s="94">
        <f t="shared" ref="Z31:AE31" si="110">MOD(Z30,360)</f>
        <v>205.97917452093679</v>
      </c>
      <c r="AA31" s="94">
        <f t="shared" si="110"/>
        <v>201.5643</v>
      </c>
      <c r="AB31" s="94">
        <f t="shared" si="110"/>
        <v>66.631965252861846</v>
      </c>
      <c r="AC31" s="94">
        <f t="shared" si="110"/>
        <v>303.34467085986398</v>
      </c>
      <c r="AD31" s="94">
        <f t="shared" si="110"/>
        <v>58.108832236925082</v>
      </c>
      <c r="AE31" s="94">
        <f t="shared" si="110"/>
        <v>95.37217883199628</v>
      </c>
      <c r="AF31" s="94">
        <f t="shared" ref="AF31" si="111">MOD(AF30,360)</f>
        <v>115.49098386416881</v>
      </c>
      <c r="AG31" s="94">
        <f t="shared" ref="AG31" si="112">MOD(AG30,360)</f>
        <v>63.857115779283049</v>
      </c>
      <c r="AH31" s="94">
        <f t="shared" ref="AH31" si="113">MOD(AH30,360)</f>
        <v>267.51843802384974</v>
      </c>
      <c r="AI31" s="94">
        <f t="shared" ref="AI31" si="114">MOD(AI30,360)</f>
        <v>243.13857792509953</v>
      </c>
      <c r="AJ31" s="94">
        <f t="shared" ref="AJ31" si="115">MOD(AJ30,360)</f>
        <v>244.57565432246702</v>
      </c>
      <c r="AK31" s="94">
        <f t="shared" ref="AK31" si="116">MOD(AK30,360)</f>
        <v>47.678542797104456</v>
      </c>
      <c r="AL31" s="94">
        <f t="shared" ref="AL31" si="117">MOD(AL30,360)</f>
        <v>112.61683579395321</v>
      </c>
      <c r="AM31" s="94">
        <f t="shared" ref="AM31" si="118">MOD(AM30,360)</f>
        <v>280.44472037162632</v>
      </c>
      <c r="AN31" s="94">
        <f t="shared" ref="AN31" si="119">MOD(AN30,360)</f>
        <v>279.01510590329212</v>
      </c>
      <c r="AO31" s="94">
        <f t="shared" ref="AO31" si="120">MOD(AO30,360)</f>
        <v>187.84705103375018</v>
      </c>
      <c r="AP31" s="94">
        <f t="shared" ref="AP31" si="121">MOD(AP30,360)</f>
        <v>256.12366911287245</v>
      </c>
      <c r="AQ31" s="94">
        <f t="shared" ref="AQ31" si="122">MOD(AQ30,360)</f>
        <v>256.12366911287245</v>
      </c>
      <c r="AR31" s="94">
        <f t="shared" ref="AR31" si="123">MOD(AR30,360)</f>
        <v>281.94060835368873</v>
      </c>
      <c r="AS31" s="94">
        <f t="shared" ref="AS31" si="124">MOD(AS30,360)</f>
        <v>281.94060835368873</v>
      </c>
      <c r="AT31" s="94">
        <f t="shared" ref="AT31" si="125">MOD(AT30,360)</f>
        <v>281.94060835368873</v>
      </c>
      <c r="AU31" s="94">
        <f t="shared" ref="AU31" si="126">MOD(AU30,360)</f>
        <v>347.79335384418664</v>
      </c>
      <c r="AV31" s="94">
        <f t="shared" ref="AV31" si="127">MOD(AV30,360)</f>
        <v>172.87318279411556</v>
      </c>
      <c r="AW31" s="94">
        <f t="shared" ref="AW31" si="128">MOD(AW30,360)</f>
        <v>324.75287734589074</v>
      </c>
      <c r="AX31" s="94">
        <f t="shared" ref="AX31" si="129">MOD(AX30,360)</f>
        <v>250.2244317245204</v>
      </c>
      <c r="AY31" s="94">
        <f t="shared" ref="AY31" si="130">MOD(AY30,360)</f>
        <v>307.75754760859127</v>
      </c>
      <c r="AZ31" s="94">
        <f t="shared" ref="AZ31" si="131">MOD(AZ30,360)</f>
        <v>307.75754760859127</v>
      </c>
      <c r="BA31" s="94">
        <f t="shared" ref="BA31" si="132">MOD(BA30,360)</f>
        <v>333.57448687755095</v>
      </c>
      <c r="BB31" s="94">
        <f t="shared" ref="BB31" si="133">MOD(BB30,360)</f>
        <v>333.57448687755095</v>
      </c>
      <c r="BC31" s="94">
        <f t="shared" ref="BC31" si="134">MOD(BC30,360)</f>
        <v>333.57448687755095</v>
      </c>
      <c r="BD31" s="94">
        <f t="shared" ref="BD31" si="135">MOD(BD30,360)</f>
        <v>333.57448687755095</v>
      </c>
      <c r="BE31" s="94">
        <f t="shared" ref="BE31:BG31" si="136">MOD(BE30,360)</f>
        <v>333.57448687755095</v>
      </c>
      <c r="BF31" s="94">
        <f t="shared" si="136"/>
        <v>333.57448687755095</v>
      </c>
      <c r="BG31" s="94">
        <f t="shared" si="136"/>
        <v>95.37217883199628</v>
      </c>
    </row>
    <row r="32" spans="1:59" x14ac:dyDescent="0.25">
      <c r="A32">
        <v>49.6</v>
      </c>
      <c r="B32">
        <v>350</v>
      </c>
      <c r="C32" t="s">
        <v>135</v>
      </c>
    </row>
    <row r="33" spans="1:59" x14ac:dyDescent="0.25">
      <c r="C33" t="s">
        <v>136</v>
      </c>
    </row>
    <row r="34" spans="1:59" x14ac:dyDescent="0.25">
      <c r="C34" t="s">
        <v>131</v>
      </c>
    </row>
    <row r="35" spans="1:59" x14ac:dyDescent="0.25">
      <c r="C35" t="s">
        <v>137</v>
      </c>
      <c r="D35" s="7" t="s">
        <v>396</v>
      </c>
      <c r="E35">
        <f xml:space="preserve"> 160.7108 + 390.67050284 *E15    - 0.0016118 *E17^2    - 0.00000227 *E17^3    + 0.000000011 *E17^4</f>
        <v>-203769.29196939903</v>
      </c>
      <c r="F35">
        <f t="shared" ref="F35:X35" si="137" xml:space="preserve"> 160.7108 + 390.67050284 *F15    - 0.0016118 *F17^2    - 0.00000227 *F17^3    + 0.000000011 *F17^4</f>
        <v>-8053902.8121901723</v>
      </c>
      <c r="G35">
        <f t="shared" si="137"/>
        <v>160.71080000000001</v>
      </c>
      <c r="H35">
        <f t="shared" si="137"/>
        <v>-4527.3352342317175</v>
      </c>
      <c r="I35">
        <f t="shared" si="137"/>
        <v>-62346.569681367328</v>
      </c>
      <c r="J35">
        <f t="shared" si="137"/>
        <v>-60393.217165508344</v>
      </c>
      <c r="K35">
        <f t="shared" si="137"/>
        <v>-57658.523643394226</v>
      </c>
      <c r="L35">
        <f t="shared" si="137"/>
        <v>-55705.171127661619</v>
      </c>
      <c r="M35">
        <f t="shared" si="137"/>
        <v>-483098.70282298914</v>
      </c>
      <c r="N35">
        <f t="shared" si="137"/>
        <v>-1932486.2923860499</v>
      </c>
      <c r="O35">
        <f t="shared" si="137"/>
        <v>-1927407.5757149635</v>
      </c>
      <c r="P35">
        <f t="shared" si="137"/>
        <v>-5618072.0046718707</v>
      </c>
      <c r="Q35">
        <f t="shared" si="137"/>
        <v>-10252987.338039935</v>
      </c>
      <c r="R35">
        <f t="shared" si="137"/>
        <v>-10253378.008595262</v>
      </c>
      <c r="S35">
        <f t="shared" si="137"/>
        <v>-14493325.654011421</v>
      </c>
      <c r="T35">
        <f t="shared" si="137"/>
        <v>-14494497.665736733</v>
      </c>
      <c r="U35">
        <f t="shared" si="137"/>
        <v>-14497623.030337647</v>
      </c>
      <c r="V35">
        <f t="shared" si="137"/>
        <v>-32432138.775065958</v>
      </c>
      <c r="W35">
        <f t="shared" si="137"/>
        <v>-61174.558171845616</v>
      </c>
      <c r="X35">
        <f t="shared" si="137"/>
        <v>-36952.986979307738</v>
      </c>
      <c r="Y35" s="8">
        <f xml:space="preserve"> 160.7108 + 390.67050284 *Y15    - 0.0016118 *Y17^2    - 0.00000227 *Y17^3    + 0.000000011 *Y17^4</f>
        <v>-110399.0415880748</v>
      </c>
      <c r="Z35">
        <f t="shared" ref="Z35:AE35" si="138" xml:space="preserve"> 160.7108 + 390.67050284 *Z15    - 0.0016118 *Z17^2    - 0.00000227 *Z17^3    + 0.000000011 *Z17^4</f>
        <v>212685.46403296816</v>
      </c>
      <c r="AA35">
        <f t="shared" si="138"/>
        <v>160.71080000000001</v>
      </c>
      <c r="AB35">
        <f t="shared" si="138"/>
        <v>-219786.78263266498</v>
      </c>
      <c r="AC35">
        <f t="shared" si="138"/>
        <v>-101804.29051299115</v>
      </c>
      <c r="AD35">
        <f t="shared" si="138"/>
        <v>-56486.512133948345</v>
      </c>
      <c r="AE35">
        <f t="shared" si="138"/>
        <v>-110399.0415880748</v>
      </c>
      <c r="AF35">
        <f t="shared" ref="AF35:BG35" si="139" xml:space="preserve"> 160.7108 + 390.67050284 *AF15    - 0.0016118 *AF17^2    - 0.00000227 *AF17^3    + 0.000000011 *AF17^4</f>
        <v>-33827.622955053928</v>
      </c>
      <c r="AG35">
        <f t="shared" si="139"/>
        <v>-34608.963961104746</v>
      </c>
      <c r="AH35">
        <f t="shared" si="139"/>
        <v>-42422.374022076307</v>
      </c>
      <c r="AI35">
        <f t="shared" si="139"/>
        <v>-37343.657482348943</v>
      </c>
      <c r="AJ35">
        <f t="shared" si="139"/>
        <v>-31874.270439963766</v>
      </c>
      <c r="AK35">
        <f t="shared" si="139"/>
        <v>-879238.59641764418</v>
      </c>
      <c r="AL35">
        <f t="shared" si="139"/>
        <v>-44766.397040532072</v>
      </c>
      <c r="AM35">
        <f t="shared" si="139"/>
        <v>-6655692.9455745565</v>
      </c>
      <c r="AN35">
        <f t="shared" si="139"/>
        <v>1332.7223085105177</v>
      </c>
      <c r="AO35">
        <f t="shared" si="139"/>
        <v>-9658777.4255710132</v>
      </c>
      <c r="AP35">
        <f t="shared" si="139"/>
        <v>109939.12201481985</v>
      </c>
      <c r="AQ35">
        <f t="shared" si="139"/>
        <v>109939.12201481985</v>
      </c>
      <c r="AR35">
        <f t="shared" si="139"/>
        <v>110329.79251706638</v>
      </c>
      <c r="AS35">
        <f t="shared" si="139"/>
        <v>110329.79251706638</v>
      </c>
      <c r="AT35">
        <f t="shared" si="139"/>
        <v>110329.79251706638</v>
      </c>
      <c r="AU35">
        <f t="shared" si="139"/>
        <v>-128369.88474836027</v>
      </c>
      <c r="AV35">
        <f t="shared" si="139"/>
        <v>-11168.733783246051</v>
      </c>
      <c r="AW35">
        <f t="shared" si="139"/>
        <v>-313938.37416380044</v>
      </c>
      <c r="AX35">
        <f t="shared" si="139"/>
        <v>-206113.31499307073</v>
      </c>
      <c r="AY35">
        <f t="shared" si="139"/>
        <v>110720.4630193108</v>
      </c>
      <c r="AZ35">
        <f t="shared" si="139"/>
        <v>110720.4630193108</v>
      </c>
      <c r="BA35">
        <f t="shared" si="139"/>
        <v>111111.13352155313</v>
      </c>
      <c r="BB35">
        <f t="shared" si="139"/>
        <v>111111.13352155313</v>
      </c>
      <c r="BC35">
        <f t="shared" si="139"/>
        <v>111111.13352155313</v>
      </c>
      <c r="BD35">
        <f t="shared" si="139"/>
        <v>111111.13352155313</v>
      </c>
      <c r="BE35">
        <f t="shared" si="139"/>
        <v>111111.13352155313</v>
      </c>
      <c r="BF35">
        <f t="shared" si="139"/>
        <v>111111.13352155313</v>
      </c>
      <c r="BG35">
        <f t="shared" si="139"/>
        <v>-110399.0415880748</v>
      </c>
    </row>
    <row r="36" spans="1:59" x14ac:dyDescent="0.25">
      <c r="A36" s="35"/>
      <c r="B36" s="35"/>
      <c r="C36" s="35" t="s">
        <v>138</v>
      </c>
      <c r="D36" s="86" t="s">
        <v>557</v>
      </c>
      <c r="E36" s="95">
        <f>MOD(E35,360)</f>
        <v>350.70803060097387</v>
      </c>
      <c r="F36" s="95">
        <f t="shared" ref="F36:X36" si="140">MOD(F35,360)</f>
        <v>17.18780982773751</v>
      </c>
      <c r="G36" s="95">
        <f t="shared" si="140"/>
        <v>160.71080000000001</v>
      </c>
      <c r="H36" s="95">
        <f t="shared" si="140"/>
        <v>152.66476576828245</v>
      </c>
      <c r="I36" s="95">
        <f t="shared" si="140"/>
        <v>293.43031863267242</v>
      </c>
      <c r="J36" s="95">
        <f t="shared" si="140"/>
        <v>86.782834491656104</v>
      </c>
      <c r="K36" s="95">
        <f t="shared" si="140"/>
        <v>301.47635660577362</v>
      </c>
      <c r="L36" s="95">
        <f t="shared" si="140"/>
        <v>94.828872338381188</v>
      </c>
      <c r="M36" s="95">
        <f t="shared" si="140"/>
        <v>21.297177010856103</v>
      </c>
      <c r="N36" s="95">
        <f t="shared" si="140"/>
        <v>353.7076139501296</v>
      </c>
      <c r="O36" s="95">
        <f t="shared" si="140"/>
        <v>32.424285036511719</v>
      </c>
      <c r="P36" s="95">
        <f t="shared" si="140"/>
        <v>87.995328129269183</v>
      </c>
      <c r="Q36" s="95">
        <f t="shared" si="140"/>
        <v>172.66196006536484</v>
      </c>
      <c r="R36" s="95">
        <f t="shared" si="140"/>
        <v>141.9914047382772</v>
      </c>
      <c r="S36" s="95">
        <f t="shared" si="140"/>
        <v>274.34598857909441</v>
      </c>
      <c r="T36" s="95">
        <f t="shared" si="140"/>
        <v>182.33426326699555</v>
      </c>
      <c r="U36" s="95">
        <f t="shared" si="140"/>
        <v>296.96966235339642</v>
      </c>
      <c r="V36" s="95">
        <f t="shared" si="140"/>
        <v>261.22493404150009</v>
      </c>
      <c r="W36" s="95">
        <f t="shared" si="140"/>
        <v>25.441828154383984</v>
      </c>
      <c r="X36" s="95">
        <f t="shared" si="140"/>
        <v>127.01302069226222</v>
      </c>
      <c r="Y36" s="126">
        <f>MOD(Y35,360)</f>
        <v>120.95841192519583</v>
      </c>
      <c r="Z36" s="95">
        <f t="shared" ref="Z36:AE36" si="141">MOD(Z35,360)</f>
        <v>285.46403296815697</v>
      </c>
      <c r="AA36" s="95">
        <f t="shared" si="141"/>
        <v>160.71080000000001</v>
      </c>
      <c r="AB36" s="95">
        <f t="shared" si="141"/>
        <v>173.21736733501893</v>
      </c>
      <c r="AC36" s="95">
        <f t="shared" si="141"/>
        <v>75.709487008847645</v>
      </c>
      <c r="AD36" s="95">
        <f t="shared" si="141"/>
        <v>33.487866051655146</v>
      </c>
      <c r="AE36" s="95">
        <f t="shared" si="141"/>
        <v>120.95841192519583</v>
      </c>
      <c r="AF36" s="95">
        <f t="shared" ref="AF36" si="142">MOD(AF35,360)</f>
        <v>12.377044946071692</v>
      </c>
      <c r="AG36" s="95">
        <f t="shared" ref="AG36" si="143">MOD(AG35,360)</f>
        <v>311.03603889525402</v>
      </c>
      <c r="AH36" s="95">
        <f t="shared" ref="AH36" si="144">MOD(AH35,360)</f>
        <v>57.625977923693426</v>
      </c>
      <c r="AI36" s="95">
        <f t="shared" ref="AI36" si="145">MOD(AI35,360)</f>
        <v>96.342517651057278</v>
      </c>
      <c r="AJ36" s="95">
        <f t="shared" ref="AJ36" si="146">MOD(AJ35,360)</f>
        <v>165.72956003623403</v>
      </c>
      <c r="AK36" s="95">
        <f t="shared" ref="AK36" si="147">MOD(AK35,360)</f>
        <v>241.40358235582244</v>
      </c>
      <c r="AL36" s="95">
        <f t="shared" ref="AL36" si="148">MOD(AL35,360)</f>
        <v>233.60295946792758</v>
      </c>
      <c r="AM36" s="95">
        <f t="shared" ref="AM36" si="149">MOD(AM35,360)</f>
        <v>347.05442544352263</v>
      </c>
      <c r="AN36" s="95">
        <f t="shared" ref="AN36" si="150">MOD(AN35,360)</f>
        <v>252.72230851051768</v>
      </c>
      <c r="AO36" s="95">
        <f t="shared" ref="AO36" si="151">MOD(AO35,360)</f>
        <v>22.574428986757994</v>
      </c>
      <c r="AP36" s="95">
        <f t="shared" ref="AP36" si="152">MOD(AP35,360)</f>
        <v>139.12201481984812</v>
      </c>
      <c r="AQ36" s="95">
        <f t="shared" ref="AQ36" si="153">MOD(AQ35,360)</f>
        <v>139.12201481984812</v>
      </c>
      <c r="AR36" s="95">
        <f t="shared" ref="AR36" si="154">MOD(AR35,360)</f>
        <v>169.79251706638024</v>
      </c>
      <c r="AS36" s="95">
        <f t="shared" ref="AS36" si="155">MOD(AS35,360)</f>
        <v>169.79251706638024</v>
      </c>
      <c r="AT36" s="95">
        <f t="shared" ref="AT36" si="156">MOD(AT35,360)</f>
        <v>169.79251706638024</v>
      </c>
      <c r="AU36" s="95">
        <f t="shared" ref="AU36" si="157">MOD(AU35,360)</f>
        <v>150.11525163972692</v>
      </c>
      <c r="AV36" s="95">
        <f t="shared" ref="AV36" si="158">MOD(AV35,360)</f>
        <v>351.26621675394927</v>
      </c>
      <c r="AW36" s="95">
        <f t="shared" ref="AW36" si="159">MOD(AW35,360)</f>
        <v>341.62583619955694</v>
      </c>
      <c r="AX36" s="95">
        <f t="shared" ref="AX36" si="160">MOD(AX35,360)</f>
        <v>166.68500692927046</v>
      </c>
      <c r="AY36" s="95">
        <f t="shared" ref="AY36" si="161">MOD(AY35,360)</f>
        <v>200.46301931080234</v>
      </c>
      <c r="AZ36" s="95">
        <f t="shared" ref="AZ36" si="162">MOD(AZ35,360)</f>
        <v>200.46301931080234</v>
      </c>
      <c r="BA36" s="95">
        <f t="shared" ref="BA36" si="163">MOD(BA35,360)</f>
        <v>231.13352155312896</v>
      </c>
      <c r="BB36" s="95">
        <f t="shared" ref="BB36" si="164">MOD(BB35,360)</f>
        <v>231.13352155312896</v>
      </c>
      <c r="BC36" s="95">
        <f t="shared" ref="BC36" si="165">MOD(BC35,360)</f>
        <v>231.13352155312896</v>
      </c>
      <c r="BD36" s="95">
        <f t="shared" ref="BD36" si="166">MOD(BD35,360)</f>
        <v>231.13352155312896</v>
      </c>
      <c r="BE36" s="95">
        <f t="shared" ref="BE36:BG36" si="167">MOD(BE35,360)</f>
        <v>231.13352155312896</v>
      </c>
      <c r="BF36" s="95">
        <f t="shared" si="167"/>
        <v>231.13352155312896</v>
      </c>
      <c r="BG36" s="95">
        <f t="shared" si="167"/>
        <v>120.95841192519583</v>
      </c>
    </row>
    <row r="37" spans="1:59" x14ac:dyDescent="0.25">
      <c r="A37">
        <v>49.7</v>
      </c>
      <c r="B37">
        <v>350</v>
      </c>
      <c r="C37" t="s">
        <v>8</v>
      </c>
    </row>
    <row r="38" spans="1:59" x14ac:dyDescent="0.25">
      <c r="C38" t="s">
        <v>139</v>
      </c>
    </row>
    <row r="39" spans="1:59" x14ac:dyDescent="0.25">
      <c r="C39" t="s">
        <v>140</v>
      </c>
      <c r="D39" s="7" t="s">
        <v>400</v>
      </c>
      <c r="E39">
        <f xml:space="preserve"> 124.7746 - 1.56375588 *E15    + 0.0020672 *E17^2    + 0.00000215 *E17^3</f>
        <v>941.05553740316986</v>
      </c>
      <c r="F39">
        <f t="shared" ref="F39:X39" si="168" xml:space="preserve"> 124.7746 - 1.56375588 *F15    + 0.0020672 *F17^2    + 0.00000215 *F17^3</f>
        <v>32363.730190084709</v>
      </c>
      <c r="G39">
        <f t="shared" si="168"/>
        <v>124.77460000000001</v>
      </c>
      <c r="H39">
        <f t="shared" si="168"/>
        <v>143.53967075458374</v>
      </c>
      <c r="I39">
        <f t="shared" si="168"/>
        <v>374.97557538835918</v>
      </c>
      <c r="J39">
        <f t="shared" si="168"/>
        <v>367.1567938605009</v>
      </c>
      <c r="K39">
        <f t="shared" si="168"/>
        <v>356.21049983496346</v>
      </c>
      <c r="L39">
        <f t="shared" si="168"/>
        <v>348.391718469198</v>
      </c>
      <c r="M39">
        <f t="shared" si="168"/>
        <v>2059.1426891106512</v>
      </c>
      <c r="N39">
        <f t="shared" si="168"/>
        <v>7860.7078706452921</v>
      </c>
      <c r="O39">
        <f t="shared" si="168"/>
        <v>7840.3788717097596</v>
      </c>
      <c r="P39">
        <f t="shared" si="168"/>
        <v>22613.423995233657</v>
      </c>
      <c r="Q39">
        <f t="shared" si="168"/>
        <v>41166.45789763947</v>
      </c>
      <c r="R39">
        <f t="shared" si="168"/>
        <v>41168.021722101897</v>
      </c>
      <c r="S39">
        <f t="shared" si="168"/>
        <v>58140.35580085509</v>
      </c>
      <c r="T39">
        <f t="shared" si="168"/>
        <v>58145.047355219889</v>
      </c>
      <c r="U39">
        <f t="shared" si="168"/>
        <v>58157.558166967101</v>
      </c>
      <c r="V39">
        <f t="shared" si="168"/>
        <v>129951.75922521841</v>
      </c>
      <c r="W39">
        <f t="shared" si="168"/>
        <v>370.28430646353968</v>
      </c>
      <c r="X39">
        <f t="shared" si="168"/>
        <v>273.33142079441427</v>
      </c>
      <c r="Y39" s="8">
        <f xml:space="preserve"> 124.7746 - 1.56375588 *Y15    + 0.0020672 *Y17^2    + 0.00000215 *Y17^3</f>
        <v>567.31762223767737</v>
      </c>
      <c r="Z39">
        <f t="shared" ref="Z39:AE39" si="169" xml:space="preserve"> 124.7746 - 1.56375588 *Z15    + 0.0020672 *Z17^2    + 0.00000215 *Z17^3</f>
        <v>-725.90819864183572</v>
      </c>
      <c r="AA39">
        <f t="shared" si="169"/>
        <v>124.77460000000001</v>
      </c>
      <c r="AB39">
        <f t="shared" si="169"/>
        <v>1005.1695885541343</v>
      </c>
      <c r="AC39">
        <f t="shared" si="169"/>
        <v>532.91497671099512</v>
      </c>
      <c r="AD39">
        <f t="shared" si="169"/>
        <v>351.51923100739947</v>
      </c>
      <c r="AE39">
        <f t="shared" si="169"/>
        <v>567.31762223767737</v>
      </c>
      <c r="AF39">
        <f t="shared" ref="AF39:BG39" si="170" xml:space="preserve"> 124.7746 - 1.56375588 *AF15    + 0.0020672 *AF17^2    + 0.00000215 *AF17^3</f>
        <v>260.82137178716266</v>
      </c>
      <c r="AG39">
        <f t="shared" si="170"/>
        <v>263.94888402276376</v>
      </c>
      <c r="AH39">
        <f t="shared" si="170"/>
        <v>295.22400697320006</v>
      </c>
      <c r="AI39">
        <f t="shared" si="170"/>
        <v>274.8951769324795</v>
      </c>
      <c r="AJ39">
        <f t="shared" si="170"/>
        <v>253.00259124544471</v>
      </c>
      <c r="AK39">
        <f t="shared" si="170"/>
        <v>3644.7959199054153</v>
      </c>
      <c r="AL39">
        <f t="shared" si="170"/>
        <v>304.60654406907662</v>
      </c>
      <c r="AM39">
        <f t="shared" si="170"/>
        <v>26766.870132922715</v>
      </c>
      <c r="AN39">
        <f t="shared" si="170"/>
        <v>120.08333237216165</v>
      </c>
      <c r="AO39">
        <f t="shared" si="170"/>
        <v>38787.883815353285</v>
      </c>
      <c r="AP39">
        <f t="shared" si="170"/>
        <v>-314.64069555561116</v>
      </c>
      <c r="AQ39">
        <f t="shared" si="170"/>
        <v>-314.64069555561116</v>
      </c>
      <c r="AR39">
        <f t="shared" si="170"/>
        <v>-316.20445067456495</v>
      </c>
      <c r="AS39">
        <f t="shared" si="170"/>
        <v>-316.20445067456495</v>
      </c>
      <c r="AT39">
        <f t="shared" si="170"/>
        <v>-316.20445067456495</v>
      </c>
      <c r="AU39">
        <f t="shared" si="170"/>
        <v>639.25043074447137</v>
      </c>
      <c r="AV39">
        <f t="shared" si="170"/>
        <v>170.12352165640684</v>
      </c>
      <c r="AW39">
        <f t="shared" si="170"/>
        <v>1382.0352004246602</v>
      </c>
      <c r="AX39">
        <f t="shared" si="170"/>
        <v>950.43808119065693</v>
      </c>
      <c r="AY39">
        <f t="shared" si="170"/>
        <v>-317.76820579081425</v>
      </c>
      <c r="AZ39">
        <f t="shared" si="170"/>
        <v>-317.76820579081425</v>
      </c>
      <c r="BA39">
        <f t="shared" si="170"/>
        <v>-319.33196090435911</v>
      </c>
      <c r="BB39">
        <f t="shared" si="170"/>
        <v>-319.33196090435911</v>
      </c>
      <c r="BC39">
        <f t="shared" si="170"/>
        <v>-319.33196090435911</v>
      </c>
      <c r="BD39">
        <f t="shared" si="170"/>
        <v>-319.33196090435911</v>
      </c>
      <c r="BE39">
        <f t="shared" si="170"/>
        <v>-319.33196090435911</v>
      </c>
      <c r="BF39">
        <f t="shared" si="170"/>
        <v>-319.33196090435911</v>
      </c>
      <c r="BG39">
        <f t="shared" si="170"/>
        <v>567.31762223767737</v>
      </c>
    </row>
    <row r="40" spans="1:59" x14ac:dyDescent="0.25">
      <c r="A40" s="35"/>
      <c r="B40" s="35"/>
      <c r="C40" s="35" t="s">
        <v>141</v>
      </c>
      <c r="D40" s="86" t="s">
        <v>557</v>
      </c>
      <c r="E40" s="95">
        <f>MOD(E39,360)</f>
        <v>221.05553740316986</v>
      </c>
      <c r="F40" s="95">
        <f t="shared" ref="F40:X40" si="171">MOD(F39,360)</f>
        <v>323.73019008470874</v>
      </c>
      <c r="G40" s="95">
        <f t="shared" si="171"/>
        <v>124.77460000000001</v>
      </c>
      <c r="H40" s="95">
        <f t="shared" si="171"/>
        <v>143.53967075458374</v>
      </c>
      <c r="I40" s="95">
        <f t="shared" si="171"/>
        <v>14.975575388359175</v>
      </c>
      <c r="J40" s="95">
        <f t="shared" si="171"/>
        <v>7.1567938605008976</v>
      </c>
      <c r="K40" s="95">
        <f t="shared" si="171"/>
        <v>356.21049983496346</v>
      </c>
      <c r="L40" s="95">
        <f t="shared" si="171"/>
        <v>348.391718469198</v>
      </c>
      <c r="M40" s="95">
        <f t="shared" si="171"/>
        <v>259.14268911065119</v>
      </c>
      <c r="N40" s="95">
        <f t="shared" si="171"/>
        <v>300.70787064529213</v>
      </c>
      <c r="O40" s="95">
        <f t="shared" si="171"/>
        <v>280.37887170975955</v>
      </c>
      <c r="P40" s="95">
        <f t="shared" si="171"/>
        <v>293.42399523365748</v>
      </c>
      <c r="Q40" s="95">
        <f t="shared" si="171"/>
        <v>126.45789763946959</v>
      </c>
      <c r="R40" s="95">
        <f t="shared" si="171"/>
        <v>128.02172210189747</v>
      </c>
      <c r="S40" s="95">
        <f t="shared" si="171"/>
        <v>180.35580085508991</v>
      </c>
      <c r="T40" s="95">
        <f t="shared" si="171"/>
        <v>185.04735521988914</v>
      </c>
      <c r="U40" s="95">
        <f t="shared" si="171"/>
        <v>197.55816696710099</v>
      </c>
      <c r="V40" s="95">
        <f t="shared" si="171"/>
        <v>351.7592252184113</v>
      </c>
      <c r="W40" s="95">
        <f t="shared" si="171"/>
        <v>10.284306463539679</v>
      </c>
      <c r="X40" s="95">
        <f t="shared" si="171"/>
        <v>273.33142079441427</v>
      </c>
      <c r="Y40" s="126">
        <f>MOD(Y39,360)</f>
        <v>207.31762223767737</v>
      </c>
      <c r="Z40" s="95">
        <f t="shared" ref="Z40:AE40" si="172">MOD(Z39,360)</f>
        <v>354.09180135816428</v>
      </c>
      <c r="AA40" s="95">
        <f t="shared" si="172"/>
        <v>124.77460000000001</v>
      </c>
      <c r="AB40" s="95">
        <f t="shared" si="172"/>
        <v>285.16958855413429</v>
      </c>
      <c r="AC40" s="95">
        <f t="shared" si="172"/>
        <v>172.91497671099512</v>
      </c>
      <c r="AD40" s="95">
        <f t="shared" si="172"/>
        <v>351.51923100739947</v>
      </c>
      <c r="AE40" s="95">
        <f t="shared" si="172"/>
        <v>207.31762223767737</v>
      </c>
      <c r="AF40" s="95">
        <f t="shared" ref="AF40" si="173">MOD(AF39,360)</f>
        <v>260.82137178716266</v>
      </c>
      <c r="AG40" s="95">
        <f t="shared" ref="AG40" si="174">MOD(AG39,360)</f>
        <v>263.94888402276376</v>
      </c>
      <c r="AH40" s="95">
        <f t="shared" ref="AH40" si="175">MOD(AH39,360)</f>
        <v>295.22400697320006</v>
      </c>
      <c r="AI40" s="95">
        <f t="shared" ref="AI40" si="176">MOD(AI39,360)</f>
        <v>274.8951769324795</v>
      </c>
      <c r="AJ40" s="95">
        <f t="shared" ref="AJ40" si="177">MOD(AJ39,360)</f>
        <v>253.00259124544471</v>
      </c>
      <c r="AK40" s="95">
        <f t="shared" ref="AK40" si="178">MOD(AK39,360)</f>
        <v>44.795919905415303</v>
      </c>
      <c r="AL40" s="95">
        <f t="shared" ref="AL40" si="179">MOD(AL39,360)</f>
        <v>304.60654406907662</v>
      </c>
      <c r="AM40" s="95">
        <f t="shared" ref="AM40" si="180">MOD(AM39,360)</f>
        <v>126.87013292271513</v>
      </c>
      <c r="AN40" s="95">
        <f t="shared" ref="AN40" si="181">MOD(AN39,360)</f>
        <v>120.08333237216165</v>
      </c>
      <c r="AO40" s="95">
        <f t="shared" ref="AO40" si="182">MOD(AO39,360)</f>
        <v>267.88381535328517</v>
      </c>
      <c r="AP40" s="95">
        <f t="shared" ref="AP40" si="183">MOD(AP39,360)</f>
        <v>45.35930444438884</v>
      </c>
      <c r="AQ40" s="95">
        <f t="shared" ref="AQ40" si="184">MOD(AQ39,360)</f>
        <v>45.35930444438884</v>
      </c>
      <c r="AR40" s="95">
        <f t="shared" ref="AR40" si="185">MOD(AR39,360)</f>
        <v>43.795549325435047</v>
      </c>
      <c r="AS40" s="95">
        <f t="shared" ref="AS40" si="186">MOD(AS39,360)</f>
        <v>43.795549325435047</v>
      </c>
      <c r="AT40" s="95">
        <f t="shared" ref="AT40" si="187">MOD(AT39,360)</f>
        <v>43.795549325435047</v>
      </c>
      <c r="AU40" s="95">
        <f t="shared" ref="AU40" si="188">MOD(AU39,360)</f>
        <v>279.25043074447137</v>
      </c>
      <c r="AV40" s="95">
        <f t="shared" ref="AV40" si="189">MOD(AV39,360)</f>
        <v>170.12352165640684</v>
      </c>
      <c r="AW40" s="95">
        <f t="shared" ref="AW40" si="190">MOD(AW39,360)</f>
        <v>302.03520042466016</v>
      </c>
      <c r="AX40" s="95">
        <f t="shared" ref="AX40" si="191">MOD(AX39,360)</f>
        <v>230.43808119065693</v>
      </c>
      <c r="AY40" s="95">
        <f t="shared" ref="AY40" si="192">MOD(AY39,360)</f>
        <v>42.23179420918575</v>
      </c>
      <c r="AZ40" s="95">
        <f t="shared" ref="AZ40" si="193">MOD(AZ39,360)</f>
        <v>42.23179420918575</v>
      </c>
      <c r="BA40" s="95">
        <f t="shared" ref="BA40" si="194">MOD(BA39,360)</f>
        <v>40.668039095640893</v>
      </c>
      <c r="BB40" s="95">
        <f t="shared" ref="BB40" si="195">MOD(BB39,360)</f>
        <v>40.668039095640893</v>
      </c>
      <c r="BC40" s="95">
        <f t="shared" ref="BC40" si="196">MOD(BC39,360)</f>
        <v>40.668039095640893</v>
      </c>
      <c r="BD40" s="95">
        <f t="shared" ref="BD40" si="197">MOD(BD39,360)</f>
        <v>40.668039095640893</v>
      </c>
      <c r="BE40" s="95">
        <f t="shared" ref="BE40:BG40" si="198">MOD(BE39,360)</f>
        <v>40.668039095640893</v>
      </c>
      <c r="BF40" s="95">
        <f t="shared" si="198"/>
        <v>40.668039095640893</v>
      </c>
      <c r="BG40" s="95">
        <f t="shared" si="198"/>
        <v>207.31762223767737</v>
      </c>
    </row>
    <row r="41" spans="1:59" x14ac:dyDescent="0.25">
      <c r="B41">
        <v>351</v>
      </c>
      <c r="C41" t="s">
        <v>142</v>
      </c>
      <c r="D41" s="7" t="s">
        <v>405</v>
      </c>
      <c r="E41" s="17">
        <f>SUM(E42:E66)</f>
        <v>-0.43274574873829208</v>
      </c>
      <c r="F41" s="17">
        <f t="shared" ref="F41:X41" si="199">SUM(F42:F66)</f>
        <v>-8.3808647421890689E-2</v>
      </c>
      <c r="G41" s="17">
        <f t="shared" si="199"/>
        <v>0.16313066173071517</v>
      </c>
      <c r="H41" s="17">
        <f t="shared" si="199"/>
        <v>0.42812894168269977</v>
      </c>
      <c r="I41" s="17">
        <f t="shared" si="199"/>
        <v>-0.12961866321422219</v>
      </c>
      <c r="J41" s="17">
        <f t="shared" si="199"/>
        <v>-0.12182942794025191</v>
      </c>
      <c r="K41" s="17">
        <f t="shared" si="199"/>
        <v>0.15690543618349936</v>
      </c>
      <c r="L41" s="17">
        <f t="shared" si="199"/>
        <v>-0.33793712197543468</v>
      </c>
      <c r="M41" s="17">
        <f t="shared" si="199"/>
        <v>0.31819252276546073</v>
      </c>
      <c r="N41" s="17">
        <f t="shared" si="199"/>
        <v>0.43646192792660549</v>
      </c>
      <c r="O41" s="17">
        <f t="shared" si="199"/>
        <v>0.5223546681283362</v>
      </c>
      <c r="P41" s="17">
        <f t="shared" si="199"/>
        <v>-0.25252320147347246</v>
      </c>
      <c r="Q41" s="17">
        <f t="shared" si="199"/>
        <v>9.8194313667750565E-3</v>
      </c>
      <c r="R41" s="17">
        <f t="shared" si="199"/>
        <v>-0.23608108674974501</v>
      </c>
      <c r="S41" s="17">
        <f t="shared" si="199"/>
        <v>-0.29738075185990309</v>
      </c>
      <c r="T41" s="17">
        <f t="shared" si="199"/>
        <v>0.41655765748201629</v>
      </c>
      <c r="U41" s="17">
        <f t="shared" si="199"/>
        <v>-0.59343977596814401</v>
      </c>
      <c r="V41" s="17">
        <f t="shared" si="199"/>
        <v>-0.20004714852175287</v>
      </c>
      <c r="W41" s="17">
        <f t="shared" si="199"/>
        <v>-0.22901369051449941</v>
      </c>
      <c r="X41" s="17">
        <f t="shared" si="199"/>
        <v>0.54861205748899611</v>
      </c>
      <c r="Y41" s="20">
        <f>SUM(Y42:Y66)</f>
        <v>-0.28915633922619782</v>
      </c>
      <c r="Z41" s="17">
        <f t="shared" ref="Z41:AE41" si="200">SUM(Z42:Z66)</f>
        <v>0.17148978618236865</v>
      </c>
      <c r="AA41" s="17">
        <f t="shared" si="200"/>
        <v>0.16313066173071517</v>
      </c>
      <c r="AB41" s="17">
        <f t="shared" si="200"/>
        <v>-0.35735599808499136</v>
      </c>
      <c r="AC41" s="17">
        <f t="shared" si="200"/>
        <v>0.2338168649869774</v>
      </c>
      <c r="AD41" s="17">
        <f t="shared" si="200"/>
        <v>-0.16123867495267533</v>
      </c>
      <c r="AE41" s="17">
        <f t="shared" si="200"/>
        <v>-0.28915633922619782</v>
      </c>
      <c r="AF41" s="17">
        <f t="shared" ref="AF41" si="201">SUM(AF42:AF66)</f>
        <v>-0.40566141643252457</v>
      </c>
      <c r="AG41" s="17">
        <f t="shared" ref="AG41" si="202">SUM(AG42:AG66)</f>
        <v>-0.51739072495031235</v>
      </c>
      <c r="AH41" s="17">
        <f t="shared" ref="AH41" si="203">SUM(AH42:AH66)</f>
        <v>0.57858510573987243</v>
      </c>
      <c r="AI41" s="17">
        <f t="shared" ref="AI41" si="204">SUM(AI42:AI66)</f>
        <v>0.54931115730940816</v>
      </c>
      <c r="AJ41" s="17">
        <f t="shared" ref="AJ41" si="205">SUM(AJ42:AJ66)</f>
        <v>0.49990365394708569</v>
      </c>
      <c r="AK41" s="17">
        <f t="shared" ref="AK41" si="206">SUM(AK42:AK66)</f>
        <v>-0.25505801453574145</v>
      </c>
      <c r="AL41" s="17">
        <f t="shared" ref="AL41" si="207">SUM(AL42:AL66)</f>
        <v>-0.54701763358304212</v>
      </c>
      <c r="AM41" s="17">
        <f t="shared" ref="AM41" si="208">SUM(AM42:AM66)</f>
        <v>0.29536378717606382</v>
      </c>
      <c r="AN41" s="17">
        <f t="shared" ref="AN41" si="209">SUM(AN42:AN66)</f>
        <v>0.5701507358643263</v>
      </c>
      <c r="AO41" s="17">
        <f t="shared" ref="AO41" si="210">SUM(AO42:AO66)</f>
        <v>0.19942318176764343</v>
      </c>
      <c r="AP41" s="17">
        <f t="shared" ref="AP41" si="211">SUM(AP42:AP66)</f>
        <v>0.22061931175005559</v>
      </c>
      <c r="AQ41" s="17">
        <f t="shared" ref="AQ41" si="212">SUM(AQ42:AQ66)</f>
        <v>0.22061931175005559</v>
      </c>
      <c r="AR41" s="17">
        <f t="shared" ref="AR41" si="213">SUM(AR42:AR66)</f>
        <v>0.22781302881248955</v>
      </c>
      <c r="AS41" s="17">
        <f t="shared" ref="AS41" si="214">SUM(AS42:AS66)</f>
        <v>0.22781302881248955</v>
      </c>
      <c r="AT41" s="17">
        <f t="shared" ref="AT41" si="215">SUM(AT42:AT66)</f>
        <v>0.22781302881248955</v>
      </c>
      <c r="AU41" s="17">
        <f t="shared" ref="AU41" si="216">SUM(AU42:AU66)</f>
        <v>0.15748122619082833</v>
      </c>
      <c r="AV41" s="17">
        <f t="shared" ref="AV41" si="217">SUM(AV42:AV66)</f>
        <v>-0.21496127151807481</v>
      </c>
      <c r="AW41" s="17">
        <f t="shared" ref="AW41" si="218">SUM(AW42:AW66)</f>
        <v>0.21845480825158123</v>
      </c>
      <c r="AX41" s="17">
        <f t="shared" ref="AX41" si="219">SUM(AX42:AX66)</f>
        <v>0.54984168721851834</v>
      </c>
      <c r="AY41" s="17">
        <f t="shared" ref="AY41" si="220">SUM(AY42:AY66)</f>
        <v>0.20335562579740324</v>
      </c>
      <c r="AZ41" s="17">
        <f t="shared" ref="AZ41" si="221">SUM(AZ42:AZ66)</f>
        <v>0.20335562579740324</v>
      </c>
      <c r="BA41" s="17">
        <f t="shared" ref="BA41" si="222">SUM(BA42:BA66)</f>
        <v>0.14495291577754196</v>
      </c>
      <c r="BB41" s="17">
        <f t="shared" ref="BB41" si="223">SUM(BB42:BB66)</f>
        <v>0.14495291577754196</v>
      </c>
      <c r="BC41" s="17">
        <f t="shared" ref="BC41" si="224">SUM(BC42:BC66)</f>
        <v>0.14495291577754196</v>
      </c>
      <c r="BD41" s="17">
        <f t="shared" ref="BD41" si="225">SUM(BD42:BD66)</f>
        <v>0.14495291577754196</v>
      </c>
      <c r="BE41" s="17">
        <f t="shared" ref="BE41:BG41" si="226">SUM(BE42:BE66)</f>
        <v>0.14495291577754196</v>
      </c>
      <c r="BF41" s="17">
        <f t="shared" si="226"/>
        <v>0.14495291577754196</v>
      </c>
      <c r="BG41" s="17">
        <f t="shared" si="226"/>
        <v>-0.28915633922619782</v>
      </c>
    </row>
    <row r="42" spans="1:59" x14ac:dyDescent="0.25">
      <c r="C42" s="97" t="s">
        <v>31</v>
      </c>
      <c r="D42" s="84" t="s">
        <v>404</v>
      </c>
      <c r="E42" s="18">
        <f t="shared" ref="E42:AJ42" si="227" xml:space="preserve"> -0.4072 * SIN(  E30 * Deg2Rad  )</f>
        <v>-0.28856637987734712</v>
      </c>
      <c r="F42" s="18">
        <f t="shared" si="227"/>
        <v>-0.27538149016398977</v>
      </c>
      <c r="G42" s="18">
        <f t="shared" si="227"/>
        <v>0.14966438661356135</v>
      </c>
      <c r="H42" s="18">
        <f t="shared" si="227"/>
        <v>0.38674213192935852</v>
      </c>
      <c r="I42" s="18">
        <f t="shared" si="227"/>
        <v>-0.20883850664351142</v>
      </c>
      <c r="J42" s="18">
        <f t="shared" si="227"/>
        <v>-0.13967456293722716</v>
      </c>
      <c r="K42" s="18">
        <f t="shared" si="227"/>
        <v>0.13486692422727065</v>
      </c>
      <c r="L42" s="18">
        <f t="shared" si="227"/>
        <v>-0.38326440475311607</v>
      </c>
      <c r="M42" s="18">
        <f t="shared" si="227"/>
        <v>0.32932262706596738</v>
      </c>
      <c r="N42" s="18">
        <f t="shared" si="227"/>
        <v>0.39266113201075675</v>
      </c>
      <c r="O42" s="18">
        <f t="shared" si="227"/>
        <v>0.40216000549196868</v>
      </c>
      <c r="P42" s="18">
        <f t="shared" si="227"/>
        <v>-0.40719248560334187</v>
      </c>
      <c r="Q42" s="18">
        <f t="shared" si="227"/>
        <v>-0.13383544564975375</v>
      </c>
      <c r="R42" s="18">
        <f t="shared" si="227"/>
        <v>-0.28795801947458183</v>
      </c>
      <c r="S42" s="18">
        <f t="shared" si="227"/>
        <v>-0.19355103330874673</v>
      </c>
      <c r="T42" s="18">
        <f t="shared" si="227"/>
        <v>0.30763939001438179</v>
      </c>
      <c r="U42" s="18">
        <f t="shared" si="227"/>
        <v>-0.39440811764185818</v>
      </c>
      <c r="V42" s="18">
        <f t="shared" si="227"/>
        <v>-0.40172504874307446</v>
      </c>
      <c r="W42" s="18">
        <f t="shared" si="227"/>
        <v>-0.38659347934269139</v>
      </c>
      <c r="X42" s="18">
        <f t="shared" si="227"/>
        <v>0.40713234069913001</v>
      </c>
      <c r="Y42" s="18">
        <f t="shared" si="227"/>
        <v>-0.40541139171366397</v>
      </c>
      <c r="Z42" s="18">
        <f t="shared" si="227"/>
        <v>0.17837169202247666</v>
      </c>
      <c r="AA42" s="18">
        <f t="shared" si="227"/>
        <v>0.14966438661356135</v>
      </c>
      <c r="AB42" s="18">
        <f t="shared" si="227"/>
        <v>-0.37379984805725258</v>
      </c>
      <c r="AC42" s="18">
        <f t="shared" si="227"/>
        <v>0.34016635314117433</v>
      </c>
      <c r="AD42" s="18">
        <f t="shared" si="227"/>
        <v>-0.34573443745335825</v>
      </c>
      <c r="AE42" s="18">
        <f t="shared" si="227"/>
        <v>-0.40541139171366397</v>
      </c>
      <c r="AF42" s="18">
        <f t="shared" si="227"/>
        <v>-0.36756030931291822</v>
      </c>
      <c r="AG42" s="18">
        <f t="shared" si="227"/>
        <v>-0.36554264294923983</v>
      </c>
      <c r="AH42" s="18">
        <f t="shared" si="227"/>
        <v>0.40681813059063943</v>
      </c>
      <c r="AI42" s="18">
        <f t="shared" si="227"/>
        <v>0.36326391691821658</v>
      </c>
      <c r="AJ42" s="18">
        <f t="shared" si="227"/>
        <v>0.36776388186515713</v>
      </c>
      <c r="AK42" s="18">
        <f t="shared" ref="AK42:BG42" si="228" xml:space="preserve"> -0.4072 * SIN(  AK30 * Deg2Rad  )</f>
        <v>-0.30107512909076628</v>
      </c>
      <c r="AL42" s="18">
        <f t="shared" si="228"/>
        <v>-0.37588520260533431</v>
      </c>
      <c r="AM42" s="18">
        <f t="shared" si="228"/>
        <v>0.40045280709790315</v>
      </c>
      <c r="AN42" s="18">
        <f t="shared" si="228"/>
        <v>0.40216988392080261</v>
      </c>
      <c r="AO42" s="18">
        <f t="shared" si="228"/>
        <v>5.5594659383509139E-2</v>
      </c>
      <c r="AP42" s="18">
        <f t="shared" si="228"/>
        <v>0.39531612775288749</v>
      </c>
      <c r="AQ42" s="18">
        <f t="shared" si="228"/>
        <v>0.39531612775288749</v>
      </c>
      <c r="AR42" s="18">
        <f t="shared" si="228"/>
        <v>0.39838924756036564</v>
      </c>
      <c r="AS42" s="18">
        <f t="shared" si="228"/>
        <v>0.39838924756036564</v>
      </c>
      <c r="AT42" s="18">
        <f t="shared" si="228"/>
        <v>0.39838924756036564</v>
      </c>
      <c r="AU42" s="18">
        <f t="shared" si="228"/>
        <v>8.609762389876488E-2</v>
      </c>
      <c r="AV42" s="18">
        <f t="shared" si="228"/>
        <v>-5.0519643722817149E-2</v>
      </c>
      <c r="AW42" s="18">
        <f t="shared" si="228"/>
        <v>0.23499682138627029</v>
      </c>
      <c r="AX42" s="18">
        <f t="shared" si="228"/>
        <v>0.38318543131272981</v>
      </c>
      <c r="AY42" s="18">
        <f t="shared" si="228"/>
        <v>0.32193595186628077</v>
      </c>
      <c r="AZ42" s="18">
        <f t="shared" si="228"/>
        <v>0.32193595186628077</v>
      </c>
      <c r="BA42" s="18">
        <f t="shared" si="228"/>
        <v>0.18121783860195964</v>
      </c>
      <c r="BB42" s="18">
        <f t="shared" si="228"/>
        <v>0.18121783860195964</v>
      </c>
      <c r="BC42" s="18">
        <f t="shared" si="228"/>
        <v>0.18121783860195964</v>
      </c>
      <c r="BD42" s="18">
        <f t="shared" si="228"/>
        <v>0.18121783860195964</v>
      </c>
      <c r="BE42" s="18">
        <f t="shared" si="228"/>
        <v>0.18121783860195964</v>
      </c>
      <c r="BF42" s="18">
        <f t="shared" si="228"/>
        <v>0.18121783860195964</v>
      </c>
      <c r="BG42" s="18">
        <f t="shared" si="228"/>
        <v>-0.40541139171366397</v>
      </c>
    </row>
    <row r="43" spans="1:59" x14ac:dyDescent="0.25">
      <c r="C43" s="99" t="s">
        <v>32</v>
      </c>
      <c r="E43" s="18">
        <f t="shared" ref="E43:AJ43" si="229" xml:space="preserve"> 0.17241 * E22 * SIN( E25 *Deg2Rad )</f>
        <v>-0.16263557855824048</v>
      </c>
      <c r="F43" s="18">
        <f t="shared" si="229"/>
        <v>0.17895527364858704</v>
      </c>
      <c r="G43" s="18">
        <f t="shared" si="229"/>
        <v>7.6809494711554196E-3</v>
      </c>
      <c r="H43" s="18">
        <f t="shared" si="229"/>
        <v>3.9631979537467631E-2</v>
      </c>
      <c r="I43" s="18">
        <f t="shared" si="229"/>
        <v>7.4781528227188643E-2</v>
      </c>
      <c r="J43" s="18">
        <f t="shared" si="229"/>
        <v>2.631585103022727E-2</v>
      </c>
      <c r="K43" s="18">
        <f t="shared" si="229"/>
        <v>4.4521880866113431E-2</v>
      </c>
      <c r="L43" s="18">
        <f t="shared" si="229"/>
        <v>5.7604148365991321E-2</v>
      </c>
      <c r="M43" s="18">
        <f t="shared" si="229"/>
        <v>-2.3313314643647323E-3</v>
      </c>
      <c r="N43" s="18">
        <f t="shared" si="229"/>
        <v>5.4828983804151292E-2</v>
      </c>
      <c r="O43" s="18">
        <f t="shared" si="229"/>
        <v>0.10411564194796614</v>
      </c>
      <c r="P43" s="18">
        <f t="shared" si="229"/>
        <v>0.15591763033816111</v>
      </c>
      <c r="Q43" s="18">
        <f t="shared" si="229"/>
        <v>0.14356570881872102</v>
      </c>
      <c r="R43" s="18">
        <f t="shared" si="229"/>
        <v>7.17892347435094E-2</v>
      </c>
      <c r="S43" s="18">
        <f t="shared" si="229"/>
        <v>-0.12550208637921201</v>
      </c>
      <c r="T43" s="18">
        <f t="shared" si="229"/>
        <v>0.12890505487677359</v>
      </c>
      <c r="U43" s="18">
        <f t="shared" si="229"/>
        <v>-0.18281054185474571</v>
      </c>
      <c r="V43" s="18">
        <f t="shared" si="229"/>
        <v>0.19439371503600569</v>
      </c>
      <c r="W43" s="18">
        <f t="shared" si="229"/>
        <v>0.15874032262833679</v>
      </c>
      <c r="X43" s="18">
        <f t="shared" si="229"/>
        <v>0.15289717681705139</v>
      </c>
      <c r="Y43" s="18">
        <f t="shared" si="229"/>
        <v>0.12354230337414439</v>
      </c>
      <c r="Z43" s="18">
        <f t="shared" si="229"/>
        <v>-1.2410818199598276E-2</v>
      </c>
      <c r="AA43" s="18">
        <f t="shared" si="229"/>
        <v>7.6809494711554196E-3</v>
      </c>
      <c r="AB43" s="18">
        <f t="shared" si="229"/>
        <v>1.1326393105952596E-2</v>
      </c>
      <c r="AC43" s="18">
        <f t="shared" si="229"/>
        <v>-9.6323526799669282E-2</v>
      </c>
      <c r="AD43" s="18">
        <f t="shared" si="229"/>
        <v>0.16851703725681713</v>
      </c>
      <c r="AE43" s="18">
        <f t="shared" si="229"/>
        <v>0.12354230337414439</v>
      </c>
      <c r="AF43" s="18">
        <f t="shared" si="229"/>
        <v>-2.879517461752765E-2</v>
      </c>
      <c r="AG43" s="18">
        <f t="shared" si="229"/>
        <v>-0.15968477689061086</v>
      </c>
      <c r="AH43" s="18">
        <f t="shared" si="229"/>
        <v>0.16211976294780409</v>
      </c>
      <c r="AI43" s="18">
        <f t="shared" si="229"/>
        <v>0.17237967822319133</v>
      </c>
      <c r="AJ43" s="18">
        <f t="shared" si="229"/>
        <v>0.11997174773703149</v>
      </c>
      <c r="AK43" s="18">
        <f t="shared" ref="AK43:BG43" si="230" xml:space="preserve"> 0.17241 * AK22 * SIN( AK25 *Deg2Rad )</f>
        <v>1.9292262931261992E-2</v>
      </c>
      <c r="AL43" s="18">
        <f t="shared" si="230"/>
        <v>-0.16691008116394554</v>
      </c>
      <c r="AM43" s="18">
        <f t="shared" si="230"/>
        <v>-0.1011352292619295</v>
      </c>
      <c r="AN43" s="18">
        <f t="shared" si="230"/>
        <v>0.17240850043470388</v>
      </c>
      <c r="AO43" s="18">
        <f t="shared" si="230"/>
        <v>0.12015603156524102</v>
      </c>
      <c r="AP43" s="18">
        <f t="shared" si="230"/>
        <v>-0.17026392188665948</v>
      </c>
      <c r="AQ43" s="18">
        <f t="shared" si="230"/>
        <v>-0.17026392188665948</v>
      </c>
      <c r="AR43" s="18">
        <f t="shared" si="230"/>
        <v>-0.16164615052809894</v>
      </c>
      <c r="AS43" s="18">
        <f t="shared" si="230"/>
        <v>-0.16164615052809894</v>
      </c>
      <c r="AT43" s="18">
        <f t="shared" si="230"/>
        <v>-0.16164615052809894</v>
      </c>
      <c r="AU43" s="18">
        <f t="shared" si="230"/>
        <v>9.4238988322364173E-2</v>
      </c>
      <c r="AV43" s="18">
        <f t="shared" si="230"/>
        <v>-0.14700930493444855</v>
      </c>
      <c r="AW43" s="18">
        <f t="shared" si="230"/>
        <v>5.5647900687612077E-3</v>
      </c>
      <c r="AX43" s="18">
        <f t="shared" si="230"/>
        <v>0.15651941095093025</v>
      </c>
      <c r="AY43" s="18">
        <f t="shared" si="230"/>
        <v>-0.11220532817731224</v>
      </c>
      <c r="AZ43" s="18">
        <f t="shared" si="230"/>
        <v>-0.11220532817731224</v>
      </c>
      <c r="BA43" s="18">
        <f t="shared" si="230"/>
        <v>-3.4427702361151911E-2</v>
      </c>
      <c r="BB43" s="18">
        <f t="shared" si="230"/>
        <v>-3.4427702361151911E-2</v>
      </c>
      <c r="BC43" s="18">
        <f t="shared" si="230"/>
        <v>-3.4427702361151911E-2</v>
      </c>
      <c r="BD43" s="18">
        <f t="shared" si="230"/>
        <v>-3.4427702361151911E-2</v>
      </c>
      <c r="BE43" s="18">
        <f t="shared" si="230"/>
        <v>-3.4427702361151911E-2</v>
      </c>
      <c r="BF43" s="18">
        <f t="shared" si="230"/>
        <v>-3.4427702361151911E-2</v>
      </c>
      <c r="BG43" s="18">
        <f t="shared" si="230"/>
        <v>0.12354230337414439</v>
      </c>
    </row>
    <row r="44" spans="1:59" x14ac:dyDescent="0.25">
      <c r="C44" s="97" t="s">
        <v>33</v>
      </c>
      <c r="E44" s="18">
        <f t="shared" ref="E44:AJ44" si="231" xml:space="preserve"> 0.01608 * SIN(  2 * E30 *Deg2Rad )</f>
        <v>1.6079844473217697E-2</v>
      </c>
      <c r="F44" s="18">
        <f t="shared" si="231"/>
        <v>1.6021408712259873E-2</v>
      </c>
      <c r="G44" s="18">
        <f t="shared" si="231"/>
        <v>1.099290160292145E-2</v>
      </c>
      <c r="H44" s="18">
        <f t="shared" si="231"/>
        <v>9.5597514241475365E-3</v>
      </c>
      <c r="I44" s="18">
        <f t="shared" si="231"/>
        <v>1.4159362313174006E-2</v>
      </c>
      <c r="J44" s="18">
        <f t="shared" si="231"/>
        <v>-1.036201520541356E-2</v>
      </c>
      <c r="K44" s="18">
        <f t="shared" si="231"/>
        <v>-1.0050382816645579E-2</v>
      </c>
      <c r="L44" s="18">
        <f t="shared" si="231"/>
        <v>-1.0224975195143961E-2</v>
      </c>
      <c r="M44" s="18">
        <f t="shared" si="231"/>
        <v>-1.5297510706830447E-2</v>
      </c>
      <c r="N44" s="18">
        <f t="shared" si="231"/>
        <v>-8.2127955017348118E-3</v>
      </c>
      <c r="O44" s="18">
        <f t="shared" si="231"/>
        <v>4.9817884467684304E-3</v>
      </c>
      <c r="P44" s="18">
        <f t="shared" si="231"/>
        <v>1.9537284165303191E-4</v>
      </c>
      <c r="Q44" s="18">
        <f t="shared" si="231"/>
        <v>-9.9828744859753703E-3</v>
      </c>
      <c r="R44" s="18">
        <f t="shared" si="231"/>
        <v>-1.6079999773964952E-2</v>
      </c>
      <c r="S44" s="18">
        <f t="shared" si="231"/>
        <v>1.3449113454332862E-2</v>
      </c>
      <c r="T44" s="18">
        <f t="shared" si="231"/>
        <v>-1.5918071647934042E-2</v>
      </c>
      <c r="U44" s="18">
        <f t="shared" si="231"/>
        <v>-7.7463056286668983E-3</v>
      </c>
      <c r="V44" s="18">
        <f t="shared" si="231"/>
        <v>5.1852975643534192E-3</v>
      </c>
      <c r="W44" s="18">
        <f t="shared" si="231"/>
        <v>-9.589834756603079E-3</v>
      </c>
      <c r="X44" s="18">
        <f t="shared" si="231"/>
        <v>5.8613910638411133E-4</v>
      </c>
      <c r="Y44" s="18">
        <f t="shared" si="231"/>
        <v>-2.9977507589090645E-3</v>
      </c>
      <c r="Z44" s="18">
        <f t="shared" si="231"/>
        <v>1.2664012920485045E-2</v>
      </c>
      <c r="AA44" s="18">
        <f t="shared" si="231"/>
        <v>1.099290160292145E-2</v>
      </c>
      <c r="AB44" s="18">
        <f t="shared" si="231"/>
        <v>1.1709526070667307E-2</v>
      </c>
      <c r="AC44" s="18">
        <f t="shared" si="231"/>
        <v>-1.4767434386883509E-2</v>
      </c>
      <c r="AD44" s="18">
        <f t="shared" si="231"/>
        <v>1.4425725126407342E-2</v>
      </c>
      <c r="AE44" s="18">
        <f t="shared" si="231"/>
        <v>-2.9977507589090645E-3</v>
      </c>
      <c r="AF44" s="18">
        <f t="shared" si="231"/>
        <v>-1.2493321615775972E-2</v>
      </c>
      <c r="AG44" s="18">
        <f t="shared" si="231"/>
        <v>1.2720431534708938E-2</v>
      </c>
      <c r="AH44" s="18">
        <f t="shared" si="231"/>
        <v>1.3911542119155224E-3</v>
      </c>
      <c r="AI44" s="18">
        <f t="shared" si="231"/>
        <v>1.2963121255313768E-2</v>
      </c>
      <c r="AJ44" s="18">
        <f t="shared" si="231"/>
        <v>1.246973967013108E-2</v>
      </c>
      <c r="AK44" s="18">
        <f t="shared" ref="AK44:BG44" si="232" xml:space="preserve"> 0.01608 * SIN(  2 * AK30 *Deg2Rad )</f>
        <v>1.6009765329788209E-2</v>
      </c>
      <c r="AL44" s="18">
        <f t="shared" si="232"/>
        <v>-1.1416554192523869E-2</v>
      </c>
      <c r="AM44" s="18">
        <f t="shared" si="232"/>
        <v>-5.7335784689707412E-3</v>
      </c>
      <c r="AN44" s="18">
        <f t="shared" si="232"/>
        <v>-4.9770565025184571E-3</v>
      </c>
      <c r="AO44" s="18">
        <f t="shared" si="232"/>
        <v>4.3496616546642407E-3</v>
      </c>
      <c r="AP44" s="18">
        <f t="shared" si="232"/>
        <v>7.4877425858715417E-3</v>
      </c>
      <c r="AQ44" s="18">
        <f t="shared" si="232"/>
        <v>7.4877425858715417E-3</v>
      </c>
      <c r="AR44" s="18">
        <f t="shared" si="232"/>
        <v>-6.5098568654347634E-3</v>
      </c>
      <c r="AS44" s="18">
        <f t="shared" si="232"/>
        <v>-6.5098568654347634E-3</v>
      </c>
      <c r="AT44" s="18">
        <f t="shared" si="232"/>
        <v>-6.5098568654347634E-3</v>
      </c>
      <c r="AU44" s="18">
        <f t="shared" si="232"/>
        <v>-6.6461163337871833E-3</v>
      </c>
      <c r="AV44" s="18">
        <f t="shared" si="232"/>
        <v>-3.959133553483948E-3</v>
      </c>
      <c r="AW44" s="18">
        <f t="shared" si="232"/>
        <v>-1.5157135986152995E-2</v>
      </c>
      <c r="AX44" s="18">
        <f t="shared" si="232"/>
        <v>1.0239207614652449E-2</v>
      </c>
      <c r="AY44" s="18">
        <f t="shared" si="232"/>
        <v>-1.5568874241031828E-2</v>
      </c>
      <c r="AZ44" s="18">
        <f t="shared" si="232"/>
        <v>-1.5568874241031828E-2</v>
      </c>
      <c r="BA44" s="18">
        <f t="shared" si="232"/>
        <v>-1.2816854139915986E-2</v>
      </c>
      <c r="BB44" s="18">
        <f t="shared" si="232"/>
        <v>-1.2816854139915986E-2</v>
      </c>
      <c r="BC44" s="18">
        <f t="shared" si="232"/>
        <v>-1.2816854139915986E-2</v>
      </c>
      <c r="BD44" s="18">
        <f t="shared" si="232"/>
        <v>-1.2816854139915986E-2</v>
      </c>
      <c r="BE44" s="18">
        <f t="shared" si="232"/>
        <v>-1.2816854139915986E-2</v>
      </c>
      <c r="BF44" s="18">
        <f t="shared" si="232"/>
        <v>-1.2816854139915986E-2</v>
      </c>
      <c r="BG44" s="18">
        <f t="shared" si="232"/>
        <v>-2.9977507589090645E-3</v>
      </c>
    </row>
    <row r="45" spans="1:59" x14ac:dyDescent="0.25">
      <c r="C45" s="99" t="s">
        <v>34</v>
      </c>
      <c r="E45" s="18">
        <f t="shared" ref="E45:AJ45" si="233" xml:space="preserve"> 0.01039 * SIN(  2 * E35 *Deg2Rad  )</f>
        <v>-3.3112266860077901E-3</v>
      </c>
      <c r="F45" s="18">
        <f t="shared" si="233"/>
        <v>5.8663587047515127E-3</v>
      </c>
      <c r="G45" s="18">
        <f t="shared" si="233"/>
        <v>-6.4790473822391474E-3</v>
      </c>
      <c r="H45" s="18">
        <f t="shared" si="233"/>
        <v>-8.4765738683016505E-3</v>
      </c>
      <c r="I45" s="18">
        <f t="shared" si="233"/>
        <v>-7.5815070376084662E-3</v>
      </c>
      <c r="J45" s="18">
        <f t="shared" si="233"/>
        <v>1.1643487756339737E-3</v>
      </c>
      <c r="K45" s="18">
        <f t="shared" si="233"/>
        <v>-9.2536616778903426E-3</v>
      </c>
      <c r="L45" s="18">
        <f t="shared" si="233"/>
        <v>-1.7430511584001056E-3</v>
      </c>
      <c r="M45" s="18">
        <f t="shared" si="233"/>
        <v>7.0319876451654124E-3</v>
      </c>
      <c r="N45" s="18">
        <f t="shared" si="233"/>
        <v>-2.2638132790177138E-3</v>
      </c>
      <c r="O45" s="18">
        <f t="shared" si="233"/>
        <v>9.4048998257846399E-3</v>
      </c>
      <c r="P45" s="18">
        <f t="shared" si="233"/>
        <v>7.2646001643720778E-4</v>
      </c>
      <c r="Q45" s="18">
        <f t="shared" si="233"/>
        <v>-2.6323491263790873E-3</v>
      </c>
      <c r="R45" s="18">
        <f t="shared" si="233"/>
        <v>-1.008212629129672E-2</v>
      </c>
      <c r="S45" s="18">
        <f t="shared" si="233"/>
        <v>-1.5701617872620358E-3</v>
      </c>
      <c r="T45" s="18">
        <f t="shared" si="233"/>
        <v>8.456527790716078E-4</v>
      </c>
      <c r="U45" s="18">
        <f t="shared" si="233"/>
        <v>-8.3992145522882988E-3</v>
      </c>
      <c r="V45" s="18">
        <f t="shared" si="233"/>
        <v>3.1330022120320388E-3</v>
      </c>
      <c r="W45" s="18">
        <f t="shared" si="233"/>
        <v>8.0612526695388494E-3</v>
      </c>
      <c r="X45" s="18">
        <f t="shared" si="233"/>
        <v>-9.9888096416686292E-3</v>
      </c>
      <c r="Y45" s="18">
        <f t="shared" si="233"/>
        <v>-9.1667347209736343E-3</v>
      </c>
      <c r="Z45" s="18">
        <f t="shared" si="233"/>
        <v>-5.3400600630734664E-3</v>
      </c>
      <c r="AA45" s="18">
        <f t="shared" si="233"/>
        <v>-6.4790473822391474E-3</v>
      </c>
      <c r="AB45" s="18">
        <f t="shared" si="233"/>
        <v>-2.4370039429384752E-3</v>
      </c>
      <c r="AC45" s="18">
        <f t="shared" si="233"/>
        <v>4.9705872176923176E-3</v>
      </c>
      <c r="AD45" s="18">
        <f t="shared" si="233"/>
        <v>9.5623250660339248E-3</v>
      </c>
      <c r="AE45" s="18">
        <f t="shared" si="233"/>
        <v>-9.1667347209736343E-3</v>
      </c>
      <c r="AF45" s="18">
        <f t="shared" si="233"/>
        <v>4.3505481952629292E-3</v>
      </c>
      <c r="AG45" s="18">
        <f t="shared" si="233"/>
        <v>-1.0290696163546786E-2</v>
      </c>
      <c r="AH45" s="18">
        <f t="shared" si="233"/>
        <v>9.3971376634673955E-3</v>
      </c>
      <c r="AI45" s="18">
        <f t="shared" si="233"/>
        <v>-2.2815546831433404E-3</v>
      </c>
      <c r="AJ45" s="18">
        <f t="shared" si="233"/>
        <v>-4.9641930633964864E-3</v>
      </c>
      <c r="AK45" s="18">
        <f t="shared" ref="AK45:BG45" si="234" xml:space="preserve"> 0.01039 * SIN(  2 * AK35 *Deg2Rad  )</f>
        <v>8.7327831294085473E-3</v>
      </c>
      <c r="AL45" s="18">
        <f t="shared" si="234"/>
        <v>9.9250247347719076E-3</v>
      </c>
      <c r="AM45" s="18">
        <f t="shared" si="234"/>
        <v>-4.5369267213125905E-3</v>
      </c>
      <c r="AN45" s="18">
        <f t="shared" si="234"/>
        <v>5.8932348602400864E-3</v>
      </c>
      <c r="AO45" s="18">
        <f t="shared" si="234"/>
        <v>7.3659021822432211E-3</v>
      </c>
      <c r="AP45" s="18">
        <f t="shared" si="234"/>
        <v>-1.0282633207442108E-2</v>
      </c>
      <c r="AQ45" s="18">
        <f t="shared" si="234"/>
        <v>-1.0282633207442108E-2</v>
      </c>
      <c r="AR45" s="18">
        <f t="shared" si="234"/>
        <v>-3.6242071433270598E-3</v>
      </c>
      <c r="AS45" s="18">
        <f t="shared" si="234"/>
        <v>-3.6242071433270598E-3</v>
      </c>
      <c r="AT45" s="18">
        <f t="shared" si="234"/>
        <v>-3.6242071433270598E-3</v>
      </c>
      <c r="AU45" s="18">
        <f t="shared" si="234"/>
        <v>-8.9770314872322076E-3</v>
      </c>
      <c r="AV45" s="18">
        <f t="shared" si="234"/>
        <v>-3.1187234866421974E-3</v>
      </c>
      <c r="AW45" s="18">
        <f t="shared" si="234"/>
        <v>-6.2163495991437749E-3</v>
      </c>
      <c r="AX45" s="18">
        <f t="shared" si="234"/>
        <v>-4.6570784082755707E-3</v>
      </c>
      <c r="AY45" s="18">
        <f t="shared" si="234"/>
        <v>6.8063253680776823E-3</v>
      </c>
      <c r="AZ45" s="18">
        <f t="shared" si="234"/>
        <v>6.8063253680776823E-3</v>
      </c>
      <c r="BA45" s="18">
        <f t="shared" si="234"/>
        <v>1.0152774992359956E-2</v>
      </c>
      <c r="BB45" s="18">
        <f t="shared" si="234"/>
        <v>1.0152774992359956E-2</v>
      </c>
      <c r="BC45" s="18">
        <f t="shared" si="234"/>
        <v>1.0152774992359956E-2</v>
      </c>
      <c r="BD45" s="18">
        <f t="shared" si="234"/>
        <v>1.0152774992359956E-2</v>
      </c>
      <c r="BE45" s="18">
        <f t="shared" si="234"/>
        <v>1.0152774992359956E-2</v>
      </c>
      <c r="BF45" s="18">
        <f t="shared" si="234"/>
        <v>1.0152774992359956E-2</v>
      </c>
      <c r="BG45" s="18">
        <f t="shared" si="234"/>
        <v>-9.1667347209736343E-3</v>
      </c>
    </row>
    <row r="46" spans="1:59" x14ac:dyDescent="0.25">
      <c r="C46" s="97" t="s">
        <v>35</v>
      </c>
      <c r="E46" s="18">
        <f t="shared" ref="E46:AJ46" si="235" xml:space="preserve"> 0.00739 * E22 * SIN( ( E30 - E25) *Deg2Rad )</f>
        <v>6.6733501667614195E-3</v>
      </c>
      <c r="F46" s="18">
        <f t="shared" si="235"/>
        <v>-5.3349857693733285E-3</v>
      </c>
      <c r="G46" s="18">
        <f t="shared" si="235"/>
        <v>-2.4072779037046122E-3</v>
      </c>
      <c r="H46" s="18">
        <f t="shared" si="235"/>
        <v>-6.2992740229817481E-3</v>
      </c>
      <c r="I46" s="18">
        <f t="shared" si="235"/>
        <v>6.6466106306604467E-4</v>
      </c>
      <c r="J46" s="18">
        <f t="shared" si="235"/>
        <v>-1.4464248148707986E-3</v>
      </c>
      <c r="K46" s="18">
        <f t="shared" si="235"/>
        <v>-4.1659853487522203E-3</v>
      </c>
      <c r="L46" s="18">
        <f t="shared" si="235"/>
        <v>-5.7239925473126967E-3</v>
      </c>
      <c r="M46" s="18">
        <f t="shared" si="235"/>
        <v>-5.9323326501492819E-3</v>
      </c>
      <c r="N46" s="18">
        <f t="shared" si="235"/>
        <v>-7.4532839377699439E-3</v>
      </c>
      <c r="O46" s="18">
        <f t="shared" si="235"/>
        <v>-5.2080631136255957E-3</v>
      </c>
      <c r="P46" s="18">
        <f t="shared" si="235"/>
        <v>-3.6568829342448323E-3</v>
      </c>
      <c r="Q46" s="18">
        <f t="shared" si="235"/>
        <v>7.3655609644612315E-3</v>
      </c>
      <c r="R46" s="18">
        <f t="shared" si="235"/>
        <v>7.2133327960166582E-3</v>
      </c>
      <c r="S46" s="18">
        <f t="shared" si="235"/>
        <v>1.9838439461782598E-3</v>
      </c>
      <c r="T46" s="18">
        <f t="shared" si="235"/>
        <v>6.4442701532847009E-4</v>
      </c>
      <c r="U46" s="18">
        <f t="shared" si="235"/>
        <v>-2.9117097612539936E-3</v>
      </c>
      <c r="V46" s="18">
        <f t="shared" si="235"/>
        <v>-3.791081921524616E-4</v>
      </c>
      <c r="W46" s="18">
        <f t="shared" si="235"/>
        <v>-6.0658861630090118E-4</v>
      </c>
      <c r="X46" s="18">
        <f t="shared" si="235"/>
        <v>3.5369705160319836E-3</v>
      </c>
      <c r="Y46" s="18">
        <f t="shared" si="235"/>
        <v>5.6339091490871258E-3</v>
      </c>
      <c r="Z46" s="18">
        <f t="shared" si="235"/>
        <v>-3.7033651720738692E-3</v>
      </c>
      <c r="AA46" s="18">
        <f t="shared" si="235"/>
        <v>-2.4072779037046122E-3</v>
      </c>
      <c r="AB46" s="18">
        <f t="shared" si="235"/>
        <v>-6.9695238011474297E-3</v>
      </c>
      <c r="AC46" s="18">
        <f t="shared" si="235"/>
        <v>-2.8546243505878418E-3</v>
      </c>
      <c r="AD46" s="18">
        <f t="shared" si="235"/>
        <v>-5.1505943798232342E-3</v>
      </c>
      <c r="AE46" s="18">
        <f t="shared" si="235"/>
        <v>5.6339091490871258E-3</v>
      </c>
      <c r="AF46" s="18">
        <f t="shared" si="235"/>
        <v>6.0469279119192794E-3</v>
      </c>
      <c r="AG46" s="18">
        <f t="shared" si="235"/>
        <v>5.5203312539125445E-3</v>
      </c>
      <c r="AH46" s="18">
        <f t="shared" si="235"/>
        <v>-2.2164226136780828E-3</v>
      </c>
      <c r="AI46" s="18">
        <f t="shared" si="235"/>
        <v>3.1588587217422697E-3</v>
      </c>
      <c r="AJ46" s="18">
        <f t="shared" si="235"/>
        <v>7.0026419425865023E-3</v>
      </c>
      <c r="AK46" s="18">
        <f t="shared" ref="AK46:BG46" si="236" xml:space="preserve"> 0.00739 * AK22 * SIN( ( AK30 - AK25) *Deg2Rad )</f>
        <v>4.8979790285405894E-3</v>
      </c>
      <c r="AL46" s="18">
        <f t="shared" si="236"/>
        <v>-4.466921018768207E-3</v>
      </c>
      <c r="AM46" s="18">
        <f t="shared" si="236"/>
        <v>6.9676231259226794E-3</v>
      </c>
      <c r="AN46" s="18">
        <f t="shared" si="236"/>
        <v>-1.1745925921515282E-3</v>
      </c>
      <c r="AO46" s="18">
        <f t="shared" si="236"/>
        <v>4.3132141015701092E-3</v>
      </c>
      <c r="AP46" s="18">
        <f t="shared" si="236"/>
        <v>-6.4820226769056737E-4</v>
      </c>
      <c r="AQ46" s="18">
        <f t="shared" si="236"/>
        <v>-6.4820226769056737E-4</v>
      </c>
      <c r="AR46" s="18">
        <f t="shared" si="236"/>
        <v>-1.0691622409008516E-3</v>
      </c>
      <c r="AS46" s="18">
        <f t="shared" si="236"/>
        <v>-1.0691622409008516E-3</v>
      </c>
      <c r="AT46" s="18">
        <f t="shared" si="236"/>
        <v>-1.0691622409008516E-3</v>
      </c>
      <c r="AU46" s="18">
        <f t="shared" si="236"/>
        <v>-2.6383350908245665E-3</v>
      </c>
      <c r="AV46" s="18">
        <f t="shared" si="236"/>
        <v>-6.7316739634924695E-3</v>
      </c>
      <c r="AW46" s="18">
        <f t="shared" si="236"/>
        <v>-4.4643381124006157E-3</v>
      </c>
      <c r="AX46" s="18">
        <f t="shared" si="236"/>
        <v>5.2037207466547252E-3</v>
      </c>
      <c r="AY46" s="18">
        <f t="shared" si="236"/>
        <v>-1.4865996090135166E-3</v>
      </c>
      <c r="AZ46" s="18">
        <f t="shared" si="236"/>
        <v>-1.4865996090135166E-3</v>
      </c>
      <c r="BA46" s="18">
        <f t="shared" si="236"/>
        <v>-1.8991397120387355E-3</v>
      </c>
      <c r="BB46" s="18">
        <f t="shared" si="236"/>
        <v>-1.8991397120387355E-3</v>
      </c>
      <c r="BC46" s="18">
        <f t="shared" si="236"/>
        <v>-1.8991397120387355E-3</v>
      </c>
      <c r="BD46" s="18">
        <f t="shared" si="236"/>
        <v>-1.8991397120387355E-3</v>
      </c>
      <c r="BE46" s="18">
        <f t="shared" si="236"/>
        <v>-1.8991397120387355E-3</v>
      </c>
      <c r="BF46" s="18">
        <f t="shared" si="236"/>
        <v>-1.8991397120387355E-3</v>
      </c>
      <c r="BG46" s="18">
        <f t="shared" si="236"/>
        <v>5.6339091490871258E-3</v>
      </c>
    </row>
    <row r="47" spans="1:59" x14ac:dyDescent="0.25">
      <c r="C47" s="99" t="s">
        <v>36</v>
      </c>
      <c r="E47" s="18">
        <f t="shared" ref="E47:AJ47" si="237" xml:space="preserve"> -0.00514 * E22 * SIN( ( E30 + E25 ) *Deg2Rad )</f>
        <v>2.2003128042343539E-3</v>
      </c>
      <c r="F47" s="18">
        <f t="shared" si="237"/>
        <v>-4.1495197425531743E-3</v>
      </c>
      <c r="G47" s="18">
        <f t="shared" si="237"/>
        <v>2.1002679242196941E-3</v>
      </c>
      <c r="H47" s="18">
        <f t="shared" si="237"/>
        <v>5.1209562599835948E-3</v>
      </c>
      <c r="I47" s="18">
        <f t="shared" si="237"/>
        <v>-4.290100043492763E-3</v>
      </c>
      <c r="J47" s="18">
        <f t="shared" si="237"/>
        <v>2.4799339459183434E-3</v>
      </c>
      <c r="K47" s="18">
        <f t="shared" si="237"/>
        <v>3.9278660926503383E-4</v>
      </c>
      <c r="L47" s="18">
        <f t="shared" si="237"/>
        <v>5.141453210799533E-3</v>
      </c>
      <c r="M47" s="18">
        <f t="shared" si="237"/>
        <v>4.2078991849199363E-3</v>
      </c>
      <c r="N47" s="18">
        <f t="shared" si="237"/>
        <v>4.3182398814269104E-3</v>
      </c>
      <c r="O47" s="18">
        <f t="shared" si="237"/>
        <v>4.5960867225933464E-3</v>
      </c>
      <c r="P47" s="18">
        <f t="shared" si="237"/>
        <v>2.4870099081842761E-3</v>
      </c>
      <c r="Q47" s="18">
        <f t="shared" si="237"/>
        <v>2.961580241370491E-3</v>
      </c>
      <c r="R47" s="18">
        <f t="shared" si="237"/>
        <v>-1.9906365111088177E-3</v>
      </c>
      <c r="S47" s="18">
        <f t="shared" si="237"/>
        <v>5.2038903295207606E-3</v>
      </c>
      <c r="T47" s="18">
        <f t="shared" si="237"/>
        <v>-5.4837009750166813E-3</v>
      </c>
      <c r="U47" s="18">
        <f t="shared" si="237"/>
        <v>-6.854489357884597E-4</v>
      </c>
      <c r="V47" s="18">
        <f t="shared" si="237"/>
        <v>-1.6306198941421486E-3</v>
      </c>
      <c r="W47" s="18">
        <f t="shared" si="237"/>
        <v>3.394707131340166E-3</v>
      </c>
      <c r="X47" s="18">
        <f t="shared" si="237"/>
        <v>-2.2939019033550198E-3</v>
      </c>
      <c r="Y47" s="18">
        <f t="shared" si="237"/>
        <v>-3.2289140532113132E-3</v>
      </c>
      <c r="Z47" s="18">
        <f t="shared" si="237"/>
        <v>1.9105937917271044E-3</v>
      </c>
      <c r="AA47" s="18">
        <f t="shared" si="237"/>
        <v>2.1002679242196941E-3</v>
      </c>
      <c r="AB47" s="18">
        <f t="shared" si="237"/>
        <v>4.5796803747592948E-3</v>
      </c>
      <c r="AC47" s="18">
        <f t="shared" si="237"/>
        <v>5.1424452614296816E-3</v>
      </c>
      <c r="AD47" s="18">
        <f t="shared" si="237"/>
        <v>-1.7259542903135328E-3</v>
      </c>
      <c r="AE47" s="18">
        <f t="shared" si="237"/>
        <v>-3.2289140532113132E-3</v>
      </c>
      <c r="AF47" s="18">
        <f t="shared" si="237"/>
        <v>-4.944756808094964E-3</v>
      </c>
      <c r="AG47" s="18">
        <f t="shared" si="237"/>
        <v>3.5559048796364088E-4</v>
      </c>
      <c r="AH47" s="18">
        <f t="shared" si="237"/>
        <v>1.9601348973433646E-3</v>
      </c>
      <c r="AI47" s="18">
        <f t="shared" si="237"/>
        <v>2.4469429193313078E-3</v>
      </c>
      <c r="AJ47" s="18">
        <f t="shared" si="237"/>
        <v>-1.7995092880965537E-3</v>
      </c>
      <c r="AK47" s="18">
        <f t="shared" ref="AK47:BG47" si="238" xml:space="preserve"> -0.00514 * AK22 * SIN( ( AK30 + AK25 ) *Deg2Rad )</f>
        <v>-4.1812031293249514E-3</v>
      </c>
      <c r="AL47" s="18">
        <f t="shared" si="238"/>
        <v>-7.2033415851226537E-4</v>
      </c>
      <c r="AM47" s="18">
        <f t="shared" si="238"/>
        <v>-3.7530231890984169E-3</v>
      </c>
      <c r="AN47" s="18">
        <f t="shared" si="238"/>
        <v>-7.9383948642715915E-4</v>
      </c>
      <c r="AO47" s="18">
        <f t="shared" si="238"/>
        <v>4.0972651255251373E-3</v>
      </c>
      <c r="AP47" s="18">
        <f t="shared" si="238"/>
        <v>-1.9838862687796099E-3</v>
      </c>
      <c r="AQ47" s="18">
        <f t="shared" si="238"/>
        <v>-1.9838862687796099E-3</v>
      </c>
      <c r="AR47" s="18">
        <f t="shared" si="238"/>
        <v>2.7377606122269897E-3</v>
      </c>
      <c r="AS47" s="18">
        <f t="shared" si="238"/>
        <v>2.7377606122269897E-3</v>
      </c>
      <c r="AT47" s="18">
        <f t="shared" si="238"/>
        <v>2.7377606122269897E-3</v>
      </c>
      <c r="AU47" s="18">
        <f t="shared" si="238"/>
        <v>-3.6569374410078664E-3</v>
      </c>
      <c r="AV47" s="18">
        <f t="shared" si="238"/>
        <v>-4.0156418522947204E-3</v>
      </c>
      <c r="AW47" s="18">
        <f t="shared" si="238"/>
        <v>2.834128006337693E-3</v>
      </c>
      <c r="AX47" s="18">
        <f t="shared" si="238"/>
        <v>-4.6183391134128779E-4</v>
      </c>
      <c r="AY47" s="18">
        <f t="shared" si="238"/>
        <v>5.1305817352542745E-3</v>
      </c>
      <c r="AZ47" s="18">
        <f t="shared" si="238"/>
        <v>5.1305817352542745E-3</v>
      </c>
      <c r="BA47" s="18">
        <f t="shared" si="238"/>
        <v>3.1591940914487706E-3</v>
      </c>
      <c r="BB47" s="18">
        <f t="shared" si="238"/>
        <v>3.1591940914487706E-3</v>
      </c>
      <c r="BC47" s="18">
        <f t="shared" si="238"/>
        <v>3.1591940914487706E-3</v>
      </c>
      <c r="BD47" s="18">
        <f t="shared" si="238"/>
        <v>3.1591940914487706E-3</v>
      </c>
      <c r="BE47" s="18">
        <f t="shared" si="238"/>
        <v>3.1591940914487706E-3</v>
      </c>
      <c r="BF47" s="18">
        <f t="shared" si="238"/>
        <v>3.1591940914487706E-3</v>
      </c>
      <c r="BG47" s="18">
        <f t="shared" si="238"/>
        <v>-3.2289140532113132E-3</v>
      </c>
    </row>
    <row r="48" spans="1:59" x14ac:dyDescent="0.25">
      <c r="C48" s="99" t="s">
        <v>37</v>
      </c>
      <c r="E48" s="18">
        <f t="shared" ref="E48:AJ48" si="239" xml:space="preserve"> 0.00208 * E22^2 * SIN(  2 * E25 *Deg2Rad )</f>
        <v>-1.3149962239030917E-3</v>
      </c>
      <c r="F48" s="18">
        <f t="shared" si="239"/>
        <v>2.7256771305611972E-4</v>
      </c>
      <c r="G48" s="18">
        <f t="shared" si="239"/>
        <v>1.8514601824872064E-4</v>
      </c>
      <c r="H48" s="18">
        <f t="shared" si="239"/>
        <v>9.3067790592531445E-4</v>
      </c>
      <c r="I48" s="18">
        <f t="shared" si="239"/>
        <v>1.6264540481702018E-3</v>
      </c>
      <c r="J48" s="18">
        <f t="shared" si="239"/>
        <v>-6.2772520234116171E-4</v>
      </c>
      <c r="K48" s="18">
        <f t="shared" si="239"/>
        <v>1.0381467266488348E-3</v>
      </c>
      <c r="L48" s="18">
        <f t="shared" si="239"/>
        <v>-1.3104595115690063E-3</v>
      </c>
      <c r="M48" s="18">
        <f t="shared" si="239"/>
        <v>-5.6387602916042504E-5</v>
      </c>
      <c r="N48" s="18">
        <f t="shared" si="239"/>
        <v>1.2681322418798215E-3</v>
      </c>
      <c r="O48" s="18">
        <f t="shared" si="239"/>
        <v>2.0335452439727997E-3</v>
      </c>
      <c r="P48" s="18">
        <f t="shared" si="239"/>
        <v>-1.8409924181139114E-3</v>
      </c>
      <c r="Q48" s="18">
        <f t="shared" si="239"/>
        <v>2.2159736095598492E-3</v>
      </c>
      <c r="R48" s="18">
        <f t="shared" si="239"/>
        <v>1.6697628659612862E-3</v>
      </c>
      <c r="S48" s="18">
        <f t="shared" si="239"/>
        <v>2.3698753414789536E-3</v>
      </c>
      <c r="T48" s="18">
        <f t="shared" si="239"/>
        <v>-2.3755763140721952E-3</v>
      </c>
      <c r="U48" s="18">
        <f t="shared" si="239"/>
        <v>5.9350350501547085E-4</v>
      </c>
      <c r="V48" s="18">
        <f t="shared" si="239"/>
        <v>6.3218961979580714E-4</v>
      </c>
      <c r="W48" s="18">
        <f t="shared" si="239"/>
        <v>-1.4978078488667652E-3</v>
      </c>
      <c r="X48" s="18">
        <f t="shared" si="239"/>
        <v>-1.7063471148785272E-3</v>
      </c>
      <c r="Y48" s="18">
        <f t="shared" si="239"/>
        <v>2.0817039881247004E-3</v>
      </c>
      <c r="Z48" s="18">
        <f t="shared" si="239"/>
        <v>-2.9834528206842124E-4</v>
      </c>
      <c r="AA48" s="18">
        <f t="shared" si="239"/>
        <v>1.8514601824872064E-4</v>
      </c>
      <c r="AB48" s="18">
        <f t="shared" si="239"/>
        <v>-2.7301210334133494E-4</v>
      </c>
      <c r="AC48" s="18">
        <f t="shared" si="239"/>
        <v>-1.9290802092027672E-3</v>
      </c>
      <c r="AD48" s="18">
        <f t="shared" si="239"/>
        <v>-8.6483395392645808E-4</v>
      </c>
      <c r="AE48" s="18">
        <f t="shared" si="239"/>
        <v>2.0817039881247004E-3</v>
      </c>
      <c r="AF48" s="18">
        <f t="shared" si="239"/>
        <v>-6.8515115579376802E-4</v>
      </c>
      <c r="AG48" s="18">
        <f t="shared" si="239"/>
        <v>-1.4546146238949361E-3</v>
      </c>
      <c r="AH48" s="18">
        <f t="shared" si="239"/>
        <v>1.3337187615479204E-3</v>
      </c>
      <c r="AI48" s="18">
        <f t="shared" si="239"/>
        <v>1.1331428327430017E-4</v>
      </c>
      <c r="AJ48" s="18">
        <f t="shared" si="239"/>
        <v>-2.0796345956587341E-3</v>
      </c>
      <c r="AK48" s="18">
        <f t="shared" ref="AK48:BG48" si="240" xml:space="preserve"> 0.00208 * AK22^2 * SIN(  2 * AK25 *Deg2Rad )</f>
        <v>4.6470395707723437E-4</v>
      </c>
      <c r="AL48" s="18">
        <f t="shared" si="240"/>
        <v>1.0128517320996833E-3</v>
      </c>
      <c r="AM48" s="18">
        <f t="shared" si="240"/>
        <v>2.0756637566881364E-3</v>
      </c>
      <c r="AN48" s="18">
        <f t="shared" si="240"/>
        <v>9.4770658911200639E-6</v>
      </c>
      <c r="AO48" s="18">
        <f t="shared" si="240"/>
        <v>2.266594711093401E-3</v>
      </c>
      <c r="AP48" s="18">
        <f t="shared" si="240"/>
        <v>6.3106907797181569E-4</v>
      </c>
      <c r="AQ48" s="18">
        <f t="shared" si="240"/>
        <v>6.3106907797181569E-4</v>
      </c>
      <c r="AR48" s="18">
        <f t="shared" si="240"/>
        <v>-1.350072829832861E-3</v>
      </c>
      <c r="AS48" s="18">
        <f t="shared" si="240"/>
        <v>-1.350072829832861E-3</v>
      </c>
      <c r="AT48" s="18">
        <f t="shared" si="240"/>
        <v>-1.350072829832861E-3</v>
      </c>
      <c r="AU48" s="18">
        <f t="shared" si="240"/>
        <v>-1.9059249137420953E-3</v>
      </c>
      <c r="AV48" s="18">
        <f t="shared" si="240"/>
        <v>1.8535763118162879E-3</v>
      </c>
      <c r="AW48" s="18">
        <f t="shared" si="240"/>
        <v>1.3441954372693006E-4</v>
      </c>
      <c r="AX48" s="18">
        <f t="shared" si="240"/>
        <v>-1.5932824060764118E-3</v>
      </c>
      <c r="AY48" s="18">
        <f t="shared" si="240"/>
        <v>-2.0534864168918628E-3</v>
      </c>
      <c r="AZ48" s="18">
        <f t="shared" si="240"/>
        <v>-2.0534864168918628E-3</v>
      </c>
      <c r="BA48" s="18">
        <f t="shared" si="240"/>
        <v>-8.1346979094274309E-4</v>
      </c>
      <c r="BB48" s="18">
        <f t="shared" si="240"/>
        <v>-8.1346979094274309E-4</v>
      </c>
      <c r="BC48" s="18">
        <f t="shared" si="240"/>
        <v>-8.1346979094274309E-4</v>
      </c>
      <c r="BD48" s="18">
        <f t="shared" si="240"/>
        <v>-8.1346979094274309E-4</v>
      </c>
      <c r="BE48" s="18">
        <f t="shared" si="240"/>
        <v>-8.1346979094274309E-4</v>
      </c>
      <c r="BF48" s="18">
        <f t="shared" si="240"/>
        <v>-8.1346979094274309E-4</v>
      </c>
      <c r="BG48" s="18">
        <f t="shared" si="240"/>
        <v>2.0817039881247004E-3</v>
      </c>
    </row>
    <row r="49" spans="3:59" x14ac:dyDescent="0.25">
      <c r="C49" s="97" t="s">
        <v>38</v>
      </c>
      <c r="E49" s="18">
        <f t="shared" ref="E49:AJ49" si="241" xml:space="preserve"> -0.00111 * SIN( ( E30 - 2 * E35) *Deg2Rad )</f>
        <v>-9.9518522684129184E-4</v>
      </c>
      <c r="F49" s="18">
        <f t="shared" si="241"/>
        <v>-1.5789742862148132E-4</v>
      </c>
      <c r="G49" s="18">
        <f t="shared" si="241"/>
        <v>9.626674899193378E-4</v>
      </c>
      <c r="H49" s="18">
        <f t="shared" si="241"/>
        <v>8.9306931302542733E-4</v>
      </c>
      <c r="I49" s="18">
        <f t="shared" si="241"/>
        <v>-3.0606551328093214E-4</v>
      </c>
      <c r="J49" s="18">
        <f t="shared" si="241"/>
        <v>2.6150046899675762E-4</v>
      </c>
      <c r="K49" s="18">
        <f t="shared" si="241"/>
        <v>-1.0999775392788588E-3</v>
      </c>
      <c r="L49" s="18">
        <f t="shared" si="241"/>
        <v>1.0928496092343157E-3</v>
      </c>
      <c r="M49" s="18">
        <f t="shared" si="241"/>
        <v>1.1027143047046845E-3</v>
      </c>
      <c r="N49" s="18">
        <f t="shared" si="241"/>
        <v>9.8060303512212442E-4</v>
      </c>
      <c r="O49" s="18">
        <f t="shared" si="241"/>
        <v>3.08330311634278E-4</v>
      </c>
      <c r="P49" s="18">
        <f t="shared" si="241"/>
        <v>1.1077345133633145E-3</v>
      </c>
      <c r="Q49" s="18">
        <f t="shared" si="241"/>
        <v>-8.7324100291424748E-5</v>
      </c>
      <c r="R49" s="18">
        <f t="shared" si="241"/>
        <v>5.7189795010034543E-4</v>
      </c>
      <c r="S49" s="18">
        <f t="shared" si="241"/>
        <v>3.739628171194243E-4</v>
      </c>
      <c r="T49" s="18">
        <f t="shared" si="241"/>
        <v>8.9501097475791524E-4</v>
      </c>
      <c r="U49" s="18">
        <f t="shared" si="241"/>
        <v>8.5601113573883613E-4</v>
      </c>
      <c r="V49" s="18">
        <f t="shared" si="241"/>
        <v>1.0988058658324682E-3</v>
      </c>
      <c r="W49" s="18">
        <f t="shared" si="241"/>
        <v>-9.3535149192491927E-4</v>
      </c>
      <c r="X49" s="18">
        <f t="shared" si="241"/>
        <v>-2.8596910163184287E-4</v>
      </c>
      <c r="Y49" s="18">
        <f t="shared" si="241"/>
        <v>6.1192862755312348E-4</v>
      </c>
      <c r="Z49" s="18">
        <f t="shared" si="241"/>
        <v>9.5756469336802694E-5</v>
      </c>
      <c r="AA49" s="18">
        <f t="shared" si="241"/>
        <v>9.626674899193378E-4</v>
      </c>
      <c r="AB49" s="18">
        <f t="shared" si="241"/>
        <v>-1.0937936338997745E-3</v>
      </c>
      <c r="AC49" s="18">
        <f t="shared" si="241"/>
        <v>-5.2238398733994718E-4</v>
      </c>
      <c r="AD49" s="18">
        <f t="shared" si="241"/>
        <v>1.7109496694627717E-4</v>
      </c>
      <c r="AE49" s="18">
        <f t="shared" si="241"/>
        <v>6.1192862755312348E-4</v>
      </c>
      <c r="AF49" s="18">
        <f t="shared" si="241"/>
        <v>-1.1099081980852261E-3</v>
      </c>
      <c r="AG49" s="18">
        <f t="shared" si="241"/>
        <v>-3.4696710791355E-4</v>
      </c>
      <c r="AH49" s="18">
        <f t="shared" si="241"/>
        <v>-5.1654950922498254E-4</v>
      </c>
      <c r="AI49" s="18">
        <f t="shared" si="241"/>
        <v>-8.5593051916255547E-4</v>
      </c>
      <c r="AJ49" s="18">
        <f t="shared" si="241"/>
        <v>1.1083583353544706E-3</v>
      </c>
      <c r="AK49" s="18">
        <f t="shared" ref="AK49:BG49" si="242" xml:space="preserve"> -0.00111 * SIN( ( AK30 - 2 * AK35) *Deg2Rad )</f>
        <v>1.072819893504734E-3</v>
      </c>
      <c r="AL49" s="18">
        <f t="shared" si="242"/>
        <v>-1.0467078124913242E-4</v>
      </c>
      <c r="AM49" s="18">
        <f t="shared" si="242"/>
        <v>8.9416882505445985E-4</v>
      </c>
      <c r="AN49" s="18">
        <f t="shared" si="242"/>
        <v>-8.0422493121702252E-4</v>
      </c>
      <c r="AO49" s="18">
        <f t="shared" si="242"/>
        <v>-6.7267497039801265E-4</v>
      </c>
      <c r="AP49" s="18">
        <f t="shared" si="242"/>
        <v>4.1797437273725859E-4</v>
      </c>
      <c r="AQ49" s="18">
        <f t="shared" si="242"/>
        <v>4.1797437273725859E-4</v>
      </c>
      <c r="AR49" s="18">
        <f t="shared" si="242"/>
        <v>9.3766488423671255E-4</v>
      </c>
      <c r="AS49" s="18">
        <f t="shared" si="242"/>
        <v>9.3766488423671255E-4</v>
      </c>
      <c r="AT49" s="18">
        <f t="shared" si="242"/>
        <v>9.3766488423671255E-4</v>
      </c>
      <c r="AU49" s="18">
        <f t="shared" si="242"/>
        <v>-8.191999592194511E-4</v>
      </c>
      <c r="AV49" s="18">
        <f t="shared" si="242"/>
        <v>1.992471289127942E-4</v>
      </c>
      <c r="AW49" s="18">
        <f t="shared" si="242"/>
        <v>-2.9079748235862948E-5</v>
      </c>
      <c r="AX49" s="18">
        <f t="shared" si="242"/>
        <v>1.1020663900141838E-3</v>
      </c>
      <c r="AY49" s="18">
        <f t="shared" si="242"/>
        <v>1.1083031556902401E-3</v>
      </c>
      <c r="AZ49" s="18">
        <f t="shared" si="242"/>
        <v>1.1083031556902401E-3</v>
      </c>
      <c r="BA49" s="18">
        <f t="shared" si="242"/>
        <v>8.6636791066073892E-4</v>
      </c>
      <c r="BB49" s="18">
        <f t="shared" si="242"/>
        <v>8.6636791066073892E-4</v>
      </c>
      <c r="BC49" s="18">
        <f t="shared" si="242"/>
        <v>8.6636791066073892E-4</v>
      </c>
      <c r="BD49" s="18">
        <f t="shared" si="242"/>
        <v>8.6636791066073892E-4</v>
      </c>
      <c r="BE49" s="18">
        <f t="shared" si="242"/>
        <v>8.6636791066073892E-4</v>
      </c>
      <c r="BF49" s="18">
        <f t="shared" si="242"/>
        <v>8.6636791066073892E-4</v>
      </c>
      <c r="BG49" s="18">
        <f t="shared" si="242"/>
        <v>6.1192862755312348E-4</v>
      </c>
    </row>
    <row r="50" spans="3:59" x14ac:dyDescent="0.25">
      <c r="C50" s="97" t="s">
        <v>39</v>
      </c>
      <c r="E50" s="18">
        <f t="shared" ref="E50:AJ50" si="243" xml:space="preserve"> -0.00057 * SIN( ( E30 + 2 * E35) *Deg2Rad )</f>
        <v>-2.5470715413488813E-4</v>
      </c>
      <c r="F50" s="18">
        <f t="shared" si="243"/>
        <v>-5.5523229617655562E-4</v>
      </c>
      <c r="G50" s="18">
        <f t="shared" si="243"/>
        <v>-1.6678600953212261E-4</v>
      </c>
      <c r="H50" s="18">
        <f t="shared" si="243"/>
        <v>1.6751368977165038E-4</v>
      </c>
      <c r="I50" s="18">
        <f t="shared" si="243"/>
        <v>5.5694874802552914E-4</v>
      </c>
      <c r="J50" s="18">
        <f t="shared" si="243"/>
        <v>2.5428672751691894E-4</v>
      </c>
      <c r="K50" s="18">
        <f t="shared" si="243"/>
        <v>3.9316054927208911E-4</v>
      </c>
      <c r="L50" s="18">
        <f t="shared" si="243"/>
        <v>4.9658970677666223E-4</v>
      </c>
      <c r="M50" s="18">
        <f t="shared" si="243"/>
        <v>1.1246513869432542E-4</v>
      </c>
      <c r="N50" s="18">
        <f t="shared" si="243"/>
        <v>5.6933304044818668E-4</v>
      </c>
      <c r="O50" s="18">
        <f t="shared" si="243"/>
        <v>3.20185100862433E-4</v>
      </c>
      <c r="P50" s="18">
        <f t="shared" si="243"/>
        <v>5.6835240586944379E-4</v>
      </c>
      <c r="Q50" s="18">
        <f t="shared" si="243"/>
        <v>-3.1761988107101801E-4</v>
      </c>
      <c r="R50" s="18">
        <f t="shared" si="243"/>
        <v>-4.8847263289491301E-4</v>
      </c>
      <c r="S50" s="18">
        <f t="shared" si="243"/>
        <v>3.4360857206885861E-4</v>
      </c>
      <c r="T50" s="18">
        <f t="shared" si="243"/>
        <v>3.9881170226729472E-4</v>
      </c>
      <c r="U50" s="18">
        <f t="shared" si="243"/>
        <v>2.1039762567286226E-4</v>
      </c>
      <c r="V50" s="18">
        <f t="shared" si="243"/>
        <v>5.0807104359261251E-4</v>
      </c>
      <c r="W50" s="18">
        <f t="shared" si="243"/>
        <v>-2.0251056182259689E-4</v>
      </c>
      <c r="X50" s="18">
        <f t="shared" si="243"/>
        <v>-1.6682735956019348E-4</v>
      </c>
      <c r="Y50" s="18">
        <f t="shared" si="243"/>
        <v>2.2006737077540165E-4</v>
      </c>
      <c r="Z50" s="18">
        <f t="shared" si="243"/>
        <v>-4.7753900081974339E-4</v>
      </c>
      <c r="AA50" s="18">
        <f t="shared" si="243"/>
        <v>-1.6678600953212261E-4</v>
      </c>
      <c r="AB50" s="18">
        <f t="shared" si="243"/>
        <v>-4.5562127012329474E-4</v>
      </c>
      <c r="AC50" s="18">
        <f t="shared" si="243"/>
        <v>-5.6803107956668471E-4</v>
      </c>
      <c r="AD50" s="18">
        <f t="shared" si="243"/>
        <v>-4.6643361967564693E-4</v>
      </c>
      <c r="AE50" s="18">
        <f t="shared" si="243"/>
        <v>2.2006737077540165E-4</v>
      </c>
      <c r="AF50" s="18">
        <f t="shared" si="243"/>
        <v>-3.6451790928059534E-4</v>
      </c>
      <c r="AG50" s="18">
        <f t="shared" si="243"/>
        <v>3.193236930007296E-4</v>
      </c>
      <c r="AH50" s="18">
        <f t="shared" si="243"/>
        <v>-2.2061233575298696E-4</v>
      </c>
      <c r="AI50" s="18">
        <f t="shared" si="243"/>
        <v>-5.526414284731183E-4</v>
      </c>
      <c r="AJ50" s="18">
        <f t="shared" si="243"/>
        <v>3.3531741052560831E-4</v>
      </c>
      <c r="AK50" s="18">
        <f t="shared" ref="AK50:BG50" si="244" xml:space="preserve"> -0.00057 * SIN( ( AK30 + 2 * AK35) *Deg2Rad )</f>
        <v>-9.4217369487389235E-5</v>
      </c>
      <c r="AL50" s="18">
        <f t="shared" si="244"/>
        <v>3.6503641828565796E-4</v>
      </c>
      <c r="AM50" s="18">
        <f t="shared" si="244"/>
        <v>5.494115421210453E-4</v>
      </c>
      <c r="AN50" s="18">
        <f t="shared" si="244"/>
        <v>-5.143009828297208E-4</v>
      </c>
      <c r="AO50" s="18">
        <f t="shared" si="244"/>
        <v>4.551977464446632E-4</v>
      </c>
      <c r="AP50" s="18">
        <f t="shared" si="244"/>
        <v>-5.59420553344862E-5</v>
      </c>
      <c r="AQ50" s="18">
        <f t="shared" si="244"/>
        <v>-5.59420553344862E-5</v>
      </c>
      <c r="AR50" s="18">
        <f t="shared" si="244"/>
        <v>5.6377669200302378E-4</v>
      </c>
      <c r="AS50" s="18">
        <f t="shared" si="244"/>
        <v>5.6377669200302378E-4</v>
      </c>
      <c r="AT50" s="18">
        <f t="shared" si="244"/>
        <v>5.6377669200302378E-4</v>
      </c>
      <c r="AU50" s="18">
        <f t="shared" si="244"/>
        <v>5.4202882530988213E-4</v>
      </c>
      <c r="AV50" s="18">
        <f t="shared" si="244"/>
        <v>-2.3722924861914425E-4</v>
      </c>
      <c r="AW50" s="18">
        <f t="shared" si="244"/>
        <v>5.4208822567345153E-4</v>
      </c>
      <c r="AX50" s="18">
        <f t="shared" si="244"/>
        <v>3.9304312220479293E-4</v>
      </c>
      <c r="AY50" s="18">
        <f t="shared" si="244"/>
        <v>1.1184942255895584E-4</v>
      </c>
      <c r="AZ50" s="18">
        <f t="shared" si="244"/>
        <v>1.1184942255895584E-4</v>
      </c>
      <c r="BA50" s="18">
        <f t="shared" si="244"/>
        <v>-5.5268505447135258E-4</v>
      </c>
      <c r="BB50" s="18">
        <f t="shared" si="244"/>
        <v>-5.5268505447135258E-4</v>
      </c>
      <c r="BC50" s="18">
        <f t="shared" si="244"/>
        <v>-5.5268505447135258E-4</v>
      </c>
      <c r="BD50" s="18">
        <f t="shared" si="244"/>
        <v>-5.5268505447135258E-4</v>
      </c>
      <c r="BE50" s="18">
        <f t="shared" si="244"/>
        <v>-5.5268505447135258E-4</v>
      </c>
      <c r="BF50" s="18">
        <f t="shared" si="244"/>
        <v>-5.5268505447135258E-4</v>
      </c>
      <c r="BG50" s="18">
        <f t="shared" si="244"/>
        <v>2.2006737077540165E-4</v>
      </c>
    </row>
    <row r="51" spans="3:59" x14ac:dyDescent="0.25">
      <c r="C51" s="97" t="s">
        <v>40</v>
      </c>
      <c r="E51" s="18">
        <f t="shared" ref="E51:AJ51" si="245" xml:space="preserve"> 0.00056 * E22 * SIN( ( 2 * E30 + E25 ) *Deg2Rad )</f>
        <v>1.8997910792783345E-4</v>
      </c>
      <c r="F51" s="18">
        <f t="shared" si="245"/>
        <v>8.4795988310450802E-5</v>
      </c>
      <c r="G51" s="18">
        <f t="shared" si="245"/>
        <v>4.0066503946354943E-4</v>
      </c>
      <c r="H51" s="18">
        <f t="shared" si="245"/>
        <v>2.2051155964555939E-4</v>
      </c>
      <c r="I51" s="18">
        <f t="shared" si="245"/>
        <v>5.5960818378606282E-4</v>
      </c>
      <c r="J51" s="18">
        <f t="shared" si="245"/>
        <v>4.2211492843973711E-4</v>
      </c>
      <c r="K51" s="18">
        <f t="shared" si="245"/>
        <v>-2.2536730262583474E-4</v>
      </c>
      <c r="L51" s="18">
        <f t="shared" si="245"/>
        <v>1.9133696818952298E-4</v>
      </c>
      <c r="M51" s="18">
        <f t="shared" si="245"/>
        <v>-5.3170374449384343E-4</v>
      </c>
      <c r="N51" s="18">
        <f t="shared" si="245"/>
        <v>-4.2727609432200082E-4</v>
      </c>
      <c r="O51" s="18">
        <f t="shared" si="245"/>
        <v>-1.8109491540881857E-4</v>
      </c>
      <c r="P51" s="18">
        <f t="shared" si="245"/>
        <v>-5.0972382285110411E-4</v>
      </c>
      <c r="Q51" s="18">
        <f t="shared" si="245"/>
        <v>1.4316149766543557E-4</v>
      </c>
      <c r="R51" s="18">
        <f t="shared" si="245"/>
        <v>-5.3986362891427398E-4</v>
      </c>
      <c r="S51" s="18">
        <f t="shared" si="245"/>
        <v>-5.8999813646100547E-4</v>
      </c>
      <c r="T51" s="18">
        <f t="shared" si="245"/>
        <v>3.6413978553037645E-4</v>
      </c>
      <c r="U51" s="18">
        <f t="shared" si="245"/>
        <v>5.56639255273262E-4</v>
      </c>
      <c r="V51" s="18">
        <f t="shared" si="245"/>
        <v>-5.7333570486024245E-4</v>
      </c>
      <c r="W51" s="18">
        <f t="shared" si="245"/>
        <v>-2.8326977598611873E-4</v>
      </c>
      <c r="X51" s="18">
        <f t="shared" si="245"/>
        <v>-5.0573238653927959E-4</v>
      </c>
      <c r="Y51" s="18">
        <f t="shared" si="245"/>
        <v>-4.6714650881313907E-4</v>
      </c>
      <c r="Z51" s="18">
        <f t="shared" si="245"/>
        <v>4.1456001710266685E-4</v>
      </c>
      <c r="AA51" s="18">
        <f t="shared" si="245"/>
        <v>4.0066503946354943E-4</v>
      </c>
      <c r="AB51" s="18">
        <f t="shared" si="245"/>
        <v>-4.3259459302148257E-4</v>
      </c>
      <c r="AC51" s="18">
        <f t="shared" si="245"/>
        <v>-3.0306238537696747E-4</v>
      </c>
      <c r="AD51" s="18">
        <f t="shared" si="245"/>
        <v>-3.4866770047076937E-4</v>
      </c>
      <c r="AE51" s="18">
        <f t="shared" si="245"/>
        <v>-4.6714650881313907E-4</v>
      </c>
      <c r="AF51" s="18">
        <f t="shared" si="245"/>
        <v>-3.7017525752934956E-4</v>
      </c>
      <c r="AG51" s="18">
        <f t="shared" si="245"/>
        <v>4.8452779804577633E-4</v>
      </c>
      <c r="AH51" s="18">
        <f t="shared" si="245"/>
        <v>-5.080835662588536E-4</v>
      </c>
      <c r="AI51" s="18">
        <f t="shared" si="245"/>
        <v>-3.1898986753146945E-4</v>
      </c>
      <c r="AJ51" s="18">
        <f t="shared" si="245"/>
        <v>-5.5801747416133125E-4</v>
      </c>
      <c r="AK51" s="18">
        <f t="shared" ref="AK51:BG51" si="246" xml:space="preserve"> 0.00056 * AK22 * SIN( ( 2 * AK30 + AK25 ) *Deg2Rad )</f>
        <v>5.5075742614364655E-4</v>
      </c>
      <c r="AL51" s="18">
        <f t="shared" si="246"/>
        <v>4.8177431052831576E-4</v>
      </c>
      <c r="AM51" s="18">
        <f t="shared" si="246"/>
        <v>4.7674704482813705E-4</v>
      </c>
      <c r="AN51" s="18">
        <f t="shared" si="246"/>
        <v>-5.3289056967391031E-4</v>
      </c>
      <c r="AO51" s="18">
        <f t="shared" si="246"/>
        <v>4.9415388380609547E-4</v>
      </c>
      <c r="AP51" s="18">
        <f t="shared" si="246"/>
        <v>4.4935540342316106E-4</v>
      </c>
      <c r="AQ51" s="18">
        <f t="shared" si="246"/>
        <v>4.4935540342316106E-4</v>
      </c>
      <c r="AR51" s="18">
        <f t="shared" si="246"/>
        <v>4.0161245217630565E-4</v>
      </c>
      <c r="AS51" s="18">
        <f t="shared" si="246"/>
        <v>4.0161245217630565E-4</v>
      </c>
      <c r="AT51" s="18">
        <f t="shared" si="246"/>
        <v>4.0161245217630565E-4</v>
      </c>
      <c r="AU51" s="18">
        <f t="shared" si="246"/>
        <v>4.7273192012495415E-4</v>
      </c>
      <c r="AV51" s="18">
        <f t="shared" si="246"/>
        <v>-3.9074664685898329E-4</v>
      </c>
      <c r="AW51" s="18">
        <f t="shared" si="246"/>
        <v>-5.2241232694751267E-4</v>
      </c>
      <c r="AX51" s="18">
        <f t="shared" si="246"/>
        <v>-5.4243409059964839E-4</v>
      </c>
      <c r="AY51" s="18">
        <f t="shared" si="246"/>
        <v>-3.2009245710372923E-4</v>
      </c>
      <c r="AZ51" s="18">
        <f t="shared" si="246"/>
        <v>-3.2009245710372923E-4</v>
      </c>
      <c r="BA51" s="18">
        <f t="shared" si="246"/>
        <v>-5.0463428332766863E-4</v>
      </c>
      <c r="BB51" s="18">
        <f t="shared" si="246"/>
        <v>-5.0463428332766863E-4</v>
      </c>
      <c r="BC51" s="18">
        <f t="shared" si="246"/>
        <v>-5.0463428332766863E-4</v>
      </c>
      <c r="BD51" s="18">
        <f t="shared" si="246"/>
        <v>-5.0463428332766863E-4</v>
      </c>
      <c r="BE51" s="18">
        <f t="shared" si="246"/>
        <v>-5.0463428332766863E-4</v>
      </c>
      <c r="BF51" s="18">
        <f t="shared" si="246"/>
        <v>-5.0463428332766863E-4</v>
      </c>
      <c r="BG51" s="18">
        <f t="shared" si="246"/>
        <v>-4.6714650881313907E-4</v>
      </c>
    </row>
    <row r="52" spans="3:59" x14ac:dyDescent="0.25">
      <c r="C52" s="97" t="s">
        <v>41</v>
      </c>
      <c r="E52" s="18">
        <f t="shared" ref="E52:AJ52" si="247" xml:space="preserve"> -0.00042 * SIN( 3 * E30 *Deg2Rad )</f>
        <v>-2.9501910140763776E-4</v>
      </c>
      <c r="F52" s="18">
        <f t="shared" si="247"/>
        <v>-3.3248844100425057E-4</v>
      </c>
      <c r="G52" s="18">
        <f t="shared" si="247"/>
        <v>3.7969242579521072E-4</v>
      </c>
      <c r="H52" s="18">
        <f t="shared" si="247"/>
        <v>-2.4259988132793416E-4</v>
      </c>
      <c r="I52" s="18">
        <f t="shared" si="247"/>
        <v>-4.1957936168293035E-4</v>
      </c>
      <c r="J52" s="18">
        <f t="shared" si="247"/>
        <v>-3.6439406995008049E-4</v>
      </c>
      <c r="K52" s="18">
        <f t="shared" si="247"/>
        <v>3.5628078163418825E-4</v>
      </c>
      <c r="L52" s="18">
        <f t="shared" si="247"/>
        <v>2.1488106927533028E-4</v>
      </c>
      <c r="M52" s="18">
        <f t="shared" si="247"/>
        <v>1.3033303969720735E-4</v>
      </c>
      <c r="N52" s="18">
        <f t="shared" si="247"/>
        <v>-2.9138560844636411E-4</v>
      </c>
      <c r="O52" s="18">
        <f t="shared" si="247"/>
        <v>-3.7398311367222163E-4</v>
      </c>
      <c r="P52" s="18">
        <f t="shared" si="247"/>
        <v>4.1993024626568113E-4</v>
      </c>
      <c r="Q52" s="18">
        <f t="shared" si="247"/>
        <v>-3.5447887569255095E-4</v>
      </c>
      <c r="R52" s="18">
        <f t="shared" si="247"/>
        <v>-2.969101447484894E-4</v>
      </c>
      <c r="S52" s="18">
        <f t="shared" si="247"/>
        <v>-4.1849053407606363E-4</v>
      </c>
      <c r="T52" s="18">
        <f t="shared" si="247"/>
        <v>2.2747370923927664E-4</v>
      </c>
      <c r="U52" s="18">
        <f t="shared" si="247"/>
        <v>3.0617580459048392E-4</v>
      </c>
      <c r="V52" s="18">
        <f t="shared" si="247"/>
        <v>3.7008356943941202E-4</v>
      </c>
      <c r="W52" s="18">
        <f t="shared" si="247"/>
        <v>2.4140082170469063E-4</v>
      </c>
      <c r="X52" s="18">
        <f t="shared" si="247"/>
        <v>-4.1937206409560409E-4</v>
      </c>
      <c r="Y52" s="18">
        <f t="shared" si="247"/>
        <v>4.0349361217738782E-4</v>
      </c>
      <c r="Z52" s="18">
        <f t="shared" si="247"/>
        <v>4.1072652948333466E-4</v>
      </c>
      <c r="AA52" s="18">
        <f t="shared" si="247"/>
        <v>3.7969242579521072E-4</v>
      </c>
      <c r="AB52" s="18">
        <f t="shared" si="247"/>
        <v>1.4293112153353034E-4</v>
      </c>
      <c r="AC52" s="18">
        <f t="shared" si="247"/>
        <v>7.3177759175115954E-5</v>
      </c>
      <c r="AD52" s="18">
        <f t="shared" si="247"/>
        <v>-4.1521019766023939E-5</v>
      </c>
      <c r="AE52" s="18">
        <f t="shared" si="247"/>
        <v>4.0349361217738782E-4</v>
      </c>
      <c r="AF52" s="18">
        <f t="shared" si="247"/>
        <v>9.8239838710411186E-5</v>
      </c>
      <c r="AG52" s="18">
        <f t="shared" si="247"/>
        <v>8.4246971258442291E-5</v>
      </c>
      <c r="AH52" s="18">
        <f t="shared" si="247"/>
        <v>-4.1645957260745943E-4</v>
      </c>
      <c r="AI52" s="18">
        <f t="shared" si="247"/>
        <v>-6.871068745606134E-5</v>
      </c>
      <c r="AJ52" s="18">
        <f t="shared" si="247"/>
        <v>-9.9664035915720186E-5</v>
      </c>
      <c r="AK52" s="18">
        <f t="shared" ref="AK52:BG52" si="248" xml:space="preserve"> -0.00042 * SIN( 3 * AK30 *Deg2Rad )</f>
        <v>-2.525536814319389E-4</v>
      </c>
      <c r="AL52" s="18">
        <f t="shared" si="248"/>
        <v>1.5835027596291192E-4</v>
      </c>
      <c r="AM52" s="18">
        <f t="shared" si="248"/>
        <v>-3.5874254999377036E-4</v>
      </c>
      <c r="AN52" s="18">
        <f t="shared" si="248"/>
        <v>-3.7407180921726391E-4</v>
      </c>
      <c r="AO52" s="18">
        <f t="shared" si="248"/>
        <v>1.677512134009022E-4</v>
      </c>
      <c r="AP52" s="18">
        <f t="shared" si="248"/>
        <v>-3.1393405535483387E-4</v>
      </c>
      <c r="AQ52" s="18">
        <f t="shared" si="248"/>
        <v>-3.1393405535483387E-4</v>
      </c>
      <c r="AR52" s="18">
        <f t="shared" si="248"/>
        <v>-3.4055319419413473E-4</v>
      </c>
      <c r="AS52" s="18">
        <f t="shared" si="248"/>
        <v>-3.4055319419413473E-4</v>
      </c>
      <c r="AT52" s="18">
        <f t="shared" si="248"/>
        <v>-3.4055319419413473E-4</v>
      </c>
      <c r="AU52" s="18">
        <f t="shared" si="248"/>
        <v>2.5053176939326873E-4</v>
      </c>
      <c r="AV52" s="18">
        <f t="shared" si="248"/>
        <v>-1.5311482288148402E-4</v>
      </c>
      <c r="AW52" s="18">
        <f t="shared" si="248"/>
        <v>4.0424837042715305E-4</v>
      </c>
      <c r="AX52" s="18">
        <f t="shared" si="248"/>
        <v>-2.142596804794824E-4</v>
      </c>
      <c r="AY52" s="18">
        <f t="shared" si="248"/>
        <v>1.6594490823093058E-4</v>
      </c>
      <c r="AZ52" s="18">
        <f t="shared" si="248"/>
        <v>1.6594490823093058E-4</v>
      </c>
      <c r="BA52" s="18">
        <f t="shared" si="248"/>
        <v>4.126654098583269E-4</v>
      </c>
      <c r="BB52" s="18">
        <f t="shared" si="248"/>
        <v>4.126654098583269E-4</v>
      </c>
      <c r="BC52" s="18">
        <f t="shared" si="248"/>
        <v>4.126654098583269E-4</v>
      </c>
      <c r="BD52" s="18">
        <f t="shared" si="248"/>
        <v>4.126654098583269E-4</v>
      </c>
      <c r="BE52" s="18">
        <f t="shared" si="248"/>
        <v>4.126654098583269E-4</v>
      </c>
      <c r="BF52" s="18">
        <f t="shared" si="248"/>
        <v>4.126654098583269E-4</v>
      </c>
      <c r="BG52" s="18">
        <f t="shared" si="248"/>
        <v>4.0349361217738782E-4</v>
      </c>
    </row>
    <row r="53" spans="3:59" x14ac:dyDescent="0.25">
      <c r="C53" s="97" t="s">
        <v>42</v>
      </c>
      <c r="E53" s="18">
        <f t="shared" ref="E53:AJ53" si="249" xml:space="preserve"> 0.00042 * E22 * SIN( ( E25 + 2 * E35) *Deg2Rad )</f>
        <v>-4.2038476682197288E-4</v>
      </c>
      <c r="F53" s="18">
        <f t="shared" si="249"/>
        <v>3.7477787115071284E-4</v>
      </c>
      <c r="G53" s="18">
        <f t="shared" si="249"/>
        <v>-2.4701804256556359E-4</v>
      </c>
      <c r="H53" s="18">
        <f t="shared" si="249"/>
        <v>-2.7765519087287639E-4</v>
      </c>
      <c r="I53" s="18">
        <f t="shared" si="249"/>
        <v>-4.0081685175389069E-4</v>
      </c>
      <c r="J53" s="18">
        <f t="shared" si="249"/>
        <v>-1.102335522508643E-4</v>
      </c>
      <c r="K53" s="18">
        <f t="shared" si="249"/>
        <v>-4.1081301737267117E-4</v>
      </c>
      <c r="L53" s="18">
        <f t="shared" si="249"/>
        <v>-7.1905161685035827E-5</v>
      </c>
      <c r="M53" s="18">
        <f t="shared" si="249"/>
        <v>2.80763834689123E-4</v>
      </c>
      <c r="N53" s="18">
        <f t="shared" si="249"/>
        <v>4.263753543421709E-5</v>
      </c>
      <c r="O53" s="18">
        <f t="shared" si="249"/>
        <v>4.1554412404745151E-4</v>
      </c>
      <c r="P53" s="18">
        <f t="shared" si="249"/>
        <v>-3.9326462897065035E-4</v>
      </c>
      <c r="Q53" s="18">
        <f t="shared" si="249"/>
        <v>2.7025251013724718E-4</v>
      </c>
      <c r="R53" s="18">
        <f t="shared" si="249"/>
        <v>-3.5061447812948074E-4</v>
      </c>
      <c r="S53" s="18">
        <f t="shared" si="249"/>
        <v>3.5189168322747883E-4</v>
      </c>
      <c r="T53" s="18">
        <f t="shared" si="249"/>
        <v>2.8686855732316149E-4</v>
      </c>
      <c r="U53" s="18">
        <f t="shared" si="249"/>
        <v>3.0782742891585107E-4</v>
      </c>
      <c r="V53" s="18">
        <f t="shared" si="249"/>
        <v>-4.3444142847898719E-4</v>
      </c>
      <c r="W53" s="18">
        <f t="shared" si="249"/>
        <v>1.1653713521199118E-4</v>
      </c>
      <c r="X53" s="18">
        <f t="shared" si="249"/>
        <v>8.4257556132614206E-5</v>
      </c>
      <c r="Y53" s="18">
        <f t="shared" si="249"/>
        <v>-4.0044983786426076E-4</v>
      </c>
      <c r="Z53" s="18">
        <f t="shared" si="249"/>
        <v>-1.8912939676453205E-4</v>
      </c>
      <c r="AA53" s="18">
        <f t="shared" si="249"/>
        <v>-2.4701804256556359E-4</v>
      </c>
      <c r="AB53" s="18">
        <f t="shared" si="249"/>
        <v>1.2523428169157157E-4</v>
      </c>
      <c r="AC53" s="18">
        <f t="shared" si="249"/>
        <v>3.7282930240493039E-4</v>
      </c>
      <c r="AD53" s="18">
        <f t="shared" si="249"/>
        <v>7.8345828686590793E-5</v>
      </c>
      <c r="AE53" s="18">
        <f t="shared" si="249"/>
        <v>-4.0044983786426076E-4</v>
      </c>
      <c r="AF53" s="18">
        <f t="shared" si="249"/>
        <v>1.0972467893788994E-4</v>
      </c>
      <c r="AG53" s="18">
        <f t="shared" si="249"/>
        <v>-1.0339408195365351E-4</v>
      </c>
      <c r="AH53" s="18">
        <f t="shared" si="249"/>
        <v>-3.8961029458563039E-5</v>
      </c>
      <c r="AI53" s="18">
        <f t="shared" si="249"/>
        <v>-4.1218920034512914E-4</v>
      </c>
      <c r="AJ53" s="18">
        <f t="shared" si="249"/>
        <v>4.0090633603917747E-4</v>
      </c>
      <c r="AK53" s="18">
        <f t="shared" ref="AK53:BG53" si="250" xml:space="preserve"> 0.00042 * AK22 * SIN( ( AK25 + 2 * AK35) *Deg2Rad )</f>
        <v>3.2694682396879862E-4</v>
      </c>
      <c r="AL53" s="18">
        <f t="shared" si="250"/>
        <v>1.9374046762304665E-5</v>
      </c>
      <c r="AM53" s="18">
        <f t="shared" si="250"/>
        <v>-6.5643376564259641E-5</v>
      </c>
      <c r="AN53" s="18">
        <f t="shared" si="250"/>
        <v>-3.453571652665322E-4</v>
      </c>
      <c r="AO53" s="18">
        <f t="shared" si="250"/>
        <v>4.3922247584930361E-4</v>
      </c>
      <c r="AP53" s="18">
        <f t="shared" si="250"/>
        <v>4.3761304194804437E-6</v>
      </c>
      <c r="AQ53" s="18">
        <f t="shared" si="250"/>
        <v>4.3761304194804437E-6</v>
      </c>
      <c r="AR53" s="18">
        <f t="shared" si="250"/>
        <v>-4.197574505324753E-4</v>
      </c>
      <c r="AS53" s="18">
        <f t="shared" si="250"/>
        <v>-4.197574505324753E-4</v>
      </c>
      <c r="AT53" s="18">
        <f t="shared" si="250"/>
        <v>-4.197574505324753E-4</v>
      </c>
      <c r="AU53" s="18">
        <f t="shared" si="250"/>
        <v>4.1975060354495868E-4</v>
      </c>
      <c r="AV53" s="18">
        <f t="shared" si="250"/>
        <v>-2.7572969261381841E-4</v>
      </c>
      <c r="AW53" s="18">
        <f t="shared" si="250"/>
        <v>-2.4070385448896287E-4</v>
      </c>
      <c r="AX53" s="18">
        <f t="shared" si="250"/>
        <v>4.2026440720981486E-4</v>
      </c>
      <c r="AY53" s="18">
        <f t="shared" si="250"/>
        <v>2.1640256213139774E-6</v>
      </c>
      <c r="AZ53" s="18">
        <f t="shared" si="250"/>
        <v>2.1640256213139774E-6</v>
      </c>
      <c r="BA53" s="18">
        <f t="shared" si="250"/>
        <v>4.1972202235725508E-4</v>
      </c>
      <c r="BB53" s="18">
        <f t="shared" si="250"/>
        <v>4.1972202235725508E-4</v>
      </c>
      <c r="BC53" s="18">
        <f t="shared" si="250"/>
        <v>4.1972202235725508E-4</v>
      </c>
      <c r="BD53" s="18">
        <f t="shared" si="250"/>
        <v>4.1972202235725508E-4</v>
      </c>
      <c r="BE53" s="18">
        <f t="shared" si="250"/>
        <v>4.1972202235725508E-4</v>
      </c>
      <c r="BF53" s="18">
        <f t="shared" si="250"/>
        <v>4.1972202235725508E-4</v>
      </c>
      <c r="BG53" s="18">
        <f t="shared" si="250"/>
        <v>-4.0044983786426076E-4</v>
      </c>
    </row>
    <row r="54" spans="3:59" x14ac:dyDescent="0.25">
      <c r="C54" s="97" t="s">
        <v>43</v>
      </c>
      <c r="E54" s="18">
        <f t="shared" ref="E54:AJ54" si="251" xml:space="preserve"> 0.00038 * E22 * SIN( ( E25 - 2 * E35 ) *Deg2Rad )</f>
        <v>-2.9918382633393629E-4</v>
      </c>
      <c r="F54" s="18">
        <f t="shared" si="251"/>
        <v>3.1199744229725286E-4</v>
      </c>
      <c r="G54" s="18">
        <f t="shared" si="251"/>
        <v>2.4996148564829018E-4</v>
      </c>
      <c r="H54" s="18">
        <f t="shared" si="251"/>
        <v>3.5223797206807527E-4</v>
      </c>
      <c r="I54" s="18">
        <f t="shared" si="251"/>
        <v>1.372412565028981E-4</v>
      </c>
      <c r="J54" s="18">
        <f t="shared" si="251"/>
        <v>-1.5536997089928281E-5</v>
      </c>
      <c r="K54" s="18">
        <f t="shared" si="251"/>
        <v>2.8244497131264909E-4</v>
      </c>
      <c r="L54" s="18">
        <f t="shared" si="251"/>
        <v>-1.8526886397248038E-4</v>
      </c>
      <c r="M54" s="18">
        <f t="shared" si="251"/>
        <v>-2.6158978211646367E-4</v>
      </c>
      <c r="N54" s="18">
        <f t="shared" si="251"/>
        <v>1.9730795097516304E-4</v>
      </c>
      <c r="O54" s="18">
        <f t="shared" si="251"/>
        <v>-1.8090840053612854E-4</v>
      </c>
      <c r="P54" s="18">
        <f t="shared" si="251"/>
        <v>-3.2980712428322048E-4</v>
      </c>
      <c r="Q54" s="18">
        <f t="shared" si="251"/>
        <v>3.6768972845564784E-4</v>
      </c>
      <c r="R54" s="18">
        <f t="shared" si="251"/>
        <v>3.9368762334009632E-4</v>
      </c>
      <c r="S54" s="18">
        <f t="shared" si="251"/>
        <v>2.2849341655451503E-4</v>
      </c>
      <c r="T54" s="18">
        <f t="shared" si="251"/>
        <v>3.0679300684135873E-4</v>
      </c>
      <c r="U54" s="18">
        <f t="shared" si="251"/>
        <v>1.958443463386937E-4</v>
      </c>
      <c r="V54" s="18">
        <f t="shared" si="251"/>
        <v>-4.2395428335942993E-4</v>
      </c>
      <c r="W54" s="18">
        <f t="shared" si="251"/>
        <v>3.3602733772228257E-4</v>
      </c>
      <c r="X54" s="18">
        <f t="shared" si="251"/>
        <v>-2.6171414678129677E-4</v>
      </c>
      <c r="Y54" s="18">
        <f t="shared" si="251"/>
        <v>1.0594613780675115E-4</v>
      </c>
      <c r="Z54" s="18">
        <f t="shared" si="251"/>
        <v>2.1804639782194792E-4</v>
      </c>
      <c r="AA54" s="18">
        <f t="shared" si="251"/>
        <v>2.4996148564829018E-4</v>
      </c>
      <c r="AB54" s="18">
        <f t="shared" si="251"/>
        <v>-6.4772186319584662E-5</v>
      </c>
      <c r="AC54" s="18">
        <f t="shared" si="251"/>
        <v>3.5540137373630194E-5</v>
      </c>
      <c r="AD54" s="18">
        <f t="shared" si="251"/>
        <v>2.1965576782406759E-4</v>
      </c>
      <c r="AE54" s="18">
        <f t="shared" si="251"/>
        <v>1.0594613780675115E-4</v>
      </c>
      <c r="AF54" s="18">
        <f t="shared" si="251"/>
        <v>-2.1454327458710163E-4</v>
      </c>
      <c r="AG54" s="18">
        <f t="shared" si="251"/>
        <v>1.9063483529177039E-4</v>
      </c>
      <c r="AH54" s="18">
        <f t="shared" si="251"/>
        <v>-2.6961453821159389E-4</v>
      </c>
      <c r="AI54" s="18">
        <f t="shared" si="251"/>
        <v>-3.683863824770212E-4</v>
      </c>
      <c r="AJ54" s="18">
        <f t="shared" si="251"/>
        <v>1.0185493700646944E-4</v>
      </c>
      <c r="AK54" s="18">
        <f t="shared" ref="AK54:BG54" si="252" xml:space="preserve"> 0.00038 * AK22 * SIN( ( AK25 - 2 * AK35 ) *Deg2Rad )</f>
        <v>-3.4188600922134229E-4</v>
      </c>
      <c r="AL54" s="18">
        <f t="shared" si="252"/>
        <v>2.0011262755829961E-4</v>
      </c>
      <c r="AM54" s="18">
        <f t="shared" si="252"/>
        <v>-3.4167381084599643E-4</v>
      </c>
      <c r="AN54" s="18">
        <f t="shared" si="252"/>
        <v>-3.1344806241514057E-4</v>
      </c>
      <c r="AO54" s="18">
        <f t="shared" si="252"/>
        <v>-2.3840286404185363E-5</v>
      </c>
      <c r="AP54" s="18">
        <f t="shared" si="252"/>
        <v>-1.1157889199020336E-4</v>
      </c>
      <c r="AQ54" s="18">
        <f t="shared" si="252"/>
        <v>-1.1157889199020336E-4</v>
      </c>
      <c r="AR54" s="18">
        <f t="shared" si="252"/>
        <v>-2.8801661973706824E-4</v>
      </c>
      <c r="AS54" s="18">
        <f t="shared" si="252"/>
        <v>-2.8801661973706824E-4</v>
      </c>
      <c r="AT54" s="18">
        <f t="shared" si="252"/>
        <v>-2.8801661973706824E-4</v>
      </c>
      <c r="AU54" s="18">
        <f t="shared" si="252"/>
        <v>-1.706214128587482E-4</v>
      </c>
      <c r="AV54" s="18">
        <f t="shared" si="252"/>
        <v>-3.6867889712622324E-4</v>
      </c>
      <c r="AW54" s="18">
        <f t="shared" si="252"/>
        <v>2.3743496989044158E-4</v>
      </c>
      <c r="AX54" s="18">
        <f t="shared" si="252"/>
        <v>2.3652317579985404E-4</v>
      </c>
      <c r="AY54" s="18">
        <f t="shared" si="252"/>
        <v>-3.756648878745264E-4</v>
      </c>
      <c r="AZ54" s="18">
        <f t="shared" si="252"/>
        <v>-3.756648878745264E-4</v>
      </c>
      <c r="BA54" s="18">
        <f t="shared" si="252"/>
        <v>-3.4750416162026535E-4</v>
      </c>
      <c r="BB54" s="18">
        <f t="shared" si="252"/>
        <v>-3.4750416162026535E-4</v>
      </c>
      <c r="BC54" s="18">
        <f t="shared" si="252"/>
        <v>-3.4750416162026535E-4</v>
      </c>
      <c r="BD54" s="18">
        <f t="shared" si="252"/>
        <v>-3.4750416162026535E-4</v>
      </c>
      <c r="BE54" s="18">
        <f t="shared" si="252"/>
        <v>-3.4750416162026535E-4</v>
      </c>
      <c r="BF54" s="18">
        <f t="shared" si="252"/>
        <v>-3.4750416162026535E-4</v>
      </c>
      <c r="BG54" s="18">
        <f t="shared" si="252"/>
        <v>1.0594613780675115E-4</v>
      </c>
    </row>
    <row r="55" spans="3:59" x14ac:dyDescent="0.25">
      <c r="C55" s="99" t="s">
        <v>44</v>
      </c>
      <c r="E55" s="18">
        <f t="shared" ref="E55:AJ55" si="253" xml:space="preserve"> -0.00024 * E22 * SIN( ( 2 * E30 - E25 ) *Deg2Rad )</f>
        <v>-7.9428174760522147E-5</v>
      </c>
      <c r="F55" s="18">
        <f t="shared" si="253"/>
        <v>6.1517071786375027E-6</v>
      </c>
      <c r="G55" s="18">
        <f t="shared" si="253"/>
        <v>-1.5610692289568269E-4</v>
      </c>
      <c r="H55" s="18">
        <f t="shared" si="253"/>
        <v>-1.8322617059145558E-4</v>
      </c>
      <c r="I55" s="18">
        <f t="shared" si="253"/>
        <v>-1.4115958265420979E-4</v>
      </c>
      <c r="J55" s="18">
        <f t="shared" si="253"/>
        <v>-1.248817760655132E-4</v>
      </c>
      <c r="K55" s="18">
        <f t="shared" si="253"/>
        <v>1.9334334465388666E-4</v>
      </c>
      <c r="L55" s="18">
        <f t="shared" si="253"/>
        <v>-2.0577566983137011E-4</v>
      </c>
      <c r="M55" s="18">
        <f t="shared" si="253"/>
        <v>2.2987310342633627E-4</v>
      </c>
      <c r="N55" s="18">
        <f t="shared" si="253"/>
        <v>5.1882652554233382E-5</v>
      </c>
      <c r="O55" s="18">
        <f t="shared" si="253"/>
        <v>-1.9799019806337781E-4</v>
      </c>
      <c r="P55" s="18">
        <f t="shared" si="253"/>
        <v>-2.1559912402005596E-4</v>
      </c>
      <c r="Q55" s="18">
        <f t="shared" si="253"/>
        <v>2.5198604319302912E-4</v>
      </c>
      <c r="R55" s="18">
        <f t="shared" si="253"/>
        <v>2.3133661486050947E-4</v>
      </c>
      <c r="S55" s="18">
        <f t="shared" si="253"/>
        <v>6.1333778518746313E-5</v>
      </c>
      <c r="T55" s="18">
        <f t="shared" si="253"/>
        <v>-2.0686251991353051E-4</v>
      </c>
      <c r="U55" s="18">
        <f t="shared" si="253"/>
        <v>2.0744674492844943E-4</v>
      </c>
      <c r="V55" s="18">
        <f t="shared" si="253"/>
        <v>-2.6657764785439198E-4</v>
      </c>
      <c r="W55" s="18">
        <f t="shared" si="253"/>
        <v>-2.3334622451042357E-4</v>
      </c>
      <c r="X55" s="18">
        <f t="shared" si="253"/>
        <v>-2.0864976093471488E-4</v>
      </c>
      <c r="Y55" s="18">
        <f t="shared" si="253"/>
        <v>-1.3771383489182159E-4</v>
      </c>
      <c r="Z55" s="18">
        <f t="shared" si="253"/>
        <v>-1.9896099582588994E-4</v>
      </c>
      <c r="AA55" s="18">
        <f t="shared" si="253"/>
        <v>-1.5610692289568269E-4</v>
      </c>
      <c r="AB55" s="18">
        <f t="shared" si="253"/>
        <v>1.6378596886204032E-4</v>
      </c>
      <c r="AC55" s="18">
        <f t="shared" si="253"/>
        <v>2.3600336901182859E-4</v>
      </c>
      <c r="AD55" s="18">
        <f t="shared" si="253"/>
        <v>-5.7838418760663465E-5</v>
      </c>
      <c r="AE55" s="18">
        <f t="shared" si="253"/>
        <v>-1.3771383489182159E-4</v>
      </c>
      <c r="AF55" s="18">
        <f t="shared" si="253"/>
        <v>2.0911720546028527E-4</v>
      </c>
      <c r="AG55" s="18">
        <f t="shared" si="253"/>
        <v>6.4300514110414726E-5</v>
      </c>
      <c r="AH55" s="18">
        <f t="shared" si="253"/>
        <v>-2.3190894685088458E-4</v>
      </c>
      <c r="AI55" s="18">
        <f t="shared" si="253"/>
        <v>-1.4725217325349164E-4</v>
      </c>
      <c r="AJ55" s="18">
        <f t="shared" si="253"/>
        <v>2.8267107419587374E-5</v>
      </c>
      <c r="AK55" s="18">
        <f t="shared" ref="AK55:BG55" si="254" xml:space="preserve"> -0.00024 * AK22 * SIN( ( 2 * AK30 - AK25 ) *Deg2Rad )</f>
        <v>-2.4105348146160233E-4</v>
      </c>
      <c r="AL55" s="18">
        <f t="shared" si="254"/>
        <v>1.2076644744721558E-4</v>
      </c>
      <c r="AM55" s="18">
        <f t="shared" si="254"/>
        <v>5.8739190440971391E-5</v>
      </c>
      <c r="AN55" s="18">
        <f t="shared" si="254"/>
        <v>-2.2804320900705354E-4</v>
      </c>
      <c r="AO55" s="18">
        <f t="shared" si="254"/>
        <v>1.1027040955917209E-4</v>
      </c>
      <c r="AP55" s="18">
        <f t="shared" si="254"/>
        <v>2.2691528918011692E-4</v>
      </c>
      <c r="AQ55" s="18">
        <f t="shared" si="254"/>
        <v>2.2691528918011692E-4</v>
      </c>
      <c r="AR55" s="18">
        <f t="shared" si="254"/>
        <v>2.3938438040848093E-4</v>
      </c>
      <c r="AS55" s="18">
        <f t="shared" si="254"/>
        <v>2.3938438040848093E-4</v>
      </c>
      <c r="AT55" s="18">
        <f t="shared" si="254"/>
        <v>2.3938438040848093E-4</v>
      </c>
      <c r="AU55" s="18">
        <f t="shared" si="254"/>
        <v>3.6308899770731668E-5</v>
      </c>
      <c r="AV55" s="18">
        <f t="shared" si="254"/>
        <v>-2.2922040633501628E-4</v>
      </c>
      <c r="AW55" s="18">
        <f t="shared" si="254"/>
        <v>2.2906403904569993E-4</v>
      </c>
      <c r="AX55" s="18">
        <f t="shared" si="254"/>
        <v>-1.0352357250056934E-4</v>
      </c>
      <c r="AY55" s="18">
        <f t="shared" si="254"/>
        <v>2.1531813334620947E-4</v>
      </c>
      <c r="AZ55" s="18">
        <f t="shared" si="254"/>
        <v>2.1531813334620947E-4</v>
      </c>
      <c r="BA55" s="18">
        <f t="shared" si="254"/>
        <v>1.5838973199254648E-4</v>
      </c>
      <c r="BB55" s="18">
        <f t="shared" si="254"/>
        <v>1.5838973199254648E-4</v>
      </c>
      <c r="BC55" s="18">
        <f t="shared" si="254"/>
        <v>1.5838973199254648E-4</v>
      </c>
      <c r="BD55" s="18">
        <f t="shared" si="254"/>
        <v>1.5838973199254648E-4</v>
      </c>
      <c r="BE55" s="18">
        <f t="shared" si="254"/>
        <v>1.5838973199254648E-4</v>
      </c>
      <c r="BF55" s="18">
        <f t="shared" si="254"/>
        <v>1.5838973199254648E-4</v>
      </c>
      <c r="BG55" s="18">
        <f t="shared" si="254"/>
        <v>-1.3771383489182159E-4</v>
      </c>
    </row>
    <row r="56" spans="3:59" x14ac:dyDescent="0.25">
      <c r="C56" s="97" t="s">
        <v>45</v>
      </c>
      <c r="E56" s="18">
        <f t="shared" ref="E56:AJ56" si="255" xml:space="preserve"> -0.00017 * SIN( E39 *Deg2Rad  )</f>
        <v>1.1165434566622591E-4</v>
      </c>
      <c r="F56" s="18">
        <f t="shared" si="255"/>
        <v>1.0057003476984913E-4</v>
      </c>
      <c r="G56" s="18">
        <f t="shared" si="255"/>
        <v>-1.3963836270176899E-4</v>
      </c>
      <c r="H56" s="18">
        <f t="shared" si="255"/>
        <v>-1.0102523114463048E-4</v>
      </c>
      <c r="I56" s="18">
        <f t="shared" si="255"/>
        <v>-4.3929233721018592E-5</v>
      </c>
      <c r="J56" s="18">
        <f t="shared" si="255"/>
        <v>-2.1179459320851829E-5</v>
      </c>
      <c r="K56" s="18">
        <f t="shared" si="255"/>
        <v>1.1235477733776385E-5</v>
      </c>
      <c r="L56" s="18">
        <f t="shared" si="255"/>
        <v>3.4207316161376308E-5</v>
      </c>
      <c r="M56" s="18">
        <f t="shared" si="255"/>
        <v>1.6695688586661916E-4</v>
      </c>
      <c r="N56" s="18">
        <f t="shared" si="255"/>
        <v>1.4616296224966211E-4</v>
      </c>
      <c r="O56" s="18">
        <f t="shared" si="255"/>
        <v>1.6721845521586753E-4</v>
      </c>
      <c r="P56" s="18">
        <f t="shared" si="255"/>
        <v>1.5598999762525713E-4</v>
      </c>
      <c r="Q56" s="18">
        <f t="shared" si="255"/>
        <v>-1.3672993479586201E-4</v>
      </c>
      <c r="R56" s="18">
        <f t="shared" si="255"/>
        <v>-1.3392213862822863E-4</v>
      </c>
      <c r="S56" s="18">
        <f t="shared" si="255"/>
        <v>1.0556756034572373E-6</v>
      </c>
      <c r="T56" s="18">
        <f t="shared" si="255"/>
        <v>1.4956442289536801E-5</v>
      </c>
      <c r="U56" s="18">
        <f t="shared" si="255"/>
        <v>5.1284556656035942E-5</v>
      </c>
      <c r="V56" s="18">
        <f t="shared" si="255"/>
        <v>2.4366656908279075E-5</v>
      </c>
      <c r="W56" s="18">
        <f t="shared" si="255"/>
        <v>-3.0350562141721046E-5</v>
      </c>
      <c r="X56" s="18">
        <f t="shared" si="255"/>
        <v>1.697127167612127E-4</v>
      </c>
      <c r="Y56" s="18">
        <f t="shared" si="255"/>
        <v>7.8016883020272997E-5</v>
      </c>
      <c r="Z56" s="18">
        <f t="shared" si="255"/>
        <v>1.7498928076334815E-5</v>
      </c>
      <c r="AA56" s="18">
        <f t="shared" si="255"/>
        <v>-1.3963836270176899E-4</v>
      </c>
      <c r="AB56" s="18">
        <f t="shared" si="255"/>
        <v>1.6407643895517853E-4</v>
      </c>
      <c r="AC56" s="18">
        <f t="shared" si="255"/>
        <v>-2.0968154276596625E-5</v>
      </c>
      <c r="AD56" s="18">
        <f t="shared" si="255"/>
        <v>2.507116567996737E-5</v>
      </c>
      <c r="AE56" s="18">
        <f t="shared" si="255"/>
        <v>7.8016883020272997E-5</v>
      </c>
      <c r="AF56" s="18">
        <f t="shared" si="255"/>
        <v>1.6782329167282112E-4</v>
      </c>
      <c r="AG56" s="18">
        <f t="shared" si="255"/>
        <v>1.6905280171101392E-4</v>
      </c>
      <c r="AH56" s="18">
        <f t="shared" si="255"/>
        <v>1.5379025710614321E-4</v>
      </c>
      <c r="AI56" s="18">
        <f t="shared" si="255"/>
        <v>1.6937992209665063E-4</v>
      </c>
      <c r="AJ56" s="18">
        <f t="shared" si="255"/>
        <v>1.6257405621222427E-4</v>
      </c>
      <c r="AK56" s="18">
        <f t="shared" ref="AK56:BG56" si="256" xml:space="preserve"> -0.00017 * SIN( AK39 *Deg2Rad  )</f>
        <v>-1.1977922540883429E-4</v>
      </c>
      <c r="AL56" s="18">
        <f t="shared" si="256"/>
        <v>1.3992215611841006E-4</v>
      </c>
      <c r="AM56" s="18">
        <f t="shared" si="256"/>
        <v>-1.3599958115053745E-4</v>
      </c>
      <c r="AN56" s="18">
        <f t="shared" si="256"/>
        <v>-1.4710053690873383E-4</v>
      </c>
      <c r="AO56" s="18">
        <f t="shared" si="256"/>
        <v>1.6988406050390007E-4</v>
      </c>
      <c r="AP56" s="18">
        <f t="shared" si="256"/>
        <v>-1.2095961501924696E-4</v>
      </c>
      <c r="AQ56" s="18">
        <f t="shared" si="256"/>
        <v>-1.2095961501924696E-4</v>
      </c>
      <c r="AR56" s="18">
        <f t="shared" si="256"/>
        <v>-1.1765480805800658E-4</v>
      </c>
      <c r="AS56" s="18">
        <f t="shared" si="256"/>
        <v>-1.1765480805800658E-4</v>
      </c>
      <c r="AT56" s="18">
        <f t="shared" si="256"/>
        <v>-1.1765480805800658E-4</v>
      </c>
      <c r="AU56" s="18">
        <f t="shared" si="256"/>
        <v>1.6778917687433397E-4</v>
      </c>
      <c r="AV56" s="18">
        <f t="shared" si="256"/>
        <v>-2.9159193649494816E-5</v>
      </c>
      <c r="AW56" s="18">
        <f t="shared" si="256"/>
        <v>1.4411280344058981E-4</v>
      </c>
      <c r="AX56" s="18">
        <f t="shared" si="256"/>
        <v>1.3105924434058565E-4</v>
      </c>
      <c r="AY56" s="18">
        <f t="shared" si="256"/>
        <v>-1.142623666366459E-4</v>
      </c>
      <c r="AZ56" s="18">
        <f t="shared" si="256"/>
        <v>-1.142623666366459E-4</v>
      </c>
      <c r="BA56" s="18">
        <f t="shared" si="256"/>
        <v>-1.107848175949021E-4</v>
      </c>
      <c r="BB56" s="18">
        <f t="shared" si="256"/>
        <v>-1.107848175949021E-4</v>
      </c>
      <c r="BC56" s="18">
        <f t="shared" si="256"/>
        <v>-1.107848175949021E-4</v>
      </c>
      <c r="BD56" s="18">
        <f t="shared" si="256"/>
        <v>-1.107848175949021E-4</v>
      </c>
      <c r="BE56" s="18">
        <f t="shared" si="256"/>
        <v>-1.107848175949021E-4</v>
      </c>
      <c r="BF56" s="18">
        <f t="shared" si="256"/>
        <v>-1.107848175949021E-4</v>
      </c>
      <c r="BG56" s="18">
        <f t="shared" si="256"/>
        <v>7.8016883020272997E-5</v>
      </c>
    </row>
    <row r="57" spans="3:59" x14ac:dyDescent="0.25">
      <c r="C57" s="97" t="s">
        <v>46</v>
      </c>
      <c r="E57" s="18">
        <f t="shared" ref="E57:AJ57" si="257" xml:space="preserve"> -0.00007 * SIN( ( E30 + 2 * E25) *Deg2Rad )</f>
        <v>6.9646620705082876E-5</v>
      </c>
      <c r="F57" s="18">
        <f t="shared" si="257"/>
        <v>4.0741919576244031E-5</v>
      </c>
      <c r="G57" s="18">
        <f t="shared" si="257"/>
        <v>3.142078273680834E-5</v>
      </c>
      <c r="H57" s="18">
        <f t="shared" si="257"/>
        <v>6.925985483521006E-5</v>
      </c>
      <c r="I57" s="18">
        <f t="shared" si="257"/>
        <v>-6.9360199414971569E-5</v>
      </c>
      <c r="J57" s="18">
        <f t="shared" si="257"/>
        <v>-4.2723979304194931E-5</v>
      </c>
      <c r="K57" s="18">
        <f t="shared" si="257"/>
        <v>-1.2851674600302614E-5</v>
      </c>
      <c r="L57" s="18">
        <f t="shared" si="257"/>
        <v>-6.6073122964150597E-5</v>
      </c>
      <c r="M57" s="18">
        <f t="shared" si="257"/>
        <v>5.7702373145162892E-5</v>
      </c>
      <c r="N57" s="18">
        <f t="shared" si="257"/>
        <v>4.3034328118658147E-5</v>
      </c>
      <c r="O57" s="18">
        <f t="shared" si="257"/>
        <v>3.022078899823376E-5</v>
      </c>
      <c r="P57" s="18">
        <f t="shared" si="257"/>
        <v>3.8646509703284248E-5</v>
      </c>
      <c r="Q57" s="18">
        <f t="shared" si="257"/>
        <v>6.9807172029062441E-5</v>
      </c>
      <c r="R57" s="18">
        <f t="shared" si="257"/>
        <v>2.0997681737716774E-6</v>
      </c>
      <c r="S57" s="18">
        <f t="shared" si="257"/>
        <v>-6.3831321506494773E-5</v>
      </c>
      <c r="T57" s="18">
        <f t="shared" si="257"/>
        <v>4.6977542573011511E-5</v>
      </c>
      <c r="U57" s="18">
        <f t="shared" si="257"/>
        <v>6.9999955439807503E-5</v>
      </c>
      <c r="V57" s="18">
        <f t="shared" si="257"/>
        <v>6.4416342116102349E-5</v>
      </c>
      <c r="W57" s="18">
        <f t="shared" si="257"/>
        <v>3.0322631503891784E-5</v>
      </c>
      <c r="X57" s="18">
        <f t="shared" si="257"/>
        <v>-4.1100933006494901E-5</v>
      </c>
      <c r="Y57" s="18">
        <f t="shared" si="257"/>
        <v>8.3453973004202974E-6</v>
      </c>
      <c r="Z57" s="18">
        <f t="shared" si="257"/>
        <v>2.1298682139288158E-5</v>
      </c>
      <c r="AA57" s="18">
        <f t="shared" si="257"/>
        <v>3.142078273680834E-5</v>
      </c>
      <c r="AB57" s="18">
        <f t="shared" si="257"/>
        <v>-6.006901039847111E-5</v>
      </c>
      <c r="AC57" s="18">
        <f t="shared" si="257"/>
        <v>5.7657864968434734E-5</v>
      </c>
      <c r="AD57" s="18">
        <f t="shared" si="257"/>
        <v>6.9426726163030161E-5</v>
      </c>
      <c r="AE57" s="18">
        <f t="shared" si="257"/>
        <v>8.3453973004202974E-6</v>
      </c>
      <c r="AF57" s="18">
        <f t="shared" si="257"/>
        <v>-6.9581850462540097E-5</v>
      </c>
      <c r="AG57" s="18">
        <f t="shared" si="257"/>
        <v>6.649406514040772E-5</v>
      </c>
      <c r="AH57" s="18">
        <f t="shared" si="257"/>
        <v>-5.1739198616628394E-5</v>
      </c>
      <c r="AI57" s="18">
        <f t="shared" si="257"/>
        <v>-6.0632094065571411E-5</v>
      </c>
      <c r="AJ57" s="18">
        <f t="shared" si="257"/>
        <v>-2.8020003827558678E-5</v>
      </c>
      <c r="AK57" s="18">
        <f t="shared" ref="AK57:BG57" si="258" xml:space="preserve"> -0.00007 * SIN( ( AK30 + 2 * AK25) *Deg2Rad )</f>
        <v>-6.0906523821306266E-5</v>
      </c>
      <c r="AL57" s="18">
        <f t="shared" si="258"/>
        <v>6.954886667359043E-5</v>
      </c>
      <c r="AM57" s="18">
        <f t="shared" si="258"/>
        <v>1.2603451374649628E-5</v>
      </c>
      <c r="AN57" s="18">
        <f t="shared" si="258"/>
        <v>-6.9184553576658343E-5</v>
      </c>
      <c r="AO57" s="18">
        <f t="shared" si="258"/>
        <v>6.9982631187281839E-5</v>
      </c>
      <c r="AP57" s="18">
        <f t="shared" si="258"/>
        <v>-5.9647075106368112E-5</v>
      </c>
      <c r="AQ57" s="18">
        <f t="shared" si="258"/>
        <v>-5.9647075106368112E-5</v>
      </c>
      <c r="AR57" s="18">
        <f t="shared" si="258"/>
        <v>-4.2643741107793513E-5</v>
      </c>
      <c r="AS57" s="18">
        <f t="shared" si="258"/>
        <v>-4.2643741107793513E-5</v>
      </c>
      <c r="AT57" s="18">
        <f t="shared" si="258"/>
        <v>-4.2643741107793513E-5</v>
      </c>
      <c r="AU57" s="18">
        <f t="shared" si="258"/>
        <v>6.8576293417928601E-5</v>
      </c>
      <c r="AV57" s="18">
        <f t="shared" si="258"/>
        <v>6.5832928511673299E-5</v>
      </c>
      <c r="AW57" s="18">
        <f t="shared" si="258"/>
        <v>3.6631028046795899E-5</v>
      </c>
      <c r="AX57" s="18">
        <f t="shared" si="258"/>
        <v>-6.0576183266083398E-5</v>
      </c>
      <c r="AY57" s="18">
        <f t="shared" si="258"/>
        <v>5.0773043476087541E-5</v>
      </c>
      <c r="AZ57" s="18">
        <f t="shared" si="258"/>
        <v>5.0773043476087541E-5</v>
      </c>
      <c r="BA57" s="18">
        <f t="shared" si="258"/>
        <v>5.3209455586258489E-5</v>
      </c>
      <c r="BB57" s="18">
        <f t="shared" si="258"/>
        <v>5.3209455586258489E-5</v>
      </c>
      <c r="BC57" s="18">
        <f t="shared" si="258"/>
        <v>5.3209455586258489E-5</v>
      </c>
      <c r="BD57" s="18">
        <f t="shared" si="258"/>
        <v>5.3209455586258489E-5</v>
      </c>
      <c r="BE57" s="18">
        <f t="shared" si="258"/>
        <v>5.3209455586258489E-5</v>
      </c>
      <c r="BF57" s="18">
        <f t="shared" si="258"/>
        <v>5.3209455586258489E-5</v>
      </c>
      <c r="BG57" s="18">
        <f t="shared" si="258"/>
        <v>8.3453973004202974E-6</v>
      </c>
    </row>
    <row r="58" spans="3:59" x14ac:dyDescent="0.25">
      <c r="C58" s="97" t="s">
        <v>47</v>
      </c>
      <c r="E58" s="18">
        <f t="shared" ref="E58:AJ58" si="259" xml:space="preserve"> 0.00004 * SIN( ( 2 * E30 - 2 * E35) *Deg2Rad )</f>
        <v>3.7857877696187343E-5</v>
      </c>
      <c r="F58" s="18">
        <f t="shared" si="259"/>
        <v>3.0967639546293877E-5</v>
      </c>
      <c r="G58" s="18">
        <f t="shared" si="259"/>
        <v>3.9581736724839648E-5</v>
      </c>
      <c r="H58" s="18">
        <f t="shared" si="259"/>
        <v>-1.2488504679072392E-5</v>
      </c>
      <c r="I58" s="18">
        <f t="shared" si="259"/>
        <v>-1.0250922474076337E-5</v>
      </c>
      <c r="J58" s="18">
        <f t="shared" si="259"/>
        <v>2.2186033046652987E-5</v>
      </c>
      <c r="K58" s="18">
        <f t="shared" si="259"/>
        <v>3.9177857356039111E-5</v>
      </c>
      <c r="L58" s="18">
        <f t="shared" si="259"/>
        <v>1.9895708604914971E-5</v>
      </c>
      <c r="M58" s="18">
        <f t="shared" si="259"/>
        <v>-1.9671331845426946E-5</v>
      </c>
      <c r="N58" s="18">
        <f t="shared" si="259"/>
        <v>-2.7431872690054541E-5</v>
      </c>
      <c r="O58" s="18">
        <f t="shared" si="259"/>
        <v>3.9692976654241799E-5</v>
      </c>
      <c r="P58" s="18">
        <f t="shared" si="259"/>
        <v>2.311747060038038E-6</v>
      </c>
      <c r="Q58" s="18">
        <f t="shared" si="259"/>
        <v>-1.6078143821425551E-5</v>
      </c>
      <c r="R58" s="18">
        <f t="shared" si="259"/>
        <v>-9.6717386250884412E-6</v>
      </c>
      <c r="S58" s="18">
        <f t="shared" si="259"/>
        <v>-2.9757831870661375E-5</v>
      </c>
      <c r="T58" s="18">
        <f t="shared" si="259"/>
        <v>-3.9004954319618183E-5</v>
      </c>
      <c r="U58" s="18">
        <f t="shared" si="259"/>
        <v>-1.6993588341726376E-5</v>
      </c>
      <c r="V58" s="18">
        <f t="shared" si="259"/>
        <v>-8.810816883189045E-7</v>
      </c>
      <c r="W58" s="18">
        <f t="shared" si="259"/>
        <v>9.8612795534607577E-6</v>
      </c>
      <c r="X58" s="18">
        <f t="shared" si="259"/>
        <v>-3.8831176553337103E-5</v>
      </c>
      <c r="Y58" s="18">
        <f t="shared" si="259"/>
        <v>-3.1161470276811222E-5</v>
      </c>
      <c r="Z58" s="18">
        <f t="shared" si="259"/>
        <v>-1.4354453358860534E-5</v>
      </c>
      <c r="AA58" s="18">
        <f t="shared" si="259"/>
        <v>3.9581736724839648E-5</v>
      </c>
      <c r="AB58" s="18">
        <f t="shared" si="259"/>
        <v>2.1885470716119892E-5</v>
      </c>
      <c r="AC58" s="18">
        <f t="shared" si="259"/>
        <v>3.9830893493761044E-5</v>
      </c>
      <c r="AD58" s="18">
        <f t="shared" si="259"/>
        <v>3.0298922557191638E-5</v>
      </c>
      <c r="AE58" s="18">
        <f t="shared" si="259"/>
        <v>-3.1161470276811222E-5</v>
      </c>
      <c r="AF58" s="18">
        <f t="shared" si="259"/>
        <v>-1.7677694822900818E-5</v>
      </c>
      <c r="AG58" s="18">
        <f t="shared" si="259"/>
        <v>-2.8599489758500819E-5</v>
      </c>
      <c r="AH58" s="18">
        <f t="shared" si="259"/>
        <v>3.4565695244688906E-5</v>
      </c>
      <c r="AI58" s="18">
        <f t="shared" si="259"/>
        <v>-3.6656711113928575E-5</v>
      </c>
      <c r="AJ58" s="18">
        <f t="shared" si="259"/>
        <v>1.5183291783563611E-5</v>
      </c>
      <c r="AK58" s="18">
        <f t="shared" ref="AK58:BG58" si="260" xml:space="preserve"> 0.00004 * SIN( ( 2 * AK30 - 2 * AK35) *Deg2Rad )</f>
        <v>-1.8439023997141101E-5</v>
      </c>
      <c r="AL58" s="18">
        <f t="shared" si="260"/>
        <v>3.5308803557152609E-5</v>
      </c>
      <c r="AM58" s="18">
        <f t="shared" si="260"/>
        <v>-2.9149467237780338E-5</v>
      </c>
      <c r="AN58" s="18">
        <f t="shared" si="260"/>
        <v>3.1770475598164369E-5</v>
      </c>
      <c r="AO58" s="18">
        <f t="shared" si="260"/>
        <v>-1.9669444918176385E-5</v>
      </c>
      <c r="AP58" s="18">
        <f t="shared" si="260"/>
        <v>-3.2362037404349908E-5</v>
      </c>
      <c r="AQ58" s="18">
        <f t="shared" si="260"/>
        <v>-3.2362037404349908E-5</v>
      </c>
      <c r="AR58" s="18">
        <f t="shared" si="260"/>
        <v>-2.7934703987096124E-5</v>
      </c>
      <c r="AS58" s="18">
        <f t="shared" si="260"/>
        <v>-2.7934703987096124E-5</v>
      </c>
      <c r="AT58" s="18">
        <f t="shared" si="260"/>
        <v>-2.7934703987096124E-5</v>
      </c>
      <c r="AU58" s="18">
        <f t="shared" si="260"/>
        <v>2.3146317520857885E-5</v>
      </c>
      <c r="AV58" s="18">
        <f t="shared" si="260"/>
        <v>2.2425713947645376E-6</v>
      </c>
      <c r="AW58" s="18">
        <f t="shared" si="260"/>
        <v>-2.2220439594340584E-5</v>
      </c>
      <c r="AX58" s="18">
        <f t="shared" si="260"/>
        <v>8.9443971325972739E-6</v>
      </c>
      <c r="AY58" s="18">
        <f t="shared" si="260"/>
        <v>-2.270746067741506E-5</v>
      </c>
      <c r="AZ58" s="18">
        <f t="shared" si="260"/>
        <v>-2.270746067741506E-5</v>
      </c>
      <c r="BA58" s="18">
        <f t="shared" si="260"/>
        <v>-1.6829989530473326E-5</v>
      </c>
      <c r="BB58" s="18">
        <f t="shared" si="260"/>
        <v>-1.6829989530473326E-5</v>
      </c>
      <c r="BC58" s="18">
        <f t="shared" si="260"/>
        <v>-1.6829989530473326E-5</v>
      </c>
      <c r="BD58" s="18">
        <f t="shared" si="260"/>
        <v>-1.6829989530473326E-5</v>
      </c>
      <c r="BE58" s="18">
        <f t="shared" si="260"/>
        <v>-1.6829989530473326E-5</v>
      </c>
      <c r="BF58" s="18">
        <f t="shared" si="260"/>
        <v>-1.6829989530473326E-5</v>
      </c>
      <c r="BG58" s="18">
        <f t="shared" si="260"/>
        <v>-3.1161470276811222E-5</v>
      </c>
    </row>
    <row r="59" spans="3:59" x14ac:dyDescent="0.25">
      <c r="C59" s="99" t="s">
        <v>48</v>
      </c>
      <c r="E59" s="18">
        <f t="shared" ref="E59:AJ59" si="261" xml:space="preserve"> 0.00004 * SIN(  3 * E25 *Deg2Rad  )</f>
        <v>2.079769900570642E-5</v>
      </c>
      <c r="F59" s="18">
        <f t="shared" si="261"/>
        <v>-3.9337729727590372E-5</v>
      </c>
      <c r="G59" s="18">
        <f t="shared" si="261"/>
        <v>5.3319110217994778E-6</v>
      </c>
      <c r="H59" s="18">
        <f t="shared" si="261"/>
        <v>2.5640499050429587E-5</v>
      </c>
      <c r="I59" s="18">
        <f t="shared" si="261"/>
        <v>3.8988730104603714E-5</v>
      </c>
      <c r="J59" s="18">
        <f t="shared" si="261"/>
        <v>1.774203761597201E-5</v>
      </c>
      <c r="K59" s="18">
        <f t="shared" si="261"/>
        <v>2.82258736752463E-5</v>
      </c>
      <c r="L59" s="18">
        <f t="shared" si="261"/>
        <v>3.4119396437922064E-5</v>
      </c>
      <c r="M59" s="18">
        <f t="shared" si="261"/>
        <v>-1.6181889058917827E-6</v>
      </c>
      <c r="N59" s="18">
        <f t="shared" si="261"/>
        <v>3.2790637166748619E-5</v>
      </c>
      <c r="O59" s="18">
        <f t="shared" si="261"/>
        <v>3.7546880099086493E-5</v>
      </c>
      <c r="P59" s="18">
        <f t="shared" si="261"/>
        <v>-3.3081240876413127E-6</v>
      </c>
      <c r="Q59" s="18">
        <f t="shared" si="261"/>
        <v>1.5370725415828826E-5</v>
      </c>
      <c r="R59" s="18">
        <f t="shared" si="261"/>
        <v>3.7608106158722556E-5</v>
      </c>
      <c r="S59" s="18">
        <f t="shared" si="261"/>
        <v>-3.1181965448969005E-5</v>
      </c>
      <c r="T59" s="18">
        <f t="shared" si="261"/>
        <v>2.9174261775155838E-5</v>
      </c>
      <c r="U59" s="18">
        <f t="shared" si="261"/>
        <v>3.7166314993604499E-5</v>
      </c>
      <c r="V59" s="18">
        <f t="shared" si="261"/>
        <v>-3.7478993391110964E-5</v>
      </c>
      <c r="W59" s="18">
        <f t="shared" si="261"/>
        <v>-1.431047317203607E-5</v>
      </c>
      <c r="X59" s="18">
        <f t="shared" si="261"/>
        <v>-5.1286023378955593E-6</v>
      </c>
      <c r="Y59" s="18">
        <f t="shared" si="261"/>
        <v>2.7171319490416265E-5</v>
      </c>
      <c r="Z59" s="18">
        <f t="shared" si="261"/>
        <v>-8.5878219516657381E-6</v>
      </c>
      <c r="AA59" s="18">
        <f t="shared" si="261"/>
        <v>5.3319110217994778E-6</v>
      </c>
      <c r="AB59" s="18">
        <f t="shared" si="261"/>
        <v>7.8291286828439546E-6</v>
      </c>
      <c r="AC59" s="18">
        <f t="shared" si="261"/>
        <v>-3.9149820855739122E-5</v>
      </c>
      <c r="AD59" s="18">
        <f t="shared" si="261"/>
        <v>-3.2016689694645328E-5</v>
      </c>
      <c r="AE59" s="18">
        <f t="shared" si="261"/>
        <v>2.7171319490416265E-5</v>
      </c>
      <c r="AF59" s="18">
        <f t="shared" si="261"/>
        <v>-1.9293328330341373E-5</v>
      </c>
      <c r="AG59" s="18">
        <f t="shared" si="261"/>
        <v>1.5930778634624487E-5</v>
      </c>
      <c r="AH59" s="18">
        <f t="shared" si="261"/>
        <v>-2.0125961990678449E-5</v>
      </c>
      <c r="AI59" s="18">
        <f t="shared" si="261"/>
        <v>-3.9866492992547244E-5</v>
      </c>
      <c r="AJ59" s="18">
        <f t="shared" si="261"/>
        <v>2.9605181704441866E-5</v>
      </c>
      <c r="AK59" s="18">
        <f t="shared" ref="AK59:BG59" si="262" xml:space="preserve"> 0.00004 * SIN(  3 * AK25 *Deg2Rad  )</f>
        <v>1.3145694401519499E-5</v>
      </c>
      <c r="AL59" s="18">
        <f t="shared" si="262"/>
        <v>2.8924539895203888E-5</v>
      </c>
      <c r="AM59" s="18">
        <f t="shared" si="262"/>
        <v>-3.884970159435353E-5</v>
      </c>
      <c r="AN59" s="18">
        <f t="shared" si="262"/>
        <v>-3.9999065787744265E-5</v>
      </c>
      <c r="AO59" s="18">
        <f t="shared" si="262"/>
        <v>3.2708314063660535E-5</v>
      </c>
      <c r="AP59" s="18">
        <f t="shared" si="262"/>
        <v>3.5789863369829533E-5</v>
      </c>
      <c r="AQ59" s="18">
        <f t="shared" si="262"/>
        <v>3.5789863369829533E-5</v>
      </c>
      <c r="AR59" s="18">
        <f t="shared" si="262"/>
        <v>1.9519281005200307E-5</v>
      </c>
      <c r="AS59" s="18">
        <f t="shared" si="262"/>
        <v>1.9519281005200307E-5</v>
      </c>
      <c r="AT59" s="18">
        <f t="shared" si="262"/>
        <v>1.9519281005200307E-5</v>
      </c>
      <c r="AU59" s="18">
        <f t="shared" si="262"/>
        <v>3.9471193592379298E-5</v>
      </c>
      <c r="AV59" s="18">
        <f t="shared" si="262"/>
        <v>-3.1424233938206367E-6</v>
      </c>
      <c r="AW59" s="18">
        <f t="shared" si="262"/>
        <v>3.861513242410588E-6</v>
      </c>
      <c r="AX59" s="18">
        <f t="shared" si="262"/>
        <v>-1.0504283256876244E-5</v>
      </c>
      <c r="AY59" s="18">
        <f t="shared" si="262"/>
        <v>-3.3961832574444035E-5</v>
      </c>
      <c r="AZ59" s="18">
        <f t="shared" si="262"/>
        <v>-3.3961832574444035E-5</v>
      </c>
      <c r="BA59" s="18">
        <f t="shared" si="262"/>
        <v>-2.2699893846286677E-5</v>
      </c>
      <c r="BB59" s="18">
        <f t="shared" si="262"/>
        <v>-2.2699893846286677E-5</v>
      </c>
      <c r="BC59" s="18">
        <f t="shared" si="262"/>
        <v>-2.2699893846286677E-5</v>
      </c>
      <c r="BD59" s="18">
        <f t="shared" si="262"/>
        <v>-2.2699893846286677E-5</v>
      </c>
      <c r="BE59" s="18">
        <f t="shared" si="262"/>
        <v>-2.2699893846286677E-5</v>
      </c>
      <c r="BF59" s="18">
        <f t="shared" si="262"/>
        <v>-2.2699893846286677E-5</v>
      </c>
      <c r="BG59" s="18">
        <f t="shared" si="262"/>
        <v>2.7171319490416265E-5</v>
      </c>
    </row>
    <row r="60" spans="3:59" x14ac:dyDescent="0.25">
      <c r="C60" s="97" t="s">
        <v>49</v>
      </c>
      <c r="E60" s="18">
        <f t="shared" ref="E60:AJ60" si="263" xml:space="preserve"> 0.00003 * SIN( ( E30 + E25 - 2 * E35) *Deg2Rad )</f>
        <v>-3.5172093394438864E-6</v>
      </c>
      <c r="F60" s="18">
        <f t="shared" si="263"/>
        <v>2.989921362948239E-5</v>
      </c>
      <c r="G60" s="18">
        <f t="shared" si="263"/>
        <v>-2.6657580339345541E-5</v>
      </c>
      <c r="H60" s="18">
        <f t="shared" si="263"/>
        <v>-1.9395439637450681E-5</v>
      </c>
      <c r="I60" s="18">
        <f t="shared" si="263"/>
        <v>-5.0497916181701242E-6</v>
      </c>
      <c r="J60" s="18">
        <f t="shared" si="263"/>
        <v>1.1433591128978759E-5</v>
      </c>
      <c r="K60" s="18">
        <f t="shared" si="263"/>
        <v>2.768302242699131E-5</v>
      </c>
      <c r="L60" s="18">
        <f t="shared" si="263"/>
        <v>2.9594796502078816E-5</v>
      </c>
      <c r="M60" s="18">
        <f t="shared" si="263"/>
        <v>-2.9754092126093094E-5</v>
      </c>
      <c r="N60" s="18">
        <f t="shared" si="263"/>
        <v>-2.0728240794801787E-5</v>
      </c>
      <c r="O60" s="18">
        <f t="shared" si="263"/>
        <v>-2.3911996566925701E-5</v>
      </c>
      <c r="P60" s="18">
        <f t="shared" si="263"/>
        <v>1.5933059978355912E-5</v>
      </c>
      <c r="Q60" s="18">
        <f t="shared" si="263"/>
        <v>-2.2278602369169826E-5</v>
      </c>
      <c r="R60" s="18">
        <f t="shared" si="263"/>
        <v>-2.43851747083472E-5</v>
      </c>
      <c r="S60" s="18">
        <f t="shared" si="263"/>
        <v>2.6638128579936674E-5</v>
      </c>
      <c r="T60" s="18">
        <f t="shared" si="263"/>
        <v>2.9698734230290922E-5</v>
      </c>
      <c r="U60" s="18">
        <f t="shared" si="263"/>
        <v>2.1859001411714172E-5</v>
      </c>
      <c r="V60" s="18">
        <f t="shared" si="263"/>
        <v>6.9484623263188202E-7</v>
      </c>
      <c r="W60" s="18">
        <f t="shared" si="263"/>
        <v>4.9853142660847383E-6</v>
      </c>
      <c r="X60" s="18">
        <f t="shared" si="263"/>
        <v>2.2127520687857045E-5</v>
      </c>
      <c r="Y60" s="18">
        <f t="shared" si="263"/>
        <v>-2.946791174317841E-5</v>
      </c>
      <c r="Z60" s="18">
        <f t="shared" si="263"/>
        <v>-4.7351496533729988E-6</v>
      </c>
      <c r="AA60" s="18">
        <f t="shared" si="263"/>
        <v>-2.6657580339345541E-5</v>
      </c>
      <c r="AB60" s="18">
        <f t="shared" si="263"/>
        <v>-2.9163110226388135E-5</v>
      </c>
      <c r="AC60" s="18">
        <f t="shared" si="263"/>
        <v>2.6493097280687681E-5</v>
      </c>
      <c r="AD60" s="18">
        <f t="shared" si="263"/>
        <v>2.9946890748744774E-5</v>
      </c>
      <c r="AE60" s="18">
        <f t="shared" si="263"/>
        <v>-2.946791174317841E-5</v>
      </c>
      <c r="AF60" s="18">
        <f t="shared" si="263"/>
        <v>2.9640758611879306E-5</v>
      </c>
      <c r="AG60" s="18">
        <f t="shared" si="263"/>
        <v>2.9928314007017794E-5</v>
      </c>
      <c r="AH60" s="18">
        <f t="shared" si="263"/>
        <v>-2.0204313858745893E-5</v>
      </c>
      <c r="AI60" s="18">
        <f t="shared" si="263"/>
        <v>1.9724137768246982E-5</v>
      </c>
      <c r="AJ60" s="18">
        <f t="shared" si="263"/>
        <v>2.2651824762260671E-5</v>
      </c>
      <c r="AK60" s="18">
        <f t="shared" ref="AK60:BG60" si="264" xml:space="preserve"> 0.00003 * SIN( ( AK30 + AK25 - 2 * AK35) *Deg2Rad )</f>
        <v>-2.7957038650495599E-5</v>
      </c>
      <c r="AL60" s="18">
        <f t="shared" si="264"/>
        <v>-2.9618120491554712E-5</v>
      </c>
      <c r="AM60" s="18">
        <f t="shared" si="264"/>
        <v>9.8030812540248987E-6</v>
      </c>
      <c r="AN60" s="18">
        <f t="shared" si="264"/>
        <v>-2.0627822049818337E-5</v>
      </c>
      <c r="AO60" s="18">
        <f t="shared" si="264"/>
        <v>-2.3082851845603864E-6</v>
      </c>
      <c r="AP60" s="18">
        <f t="shared" si="264"/>
        <v>-2.5725334247021762E-5</v>
      </c>
      <c r="AQ60" s="18">
        <f t="shared" si="264"/>
        <v>-2.5725334247021762E-5</v>
      </c>
      <c r="AR60" s="18">
        <f t="shared" si="264"/>
        <v>-2.3838658850209827E-5</v>
      </c>
      <c r="AS60" s="18">
        <f t="shared" si="264"/>
        <v>-2.3838658850209827E-5</v>
      </c>
      <c r="AT60" s="18">
        <f t="shared" si="264"/>
        <v>-2.3838658850209827E-5</v>
      </c>
      <c r="AU60" s="18">
        <f t="shared" si="264"/>
        <v>-7.4880266953746597E-6</v>
      </c>
      <c r="AV60" s="18">
        <f t="shared" si="264"/>
        <v>2.7977055196876631E-5</v>
      </c>
      <c r="AW60" s="18">
        <f t="shared" si="264"/>
        <v>1.7519159173316697E-6</v>
      </c>
      <c r="AX60" s="18">
        <f t="shared" si="264"/>
        <v>1.5799541402964892E-5</v>
      </c>
      <c r="AY60" s="18">
        <f t="shared" si="264"/>
        <v>-2.1653116701573699E-5</v>
      </c>
      <c r="AZ60" s="18">
        <f t="shared" si="264"/>
        <v>-2.1653116701573699E-5</v>
      </c>
      <c r="BA60" s="18">
        <f t="shared" si="264"/>
        <v>-1.9196108082103445E-5</v>
      </c>
      <c r="BB60" s="18">
        <f t="shared" si="264"/>
        <v>-1.9196108082103445E-5</v>
      </c>
      <c r="BC60" s="18">
        <f t="shared" si="264"/>
        <v>-1.9196108082103445E-5</v>
      </c>
      <c r="BD60" s="18">
        <f t="shared" si="264"/>
        <v>-1.9196108082103445E-5</v>
      </c>
      <c r="BE60" s="18">
        <f t="shared" si="264"/>
        <v>-1.9196108082103445E-5</v>
      </c>
      <c r="BF60" s="18">
        <f t="shared" si="264"/>
        <v>-1.9196108082103445E-5</v>
      </c>
      <c r="BG60" s="18">
        <f t="shared" si="264"/>
        <v>-2.946791174317841E-5</v>
      </c>
    </row>
    <row r="61" spans="3:59" x14ac:dyDescent="0.25">
      <c r="C61" s="97" t="s">
        <v>50</v>
      </c>
      <c r="E61" s="18">
        <f t="shared" ref="E61:AJ61" si="265" xml:space="preserve"> 0.00003 * SIN( ( 2 * E30 + 2 * E35 ) *Deg2Rad )</f>
        <v>2.8477508686443796E-5</v>
      </c>
      <c r="F61" s="18">
        <f t="shared" si="265"/>
        <v>2.6115057620002035E-5</v>
      </c>
      <c r="G61" s="18">
        <f t="shared" si="265"/>
        <v>2.379975596753106E-6</v>
      </c>
      <c r="H61" s="18">
        <f t="shared" si="265"/>
        <v>2.9993975068138901E-5</v>
      </c>
      <c r="I61" s="18">
        <f t="shared" si="265"/>
        <v>-2.8438007299839787E-5</v>
      </c>
      <c r="J61" s="18">
        <f t="shared" si="265"/>
        <v>2.1781163092857386E-5</v>
      </c>
      <c r="K61" s="18">
        <f t="shared" si="265"/>
        <v>-1.2330529661195095E-5</v>
      </c>
      <c r="L61" s="18">
        <f t="shared" si="265"/>
        <v>2.2690387708698501E-5</v>
      </c>
      <c r="M61" s="18">
        <f t="shared" si="265"/>
        <v>-2.726692410242875E-5</v>
      </c>
      <c r="N61" s="18">
        <f t="shared" si="265"/>
        <v>-9.3346054319322498E-6</v>
      </c>
      <c r="O61" s="18">
        <f t="shared" si="265"/>
        <v>-2.1869283168112765E-5</v>
      </c>
      <c r="P61" s="18">
        <f t="shared" si="265"/>
        <v>-2.4610293190329563E-6</v>
      </c>
      <c r="Q61" s="18">
        <f t="shared" si="265"/>
        <v>-2.3975605999075952E-5</v>
      </c>
      <c r="R61" s="18">
        <f t="shared" si="265"/>
        <v>-7.244041770518109E-6</v>
      </c>
      <c r="S61" s="18">
        <f t="shared" si="265"/>
        <v>-2.7288533404777186E-5</v>
      </c>
      <c r="T61" s="18">
        <f t="shared" si="265"/>
        <v>-2.9945013405189656E-5</v>
      </c>
      <c r="U61" s="18">
        <f t="shared" si="265"/>
        <v>2.9759363610182342E-5</v>
      </c>
      <c r="V61" s="18">
        <f t="shared" si="265"/>
        <v>-1.7786726039759803E-5</v>
      </c>
      <c r="W61" s="18">
        <f t="shared" si="265"/>
        <v>-2.9971330622189906E-5</v>
      </c>
      <c r="X61" s="18">
        <f t="shared" si="265"/>
        <v>2.852149535543815E-5</v>
      </c>
      <c r="Y61" s="18">
        <f t="shared" si="265"/>
        <v>2.8636773174771032E-5</v>
      </c>
      <c r="Z61" s="18">
        <f t="shared" si="265"/>
        <v>-2.9769078110004754E-5</v>
      </c>
      <c r="AA61" s="18">
        <f t="shared" si="265"/>
        <v>2.379975596753106E-6</v>
      </c>
      <c r="AB61" s="18">
        <f t="shared" si="265"/>
        <v>2.605929170822944E-5</v>
      </c>
      <c r="AC61" s="18">
        <f t="shared" si="265"/>
        <v>1.8514502460846648E-5</v>
      </c>
      <c r="AD61" s="18">
        <f t="shared" si="265"/>
        <v>-1.6711929856893303E-6</v>
      </c>
      <c r="AE61" s="18">
        <f t="shared" si="265"/>
        <v>2.8636773174771032E-5</v>
      </c>
      <c r="AF61" s="18">
        <f t="shared" si="265"/>
        <v>-2.9075129458903347E-5</v>
      </c>
      <c r="AG61" s="18">
        <f t="shared" si="265"/>
        <v>1.4902997908378242E-5</v>
      </c>
      <c r="AH61" s="18">
        <f t="shared" si="265"/>
        <v>-2.8138696246848828E-5</v>
      </c>
      <c r="AI61" s="18">
        <f t="shared" si="265"/>
        <v>-1.9696707317128725E-5</v>
      </c>
      <c r="AJ61" s="18">
        <f t="shared" si="265"/>
        <v>2.9487055526361609E-5</v>
      </c>
      <c r="AK61" s="18">
        <f t="shared" ref="AK61:BG61" si="266" xml:space="preserve"> 0.00003 * SIN( ( 2 * AK30 + 2 * AK35 ) *Deg2Rad )</f>
        <v>-1.8537538191287196E-5</v>
      </c>
      <c r="AL61" s="18">
        <f t="shared" si="266"/>
        <v>-1.3880507135765452E-5</v>
      </c>
      <c r="AM61" s="18">
        <f t="shared" si="266"/>
        <v>2.6155633776456488E-6</v>
      </c>
      <c r="AN61" s="18">
        <f t="shared" si="266"/>
        <v>-8.5330963742992231E-6</v>
      </c>
      <c r="AO61" s="18">
        <f t="shared" si="266"/>
        <v>2.6198628787484698E-5</v>
      </c>
      <c r="AP61" s="18">
        <f t="shared" si="266"/>
        <v>2.827773567990484E-5</v>
      </c>
      <c r="AQ61" s="18">
        <f t="shared" si="266"/>
        <v>2.827773567990484E-5</v>
      </c>
      <c r="AR61" s="18">
        <f t="shared" si="266"/>
        <v>-1.8138178105524954E-6</v>
      </c>
      <c r="AS61" s="18">
        <f t="shared" si="266"/>
        <v>-1.8138178105524954E-6</v>
      </c>
      <c r="AT61" s="18">
        <f t="shared" si="266"/>
        <v>-1.8138178105524954E-6</v>
      </c>
      <c r="AU61" s="18">
        <f t="shared" si="266"/>
        <v>-2.9845509235168891E-5</v>
      </c>
      <c r="AV61" s="18">
        <f t="shared" si="266"/>
        <v>-1.5773593108895591E-5</v>
      </c>
      <c r="AW61" s="18">
        <f t="shared" si="266"/>
        <v>-2.8651751288526403E-5</v>
      </c>
      <c r="AX61" s="18">
        <f t="shared" si="266"/>
        <v>2.7444799849519235E-5</v>
      </c>
      <c r="AY61" s="18">
        <f t="shared" si="266"/>
        <v>-2.6861769496194898E-5</v>
      </c>
      <c r="AZ61" s="18">
        <f t="shared" si="266"/>
        <v>-2.6861769496194898E-5</v>
      </c>
      <c r="BA61" s="18">
        <f t="shared" si="266"/>
        <v>2.2783595988699875E-5</v>
      </c>
      <c r="BB61" s="18">
        <f t="shared" si="266"/>
        <v>2.2783595988699875E-5</v>
      </c>
      <c r="BC61" s="18">
        <f t="shared" si="266"/>
        <v>2.2783595988699875E-5</v>
      </c>
      <c r="BD61" s="18">
        <f t="shared" si="266"/>
        <v>2.2783595988699875E-5</v>
      </c>
      <c r="BE61" s="18">
        <f t="shared" si="266"/>
        <v>2.2783595988699875E-5</v>
      </c>
      <c r="BF61" s="18">
        <f t="shared" si="266"/>
        <v>2.2783595988699875E-5</v>
      </c>
      <c r="BG61" s="18">
        <f t="shared" si="266"/>
        <v>2.8636773174771032E-5</v>
      </c>
    </row>
    <row r="62" spans="3:59" x14ac:dyDescent="0.25">
      <c r="C62" s="97" t="s">
        <v>51</v>
      </c>
      <c r="E62" s="18">
        <f t="shared" ref="E62:AJ62" si="267" xml:space="preserve"> -0.00003 * SIN( ( E30 + E25 + 2 * E35) *Deg2Rad )</f>
        <v>2.080233301724806E-5</v>
      </c>
      <c r="F62" s="18">
        <f t="shared" si="267"/>
        <v>-8.5460137299781707E-6</v>
      </c>
      <c r="G62" s="18">
        <f t="shared" si="267"/>
        <v>-7.4914763640984384E-6</v>
      </c>
      <c r="H62" s="18">
        <f t="shared" si="267"/>
        <v>1.5171857269812759E-5</v>
      </c>
      <c r="I62" s="18">
        <f t="shared" si="267"/>
        <v>2.9181843826832387E-5</v>
      </c>
      <c r="J62" s="18">
        <f t="shared" si="267"/>
        <v>-1.7323641342526026E-5</v>
      </c>
      <c r="K62" s="18">
        <f t="shared" si="267"/>
        <v>2.559870613534282E-5</v>
      </c>
      <c r="L62" s="18">
        <f t="shared" si="267"/>
        <v>-2.9554374207068383E-5</v>
      </c>
      <c r="M62" s="18">
        <f t="shared" si="267"/>
        <v>6.3153700989780303E-6</v>
      </c>
      <c r="N62" s="18">
        <f t="shared" si="267"/>
        <v>2.7983743107336261E-5</v>
      </c>
      <c r="O62" s="18">
        <f t="shared" si="267"/>
        <v>-1.3337030040943412E-6</v>
      </c>
      <c r="P62" s="18">
        <f t="shared" si="267"/>
        <v>-1.2231392626933678E-5</v>
      </c>
      <c r="Q62" s="18">
        <f t="shared" si="267"/>
        <v>9.570231906759358E-6</v>
      </c>
      <c r="R62" s="18">
        <f t="shared" si="267"/>
        <v>-2.9732286466415543E-5</v>
      </c>
      <c r="S62" s="18">
        <f t="shared" si="267"/>
        <v>-2.9544157723447865E-5</v>
      </c>
      <c r="T62" s="18">
        <f t="shared" si="267"/>
        <v>-2.9993306857104683E-5</v>
      </c>
      <c r="U62" s="18">
        <f t="shared" si="267"/>
        <v>2.6265631515408242E-5</v>
      </c>
      <c r="V62" s="18">
        <f t="shared" si="267"/>
        <v>1.6677156538451601E-5</v>
      </c>
      <c r="W62" s="18">
        <f t="shared" si="267"/>
        <v>2.9977853535873921E-5</v>
      </c>
      <c r="X62" s="18">
        <f t="shared" si="267"/>
        <v>2.9495156930482174E-5</v>
      </c>
      <c r="Y62" s="18">
        <f t="shared" si="267"/>
        <v>-1.1734683986861336E-5</v>
      </c>
      <c r="Z62" s="18">
        <f t="shared" si="267"/>
        <v>-2.3887881298687958E-5</v>
      </c>
      <c r="AA62" s="18">
        <f t="shared" si="267"/>
        <v>-7.4914763640984384E-6</v>
      </c>
      <c r="AB62" s="18">
        <f t="shared" si="267"/>
        <v>2.2745490538023138E-5</v>
      </c>
      <c r="AC62" s="18">
        <f t="shared" si="267"/>
        <v>-2.6192500533746072E-5</v>
      </c>
      <c r="AD62" s="18">
        <f t="shared" si="267"/>
        <v>2.2069171575259888E-5</v>
      </c>
      <c r="AE62" s="18">
        <f t="shared" si="267"/>
        <v>-1.1734683986861336E-5</v>
      </c>
      <c r="AF62" s="18">
        <f t="shared" si="267"/>
        <v>-2.2767081525784723E-5</v>
      </c>
      <c r="AG62" s="18">
        <f t="shared" si="267"/>
        <v>2.935590071894468E-5</v>
      </c>
      <c r="AH62" s="18">
        <f t="shared" si="267"/>
        <v>-2.9963155953498343E-5</v>
      </c>
      <c r="AI62" s="18">
        <f t="shared" si="267"/>
        <v>-8.1367779655633381E-6</v>
      </c>
      <c r="AJ62" s="18">
        <f t="shared" si="267"/>
        <v>4.2016739205041635E-6</v>
      </c>
      <c r="AK62" s="18">
        <f t="shared" ref="AK62:BG62" si="268" xml:space="preserve"> -0.00003 * SIN( ( AK30 + AK25 + 2 * AK35) *Deg2Rad )</f>
        <v>-1.6322082800312612E-6</v>
      </c>
      <c r="AL62" s="18">
        <f t="shared" si="268"/>
        <v>-2.7131390452843629E-5</v>
      </c>
      <c r="AM62" s="18">
        <f t="shared" si="268"/>
        <v>-2.8340766725334382E-5</v>
      </c>
      <c r="AN62" s="18">
        <f t="shared" si="268"/>
        <v>-1.2995997498175263E-5</v>
      </c>
      <c r="AO62" s="18">
        <f t="shared" si="268"/>
        <v>2.9898667293398886E-5</v>
      </c>
      <c r="AP62" s="18">
        <f t="shared" si="268"/>
        <v>-2.9047878152672925E-5</v>
      </c>
      <c r="AQ62" s="18">
        <f t="shared" si="268"/>
        <v>-2.9047878152672925E-5</v>
      </c>
      <c r="AR62" s="18">
        <f t="shared" si="268"/>
        <v>6.1295674085789073E-6</v>
      </c>
      <c r="AS62" s="18">
        <f t="shared" si="268"/>
        <v>6.1295674085789073E-6</v>
      </c>
      <c r="AT62" s="18">
        <f t="shared" si="268"/>
        <v>6.1295674085789073E-6</v>
      </c>
      <c r="AU62" s="18">
        <f t="shared" si="268"/>
        <v>-2.8966210676154687E-5</v>
      </c>
      <c r="AV62" s="18">
        <f t="shared" si="268"/>
        <v>-1.6733949062592794E-5</v>
      </c>
      <c r="AW62" s="18">
        <f t="shared" si="268"/>
        <v>2.8217337514882912E-5</v>
      </c>
      <c r="AX62" s="18">
        <f t="shared" si="268"/>
        <v>1.0985532668473827E-5</v>
      </c>
      <c r="AY62" s="18">
        <f t="shared" si="268"/>
        <v>2.3623249301861196E-5</v>
      </c>
      <c r="AZ62" s="18">
        <f t="shared" si="268"/>
        <v>2.3623249301861196E-5</v>
      </c>
      <c r="BA62" s="18">
        <f t="shared" si="268"/>
        <v>-2.7035995408173884E-5</v>
      </c>
      <c r="BB62" s="18">
        <f t="shared" si="268"/>
        <v>-2.7035995408173884E-5</v>
      </c>
      <c r="BC62" s="18">
        <f t="shared" si="268"/>
        <v>-2.7035995408173884E-5</v>
      </c>
      <c r="BD62" s="18">
        <f t="shared" si="268"/>
        <v>-2.7035995408173884E-5</v>
      </c>
      <c r="BE62" s="18">
        <f t="shared" si="268"/>
        <v>-2.7035995408173884E-5</v>
      </c>
      <c r="BF62" s="18">
        <f t="shared" si="268"/>
        <v>-2.7035995408173884E-5</v>
      </c>
      <c r="BG62" s="18">
        <f t="shared" si="268"/>
        <v>-1.1734683986861336E-5</v>
      </c>
    </row>
    <row r="63" spans="3:59" x14ac:dyDescent="0.25">
      <c r="C63" s="97" t="s">
        <v>52</v>
      </c>
      <c r="E63" s="18">
        <f t="shared" ref="E63:AJ63" si="269" xml:space="preserve"> 0.00003 * SIN( ( E30 - E25 + 2 * E35) *Deg2Rad )</f>
        <v>2.9777349731638499E-5</v>
      </c>
      <c r="F63" s="18">
        <f t="shared" si="269"/>
        <v>-4.9981539869874223E-6</v>
      </c>
      <c r="G63" s="18">
        <f t="shared" si="269"/>
        <v>1.0047514520196648E-5</v>
      </c>
      <c r="H63" s="18">
        <f t="shared" si="269"/>
        <v>-1.9889952437532716E-6</v>
      </c>
      <c r="I63" s="18">
        <f t="shared" si="269"/>
        <v>-2.3646492699090582E-5</v>
      </c>
      <c r="J63" s="18">
        <f t="shared" si="269"/>
        <v>9.1299410548271087E-6</v>
      </c>
      <c r="K63" s="18">
        <f t="shared" si="269"/>
        <v>-1.438379894576981E-5</v>
      </c>
      <c r="L63" s="18">
        <f t="shared" si="269"/>
        <v>1.9716107182094284E-5</v>
      </c>
      <c r="M63" s="18">
        <f t="shared" si="269"/>
        <v>-5.5219886149448841E-6</v>
      </c>
      <c r="N63" s="18">
        <f t="shared" si="269"/>
        <v>-2.889743883509892E-5</v>
      </c>
      <c r="O63" s="18">
        <f t="shared" si="269"/>
        <v>-2.8348266714550934E-5</v>
      </c>
      <c r="P63" s="18">
        <f t="shared" si="269"/>
        <v>1.6240728944136674E-5</v>
      </c>
      <c r="Q63" s="18">
        <f t="shared" si="269"/>
        <v>2.9938529415208768E-5</v>
      </c>
      <c r="R63" s="18">
        <f t="shared" si="269"/>
        <v>1.7470557096025483E-5</v>
      </c>
      <c r="S63" s="18">
        <f t="shared" si="269"/>
        <v>-3.0601372512298346E-6</v>
      </c>
      <c r="T63" s="18">
        <f t="shared" si="269"/>
        <v>5.933541552147388E-9</v>
      </c>
      <c r="U63" s="18">
        <f t="shared" si="269"/>
        <v>2.9053682861813333E-5</v>
      </c>
      <c r="V63" s="18">
        <f t="shared" si="269"/>
        <v>1.0329195035325882E-5</v>
      </c>
      <c r="W63" s="18">
        <f t="shared" si="269"/>
        <v>2.164443083331506E-5</v>
      </c>
      <c r="X63" s="18">
        <f t="shared" si="269"/>
        <v>2.1374394450692387E-5</v>
      </c>
      <c r="Y63" s="18">
        <f t="shared" si="269"/>
        <v>-2.7902623539629674E-5</v>
      </c>
      <c r="Z63" s="18">
        <f t="shared" si="269"/>
        <v>2.6248686912791144E-5</v>
      </c>
      <c r="AA63" s="18">
        <f t="shared" si="269"/>
        <v>1.0047514520196648E-5</v>
      </c>
      <c r="AB63" s="18">
        <f t="shared" si="269"/>
        <v>-2.511127562489753E-5</v>
      </c>
      <c r="AC63" s="18">
        <f t="shared" si="269"/>
        <v>2.3410180462381666E-5</v>
      </c>
      <c r="AD63" s="18">
        <f t="shared" si="269"/>
        <v>1.162927388061241E-5</v>
      </c>
      <c r="AE63" s="18">
        <f t="shared" si="269"/>
        <v>-2.7902623539629674E-5</v>
      </c>
      <c r="AF63" s="18">
        <f t="shared" si="269"/>
        <v>1.5064476566838672E-5</v>
      </c>
      <c r="AG63" s="18">
        <f t="shared" si="269"/>
        <v>1.6668212726095996E-5</v>
      </c>
      <c r="AH63" s="18">
        <f t="shared" si="269"/>
        <v>-2.2047127444248433E-5</v>
      </c>
      <c r="AI63" s="18">
        <f t="shared" si="269"/>
        <v>-6.5522395886411791E-6</v>
      </c>
      <c r="AJ63" s="18">
        <f t="shared" si="269"/>
        <v>2.9555134463110945E-5</v>
      </c>
      <c r="AK63" s="18">
        <f t="shared" ref="AK63:BG63" si="270" xml:space="preserve"> 0.00003 * SIN( ( AK30 - AK25 + 2 * AK35) *Deg2Rad )</f>
        <v>8.2236896487527839E-6</v>
      </c>
      <c r="AL63" s="18">
        <f t="shared" si="270"/>
        <v>-1.7469914859282126E-5</v>
      </c>
      <c r="AM63" s="18">
        <f t="shared" si="270"/>
        <v>1.9268481500281923E-5</v>
      </c>
      <c r="AN63" s="18">
        <f t="shared" si="270"/>
        <v>-1.2872664086215817E-5</v>
      </c>
      <c r="AO63" s="18">
        <f t="shared" si="270"/>
        <v>-5.8687520273352601E-6</v>
      </c>
      <c r="AP63" s="18">
        <f t="shared" si="270"/>
        <v>-2.9952957565093089E-5</v>
      </c>
      <c r="AQ63" s="18">
        <f t="shared" si="270"/>
        <v>-2.9952957565093089E-5</v>
      </c>
      <c r="AR63" s="18">
        <f t="shared" si="270"/>
        <v>-1.4424313350219695E-5</v>
      </c>
      <c r="AS63" s="18">
        <f t="shared" si="270"/>
        <v>-1.4424313350219695E-5</v>
      </c>
      <c r="AT63" s="18">
        <f t="shared" si="270"/>
        <v>-1.4424313350219695E-5</v>
      </c>
      <c r="AU63" s="18">
        <f t="shared" si="270"/>
        <v>1.882551836776502E-5</v>
      </c>
      <c r="AV63" s="18">
        <f t="shared" si="270"/>
        <v>-2.9782244410194927E-5</v>
      </c>
      <c r="AW63" s="18">
        <f t="shared" si="270"/>
        <v>-2.8814947328736424E-5</v>
      </c>
      <c r="AX63" s="18">
        <f t="shared" si="270"/>
        <v>2.842144395744753E-5</v>
      </c>
      <c r="AY63" s="18">
        <f t="shared" si="270"/>
        <v>1.4687975381582284E-5</v>
      </c>
      <c r="AZ63" s="18">
        <f t="shared" si="270"/>
        <v>1.4687975381582284E-5</v>
      </c>
      <c r="BA63" s="18">
        <f t="shared" si="270"/>
        <v>2.9968324151672899E-5</v>
      </c>
      <c r="BB63" s="18">
        <f t="shared" si="270"/>
        <v>2.9968324151672899E-5</v>
      </c>
      <c r="BC63" s="18">
        <f t="shared" si="270"/>
        <v>2.9968324151672899E-5</v>
      </c>
      <c r="BD63" s="18">
        <f t="shared" si="270"/>
        <v>2.9968324151672899E-5</v>
      </c>
      <c r="BE63" s="18">
        <f t="shared" si="270"/>
        <v>2.9968324151672899E-5</v>
      </c>
      <c r="BF63" s="18">
        <f t="shared" si="270"/>
        <v>2.9968324151672899E-5</v>
      </c>
      <c r="BG63" s="18">
        <f t="shared" si="270"/>
        <v>-2.7902623539629674E-5</v>
      </c>
    </row>
    <row r="64" spans="3:59" x14ac:dyDescent="0.25">
      <c r="C64" s="97" t="s">
        <v>53</v>
      </c>
      <c r="E64" s="18">
        <f t="shared" ref="E64:AJ64" si="271" xml:space="preserve"> -0.00002 * SIN( ( E30 - E25 - 2 * E35 ) *Deg2Rad )</f>
        <v>-1.4349709380374221E-5</v>
      </c>
      <c r="F64" s="18">
        <f t="shared" si="271"/>
        <v>1.9587405058074515E-5</v>
      </c>
      <c r="G64" s="18">
        <f t="shared" si="271"/>
        <v>1.6884556900043438E-5</v>
      </c>
      <c r="H64" s="18">
        <f t="shared" si="271"/>
        <v>1.8390614528873276E-5</v>
      </c>
      <c r="I64" s="18">
        <f t="shared" si="271"/>
        <v>-1.3305162227128709E-5</v>
      </c>
      <c r="J64" s="18">
        <f t="shared" si="271"/>
        <v>-1.6906978571676784E-6</v>
      </c>
      <c r="K64" s="18">
        <f t="shared" si="271"/>
        <v>-1.9839865918715001E-5</v>
      </c>
      <c r="L64" s="18">
        <f t="shared" si="271"/>
        <v>-1.7390318897467367E-5</v>
      </c>
      <c r="M64" s="18">
        <f t="shared" si="271"/>
        <v>1.9897776103053757E-5</v>
      </c>
      <c r="N64" s="18">
        <f t="shared" si="271"/>
        <v>1.9720633485032318E-5</v>
      </c>
      <c r="O64" s="18">
        <f t="shared" si="271"/>
        <v>-7.0355158535504762E-6</v>
      </c>
      <c r="P64" s="18">
        <f t="shared" si="271"/>
        <v>-8.3755465558787045E-6</v>
      </c>
      <c r="Q64" s="18">
        <f t="shared" si="271"/>
        <v>-1.6769488431420744E-5</v>
      </c>
      <c r="R64" s="18">
        <f t="shared" si="271"/>
        <v>2.6626048074642773E-6</v>
      </c>
      <c r="S64" s="18">
        <f t="shared" si="271"/>
        <v>7.8912107916262951E-6</v>
      </c>
      <c r="T64" s="18">
        <f t="shared" si="271"/>
        <v>-3.2487429191154483E-6</v>
      </c>
      <c r="U64" s="18">
        <f t="shared" si="271"/>
        <v>1.068937634677366E-5</v>
      </c>
      <c r="V64" s="18">
        <f t="shared" si="271"/>
        <v>5.1631612278123936E-6</v>
      </c>
      <c r="W64" s="18">
        <f t="shared" si="271"/>
        <v>1.6500380462306348E-5</v>
      </c>
      <c r="X64" s="18">
        <f t="shared" si="271"/>
        <v>1.9517189095345813E-5</v>
      </c>
      <c r="Y64" s="18">
        <f t="shared" si="271"/>
        <v>-4.2545022711451509E-6</v>
      </c>
      <c r="Z64" s="18">
        <f t="shared" si="271"/>
        <v>2.849453566261292E-7</v>
      </c>
      <c r="AA64" s="18">
        <f t="shared" si="271"/>
        <v>1.6884556900043438E-5</v>
      </c>
      <c r="AB64" s="18">
        <f t="shared" si="271"/>
        <v>1.9888960820692407E-5</v>
      </c>
      <c r="AC64" s="18">
        <f t="shared" si="271"/>
        <v>2.0455713183956227E-6</v>
      </c>
      <c r="AD64" s="18">
        <f t="shared" si="271"/>
        <v>1.8653589131911365E-5</v>
      </c>
      <c r="AE64" s="18">
        <f t="shared" si="271"/>
        <v>-4.2545022711451509E-6</v>
      </c>
      <c r="AF64" s="18">
        <f t="shared" si="271"/>
        <v>-1.9674602249367037E-5</v>
      </c>
      <c r="AG64" s="18">
        <f t="shared" si="271"/>
        <v>1.5232662821639174E-5</v>
      </c>
      <c r="AH64" s="18">
        <f t="shared" si="271"/>
        <v>-1.9814812883452184E-5</v>
      </c>
      <c r="AI64" s="18">
        <f t="shared" si="271"/>
        <v>1.2309272041694818E-5</v>
      </c>
      <c r="AJ64" s="18">
        <f t="shared" si="271"/>
        <v>-1.3588215571372125E-5</v>
      </c>
      <c r="AK64" s="18">
        <f t="shared" ref="AK64:BG64" si="272" xml:space="preserve"> -0.00002 * SIN( ( AK30 - AK25 - 2 * AK35 ) *Deg2Rad )</f>
        <v>1.9781558254217273E-5</v>
      </c>
      <c r="AL64" s="18">
        <f t="shared" si="272"/>
        <v>-1.8797009719710317E-5</v>
      </c>
      <c r="AM64" s="18">
        <f t="shared" si="272"/>
        <v>-1.9990729870565441E-5</v>
      </c>
      <c r="AN64" s="18">
        <f t="shared" si="272"/>
        <v>-1.3817905322445806E-5</v>
      </c>
      <c r="AO64" s="18">
        <f t="shared" si="272"/>
        <v>-1.9633640195851836E-5</v>
      </c>
      <c r="AP64" s="18">
        <f t="shared" si="272"/>
        <v>-1.9465263049777796E-5</v>
      </c>
      <c r="AQ64" s="18">
        <f t="shared" si="272"/>
        <v>-1.9465263049777796E-5</v>
      </c>
      <c r="AR64" s="18">
        <f t="shared" si="272"/>
        <v>-4.1894990471822865E-6</v>
      </c>
      <c r="AS64" s="18">
        <f t="shared" si="272"/>
        <v>-4.1894990471822865E-6</v>
      </c>
      <c r="AT64" s="18">
        <f t="shared" si="272"/>
        <v>-4.1894990471822865E-6</v>
      </c>
      <c r="AU64" s="18">
        <f t="shared" si="272"/>
        <v>1.973552144575314E-5</v>
      </c>
      <c r="AV64" s="18">
        <f t="shared" si="272"/>
        <v>1.4899582606483203E-5</v>
      </c>
      <c r="AW64" s="18">
        <f t="shared" si="272"/>
        <v>1.2056929938564108E-7</v>
      </c>
      <c r="AX64" s="18">
        <f t="shared" si="272"/>
        <v>-6.2037877698258256E-6</v>
      </c>
      <c r="AY64" s="18">
        <f t="shared" si="272"/>
        <v>1.5875103633799221E-5</v>
      </c>
      <c r="AZ64" s="18">
        <f t="shared" si="272"/>
        <v>1.5875103633799221E-5</v>
      </c>
      <c r="BA64" s="18">
        <f t="shared" si="272"/>
        <v>1.7793548633420768E-5</v>
      </c>
      <c r="BB64" s="18">
        <f t="shared" si="272"/>
        <v>1.7793548633420768E-5</v>
      </c>
      <c r="BC64" s="18">
        <f t="shared" si="272"/>
        <v>1.7793548633420768E-5</v>
      </c>
      <c r="BD64" s="18">
        <f t="shared" si="272"/>
        <v>1.7793548633420768E-5</v>
      </c>
      <c r="BE64" s="18">
        <f t="shared" si="272"/>
        <v>1.7793548633420768E-5</v>
      </c>
      <c r="BF64" s="18">
        <f t="shared" si="272"/>
        <v>1.7793548633420768E-5</v>
      </c>
      <c r="BG64" s="18">
        <f t="shared" si="272"/>
        <v>-4.2545022711451509E-6</v>
      </c>
    </row>
    <row r="65" spans="2:59" x14ac:dyDescent="0.25">
      <c r="C65" s="97" t="s">
        <v>54</v>
      </c>
      <c r="E65" s="18">
        <f t="shared" ref="E65:AJ65" si="273" xml:space="preserve"> -0.00002 * SIN( ( 3 * E30 + E25 ) *Deg2Rad )</f>
        <v>-1.8116584714401789E-5</v>
      </c>
      <c r="F65" s="18">
        <f t="shared" si="273"/>
        <v>1.1236134218615884E-5</v>
      </c>
      <c r="G65" s="18">
        <f t="shared" si="273"/>
        <v>1.8443519940866125E-5</v>
      </c>
      <c r="H65" s="18">
        <f t="shared" si="273"/>
        <v>-1.4995837472331205E-5</v>
      </c>
      <c r="I65" s="18">
        <f t="shared" si="273"/>
        <v>-1.7616024526817411E-5</v>
      </c>
      <c r="J65" s="18">
        <f t="shared" si="273"/>
        <v>1.8666398060232126E-5</v>
      </c>
      <c r="K65" s="18">
        <f t="shared" si="273"/>
        <v>1.3656627256767377E-5</v>
      </c>
      <c r="L65" s="18">
        <f t="shared" si="273"/>
        <v>-1.5384537120589732E-5</v>
      </c>
      <c r="M65" s="18">
        <f t="shared" si="273"/>
        <v>5.9493244082823783E-6</v>
      </c>
      <c r="N65" s="18">
        <f t="shared" si="273"/>
        <v>-8.634131193784422E-6</v>
      </c>
      <c r="O65" s="18">
        <f t="shared" si="273"/>
        <v>-1.971691416744337E-5</v>
      </c>
      <c r="P65" s="18">
        <f t="shared" si="273"/>
        <v>-9.1960720829171936E-6</v>
      </c>
      <c r="Q65" s="18">
        <f t="shared" si="273"/>
        <v>-1.7769947778621685E-6</v>
      </c>
      <c r="R65" s="18">
        <f t="shared" si="273"/>
        <v>-1.858877080064766E-5</v>
      </c>
      <c r="S65" s="18">
        <f t="shared" si="273"/>
        <v>1.5745631834351734E-5</v>
      </c>
      <c r="T65" s="18">
        <f t="shared" si="273"/>
        <v>4.0202837756561121E-6</v>
      </c>
      <c r="U65" s="18">
        <f t="shared" si="273"/>
        <v>1.1746153344174031E-5</v>
      </c>
      <c r="V65" s="18">
        <f t="shared" si="273"/>
        <v>1.1481604510483963E-5</v>
      </c>
      <c r="W65" s="18">
        <f t="shared" si="273"/>
        <v>-1.9557806162916112E-5</v>
      </c>
      <c r="X65" s="18">
        <f t="shared" si="273"/>
        <v>8.2656008184251389E-6</v>
      </c>
      <c r="Y65" s="18">
        <f t="shared" si="273"/>
        <v>9.4344019017875626E-6</v>
      </c>
      <c r="Z65" s="18">
        <f t="shared" si="273"/>
        <v>1.9206357464352195E-5</v>
      </c>
      <c r="AA65" s="18">
        <f t="shared" si="273"/>
        <v>1.8443519940866125E-5</v>
      </c>
      <c r="AB65" s="18">
        <f t="shared" si="273"/>
        <v>-5.5575182597938613E-6</v>
      </c>
      <c r="AC65" s="18">
        <f t="shared" si="273"/>
        <v>-8.1062419274882304E-6</v>
      </c>
      <c r="AD65" s="18">
        <f t="shared" si="273"/>
        <v>1.9867327890796083E-5</v>
      </c>
      <c r="AE65" s="18">
        <f t="shared" si="273"/>
        <v>9.4344019017875626E-6</v>
      </c>
      <c r="AF65" s="18">
        <f t="shared" si="273"/>
        <v>7.8594812570985565E-6</v>
      </c>
      <c r="AG65" s="18">
        <f t="shared" si="273"/>
        <v>-1.6629779897248097E-5</v>
      </c>
      <c r="AH65" s="18">
        <f t="shared" si="273"/>
        <v>-9.1962986991080399E-6</v>
      </c>
      <c r="AI65" s="18">
        <f t="shared" si="273"/>
        <v>-1.9812347349002686E-5</v>
      </c>
      <c r="AJ65" s="18">
        <f t="shared" si="273"/>
        <v>-1.010829445078646E-5</v>
      </c>
      <c r="AK65" s="18">
        <f t="shared" ref="AK65:BG65" si="274" xml:space="preserve"> -0.00002 * SIN( ( 3 * AK30 + AK25 ) *Deg2Rad )</f>
        <v>-1.0171484833913761E-5</v>
      </c>
      <c r="AL65" s="18">
        <f t="shared" si="274"/>
        <v>1.6032985600031817E-5</v>
      </c>
      <c r="AM65" s="18">
        <f t="shared" si="274"/>
        <v>8.1584878564858817E-6</v>
      </c>
      <c r="AN65" s="18">
        <f t="shared" si="274"/>
        <v>9.053297271794938E-6</v>
      </c>
      <c r="AO65" s="18">
        <f t="shared" si="274"/>
        <v>1.816371413641005E-5</v>
      </c>
      <c r="AP65" s="18">
        <f t="shared" si="274"/>
        <v>1.5425908547215738E-5</v>
      </c>
      <c r="AQ65" s="18">
        <f t="shared" si="274"/>
        <v>1.5425908547215738E-5</v>
      </c>
      <c r="AR65" s="18">
        <f t="shared" si="274"/>
        <v>-1.6597483399399367E-5</v>
      </c>
      <c r="AS65" s="18">
        <f t="shared" si="274"/>
        <v>-1.6597483399399367E-5</v>
      </c>
      <c r="AT65" s="18">
        <f t="shared" si="274"/>
        <v>-1.6597483399399367E-5</v>
      </c>
      <c r="AU65" s="18">
        <f t="shared" si="274"/>
        <v>-1.8761275330875163E-5</v>
      </c>
      <c r="AV65" s="18">
        <f t="shared" si="274"/>
        <v>-1.2069060325635581E-5</v>
      </c>
      <c r="AW65" s="18">
        <f t="shared" si="274"/>
        <v>1.9414769344692893E-5</v>
      </c>
      <c r="AX65" s="18">
        <f t="shared" si="274"/>
        <v>-1.1299813184814405E-5</v>
      </c>
      <c r="AY65" s="18">
        <f t="shared" si="274"/>
        <v>-5.9668280600361674E-6</v>
      </c>
      <c r="AZ65" s="18">
        <f t="shared" si="274"/>
        <v>-5.9668280600361674E-6</v>
      </c>
      <c r="BA65" s="18">
        <f t="shared" si="274"/>
        <v>1.9998041518629555E-5</v>
      </c>
      <c r="BB65" s="18">
        <f t="shared" si="274"/>
        <v>1.9998041518629555E-5</v>
      </c>
      <c r="BC65" s="18">
        <f t="shared" si="274"/>
        <v>1.9998041518629555E-5</v>
      </c>
      <c r="BD65" s="18">
        <f t="shared" si="274"/>
        <v>1.9998041518629555E-5</v>
      </c>
      <c r="BE65" s="18">
        <f t="shared" si="274"/>
        <v>1.9998041518629555E-5</v>
      </c>
      <c r="BF65" s="18">
        <f t="shared" si="274"/>
        <v>1.9998041518629555E-5</v>
      </c>
      <c r="BG65" s="18">
        <f t="shared" si="274"/>
        <v>9.4344019017875626E-6</v>
      </c>
    </row>
    <row r="66" spans="2:59" x14ac:dyDescent="0.25">
      <c r="B66" s="35"/>
      <c r="C66" s="98" t="s">
        <v>55</v>
      </c>
      <c r="D66" s="86"/>
      <c r="E66" s="87">
        <f t="shared" ref="E66:AJ66" si="275" xml:space="preserve"> 0.00002 * SIN( 4*E30 *Deg2Rad  )</f>
        <v>-1.7592570891861328E-7</v>
      </c>
      <c r="F66" s="87">
        <f t="shared" si="275"/>
        <v>3.3991252622600333E-6</v>
      </c>
      <c r="G66" s="87">
        <f t="shared" si="275"/>
        <v>1.9957342683188323E-5</v>
      </c>
      <c r="H66" s="87">
        <f t="shared" si="275"/>
        <v>-1.9121567193096505E-5</v>
      </c>
      <c r="I66" s="87">
        <f t="shared" si="275"/>
        <v>1.6693239898783521E-5</v>
      </c>
      <c r="J66" s="87">
        <f t="shared" si="275"/>
        <v>-1.9710647950617446E-5</v>
      </c>
      <c r="K66" s="87">
        <f t="shared" si="275"/>
        <v>-1.9515885563976118E-5</v>
      </c>
      <c r="L66" s="87">
        <f t="shared" si="275"/>
        <v>1.9630595921581717E-5</v>
      </c>
      <c r="M66" s="87">
        <f t="shared" si="275"/>
        <v>1.1726195039772597E-5</v>
      </c>
      <c r="N66" s="87">
        <f t="shared" si="275"/>
        <v>1.756417996581399E-5</v>
      </c>
      <c r="O66" s="87">
        <f t="shared" si="275"/>
        <v>-1.1782767448379493E-5</v>
      </c>
      <c r="P66" s="87">
        <f t="shared" si="275"/>
        <v>-4.8596621960913384E-7</v>
      </c>
      <c r="Q66" s="87">
        <f t="shared" si="275"/>
        <v>-1.946781619773951E-5</v>
      </c>
      <c r="R66" s="87">
        <f t="shared" si="275"/>
        <v>6.7068694386348799E-9</v>
      </c>
      <c r="S66" s="87">
        <f t="shared" si="275"/>
        <v>1.8338247251118223E-5</v>
      </c>
      <c r="T66" s="87">
        <f t="shared" si="275"/>
        <v>5.6053367536245404E-6</v>
      </c>
      <c r="U66" s="87">
        <f t="shared" si="275"/>
        <v>1.6886112145746835E-5</v>
      </c>
      <c r="V66" s="87">
        <f t="shared" si="275"/>
        <v>-1.2209700332072119E-5</v>
      </c>
      <c r="W66" s="87">
        <f t="shared" si="275"/>
        <v>1.9148662295973222E-5</v>
      </c>
      <c r="X66" s="87">
        <f t="shared" si="275"/>
        <v>-1.4570884908089156E-6</v>
      </c>
      <c r="Y66" s="87">
        <f t="shared" si="275"/>
        <v>7.326359390422003E-6</v>
      </c>
      <c r="Z66" s="87">
        <f t="shared" si="275"/>
        <v>1.9412928582514751E-5</v>
      </c>
      <c r="AA66" s="87">
        <f t="shared" si="275"/>
        <v>1.9957342683188323E-5</v>
      </c>
      <c r="AB66" s="87">
        <f t="shared" si="275"/>
        <v>-1.996328732532422E-5</v>
      </c>
      <c r="AC66" s="87">
        <f t="shared" si="275"/>
        <v>1.453660495161185E-5</v>
      </c>
      <c r="AD66" s="87">
        <f t="shared" si="275"/>
        <v>-1.5853314243290232E-5</v>
      </c>
      <c r="AE66" s="87">
        <f t="shared" si="275"/>
        <v>7.326359390422003E-6</v>
      </c>
      <c r="AF66" s="87">
        <f t="shared" si="275"/>
        <v>1.9565565518657476E-5</v>
      </c>
      <c r="AG66" s="87">
        <f t="shared" si="275"/>
        <v>-1.9356685457031819E-5</v>
      </c>
      <c r="AH66" s="87">
        <f t="shared" si="275"/>
        <v>-3.4476074595600229E-6</v>
      </c>
      <c r="AI66" s="87">
        <f t="shared" si="275"/>
        <v>-1.9080031333270238E-5</v>
      </c>
      <c r="AJ66" s="87">
        <f t="shared" si="275"/>
        <v>-1.9584641459795221E-5</v>
      </c>
      <c r="AK66" s="87">
        <f t="shared" ref="AK66:BG66" si="276" xml:space="preserve"> 0.00002 * SIN( 4*AK30 *Deg2Rad  )</f>
        <v>-3.718192863212199E-6</v>
      </c>
      <c r="AL66" s="87">
        <f t="shared" si="276"/>
        <v>1.9999334689866624E-5</v>
      </c>
      <c r="AM66" s="87">
        <f t="shared" si="276"/>
        <v>1.3325153035866465E-5</v>
      </c>
      <c r="AN66" s="87">
        <f t="shared" si="276"/>
        <v>1.1772762146315353E-5</v>
      </c>
      <c r="AO66" s="87">
        <f t="shared" si="276"/>
        <v>1.0416677893019618E-5</v>
      </c>
      <c r="AP66" s="87">
        <f t="shared" si="276"/>
        <v>-1.648357623643846E-5</v>
      </c>
      <c r="AQ66" s="87">
        <f t="shared" si="276"/>
        <v>-1.648357623643846E-5</v>
      </c>
      <c r="AR66" s="87">
        <f t="shared" si="276"/>
        <v>1.4807280327204067E-5</v>
      </c>
      <c r="AS66" s="87">
        <f t="shared" si="276"/>
        <v>1.4807280327204067E-5</v>
      </c>
      <c r="AT66" s="87">
        <f t="shared" si="276"/>
        <v>1.4807280327204067E-5</v>
      </c>
      <c r="AU66" s="87">
        <f t="shared" si="276"/>
        <v>-1.5054409053833424E-5</v>
      </c>
      <c r="AV66" s="87">
        <f t="shared" si="276"/>
        <v>-9.5454049493515722E-6</v>
      </c>
      <c r="AW66" s="87">
        <f t="shared" si="276"/>
        <v>-1.2589529776389335E-5</v>
      </c>
      <c r="AX66" s="87">
        <f t="shared" si="276"/>
        <v>-1.9639324278565974E-5</v>
      </c>
      <c r="AY66" s="87">
        <f t="shared" si="276"/>
        <v>9.6869739235567481E-6</v>
      </c>
      <c r="AZ66" s="87">
        <f t="shared" si="276"/>
        <v>9.6869739235567481E-6</v>
      </c>
      <c r="BA66" s="87">
        <f t="shared" si="276"/>
        <v>-1.9253641043378916E-5</v>
      </c>
      <c r="BB66" s="87">
        <f t="shared" si="276"/>
        <v>-1.9253641043378916E-5</v>
      </c>
      <c r="BC66" s="87">
        <f t="shared" si="276"/>
        <v>-1.9253641043378916E-5</v>
      </c>
      <c r="BD66" s="87">
        <f t="shared" si="276"/>
        <v>-1.9253641043378916E-5</v>
      </c>
      <c r="BE66" s="87">
        <f t="shared" si="276"/>
        <v>-1.9253641043378916E-5</v>
      </c>
      <c r="BF66" s="87">
        <f t="shared" si="276"/>
        <v>-1.9253641043378916E-5</v>
      </c>
      <c r="BG66" s="87">
        <f t="shared" si="276"/>
        <v>7.326359390422003E-6</v>
      </c>
    </row>
    <row r="67" spans="2:59" x14ac:dyDescent="0.25">
      <c r="B67">
        <v>351</v>
      </c>
      <c r="C67" s="8" t="s">
        <v>10</v>
      </c>
    </row>
    <row r="68" spans="2:59" x14ac:dyDescent="0.25">
      <c r="C68" s="97" t="s">
        <v>11</v>
      </c>
      <c r="D68" s="7" t="s">
        <v>411</v>
      </c>
      <c r="E68" s="18">
        <f xml:space="preserve"> 299.77 + 0.107408 * E15 - 0.009173 * E17^2</f>
        <v>243.70139012686207</v>
      </c>
      <c r="F68" s="18">
        <f t="shared" ref="F68:X68" si="277" xml:space="preserve"> 299.77 + 0.107408 * F15 - 0.009173 * F17^2</f>
        <v>-1917.1018368014218</v>
      </c>
      <c r="G68" s="18">
        <f t="shared" si="277"/>
        <v>299.77</v>
      </c>
      <c r="H68" s="18">
        <f t="shared" si="277"/>
        <v>298.48110313654473</v>
      </c>
      <c r="I68" s="18">
        <f t="shared" si="277"/>
        <v>282.58456649684996</v>
      </c>
      <c r="J68" s="18">
        <f t="shared" si="277"/>
        <v>283.12161594089145</v>
      </c>
      <c r="K68" s="18">
        <f t="shared" si="277"/>
        <v>283.87348465886726</v>
      </c>
      <c r="L68" s="18">
        <f t="shared" si="277"/>
        <v>284.41053338336269</v>
      </c>
      <c r="M68" s="18">
        <f t="shared" si="277"/>
        <v>166.89712877493884</v>
      </c>
      <c r="N68" s="18">
        <f t="shared" si="277"/>
        <v>-231.72412026841309</v>
      </c>
      <c r="O68" s="18">
        <f t="shared" si="277"/>
        <v>-230.32704603637677</v>
      </c>
      <c r="P68" s="18">
        <f t="shared" si="277"/>
        <v>-1246.1045445499763</v>
      </c>
      <c r="Q68" s="18">
        <f t="shared" si="277"/>
        <v>-2523.2831542801696</v>
      </c>
      <c r="R68" s="18">
        <f t="shared" si="277"/>
        <v>-2523.3908770275857</v>
      </c>
      <c r="S68" s="18">
        <f t="shared" si="277"/>
        <v>-3693.2121998492494</v>
      </c>
      <c r="T68" s="18">
        <f t="shared" si="277"/>
        <v>-3693.5357586250971</v>
      </c>
      <c r="U68" s="18">
        <f t="shared" si="277"/>
        <v>-3694.3985825550249</v>
      </c>
      <c r="V68" s="18">
        <f t="shared" si="277"/>
        <v>-8658.2447965761512</v>
      </c>
      <c r="W68" s="18">
        <f t="shared" si="277"/>
        <v>282.90679619925208</v>
      </c>
      <c r="X68" s="18">
        <f t="shared" si="277"/>
        <v>289.56618588414341</v>
      </c>
      <c r="Y68" s="18">
        <f xml:space="preserve"> 299.77 + 0.107408 * Y15 - 0.009173 * Y17^2</f>
        <v>269.37305576899291</v>
      </c>
      <c r="Z68" s="18">
        <f t="shared" ref="Z68:AE68" si="278" xml:space="preserve"> 299.77 + 0.107408 * Z15 - 0.009173 * Z17^2</f>
        <v>358.19817750358573</v>
      </c>
      <c r="AA68" s="18">
        <f t="shared" si="278"/>
        <v>299.77</v>
      </c>
      <c r="AB68" s="18">
        <f t="shared" si="278"/>
        <v>239.29739538515781</v>
      </c>
      <c r="AC68" s="18">
        <f t="shared" si="278"/>
        <v>271.73610353171551</v>
      </c>
      <c r="AD68" s="18">
        <f t="shared" si="278"/>
        <v>284.1957139295418</v>
      </c>
      <c r="AE68" s="18">
        <f t="shared" si="278"/>
        <v>269.37305576899291</v>
      </c>
      <c r="AF68" s="18">
        <f t="shared" ref="AF68:BG68" si="279" xml:space="preserve"> 299.77 + 0.107408 * AF15 - 0.009173 * AF17^2</f>
        <v>290.42545861463503</v>
      </c>
      <c r="AG68" s="18">
        <f t="shared" si="279"/>
        <v>290.21064050396677</v>
      </c>
      <c r="AH68" s="18">
        <f t="shared" si="279"/>
        <v>288.0624567589482</v>
      </c>
      <c r="AI68" s="18">
        <f t="shared" si="279"/>
        <v>289.45877673886599</v>
      </c>
      <c r="AJ68" s="18">
        <f t="shared" si="279"/>
        <v>290.96250368143825</v>
      </c>
      <c r="AK68" s="18">
        <f t="shared" si="279"/>
        <v>57.964209163489755</v>
      </c>
      <c r="AL68" s="18">
        <f t="shared" si="279"/>
        <v>287.41800070003285</v>
      </c>
      <c r="AM68" s="18">
        <f t="shared" si="279"/>
        <v>-1531.8805541040913</v>
      </c>
      <c r="AN68" s="18">
        <f t="shared" si="279"/>
        <v>300.09222394603404</v>
      </c>
      <c r="AO68" s="18">
        <f t="shared" si="279"/>
        <v>-2359.4507364745728</v>
      </c>
      <c r="AP68" s="18">
        <f t="shared" si="279"/>
        <v>329.95117453272542</v>
      </c>
      <c r="AQ68" s="18">
        <f t="shared" si="279"/>
        <v>329.95117453272542</v>
      </c>
      <c r="AR68" s="18">
        <f t="shared" si="279"/>
        <v>330.05857915685539</v>
      </c>
      <c r="AS68" s="18">
        <f t="shared" si="279"/>
        <v>330.05857915685539</v>
      </c>
      <c r="AT68" s="18">
        <f t="shared" si="279"/>
        <v>330.05857915685539</v>
      </c>
      <c r="AU68" s="18">
        <f t="shared" si="279"/>
        <v>264.4321189634976</v>
      </c>
      <c r="AV68" s="18">
        <f t="shared" si="279"/>
        <v>296.65516295718169</v>
      </c>
      <c r="AW68" s="18">
        <f t="shared" si="279"/>
        <v>213.41009194952247</v>
      </c>
      <c r="AX68" s="18">
        <f t="shared" si="279"/>
        <v>243.05690435069624</v>
      </c>
      <c r="AY68" s="18">
        <f t="shared" si="279"/>
        <v>330.16598376899287</v>
      </c>
      <c r="AZ68" s="18">
        <f t="shared" si="279"/>
        <v>330.16598376899287</v>
      </c>
      <c r="BA68" s="18">
        <f t="shared" si="279"/>
        <v>330.27338836913793</v>
      </c>
      <c r="BB68" s="18">
        <f t="shared" si="279"/>
        <v>330.27338836913793</v>
      </c>
      <c r="BC68" s="18">
        <f t="shared" si="279"/>
        <v>330.27338836913793</v>
      </c>
      <c r="BD68" s="18">
        <f t="shared" si="279"/>
        <v>330.27338836913793</v>
      </c>
      <c r="BE68" s="18">
        <f t="shared" si="279"/>
        <v>330.27338836913793</v>
      </c>
      <c r="BF68" s="18">
        <f t="shared" si="279"/>
        <v>330.27338836913793</v>
      </c>
      <c r="BG68" s="18">
        <f t="shared" si="279"/>
        <v>269.37305576899291</v>
      </c>
    </row>
    <row r="69" spans="2:59" x14ac:dyDescent="0.25">
      <c r="C69" s="97" t="s">
        <v>12</v>
      </c>
      <c r="D69" s="7" t="s">
        <v>412</v>
      </c>
      <c r="E69" s="18">
        <f xml:space="preserve"> 251.88 + 0.016321 * E15</f>
        <v>243.36043799999999</v>
      </c>
      <c r="F69" s="18">
        <f t="shared" ref="F69:X69" si="280" xml:space="preserve"> 251.88 + 0.016321 * F15</f>
        <v>-84.593735999999979</v>
      </c>
      <c r="G69" s="18">
        <f t="shared" si="280"/>
        <v>251.88</v>
      </c>
      <c r="H69" s="18">
        <f t="shared" si="280"/>
        <v>251.68414799999999</v>
      </c>
      <c r="I69" s="18">
        <f t="shared" si="280"/>
        <v>249.26864</v>
      </c>
      <c r="J69" s="18">
        <f t="shared" si="280"/>
        <v>249.350245</v>
      </c>
      <c r="K69" s="18">
        <f t="shared" si="280"/>
        <v>249.46449200000001</v>
      </c>
      <c r="L69" s="18">
        <f t="shared" si="280"/>
        <v>249.546097</v>
      </c>
      <c r="M69" s="18">
        <f t="shared" si="280"/>
        <v>231.690923</v>
      </c>
      <c r="N69" s="18">
        <f t="shared" si="280"/>
        <v>171.14001300000001</v>
      </c>
      <c r="O69" s="18">
        <f t="shared" si="280"/>
        <v>171.35218600000002</v>
      </c>
      <c r="P69" s="18">
        <f t="shared" si="280"/>
        <v>17.167699000000027</v>
      </c>
      <c r="Q69" s="18">
        <f t="shared" si="280"/>
        <v>-176.46464499999996</v>
      </c>
      <c r="R69" s="18">
        <f t="shared" si="280"/>
        <v>-176.48096599999997</v>
      </c>
      <c r="S69" s="18">
        <f t="shared" si="280"/>
        <v>-353.61277899999993</v>
      </c>
      <c r="T69" s="18">
        <f t="shared" si="280"/>
        <v>-353.661742</v>
      </c>
      <c r="U69" s="18">
        <f t="shared" si="280"/>
        <v>-353.79230999999993</v>
      </c>
      <c r="V69" s="18">
        <f t="shared" si="280"/>
        <v>-1103.0404570000001</v>
      </c>
      <c r="W69" s="18">
        <f t="shared" si="280"/>
        <v>249.31760299999999</v>
      </c>
      <c r="X69" s="18">
        <f t="shared" si="280"/>
        <v>250.32950499999998</v>
      </c>
      <c r="Y69" s="18">
        <f xml:space="preserve"> 251.88 + 0.016321 * Y15</f>
        <v>247.261157</v>
      </c>
      <c r="Z69" s="18">
        <f t="shared" ref="Z69:AE69" si="281" xml:space="preserve"> 251.88 + 0.016321 * Z15</f>
        <v>260.758624</v>
      </c>
      <c r="AA69" s="18">
        <f t="shared" si="281"/>
        <v>251.88</v>
      </c>
      <c r="AB69" s="18">
        <f t="shared" si="281"/>
        <v>242.69127699999999</v>
      </c>
      <c r="AC69" s="18">
        <f t="shared" si="281"/>
        <v>247.62021899999999</v>
      </c>
      <c r="AD69" s="18">
        <f t="shared" si="281"/>
        <v>249.51345499999999</v>
      </c>
      <c r="AE69" s="18">
        <f t="shared" si="281"/>
        <v>247.261157</v>
      </c>
      <c r="AF69" s="18">
        <f t="shared" ref="AF69:BG69" si="282" xml:space="preserve"> 251.88 + 0.016321 * AF15</f>
        <v>250.46007299999999</v>
      </c>
      <c r="AG69" s="18">
        <f t="shared" si="282"/>
        <v>250.42743099999998</v>
      </c>
      <c r="AH69" s="18">
        <f t="shared" si="282"/>
        <v>250.101011</v>
      </c>
      <c r="AI69" s="18">
        <f t="shared" si="282"/>
        <v>250.31318400000001</v>
      </c>
      <c r="AJ69" s="18">
        <f t="shared" si="282"/>
        <v>250.54167799999999</v>
      </c>
      <c r="AK69" s="18">
        <f t="shared" si="282"/>
        <v>215.14142899999999</v>
      </c>
      <c r="AL69" s="18">
        <f t="shared" si="282"/>
        <v>250.003085</v>
      </c>
      <c r="AM69" s="18">
        <f t="shared" si="282"/>
        <v>-26.18087700000001</v>
      </c>
      <c r="AN69" s="18">
        <f t="shared" si="282"/>
        <v>251.92896299999998</v>
      </c>
      <c r="AO69" s="18">
        <f t="shared" si="282"/>
        <v>-151.64040399999999</v>
      </c>
      <c r="AP69" s="18">
        <f t="shared" si="282"/>
        <v>256.46620100000001</v>
      </c>
      <c r="AQ69" s="18">
        <f t="shared" si="282"/>
        <v>256.46620100000001</v>
      </c>
      <c r="AR69" s="18">
        <f t="shared" si="282"/>
        <v>256.48252200000002</v>
      </c>
      <c r="AS69" s="18">
        <f t="shared" si="282"/>
        <v>256.48252200000002</v>
      </c>
      <c r="AT69" s="18">
        <f t="shared" si="282"/>
        <v>256.48252200000002</v>
      </c>
      <c r="AU69" s="18">
        <f t="shared" si="282"/>
        <v>246.510391</v>
      </c>
      <c r="AV69" s="18">
        <f t="shared" si="282"/>
        <v>251.406691</v>
      </c>
      <c r="AW69" s="18">
        <f t="shared" si="282"/>
        <v>238.75791599999999</v>
      </c>
      <c r="AX69" s="18">
        <f t="shared" si="282"/>
        <v>243.26251199999999</v>
      </c>
      <c r="AY69" s="18">
        <f t="shared" si="282"/>
        <v>256.49884300000002</v>
      </c>
      <c r="AZ69" s="18">
        <f t="shared" si="282"/>
        <v>256.49884300000002</v>
      </c>
      <c r="BA69" s="18">
        <f t="shared" si="282"/>
        <v>256.51516399999997</v>
      </c>
      <c r="BB69" s="18">
        <f t="shared" si="282"/>
        <v>256.51516399999997</v>
      </c>
      <c r="BC69" s="18">
        <f t="shared" si="282"/>
        <v>256.51516399999997</v>
      </c>
      <c r="BD69" s="18">
        <f t="shared" si="282"/>
        <v>256.51516399999997</v>
      </c>
      <c r="BE69" s="18">
        <f t="shared" si="282"/>
        <v>256.51516399999997</v>
      </c>
      <c r="BF69" s="18">
        <f t="shared" si="282"/>
        <v>256.51516399999997</v>
      </c>
      <c r="BG69" s="18">
        <f t="shared" si="282"/>
        <v>247.261157</v>
      </c>
    </row>
    <row r="70" spans="2:59" x14ac:dyDescent="0.25">
      <c r="C70" s="97" t="s">
        <v>13</v>
      </c>
      <c r="D70" s="7" t="s">
        <v>413</v>
      </c>
      <c r="E70" s="18">
        <f xml:space="preserve"> 251.83 + 26.651886 * E15</f>
        <v>-13660.454492000001</v>
      </c>
      <c r="F70" s="18">
        <f t="shared" ref="F70:X70" si="283" xml:space="preserve"> 251.83 + 26.651886 * F15</f>
        <v>-549203.45177600009</v>
      </c>
      <c r="G70" s="18">
        <f t="shared" si="283"/>
        <v>251.83</v>
      </c>
      <c r="H70" s="18">
        <f t="shared" si="283"/>
        <v>-67.992631999999986</v>
      </c>
      <c r="I70" s="18">
        <f t="shared" si="283"/>
        <v>-4012.4717600000004</v>
      </c>
      <c r="J70" s="18">
        <f t="shared" si="283"/>
        <v>-3879.2123300000003</v>
      </c>
      <c r="K70" s="18">
        <f t="shared" si="283"/>
        <v>-3692.649128</v>
      </c>
      <c r="L70" s="18">
        <f t="shared" si="283"/>
        <v>-3559.3896980000004</v>
      </c>
      <c r="M70" s="18">
        <f t="shared" si="283"/>
        <v>-32716.552982000001</v>
      </c>
      <c r="N70" s="18">
        <f t="shared" si="283"/>
        <v>-131595.05004200002</v>
      </c>
      <c r="O70" s="18">
        <f t="shared" si="283"/>
        <v>-131248.57552400001</v>
      </c>
      <c r="P70" s="18">
        <f t="shared" si="283"/>
        <v>-383028.94256599998</v>
      </c>
      <c r="Q70" s="18">
        <f t="shared" si="283"/>
        <v>-699226.91807000001</v>
      </c>
      <c r="R70" s="18">
        <f t="shared" si="283"/>
        <v>-699253.56995600008</v>
      </c>
      <c r="S70" s="18">
        <f t="shared" si="283"/>
        <v>-988506.48871400009</v>
      </c>
      <c r="T70" s="18">
        <f t="shared" si="283"/>
        <v>-988586.44437200006</v>
      </c>
      <c r="U70" s="18">
        <f t="shared" si="283"/>
        <v>-988799.65946000011</v>
      </c>
      <c r="V70" s="18">
        <f t="shared" si="283"/>
        <v>-2212307.790062</v>
      </c>
      <c r="W70" s="18">
        <f t="shared" si="283"/>
        <v>-3932.5161020000005</v>
      </c>
      <c r="X70" s="18">
        <f t="shared" si="283"/>
        <v>-2280.09917</v>
      </c>
      <c r="Y70" s="18">
        <f xml:space="preserve"> 251.83 + 26.651886 * Y15</f>
        <v>-7290.653738</v>
      </c>
      <c r="Z70" s="18">
        <f t="shared" ref="Z70:AE70" si="284" xml:space="preserve"> 251.83 + 26.651886 * Z15</f>
        <v>14750.455984</v>
      </c>
      <c r="AA70" s="18">
        <f t="shared" si="284"/>
        <v>251.83</v>
      </c>
      <c r="AB70" s="18">
        <f t="shared" si="284"/>
        <v>-14753.181818000001</v>
      </c>
      <c r="AC70" s="18">
        <f t="shared" si="284"/>
        <v>-6704.3122460000004</v>
      </c>
      <c r="AD70" s="18">
        <f t="shared" si="284"/>
        <v>-3612.6934700000002</v>
      </c>
      <c r="AE70" s="18">
        <f t="shared" si="284"/>
        <v>-7290.653738</v>
      </c>
      <c r="AF70" s="18">
        <f t="shared" ref="AF70:BG70" si="285" xml:space="preserve"> 251.83 + 26.651886 * AF15</f>
        <v>-2066.884082</v>
      </c>
      <c r="AG70" s="18">
        <f t="shared" si="285"/>
        <v>-2120.1878540000002</v>
      </c>
      <c r="AH70" s="18">
        <f t="shared" si="285"/>
        <v>-2653.2255740000001</v>
      </c>
      <c r="AI70" s="18">
        <f t="shared" si="285"/>
        <v>-2306.7510560000001</v>
      </c>
      <c r="AJ70" s="18">
        <f t="shared" si="285"/>
        <v>-1933.624652</v>
      </c>
      <c r="AK70" s="18">
        <f t="shared" si="285"/>
        <v>-59741.565386000002</v>
      </c>
      <c r="AL70" s="18">
        <f t="shared" si="285"/>
        <v>-2813.1368900000002</v>
      </c>
      <c r="AM70" s="18">
        <f t="shared" si="285"/>
        <v>-453816.35178199998</v>
      </c>
      <c r="AN70" s="18">
        <f t="shared" si="285"/>
        <v>331.78565800000001</v>
      </c>
      <c r="AO70" s="18">
        <f t="shared" si="285"/>
        <v>-658689.39946400002</v>
      </c>
      <c r="AP70" s="18">
        <f t="shared" si="285"/>
        <v>7741.0099660000005</v>
      </c>
      <c r="AQ70" s="18">
        <f t="shared" si="285"/>
        <v>7741.0099660000005</v>
      </c>
      <c r="AR70" s="18">
        <f t="shared" si="285"/>
        <v>7767.6618520000002</v>
      </c>
      <c r="AS70" s="18">
        <f t="shared" si="285"/>
        <v>7767.6618520000002</v>
      </c>
      <c r="AT70" s="18">
        <f t="shared" si="285"/>
        <v>7767.6618520000002</v>
      </c>
      <c r="AU70" s="18">
        <f t="shared" si="285"/>
        <v>-8516.6404940000011</v>
      </c>
      <c r="AV70" s="18">
        <f t="shared" si="285"/>
        <v>-521.07469400000002</v>
      </c>
      <c r="AW70" s="18">
        <f t="shared" si="285"/>
        <v>-21176.286344</v>
      </c>
      <c r="AX70" s="18">
        <f t="shared" si="285"/>
        <v>-13820.365808</v>
      </c>
      <c r="AY70" s="18">
        <f t="shared" si="285"/>
        <v>7794.3137379999998</v>
      </c>
      <c r="AZ70" s="18">
        <f t="shared" si="285"/>
        <v>7794.3137379999998</v>
      </c>
      <c r="BA70" s="18">
        <f t="shared" si="285"/>
        <v>7820.9656240000004</v>
      </c>
      <c r="BB70" s="18">
        <f t="shared" si="285"/>
        <v>7820.9656240000004</v>
      </c>
      <c r="BC70" s="18">
        <f t="shared" si="285"/>
        <v>7820.9656240000004</v>
      </c>
      <c r="BD70" s="18">
        <f t="shared" si="285"/>
        <v>7820.9656240000004</v>
      </c>
      <c r="BE70" s="18">
        <f t="shared" si="285"/>
        <v>7820.9656240000004</v>
      </c>
      <c r="BF70" s="18">
        <f t="shared" si="285"/>
        <v>7820.9656240000004</v>
      </c>
      <c r="BG70" s="18">
        <f t="shared" si="285"/>
        <v>-7290.653738</v>
      </c>
    </row>
    <row r="71" spans="2:59" x14ac:dyDescent="0.25">
      <c r="C71" s="97" t="s">
        <v>14</v>
      </c>
      <c r="D71" s="7" t="s">
        <v>414</v>
      </c>
      <c r="E71" s="18">
        <f xml:space="preserve"> 349.42 + 36.412478 * E15</f>
        <v>-18657.893516</v>
      </c>
      <c r="F71" s="18">
        <f t="shared" ref="F71:X71" si="286" xml:space="preserve"> 349.42 + 36.412478 * F15</f>
        <v>-750330.22644799994</v>
      </c>
      <c r="G71" s="18">
        <f t="shared" si="286"/>
        <v>349.42</v>
      </c>
      <c r="H71" s="18">
        <f t="shared" si="286"/>
        <v>-87.529736000000014</v>
      </c>
      <c r="I71" s="18">
        <f t="shared" si="286"/>
        <v>-5476.5764799999997</v>
      </c>
      <c r="J71" s="18">
        <f t="shared" si="286"/>
        <v>-5294.5140899999997</v>
      </c>
      <c r="K71" s="18">
        <f t="shared" si="286"/>
        <v>-5039.6267440000001</v>
      </c>
      <c r="L71" s="18">
        <f t="shared" si="286"/>
        <v>-4857.5643540000001</v>
      </c>
      <c r="M71" s="18">
        <f t="shared" si="286"/>
        <v>-44692.815286000005</v>
      </c>
      <c r="N71" s="18">
        <f t="shared" si="286"/>
        <v>-179783.10866599999</v>
      </c>
      <c r="O71" s="18">
        <f t="shared" si="286"/>
        <v>-179309.74645199999</v>
      </c>
      <c r="P71" s="18">
        <f t="shared" si="286"/>
        <v>-523298.426118</v>
      </c>
      <c r="Q71" s="18">
        <f t="shared" si="286"/>
        <v>-955296.06510999997</v>
      </c>
      <c r="R71" s="18">
        <f t="shared" si="286"/>
        <v>-955332.47758800001</v>
      </c>
      <c r="S71" s="18">
        <f t="shared" si="286"/>
        <v>-1350517.1013220001</v>
      </c>
      <c r="T71" s="18">
        <f t="shared" si="286"/>
        <v>-1350626.3387560002</v>
      </c>
      <c r="U71" s="18">
        <f t="shared" si="286"/>
        <v>-1350917.63858</v>
      </c>
      <c r="V71" s="18">
        <f t="shared" si="286"/>
        <v>-3022505.2661259999</v>
      </c>
      <c r="W71" s="18">
        <f t="shared" si="286"/>
        <v>-5367.3390460000001</v>
      </c>
      <c r="X71" s="18">
        <f t="shared" si="286"/>
        <v>-3109.76541</v>
      </c>
      <c r="Y71" s="18">
        <f xml:space="preserve"> 349.42 + 36.412478 * Y15</f>
        <v>-9955.3112739999997</v>
      </c>
      <c r="Z71" s="18">
        <f t="shared" ref="Z71:AE71" si="287" xml:space="preserve"> 349.42 + 36.412478 * Z15</f>
        <v>20157.808031999997</v>
      </c>
      <c r="AA71" s="18">
        <f t="shared" si="287"/>
        <v>349.42</v>
      </c>
      <c r="AB71" s="18">
        <f t="shared" si="287"/>
        <v>-20150.805114000003</v>
      </c>
      <c r="AC71" s="18">
        <f t="shared" si="287"/>
        <v>-9154.2367579999991</v>
      </c>
      <c r="AD71" s="18">
        <f t="shared" si="287"/>
        <v>-4930.3893099999996</v>
      </c>
      <c r="AE71" s="18">
        <f t="shared" si="287"/>
        <v>-9955.3112739999997</v>
      </c>
      <c r="AF71" s="18">
        <f t="shared" ref="AF71:BG71" si="288" xml:space="preserve"> 349.42 + 36.412478 * AF15</f>
        <v>-2818.4655859999998</v>
      </c>
      <c r="AG71" s="18">
        <f t="shared" si="288"/>
        <v>-2891.2905419999997</v>
      </c>
      <c r="AH71" s="18">
        <f t="shared" si="288"/>
        <v>-3619.5401019999999</v>
      </c>
      <c r="AI71" s="18">
        <f t="shared" si="288"/>
        <v>-3146.1778880000002</v>
      </c>
      <c r="AJ71" s="18">
        <f t="shared" si="288"/>
        <v>-2636.4031959999998</v>
      </c>
      <c r="AK71" s="18">
        <f t="shared" si="288"/>
        <v>-81615.067978000006</v>
      </c>
      <c r="AL71" s="18">
        <f t="shared" si="288"/>
        <v>-3838.0149700000002</v>
      </c>
      <c r="AM71" s="18">
        <f t="shared" si="288"/>
        <v>-620009.96768599993</v>
      </c>
      <c r="AN71" s="18">
        <f t="shared" si="288"/>
        <v>458.65743400000002</v>
      </c>
      <c r="AO71" s="18">
        <f t="shared" si="288"/>
        <v>-899912.68607199995</v>
      </c>
      <c r="AP71" s="18">
        <f t="shared" si="288"/>
        <v>10581.326317999999</v>
      </c>
      <c r="AQ71" s="18">
        <f t="shared" si="288"/>
        <v>10581.326317999999</v>
      </c>
      <c r="AR71" s="18">
        <f t="shared" si="288"/>
        <v>10617.738796</v>
      </c>
      <c r="AS71" s="18">
        <f t="shared" si="288"/>
        <v>10617.738796</v>
      </c>
      <c r="AT71" s="18">
        <f t="shared" si="288"/>
        <v>10617.738796</v>
      </c>
      <c r="AU71" s="18">
        <f t="shared" si="288"/>
        <v>-11630.285261999999</v>
      </c>
      <c r="AV71" s="18">
        <f t="shared" si="288"/>
        <v>-706.54186200000004</v>
      </c>
      <c r="AW71" s="18">
        <f t="shared" si="288"/>
        <v>-28926.212312000003</v>
      </c>
      <c r="AX71" s="18">
        <f t="shared" si="288"/>
        <v>-18876.368384000001</v>
      </c>
      <c r="AY71" s="18">
        <f t="shared" si="288"/>
        <v>10654.151274</v>
      </c>
      <c r="AZ71" s="18">
        <f t="shared" si="288"/>
        <v>10654.151274</v>
      </c>
      <c r="BA71" s="18">
        <f t="shared" si="288"/>
        <v>10690.563752</v>
      </c>
      <c r="BB71" s="18">
        <f t="shared" si="288"/>
        <v>10690.563752</v>
      </c>
      <c r="BC71" s="18">
        <f t="shared" si="288"/>
        <v>10690.563752</v>
      </c>
      <c r="BD71" s="18">
        <f t="shared" si="288"/>
        <v>10690.563752</v>
      </c>
      <c r="BE71" s="18">
        <f t="shared" si="288"/>
        <v>10690.563752</v>
      </c>
      <c r="BF71" s="18">
        <f t="shared" si="288"/>
        <v>10690.563752</v>
      </c>
      <c r="BG71" s="18">
        <f t="shared" si="288"/>
        <v>-9955.3112739999997</v>
      </c>
    </row>
    <row r="72" spans="2:59" x14ac:dyDescent="0.25">
      <c r="C72" s="97" t="s">
        <v>15</v>
      </c>
      <c r="D72" s="7" t="s">
        <v>415</v>
      </c>
      <c r="E72" s="18">
        <f xml:space="preserve"> 84.66 + 18.206239 * E15</f>
        <v>-9418.9967579999993</v>
      </c>
      <c r="F72" s="18">
        <f t="shared" ref="F72:X72" si="289" xml:space="preserve"> 84.66 + 18.206239 * F15</f>
        <v>-375255.16322400002</v>
      </c>
      <c r="G72" s="18">
        <f t="shared" si="289"/>
        <v>84.66</v>
      </c>
      <c r="H72" s="18">
        <f t="shared" si="289"/>
        <v>-133.81486800000002</v>
      </c>
      <c r="I72" s="18">
        <f t="shared" si="289"/>
        <v>-2828.33824</v>
      </c>
      <c r="J72" s="18">
        <f t="shared" si="289"/>
        <v>-2737.307045</v>
      </c>
      <c r="K72" s="18">
        <f t="shared" si="289"/>
        <v>-2609.8633720000003</v>
      </c>
      <c r="L72" s="18">
        <f t="shared" si="289"/>
        <v>-2518.8321770000002</v>
      </c>
      <c r="M72" s="18">
        <f t="shared" si="289"/>
        <v>-22436.457643000002</v>
      </c>
      <c r="N72" s="18">
        <f t="shared" si="289"/>
        <v>-89981.604332999996</v>
      </c>
      <c r="O72" s="18">
        <f t="shared" si="289"/>
        <v>-89744.923225999999</v>
      </c>
      <c r="P72" s="18">
        <f t="shared" si="289"/>
        <v>-261739.26305899999</v>
      </c>
      <c r="Q72" s="18">
        <f t="shared" si="289"/>
        <v>-477738.08255500003</v>
      </c>
      <c r="R72" s="18">
        <f t="shared" si="289"/>
        <v>-477756.28879400005</v>
      </c>
      <c r="S72" s="18">
        <f t="shared" si="289"/>
        <v>-675348.600661</v>
      </c>
      <c r="T72" s="18">
        <f t="shared" si="289"/>
        <v>-675403.21937800001</v>
      </c>
      <c r="U72" s="18">
        <f t="shared" si="289"/>
        <v>-675548.86928999994</v>
      </c>
      <c r="V72" s="18">
        <f t="shared" si="289"/>
        <v>-1511342.683063</v>
      </c>
      <c r="W72" s="18">
        <f t="shared" si="289"/>
        <v>-2773.7195230000002</v>
      </c>
      <c r="X72" s="18">
        <f t="shared" si="289"/>
        <v>-1644.9327049999999</v>
      </c>
      <c r="Y72" s="18">
        <f xml:space="preserve"> 84.66 + 18.206239 * Y15</f>
        <v>-5067.705637</v>
      </c>
      <c r="Z72" s="18">
        <f t="shared" ref="Z72:AE72" si="290" xml:space="preserve"> 84.66 + 18.206239 * Z15</f>
        <v>9988.8540159999993</v>
      </c>
      <c r="AA72" s="18">
        <f t="shared" si="290"/>
        <v>84.66</v>
      </c>
      <c r="AB72" s="18">
        <f t="shared" si="290"/>
        <v>-10165.452557000001</v>
      </c>
      <c r="AC72" s="18">
        <f t="shared" si="290"/>
        <v>-4667.1683789999997</v>
      </c>
      <c r="AD72" s="18">
        <f t="shared" si="290"/>
        <v>-2555.244655</v>
      </c>
      <c r="AE72" s="18">
        <f t="shared" si="290"/>
        <v>-5067.705637</v>
      </c>
      <c r="AF72" s="18">
        <f t="shared" ref="AF72:BG72" si="291" xml:space="preserve"> 84.66 + 18.206239 * AF15</f>
        <v>-1499.2827929999999</v>
      </c>
      <c r="AG72" s="18">
        <f t="shared" si="291"/>
        <v>-1535.6952709999998</v>
      </c>
      <c r="AH72" s="18">
        <f t="shared" si="291"/>
        <v>-1899.8200509999999</v>
      </c>
      <c r="AI72" s="18">
        <f t="shared" si="291"/>
        <v>-1663.138944</v>
      </c>
      <c r="AJ72" s="18">
        <f t="shared" si="291"/>
        <v>-1408.2515979999998</v>
      </c>
      <c r="AK72" s="18">
        <f t="shared" si="291"/>
        <v>-40897.583988999999</v>
      </c>
      <c r="AL72" s="18">
        <f t="shared" si="291"/>
        <v>-2009.057485</v>
      </c>
      <c r="AM72" s="18">
        <f t="shared" si="291"/>
        <v>-310095.03384300001</v>
      </c>
      <c r="AN72" s="18">
        <f t="shared" si="291"/>
        <v>139.278717</v>
      </c>
      <c r="AO72" s="18">
        <f t="shared" si="291"/>
        <v>-450046.39303600002</v>
      </c>
      <c r="AP72" s="18">
        <f t="shared" si="291"/>
        <v>5200.6131589999995</v>
      </c>
      <c r="AQ72" s="18">
        <f t="shared" si="291"/>
        <v>5200.6131589999995</v>
      </c>
      <c r="AR72" s="18">
        <f t="shared" si="291"/>
        <v>5218.8193979999996</v>
      </c>
      <c r="AS72" s="18">
        <f t="shared" si="291"/>
        <v>5218.8193979999996</v>
      </c>
      <c r="AT72" s="18">
        <f t="shared" si="291"/>
        <v>5218.8193979999996</v>
      </c>
      <c r="AU72" s="18">
        <f t="shared" si="291"/>
        <v>-5905.1926309999999</v>
      </c>
      <c r="AV72" s="18">
        <f t="shared" si="291"/>
        <v>-443.32093100000009</v>
      </c>
      <c r="AW72" s="18">
        <f t="shared" si="291"/>
        <v>-14553.156156000001</v>
      </c>
      <c r="AX72" s="18">
        <f t="shared" si="291"/>
        <v>-9528.2341919999999</v>
      </c>
      <c r="AY72" s="18">
        <f t="shared" si="291"/>
        <v>5237.0256369999997</v>
      </c>
      <c r="AZ72" s="18">
        <f t="shared" si="291"/>
        <v>5237.0256369999997</v>
      </c>
      <c r="BA72" s="18">
        <f t="shared" si="291"/>
        <v>5255.2318759999998</v>
      </c>
      <c r="BB72" s="18">
        <f t="shared" si="291"/>
        <v>5255.2318759999998</v>
      </c>
      <c r="BC72" s="18">
        <f t="shared" si="291"/>
        <v>5255.2318759999998</v>
      </c>
      <c r="BD72" s="18">
        <f t="shared" si="291"/>
        <v>5255.2318759999998</v>
      </c>
      <c r="BE72" s="18">
        <f t="shared" si="291"/>
        <v>5255.2318759999998</v>
      </c>
      <c r="BF72" s="18">
        <f t="shared" si="291"/>
        <v>5255.2318759999998</v>
      </c>
      <c r="BG72" s="18">
        <f t="shared" si="291"/>
        <v>-5067.705637</v>
      </c>
    </row>
    <row r="73" spans="2:59" x14ac:dyDescent="0.25">
      <c r="C73" s="97" t="s">
        <v>16</v>
      </c>
      <c r="D73" s="7" t="s">
        <v>416</v>
      </c>
      <c r="E73" s="18">
        <f xml:space="preserve"> 141.74 + 53.303771 * E15</f>
        <v>-27682.828461999998</v>
      </c>
      <c r="F73" s="18">
        <f t="shared" ref="F73:X73" si="292" xml:space="preserve"> 141.74 + 53.303771 * F15</f>
        <v>-1098768.8029360001</v>
      </c>
      <c r="G73" s="18">
        <f t="shared" si="292"/>
        <v>141.74</v>
      </c>
      <c r="H73" s="18">
        <f t="shared" si="292"/>
        <v>-497.90525200000002</v>
      </c>
      <c r="I73" s="18">
        <f t="shared" si="292"/>
        <v>-8386.8633599999994</v>
      </c>
      <c r="J73" s="18">
        <f t="shared" si="292"/>
        <v>-8120.3445049999991</v>
      </c>
      <c r="K73" s="18">
        <f t="shared" si="292"/>
        <v>-7747.218108</v>
      </c>
      <c r="L73" s="18">
        <f t="shared" si="292"/>
        <v>-7480.6992529999998</v>
      </c>
      <c r="M73" s="18">
        <f t="shared" si="292"/>
        <v>-65795.024726999996</v>
      </c>
      <c r="N73" s="18">
        <f t="shared" si="292"/>
        <v>-263552.01513700001</v>
      </c>
      <c r="O73" s="18">
        <f t="shared" si="292"/>
        <v>-262859.06611399999</v>
      </c>
      <c r="P73" s="18">
        <f t="shared" si="292"/>
        <v>-766419.79075099993</v>
      </c>
      <c r="Q73" s="18">
        <f t="shared" si="292"/>
        <v>-1398815.7298949999</v>
      </c>
      <c r="R73" s="18">
        <f t="shared" si="292"/>
        <v>-1398869.033666</v>
      </c>
      <c r="S73" s="18">
        <f t="shared" si="292"/>
        <v>-1977374.8603289998</v>
      </c>
      <c r="T73" s="18">
        <f t="shared" si="292"/>
        <v>-1977534.7716419999</v>
      </c>
      <c r="U73" s="18">
        <f t="shared" si="292"/>
        <v>-1977961.20181</v>
      </c>
      <c r="V73" s="18">
        <f t="shared" si="292"/>
        <v>-4424977.417107</v>
      </c>
      <c r="W73" s="18">
        <f t="shared" si="292"/>
        <v>-8226.9520470000007</v>
      </c>
      <c r="X73" s="18">
        <f t="shared" si="292"/>
        <v>-4922.1182449999997</v>
      </c>
      <c r="Y73" s="18">
        <f xml:space="preserve"> 141.74 + 53.303771 * Y15</f>
        <v>-14943.227192999999</v>
      </c>
      <c r="Z73" s="18">
        <f t="shared" ref="Z73:AE73" si="293" xml:space="preserve"> 141.74 + 53.303771 * Z15</f>
        <v>29138.991424</v>
      </c>
      <c r="AA73" s="18">
        <f t="shared" si="293"/>
        <v>141.74</v>
      </c>
      <c r="AB73" s="18">
        <f t="shared" si="293"/>
        <v>-29868.283072999999</v>
      </c>
      <c r="AC73" s="18">
        <f t="shared" si="293"/>
        <v>-13770.544231</v>
      </c>
      <c r="AD73" s="18">
        <f t="shared" si="293"/>
        <v>-7587.3067949999995</v>
      </c>
      <c r="AE73" s="18">
        <f t="shared" si="293"/>
        <v>-14943.227192999999</v>
      </c>
      <c r="AF73" s="18">
        <f t="shared" ref="AF73:BG73" si="294" xml:space="preserve"> 141.74 + 53.303771 * AF15</f>
        <v>-4495.6880769999998</v>
      </c>
      <c r="AG73" s="18">
        <f t="shared" si="294"/>
        <v>-4602.2956190000004</v>
      </c>
      <c r="AH73" s="18">
        <f t="shared" si="294"/>
        <v>-5668.3710389999997</v>
      </c>
      <c r="AI73" s="18">
        <f t="shared" si="294"/>
        <v>-4975.4220160000004</v>
      </c>
      <c r="AJ73" s="18">
        <f t="shared" si="294"/>
        <v>-4229.1692220000004</v>
      </c>
      <c r="AK73" s="18">
        <f t="shared" si="294"/>
        <v>-119845.04852099999</v>
      </c>
      <c r="AL73" s="18">
        <f t="shared" si="294"/>
        <v>-5988.1936649999998</v>
      </c>
      <c r="AM73" s="18">
        <f t="shared" si="294"/>
        <v>-907994.60652699997</v>
      </c>
      <c r="AN73" s="18">
        <f t="shared" si="294"/>
        <v>301.65131300000002</v>
      </c>
      <c r="AO73" s="18">
        <f t="shared" si="294"/>
        <v>-1317740.6942040001</v>
      </c>
      <c r="AP73" s="18">
        <f t="shared" si="294"/>
        <v>15120.099650999999</v>
      </c>
      <c r="AQ73" s="18">
        <f t="shared" si="294"/>
        <v>15120.099650999999</v>
      </c>
      <c r="AR73" s="18">
        <f t="shared" si="294"/>
        <v>15173.403421999999</v>
      </c>
      <c r="AS73" s="18">
        <f t="shared" si="294"/>
        <v>15173.403421999999</v>
      </c>
      <c r="AT73" s="18">
        <f t="shared" si="294"/>
        <v>15173.403421999999</v>
      </c>
      <c r="AU73" s="18">
        <f t="shared" si="294"/>
        <v>-17395.200658999998</v>
      </c>
      <c r="AV73" s="18">
        <f t="shared" si="294"/>
        <v>-1404.0693589999998</v>
      </c>
      <c r="AW73" s="18">
        <f t="shared" si="294"/>
        <v>-42714.491884000003</v>
      </c>
      <c r="AX73" s="18">
        <f t="shared" si="294"/>
        <v>-28002.651087999999</v>
      </c>
      <c r="AY73" s="18">
        <f t="shared" si="294"/>
        <v>15226.707192999998</v>
      </c>
      <c r="AZ73" s="18">
        <f t="shared" si="294"/>
        <v>15226.707192999998</v>
      </c>
      <c r="BA73" s="18">
        <f t="shared" si="294"/>
        <v>15280.010963999999</v>
      </c>
      <c r="BB73" s="18">
        <f t="shared" si="294"/>
        <v>15280.010963999999</v>
      </c>
      <c r="BC73" s="18">
        <f t="shared" si="294"/>
        <v>15280.010963999999</v>
      </c>
      <c r="BD73" s="18">
        <f t="shared" si="294"/>
        <v>15280.010963999999</v>
      </c>
      <c r="BE73" s="18">
        <f t="shared" si="294"/>
        <v>15280.010963999999</v>
      </c>
      <c r="BF73" s="18">
        <f t="shared" si="294"/>
        <v>15280.010963999999</v>
      </c>
      <c r="BG73" s="18">
        <f t="shared" si="294"/>
        <v>-14943.227192999999</v>
      </c>
    </row>
    <row r="74" spans="2:59" x14ac:dyDescent="0.25">
      <c r="C74" s="97" t="s">
        <v>17</v>
      </c>
      <c r="D74" s="7" t="s">
        <v>417</v>
      </c>
      <c r="E74" s="18">
        <f xml:space="preserve"> 207.14 + 2.453732 * E15</f>
        <v>-1073.7081039999998</v>
      </c>
      <c r="F74" s="18">
        <f t="shared" ref="F74:X74" si="295" xml:space="preserve"> 207.14 + 2.453732 * F15</f>
        <v>-50378.998912000003</v>
      </c>
      <c r="G74" s="18">
        <f t="shared" si="295"/>
        <v>207.14</v>
      </c>
      <c r="H74" s="18">
        <f t="shared" si="295"/>
        <v>177.69521599999999</v>
      </c>
      <c r="I74" s="18">
        <f t="shared" si="295"/>
        <v>-185.45712000000003</v>
      </c>
      <c r="J74" s="18">
        <f t="shared" si="295"/>
        <v>-173.18846000000002</v>
      </c>
      <c r="K74" s="18">
        <f t="shared" si="295"/>
        <v>-156.012336</v>
      </c>
      <c r="L74" s="18">
        <f t="shared" si="295"/>
        <v>-143.74367599999999</v>
      </c>
      <c r="M74" s="18">
        <f t="shared" si="295"/>
        <v>-2828.1264840000003</v>
      </c>
      <c r="N74" s="18">
        <f t="shared" si="295"/>
        <v>-11931.472204000002</v>
      </c>
      <c r="O74" s="18">
        <f t="shared" si="295"/>
        <v>-11899.573688</v>
      </c>
      <c r="P74" s="18">
        <f t="shared" si="295"/>
        <v>-35079.979892000003</v>
      </c>
      <c r="Q74" s="18">
        <f t="shared" si="295"/>
        <v>-64191.056340000003</v>
      </c>
      <c r="R74" s="18">
        <f t="shared" si="295"/>
        <v>-64193.510072000005</v>
      </c>
      <c r="S74" s="18">
        <f t="shared" si="295"/>
        <v>-90823.863467999996</v>
      </c>
      <c r="T74" s="18">
        <f t="shared" si="295"/>
        <v>-90831.224664000008</v>
      </c>
      <c r="U74" s="18">
        <f t="shared" si="295"/>
        <v>-90850.854520000008</v>
      </c>
      <c r="V74" s="18">
        <f t="shared" si="295"/>
        <v>-203494.32944399997</v>
      </c>
      <c r="W74" s="18">
        <f t="shared" si="295"/>
        <v>-178.09592400000002</v>
      </c>
      <c r="X74" s="18">
        <f t="shared" si="295"/>
        <v>-25.964540000000028</v>
      </c>
      <c r="Y74" s="18">
        <f xml:space="preserve"> 207.14 + 2.453732 * Y15</f>
        <v>-487.26615600000002</v>
      </c>
      <c r="Z74" s="18">
        <f t="shared" ref="Z74:AE74" si="296" xml:space="preserve"> 207.14 + 2.453732 * Z15</f>
        <v>1541.9702080000002</v>
      </c>
      <c r="AA74" s="18">
        <f t="shared" si="296"/>
        <v>207.14</v>
      </c>
      <c r="AB74" s="18">
        <f t="shared" si="296"/>
        <v>-1174.3111159999999</v>
      </c>
      <c r="AC74" s="18">
        <f t="shared" si="296"/>
        <v>-433.28405199999997</v>
      </c>
      <c r="AD74" s="18">
        <f t="shared" si="296"/>
        <v>-148.65114</v>
      </c>
      <c r="AE74" s="18">
        <f t="shared" si="296"/>
        <v>-487.26615600000002</v>
      </c>
      <c r="AF74" s="18">
        <f t="shared" ref="AF74:BG74" si="297" xml:space="preserve"> 207.14 + 2.453732 * AF15</f>
        <v>-6.33468400000001</v>
      </c>
      <c r="AG74" s="18">
        <f t="shared" si="297"/>
        <v>-11.242148000000014</v>
      </c>
      <c r="AH74" s="18">
        <f t="shared" si="297"/>
        <v>-60.316788000000031</v>
      </c>
      <c r="AI74" s="18">
        <f t="shared" si="297"/>
        <v>-28.418272000000002</v>
      </c>
      <c r="AJ74" s="18">
        <f t="shared" si="297"/>
        <v>5.9339759999999728</v>
      </c>
      <c r="AK74" s="18">
        <f t="shared" si="297"/>
        <v>-5316.2107319999996</v>
      </c>
      <c r="AL74" s="18">
        <f t="shared" si="297"/>
        <v>-75.039180000000044</v>
      </c>
      <c r="AM74" s="18">
        <f t="shared" si="297"/>
        <v>-41597.092084000004</v>
      </c>
      <c r="AN74" s="18">
        <f t="shared" si="297"/>
        <v>214.50119599999999</v>
      </c>
      <c r="AO74" s="18">
        <f t="shared" si="297"/>
        <v>-60458.929968000004</v>
      </c>
      <c r="AP74" s="18">
        <f t="shared" si="297"/>
        <v>896.63869199999999</v>
      </c>
      <c r="AQ74" s="18">
        <f t="shared" si="297"/>
        <v>896.63869199999999</v>
      </c>
      <c r="AR74" s="18">
        <f t="shared" si="297"/>
        <v>899.09242399999994</v>
      </c>
      <c r="AS74" s="18">
        <f t="shared" si="297"/>
        <v>899.09242399999994</v>
      </c>
      <c r="AT74" s="18">
        <f t="shared" si="297"/>
        <v>899.09242399999994</v>
      </c>
      <c r="AU74" s="18">
        <f t="shared" si="297"/>
        <v>-600.13782800000001</v>
      </c>
      <c r="AV74" s="18">
        <f t="shared" si="297"/>
        <v>135.98177199999998</v>
      </c>
      <c r="AW74" s="18">
        <f t="shared" si="297"/>
        <v>-1765.6605279999999</v>
      </c>
      <c r="AX74" s="18">
        <f t="shared" si="297"/>
        <v>-1088.4304959999999</v>
      </c>
      <c r="AY74" s="18">
        <f t="shared" si="297"/>
        <v>901.546156</v>
      </c>
      <c r="AZ74" s="18">
        <f t="shared" si="297"/>
        <v>901.546156</v>
      </c>
      <c r="BA74" s="18">
        <f t="shared" si="297"/>
        <v>903.99988799999994</v>
      </c>
      <c r="BB74" s="18">
        <f t="shared" si="297"/>
        <v>903.99988799999994</v>
      </c>
      <c r="BC74" s="18">
        <f t="shared" si="297"/>
        <v>903.99988799999994</v>
      </c>
      <c r="BD74" s="18">
        <f t="shared" si="297"/>
        <v>903.99988799999994</v>
      </c>
      <c r="BE74" s="18">
        <f t="shared" si="297"/>
        <v>903.99988799999994</v>
      </c>
      <c r="BF74" s="18">
        <f t="shared" si="297"/>
        <v>903.99988799999994</v>
      </c>
      <c r="BG74" s="18">
        <f t="shared" si="297"/>
        <v>-487.26615600000002</v>
      </c>
    </row>
    <row r="75" spans="2:59" x14ac:dyDescent="0.25">
      <c r="C75" s="97" t="s">
        <v>18</v>
      </c>
      <c r="D75" s="7" t="s">
        <v>418</v>
      </c>
      <c r="E75" s="18">
        <f xml:space="preserve"> 154.84 + 7.30686 * E15</f>
        <v>-3659.3409200000001</v>
      </c>
      <c r="F75" s="18">
        <f t="shared" ref="F75:X75" si="298" xml:space="preserve"> 154.84 + 7.30686 * F15</f>
        <v>-150483.38576</v>
      </c>
      <c r="G75" s="18">
        <f t="shared" si="298"/>
        <v>154.84</v>
      </c>
      <c r="H75" s="18">
        <f t="shared" si="298"/>
        <v>67.157679999999999</v>
      </c>
      <c r="I75" s="18">
        <f t="shared" si="298"/>
        <v>-1014.2576</v>
      </c>
      <c r="J75" s="18">
        <f t="shared" si="298"/>
        <v>-977.72329999999999</v>
      </c>
      <c r="K75" s="18">
        <f t="shared" si="298"/>
        <v>-926.57528000000013</v>
      </c>
      <c r="L75" s="18">
        <f t="shared" si="298"/>
        <v>-890.0409800000001</v>
      </c>
      <c r="M75" s="18">
        <f t="shared" si="298"/>
        <v>-8883.7458200000001</v>
      </c>
      <c r="N75" s="18">
        <f t="shared" si="298"/>
        <v>-35992.196420000007</v>
      </c>
      <c r="O75" s="18">
        <f t="shared" si="298"/>
        <v>-35897.207240000003</v>
      </c>
      <c r="P75" s="18">
        <f t="shared" si="298"/>
        <v>-104925.11366</v>
      </c>
      <c r="Q75" s="18">
        <f t="shared" si="298"/>
        <v>-191613.70070000002</v>
      </c>
      <c r="R75" s="18">
        <f t="shared" si="298"/>
        <v>-191621.00756000003</v>
      </c>
      <c r="S75" s="18">
        <f t="shared" si="298"/>
        <v>-270922.35914000002</v>
      </c>
      <c r="T75" s="18">
        <f t="shared" si="298"/>
        <v>-270944.27971999999</v>
      </c>
      <c r="U75" s="18">
        <f t="shared" si="298"/>
        <v>-271002.73459999997</v>
      </c>
      <c r="V75" s="18">
        <f t="shared" si="298"/>
        <v>-606438.75662000012</v>
      </c>
      <c r="W75" s="18">
        <f t="shared" si="298"/>
        <v>-992.33702000000005</v>
      </c>
      <c r="X75" s="18">
        <f t="shared" si="298"/>
        <v>-539.31169999999997</v>
      </c>
      <c r="Y75" s="18">
        <f xml:space="preserve"> 154.84 + 7.30686 * Y15</f>
        <v>-1913.0013800000004</v>
      </c>
      <c r="Z75" s="18">
        <f t="shared" ref="Z75:AE75" si="299" xml:space="preserve"> 154.84 + 7.30686 * Z15</f>
        <v>4129.7718400000003</v>
      </c>
      <c r="AA75" s="18">
        <f t="shared" si="299"/>
        <v>154.84</v>
      </c>
      <c r="AB75" s="18">
        <f t="shared" si="299"/>
        <v>-3958.9221800000005</v>
      </c>
      <c r="AC75" s="18">
        <f t="shared" si="299"/>
        <v>-1752.2504600000002</v>
      </c>
      <c r="AD75" s="18">
        <f t="shared" si="299"/>
        <v>-904.65469999999993</v>
      </c>
      <c r="AE75" s="18">
        <f t="shared" si="299"/>
        <v>-1913.0013800000004</v>
      </c>
      <c r="AF75" s="18">
        <f t="shared" ref="AF75:BG75" si="300" xml:space="preserve"> 154.84 + 7.30686 * AF15</f>
        <v>-480.85681999999997</v>
      </c>
      <c r="AG75" s="18">
        <f t="shared" si="300"/>
        <v>-495.47054000000003</v>
      </c>
      <c r="AH75" s="18">
        <f t="shared" si="300"/>
        <v>-641.60774000000004</v>
      </c>
      <c r="AI75" s="18">
        <f t="shared" si="300"/>
        <v>-546.61856</v>
      </c>
      <c r="AJ75" s="18">
        <f t="shared" si="300"/>
        <v>-444.32252000000005</v>
      </c>
      <c r="AK75" s="18">
        <f t="shared" si="300"/>
        <v>-16292.901860000002</v>
      </c>
      <c r="AL75" s="18">
        <f t="shared" si="300"/>
        <v>-685.44889999999998</v>
      </c>
      <c r="AM75" s="18">
        <f t="shared" si="300"/>
        <v>-124332.13382</v>
      </c>
      <c r="AN75" s="18">
        <f t="shared" si="300"/>
        <v>176.76058</v>
      </c>
      <c r="AO75" s="18">
        <f t="shared" si="300"/>
        <v>-180499.96664</v>
      </c>
      <c r="AP75" s="18">
        <f t="shared" si="300"/>
        <v>2208.0676600000002</v>
      </c>
      <c r="AQ75" s="18">
        <f t="shared" si="300"/>
        <v>2208.0676600000002</v>
      </c>
      <c r="AR75" s="18">
        <f t="shared" si="300"/>
        <v>2215.3745200000003</v>
      </c>
      <c r="AS75" s="18">
        <f t="shared" si="300"/>
        <v>2215.3745200000003</v>
      </c>
      <c r="AT75" s="18">
        <f t="shared" si="300"/>
        <v>2215.3745200000003</v>
      </c>
      <c r="AU75" s="18">
        <f t="shared" si="300"/>
        <v>-2249.1169399999999</v>
      </c>
      <c r="AV75" s="18">
        <f t="shared" si="300"/>
        <v>-57.058940000000007</v>
      </c>
      <c r="AW75" s="18">
        <f t="shared" si="300"/>
        <v>-5719.8754399999998</v>
      </c>
      <c r="AX75" s="18">
        <f t="shared" si="300"/>
        <v>-3703.18208</v>
      </c>
      <c r="AY75" s="18">
        <f t="shared" si="300"/>
        <v>2222.6813800000004</v>
      </c>
      <c r="AZ75" s="18">
        <f t="shared" si="300"/>
        <v>2222.6813800000004</v>
      </c>
      <c r="BA75" s="18">
        <f t="shared" si="300"/>
        <v>2229.9882400000001</v>
      </c>
      <c r="BB75" s="18">
        <f t="shared" si="300"/>
        <v>2229.9882400000001</v>
      </c>
      <c r="BC75" s="18">
        <f t="shared" si="300"/>
        <v>2229.9882400000001</v>
      </c>
      <c r="BD75" s="18">
        <f t="shared" si="300"/>
        <v>2229.9882400000001</v>
      </c>
      <c r="BE75" s="18">
        <f t="shared" si="300"/>
        <v>2229.9882400000001</v>
      </c>
      <c r="BF75" s="18">
        <f t="shared" si="300"/>
        <v>2229.9882400000001</v>
      </c>
      <c r="BG75" s="18">
        <f t="shared" si="300"/>
        <v>-1913.0013800000004</v>
      </c>
    </row>
    <row r="76" spans="2:59" x14ac:dyDescent="0.25">
      <c r="C76" s="97" t="s">
        <v>19</v>
      </c>
      <c r="D76" s="7" t="s">
        <v>419</v>
      </c>
      <c r="E76" s="18">
        <f xml:space="preserve"> 34.52 + 27.261239 * E15</f>
        <v>-14195.846758</v>
      </c>
      <c r="F76" s="18">
        <f t="shared" ref="F76:X76" si="301" xml:space="preserve"> 34.52 + 27.261239 * F15</f>
        <v>-561983.18322399992</v>
      </c>
      <c r="G76" s="18">
        <f t="shared" si="301"/>
        <v>34.520000000000003</v>
      </c>
      <c r="H76" s="18">
        <f t="shared" si="301"/>
        <v>-292.614868</v>
      </c>
      <c r="I76" s="18">
        <f t="shared" si="301"/>
        <v>-4327.2782399999996</v>
      </c>
      <c r="J76" s="18">
        <f t="shared" si="301"/>
        <v>-4190.9720449999995</v>
      </c>
      <c r="K76" s="18">
        <f t="shared" si="301"/>
        <v>-4000.143372</v>
      </c>
      <c r="L76" s="18">
        <f t="shared" si="301"/>
        <v>-3863.8371769999999</v>
      </c>
      <c r="M76" s="18">
        <f t="shared" si="301"/>
        <v>-33687.632643000004</v>
      </c>
      <c r="N76" s="18">
        <f t="shared" si="301"/>
        <v>-134826.829333</v>
      </c>
      <c r="O76" s="18">
        <f t="shared" si="301"/>
        <v>-134472.43322600002</v>
      </c>
      <c r="P76" s="18">
        <f t="shared" si="301"/>
        <v>-392009.35805899999</v>
      </c>
      <c r="Q76" s="18">
        <f t="shared" si="301"/>
        <v>-715436.69755499996</v>
      </c>
      <c r="R76" s="18">
        <f t="shared" si="301"/>
        <v>-715463.95879399998</v>
      </c>
      <c r="S76" s="18">
        <f t="shared" si="301"/>
        <v>-1011330.185661</v>
      </c>
      <c r="T76" s="18">
        <f t="shared" si="301"/>
        <v>-1011411.969378</v>
      </c>
      <c r="U76" s="18">
        <f t="shared" si="301"/>
        <v>-1011630.05929</v>
      </c>
      <c r="V76" s="18">
        <f t="shared" si="301"/>
        <v>-2263111.7580630002</v>
      </c>
      <c r="W76" s="18">
        <f t="shared" si="301"/>
        <v>-4245.4945229999994</v>
      </c>
      <c r="X76" s="18">
        <f t="shared" si="301"/>
        <v>-2555.297705</v>
      </c>
      <c r="Y76" s="18">
        <f xml:space="preserve"> 34.52 + 27.261239 * Y15</f>
        <v>-7680.410637</v>
      </c>
      <c r="Z76" s="18">
        <f t="shared" ref="Z76:AE76" si="302" xml:space="preserve"> 34.52 + 27.261239 * Z15</f>
        <v>14864.634016</v>
      </c>
      <c r="AA76" s="18">
        <f t="shared" si="302"/>
        <v>34.520000000000003</v>
      </c>
      <c r="AB76" s="18">
        <f t="shared" si="302"/>
        <v>-15313.557557</v>
      </c>
      <c r="AC76" s="18">
        <f t="shared" si="302"/>
        <v>-7080.6633789999996</v>
      </c>
      <c r="AD76" s="18">
        <f t="shared" si="302"/>
        <v>-3918.3596550000002</v>
      </c>
      <c r="AE76" s="18">
        <f t="shared" si="302"/>
        <v>-7680.410637</v>
      </c>
      <c r="AF76" s="18">
        <f t="shared" ref="AF76:BG76" si="303" xml:space="preserve"> 34.52 + 27.261239 * AF15</f>
        <v>-2337.207793</v>
      </c>
      <c r="AG76" s="18">
        <f t="shared" si="303"/>
        <v>-2391.7302709999999</v>
      </c>
      <c r="AH76" s="18">
        <f t="shared" si="303"/>
        <v>-2936.9550509999999</v>
      </c>
      <c r="AI76" s="18">
        <f t="shared" si="303"/>
        <v>-2582.5589439999999</v>
      </c>
      <c r="AJ76" s="18">
        <f t="shared" si="303"/>
        <v>-2200.9015979999999</v>
      </c>
      <c r="AK76" s="18">
        <f t="shared" si="303"/>
        <v>-61330.528989000006</v>
      </c>
      <c r="AL76" s="18">
        <f t="shared" si="303"/>
        <v>-3100.522485</v>
      </c>
      <c r="AM76" s="18">
        <f t="shared" si="303"/>
        <v>-464415.208843</v>
      </c>
      <c r="AN76" s="18">
        <f t="shared" si="303"/>
        <v>116.30371700000001</v>
      </c>
      <c r="AO76" s="18">
        <f t="shared" si="303"/>
        <v>-673972.35303599993</v>
      </c>
      <c r="AP76" s="18">
        <f t="shared" si="303"/>
        <v>7694.9281590000001</v>
      </c>
      <c r="AQ76" s="18">
        <f t="shared" si="303"/>
        <v>7694.9281590000001</v>
      </c>
      <c r="AR76" s="18">
        <f t="shared" si="303"/>
        <v>7722.1893980000004</v>
      </c>
      <c r="AS76" s="18">
        <f t="shared" si="303"/>
        <v>7722.1893980000004</v>
      </c>
      <c r="AT76" s="18">
        <f t="shared" si="303"/>
        <v>7722.1893980000004</v>
      </c>
      <c r="AU76" s="18">
        <f t="shared" si="303"/>
        <v>-8934.4276309999987</v>
      </c>
      <c r="AV76" s="18">
        <f t="shared" si="303"/>
        <v>-756.05593099999999</v>
      </c>
      <c r="AW76" s="18">
        <f t="shared" si="303"/>
        <v>-21883.516155999998</v>
      </c>
      <c r="AX76" s="18">
        <f t="shared" si="303"/>
        <v>-14359.414192</v>
      </c>
      <c r="AY76" s="18">
        <f t="shared" si="303"/>
        <v>7749.4506370000008</v>
      </c>
      <c r="AZ76" s="18">
        <f t="shared" si="303"/>
        <v>7749.4506370000008</v>
      </c>
      <c r="BA76" s="18">
        <f t="shared" si="303"/>
        <v>7776.7118760000003</v>
      </c>
      <c r="BB76" s="18">
        <f t="shared" si="303"/>
        <v>7776.7118760000003</v>
      </c>
      <c r="BC76" s="18">
        <f t="shared" si="303"/>
        <v>7776.7118760000003</v>
      </c>
      <c r="BD76" s="18">
        <f t="shared" si="303"/>
        <v>7776.7118760000003</v>
      </c>
      <c r="BE76" s="18">
        <f t="shared" si="303"/>
        <v>7776.7118760000003</v>
      </c>
      <c r="BF76" s="18">
        <f t="shared" si="303"/>
        <v>7776.7118760000003</v>
      </c>
      <c r="BG76" s="18">
        <f t="shared" si="303"/>
        <v>-7680.410637</v>
      </c>
    </row>
    <row r="77" spans="2:59" x14ac:dyDescent="0.25">
      <c r="C77" s="97" t="s">
        <v>20</v>
      </c>
      <c r="D77" s="7" t="s">
        <v>420</v>
      </c>
      <c r="E77" s="18">
        <f xml:space="preserve"> 207.19 + 0.121824 * E15</f>
        <v>143.597872</v>
      </c>
      <c r="F77" s="18">
        <f t="shared" ref="F77:X77" si="304" xml:space="preserve"> 207.19 + 0.121824 * F15</f>
        <v>-2304.333584</v>
      </c>
      <c r="G77" s="18">
        <f t="shared" si="304"/>
        <v>207.19</v>
      </c>
      <c r="H77" s="18">
        <f t="shared" si="304"/>
        <v>205.72811200000001</v>
      </c>
      <c r="I77" s="18">
        <f t="shared" si="304"/>
        <v>187.69816</v>
      </c>
      <c r="J77" s="18">
        <f t="shared" si="304"/>
        <v>188.30727999999999</v>
      </c>
      <c r="K77" s="18">
        <f t="shared" si="304"/>
        <v>189.16004799999999</v>
      </c>
      <c r="L77" s="18">
        <f t="shared" si="304"/>
        <v>189.76916800000001</v>
      </c>
      <c r="M77" s="18">
        <f t="shared" si="304"/>
        <v>56.493711999999988</v>
      </c>
      <c r="N77" s="18">
        <f t="shared" si="304"/>
        <v>-395.47332799999998</v>
      </c>
      <c r="O77" s="18">
        <f t="shared" si="304"/>
        <v>-393.88961599999999</v>
      </c>
      <c r="P77" s="18">
        <f t="shared" si="304"/>
        <v>-1544.7609439999999</v>
      </c>
      <c r="Q77" s="18">
        <f t="shared" si="304"/>
        <v>-2990.08088</v>
      </c>
      <c r="R77" s="18">
        <f t="shared" si="304"/>
        <v>-2990.2027039999998</v>
      </c>
      <c r="S77" s="18">
        <f t="shared" si="304"/>
        <v>-4312.3585760000005</v>
      </c>
      <c r="T77" s="18">
        <f t="shared" si="304"/>
        <v>-4312.724048</v>
      </c>
      <c r="U77" s="18">
        <f t="shared" si="304"/>
        <v>-4313.6986400000005</v>
      </c>
      <c r="V77" s="18">
        <f t="shared" si="304"/>
        <v>-9906.2730080000001</v>
      </c>
      <c r="W77" s="18">
        <f t="shared" si="304"/>
        <v>188.06363199999998</v>
      </c>
      <c r="X77" s="18">
        <f t="shared" si="304"/>
        <v>195.61671999999999</v>
      </c>
      <c r="Y77" s="18">
        <f xml:space="preserve"> 207.19 + 0.121824 * Y15</f>
        <v>172.713808</v>
      </c>
      <c r="Z77" s="18">
        <f t="shared" ref="Z77:AE77" si="305" xml:space="preserve"> 207.19 + 0.121824 * Z15</f>
        <v>273.46225600000002</v>
      </c>
      <c r="AA77" s="18">
        <f t="shared" si="305"/>
        <v>207.19</v>
      </c>
      <c r="AB77" s="18">
        <f t="shared" si="305"/>
        <v>138.60308800000001</v>
      </c>
      <c r="AC77" s="18">
        <f t="shared" si="305"/>
        <v>175.393936</v>
      </c>
      <c r="AD77" s="18">
        <f t="shared" si="305"/>
        <v>189.52552</v>
      </c>
      <c r="AE77" s="18">
        <f t="shared" si="305"/>
        <v>172.713808</v>
      </c>
      <c r="AF77" s="18">
        <f t="shared" ref="AF77:BG77" si="306" xml:space="preserve"> 207.19 + 0.121824 * AF15</f>
        <v>196.59131199999999</v>
      </c>
      <c r="AG77" s="18">
        <f t="shared" si="306"/>
        <v>196.34766400000001</v>
      </c>
      <c r="AH77" s="18">
        <f t="shared" si="306"/>
        <v>193.91118399999999</v>
      </c>
      <c r="AI77" s="18">
        <f t="shared" si="306"/>
        <v>195.49489599999998</v>
      </c>
      <c r="AJ77" s="18">
        <f t="shared" si="306"/>
        <v>197.20043200000001</v>
      </c>
      <c r="AK77" s="18">
        <f t="shared" si="306"/>
        <v>-67.035823999999991</v>
      </c>
      <c r="AL77" s="18">
        <f t="shared" si="306"/>
        <v>193.18024</v>
      </c>
      <c r="AM77" s="18">
        <f t="shared" si="306"/>
        <v>-1868.325488</v>
      </c>
      <c r="AN77" s="18">
        <f t="shared" si="306"/>
        <v>207.55547200000001</v>
      </c>
      <c r="AO77" s="18">
        <f t="shared" si="306"/>
        <v>-2804.786576</v>
      </c>
      <c r="AP77" s="18">
        <f t="shared" si="306"/>
        <v>241.42254399999999</v>
      </c>
      <c r="AQ77" s="18">
        <f t="shared" si="306"/>
        <v>241.42254399999999</v>
      </c>
      <c r="AR77" s="18">
        <f t="shared" si="306"/>
        <v>241.54436799999999</v>
      </c>
      <c r="AS77" s="18">
        <f t="shared" si="306"/>
        <v>241.54436799999999</v>
      </c>
      <c r="AT77" s="18">
        <f t="shared" si="306"/>
        <v>241.54436799999999</v>
      </c>
      <c r="AU77" s="18">
        <f t="shared" si="306"/>
        <v>167.109904</v>
      </c>
      <c r="AV77" s="18">
        <f t="shared" si="306"/>
        <v>203.657104</v>
      </c>
      <c r="AW77" s="18">
        <f t="shared" si="306"/>
        <v>109.243504</v>
      </c>
      <c r="AX77" s="18">
        <f t="shared" si="306"/>
        <v>142.866928</v>
      </c>
      <c r="AY77" s="18">
        <f t="shared" si="306"/>
        <v>241.666192</v>
      </c>
      <c r="AZ77" s="18">
        <f t="shared" si="306"/>
        <v>241.666192</v>
      </c>
      <c r="BA77" s="18">
        <f t="shared" si="306"/>
        <v>241.788016</v>
      </c>
      <c r="BB77" s="18">
        <f t="shared" si="306"/>
        <v>241.788016</v>
      </c>
      <c r="BC77" s="18">
        <f t="shared" si="306"/>
        <v>241.788016</v>
      </c>
      <c r="BD77" s="18">
        <f t="shared" si="306"/>
        <v>241.788016</v>
      </c>
      <c r="BE77" s="18">
        <f t="shared" si="306"/>
        <v>241.788016</v>
      </c>
      <c r="BF77" s="18">
        <f t="shared" si="306"/>
        <v>241.788016</v>
      </c>
      <c r="BG77" s="18">
        <f t="shared" si="306"/>
        <v>172.713808</v>
      </c>
    </row>
    <row r="78" spans="2:59" x14ac:dyDescent="0.25">
      <c r="C78" s="97" t="s">
        <v>21</v>
      </c>
      <c r="D78" s="7" t="s">
        <v>421</v>
      </c>
      <c r="E78" s="18">
        <f xml:space="preserve"> 291.34 + 1.844379 * E15</f>
        <v>-671.42583800000011</v>
      </c>
      <c r="F78" s="18">
        <f t="shared" ref="F78:X78" si="307" xml:space="preserve"> 291.34 + 1.844379 * F15</f>
        <v>-37732.377464000005</v>
      </c>
      <c r="G78" s="18">
        <f t="shared" si="307"/>
        <v>291.33999999999997</v>
      </c>
      <c r="H78" s="18">
        <f t="shared" si="307"/>
        <v>269.20745199999999</v>
      </c>
      <c r="I78" s="18">
        <f t="shared" si="307"/>
        <v>-3.7606400000000235</v>
      </c>
      <c r="J78" s="18">
        <f t="shared" si="307"/>
        <v>5.4612549999999942</v>
      </c>
      <c r="K78" s="18">
        <f t="shared" si="307"/>
        <v>18.371907999999962</v>
      </c>
      <c r="L78" s="18">
        <f t="shared" si="307"/>
        <v>27.59380299999998</v>
      </c>
      <c r="M78" s="18">
        <f t="shared" si="307"/>
        <v>-1990.156823</v>
      </c>
      <c r="N78" s="18">
        <f t="shared" si="307"/>
        <v>-8832.8029129999995</v>
      </c>
      <c r="O78" s="18">
        <f t="shared" si="307"/>
        <v>-8808.8259859999998</v>
      </c>
      <c r="P78" s="18">
        <f t="shared" si="307"/>
        <v>-26232.674399</v>
      </c>
      <c r="Q78" s="18">
        <f t="shared" si="307"/>
        <v>-48114.386855000004</v>
      </c>
      <c r="R78" s="18">
        <f t="shared" si="307"/>
        <v>-48116.231234000006</v>
      </c>
      <c r="S78" s="18">
        <f t="shared" si="307"/>
        <v>-68133.276521000007</v>
      </c>
      <c r="T78" s="18">
        <f t="shared" si="307"/>
        <v>-68138.809657999998</v>
      </c>
      <c r="U78" s="18">
        <f t="shared" si="307"/>
        <v>-68153.564689999999</v>
      </c>
      <c r="V78" s="18">
        <f t="shared" si="307"/>
        <v>-152823.47144300002</v>
      </c>
      <c r="W78" s="18">
        <f t="shared" si="307"/>
        <v>1.7724969999999871</v>
      </c>
      <c r="X78" s="18">
        <f t="shared" si="307"/>
        <v>116.12399499999998</v>
      </c>
      <c r="Y78" s="18">
        <f xml:space="preserve"> 291.34 + 1.844379 * Y15</f>
        <v>-230.619257</v>
      </c>
      <c r="Z78" s="18">
        <f t="shared" ref="Z78:AE78" si="308" xml:space="preserve"> 291.34 + 1.844379 * Z15</f>
        <v>1294.682176</v>
      </c>
      <c r="AA78" s="18">
        <f t="shared" si="308"/>
        <v>291.33999999999997</v>
      </c>
      <c r="AB78" s="18">
        <f t="shared" si="308"/>
        <v>-747.04537700000014</v>
      </c>
      <c r="AC78" s="18">
        <f t="shared" si="308"/>
        <v>-190.04291900000004</v>
      </c>
      <c r="AD78" s="18">
        <f t="shared" si="308"/>
        <v>23.905044999999973</v>
      </c>
      <c r="AE78" s="18">
        <f t="shared" si="308"/>
        <v>-230.619257</v>
      </c>
      <c r="AF78" s="18">
        <f t="shared" ref="AF78:BG78" si="309" xml:space="preserve"> 291.34 + 1.844379 * AF15</f>
        <v>130.87902699999998</v>
      </c>
      <c r="AG78" s="18">
        <f t="shared" si="309"/>
        <v>127.19026899999997</v>
      </c>
      <c r="AH78" s="18">
        <f t="shared" si="309"/>
        <v>90.302688999999987</v>
      </c>
      <c r="AI78" s="18">
        <f t="shared" si="309"/>
        <v>114.27961599999998</v>
      </c>
      <c r="AJ78" s="18">
        <f t="shared" si="309"/>
        <v>140.10092199999997</v>
      </c>
      <c r="AK78" s="18">
        <f t="shared" si="309"/>
        <v>-3860.357129</v>
      </c>
      <c r="AL78" s="18">
        <f t="shared" si="309"/>
        <v>79.236414999999965</v>
      </c>
      <c r="AM78" s="18">
        <f t="shared" si="309"/>
        <v>-31131.345022999998</v>
      </c>
      <c r="AN78" s="18">
        <f t="shared" si="309"/>
        <v>296.87313699999999</v>
      </c>
      <c r="AO78" s="18">
        <f t="shared" si="309"/>
        <v>-45309.086396000006</v>
      </c>
      <c r="AP78" s="18">
        <f t="shared" si="309"/>
        <v>809.61049899999989</v>
      </c>
      <c r="AQ78" s="18">
        <f t="shared" si="309"/>
        <v>809.61049899999989</v>
      </c>
      <c r="AR78" s="18">
        <f t="shared" si="309"/>
        <v>811.45487800000001</v>
      </c>
      <c r="AS78" s="18">
        <f t="shared" si="309"/>
        <v>811.45487800000001</v>
      </c>
      <c r="AT78" s="18">
        <f t="shared" si="309"/>
        <v>811.45487800000001</v>
      </c>
      <c r="AU78" s="18">
        <f t="shared" si="309"/>
        <v>-315.46069100000005</v>
      </c>
      <c r="AV78" s="18">
        <f t="shared" si="309"/>
        <v>237.85300899999999</v>
      </c>
      <c r="AW78" s="18">
        <f t="shared" si="309"/>
        <v>-1191.540716</v>
      </c>
      <c r="AX78" s="18">
        <f t="shared" si="309"/>
        <v>-682.49211200000013</v>
      </c>
      <c r="AY78" s="18">
        <f t="shared" si="309"/>
        <v>813.2992569999999</v>
      </c>
      <c r="AZ78" s="18">
        <f t="shared" si="309"/>
        <v>813.2992569999999</v>
      </c>
      <c r="BA78" s="18">
        <f t="shared" si="309"/>
        <v>815.14363600000001</v>
      </c>
      <c r="BB78" s="18">
        <f t="shared" si="309"/>
        <v>815.14363600000001</v>
      </c>
      <c r="BC78" s="18">
        <f t="shared" si="309"/>
        <v>815.14363600000001</v>
      </c>
      <c r="BD78" s="18">
        <f t="shared" si="309"/>
        <v>815.14363600000001</v>
      </c>
      <c r="BE78" s="18">
        <f t="shared" si="309"/>
        <v>815.14363600000001</v>
      </c>
      <c r="BF78" s="18">
        <f t="shared" si="309"/>
        <v>815.14363600000001</v>
      </c>
      <c r="BG78" s="18">
        <f t="shared" si="309"/>
        <v>-230.619257</v>
      </c>
    </row>
    <row r="79" spans="2:59" x14ac:dyDescent="0.25">
      <c r="C79" s="97" t="s">
        <v>22</v>
      </c>
      <c r="D79" s="7" t="s">
        <v>422</v>
      </c>
      <c r="E79" s="18">
        <f xml:space="preserve"> 161.72 + 24.198154 * E15</f>
        <v>-12469.716388000001</v>
      </c>
      <c r="F79" s="18">
        <f t="shared" ref="F79:X79" si="310" xml:space="preserve"> 161.72 + 24.198154 * F15</f>
        <v>-498707.42286400002</v>
      </c>
      <c r="G79" s="18">
        <f t="shared" si="310"/>
        <v>161.72</v>
      </c>
      <c r="H79" s="18">
        <f t="shared" si="310"/>
        <v>-128.65784799999997</v>
      </c>
      <c r="I79" s="18">
        <f t="shared" si="310"/>
        <v>-3709.9846400000001</v>
      </c>
      <c r="J79" s="18">
        <f t="shared" si="310"/>
        <v>-3588.9938700000002</v>
      </c>
      <c r="K79" s="18">
        <f t="shared" si="310"/>
        <v>-3419.606792</v>
      </c>
      <c r="L79" s="18">
        <f t="shared" si="310"/>
        <v>-3298.6160220000002</v>
      </c>
      <c r="M79" s="18">
        <f t="shared" si="310"/>
        <v>-29771.396497999998</v>
      </c>
      <c r="N79" s="18">
        <f t="shared" si="310"/>
        <v>-119546.547838</v>
      </c>
      <c r="O79" s="18">
        <f t="shared" si="310"/>
        <v>-119231.971836</v>
      </c>
      <c r="P79" s="18">
        <f t="shared" si="310"/>
        <v>-347831.93267400004</v>
      </c>
      <c r="Q79" s="18">
        <f t="shared" si="310"/>
        <v>-634918.83172999998</v>
      </c>
      <c r="R79" s="18">
        <f t="shared" si="310"/>
        <v>-634943.02988399996</v>
      </c>
      <c r="S79" s="18">
        <f t="shared" si="310"/>
        <v>-897565.59524599998</v>
      </c>
      <c r="T79" s="18">
        <f t="shared" si="310"/>
        <v>-897638.18970799993</v>
      </c>
      <c r="U79" s="18">
        <f t="shared" si="310"/>
        <v>-897831.77494000003</v>
      </c>
      <c r="V79" s="18">
        <f t="shared" si="310"/>
        <v>-2008696.430618</v>
      </c>
      <c r="W79" s="18">
        <f t="shared" si="310"/>
        <v>-3637.3901780000001</v>
      </c>
      <c r="X79" s="18">
        <f t="shared" si="310"/>
        <v>-2137.1046300000003</v>
      </c>
      <c r="Y79" s="18">
        <f xml:space="preserve"> 161.72 + 24.198154 * Y15</f>
        <v>-6686.3575819999996</v>
      </c>
      <c r="Z79" s="18">
        <f t="shared" ref="Z79:AE79" si="311" xml:space="preserve"> 161.72 + 24.198154 * Z15</f>
        <v>13325.515775999998</v>
      </c>
      <c r="AA79" s="18">
        <f t="shared" si="311"/>
        <v>161.72</v>
      </c>
      <c r="AB79" s="18">
        <f t="shared" si="311"/>
        <v>-13461.840702</v>
      </c>
      <c r="AC79" s="18">
        <f t="shared" si="311"/>
        <v>-6153.9981939999998</v>
      </c>
      <c r="AD79" s="18">
        <f t="shared" si="311"/>
        <v>-3347.01233</v>
      </c>
      <c r="AE79" s="18">
        <f t="shared" si="311"/>
        <v>-6686.3575819999996</v>
      </c>
      <c r="AF79" s="18">
        <f t="shared" ref="AF79:BG79" si="312" xml:space="preserve"> 161.72 + 24.198154 * AF15</f>
        <v>-1943.5193979999997</v>
      </c>
      <c r="AG79" s="18">
        <f t="shared" si="312"/>
        <v>-1991.915706</v>
      </c>
      <c r="AH79" s="18">
        <f t="shared" si="312"/>
        <v>-2475.8787860000002</v>
      </c>
      <c r="AI79" s="18">
        <f t="shared" si="312"/>
        <v>-2161.302784</v>
      </c>
      <c r="AJ79" s="18">
        <f t="shared" si="312"/>
        <v>-1822.5286279999998</v>
      </c>
      <c r="AK79" s="18">
        <f t="shared" si="312"/>
        <v>-54308.324653999996</v>
      </c>
      <c r="AL79" s="18">
        <f t="shared" si="312"/>
        <v>-2621.0677100000003</v>
      </c>
      <c r="AM79" s="18">
        <f t="shared" si="312"/>
        <v>-412102.22969800001</v>
      </c>
      <c r="AN79" s="18">
        <f t="shared" si="312"/>
        <v>234.31446199999999</v>
      </c>
      <c r="AO79" s="18">
        <f t="shared" si="312"/>
        <v>-598113.43949599995</v>
      </c>
      <c r="AP79" s="18">
        <f t="shared" si="312"/>
        <v>6961.4012739999998</v>
      </c>
      <c r="AQ79" s="18">
        <f t="shared" si="312"/>
        <v>6961.4012739999998</v>
      </c>
      <c r="AR79" s="18">
        <f t="shared" si="312"/>
        <v>6985.5994279999995</v>
      </c>
      <c r="AS79" s="18">
        <f t="shared" si="312"/>
        <v>6985.5994279999995</v>
      </c>
      <c r="AT79" s="18">
        <f t="shared" si="312"/>
        <v>6985.5994279999995</v>
      </c>
      <c r="AU79" s="18">
        <f t="shared" si="312"/>
        <v>-7799.4726659999997</v>
      </c>
      <c r="AV79" s="18">
        <f t="shared" si="312"/>
        <v>-540.02646599999991</v>
      </c>
      <c r="AW79" s="18">
        <f t="shared" si="312"/>
        <v>-19293.595815999997</v>
      </c>
      <c r="AX79" s="18">
        <f t="shared" si="312"/>
        <v>-12614.905312000001</v>
      </c>
      <c r="AY79" s="18">
        <f t="shared" si="312"/>
        <v>7009.7975820000001</v>
      </c>
      <c r="AZ79" s="18">
        <f t="shared" si="312"/>
        <v>7009.7975820000001</v>
      </c>
      <c r="BA79" s="18">
        <f t="shared" si="312"/>
        <v>7033.9957359999999</v>
      </c>
      <c r="BB79" s="18">
        <f t="shared" si="312"/>
        <v>7033.9957359999999</v>
      </c>
      <c r="BC79" s="18">
        <f t="shared" si="312"/>
        <v>7033.9957359999999</v>
      </c>
      <c r="BD79" s="18">
        <f t="shared" si="312"/>
        <v>7033.9957359999999</v>
      </c>
      <c r="BE79" s="18">
        <f t="shared" si="312"/>
        <v>7033.9957359999999</v>
      </c>
      <c r="BF79" s="18">
        <f t="shared" si="312"/>
        <v>7033.9957359999999</v>
      </c>
      <c r="BG79" s="18">
        <f t="shared" si="312"/>
        <v>-6686.3575819999996</v>
      </c>
    </row>
    <row r="80" spans="2:59" x14ac:dyDescent="0.25">
      <c r="C80" s="97" t="s">
        <v>23</v>
      </c>
      <c r="D80" s="7" t="s">
        <v>423</v>
      </c>
      <c r="E80" s="18">
        <f xml:space="preserve"> 239.56 + 25.513099 * E15</f>
        <v>-13078.277678</v>
      </c>
      <c r="F80" s="18">
        <f t="shared" ref="F80:X80" si="313" xml:space="preserve"> 239.56 + 25.513099 * F15</f>
        <v>-525738.48898399994</v>
      </c>
      <c r="G80" s="18">
        <f t="shared" si="313"/>
        <v>239.56</v>
      </c>
      <c r="H80" s="18">
        <f t="shared" si="313"/>
        <v>-66.597188000000017</v>
      </c>
      <c r="I80" s="18">
        <f t="shared" si="313"/>
        <v>-3842.53584</v>
      </c>
      <c r="J80" s="18">
        <f t="shared" si="313"/>
        <v>-3714.9703450000002</v>
      </c>
      <c r="K80" s="18">
        <f t="shared" si="313"/>
        <v>-3536.3786520000003</v>
      </c>
      <c r="L80" s="18">
        <f t="shared" si="313"/>
        <v>-3408.813157</v>
      </c>
      <c r="M80" s="18">
        <f t="shared" si="313"/>
        <v>-31320.143463</v>
      </c>
      <c r="N80" s="18">
        <f t="shared" si="313"/>
        <v>-125973.74075300001</v>
      </c>
      <c r="O80" s="18">
        <f t="shared" si="313"/>
        <v>-125642.070466</v>
      </c>
      <c r="P80" s="18">
        <f t="shared" si="313"/>
        <v>-366664.31671899999</v>
      </c>
      <c r="Q80" s="18">
        <f t="shared" si="313"/>
        <v>-669351.72325499996</v>
      </c>
      <c r="R80" s="18">
        <f t="shared" si="313"/>
        <v>-669377.23635399994</v>
      </c>
      <c r="S80" s="18">
        <f t="shared" si="313"/>
        <v>-946270.8998009999</v>
      </c>
      <c r="T80" s="18">
        <f t="shared" si="313"/>
        <v>-946347.43909799994</v>
      </c>
      <c r="U80" s="18">
        <f t="shared" si="313"/>
        <v>-946551.54388999997</v>
      </c>
      <c r="V80" s="18">
        <f t="shared" si="313"/>
        <v>-2117781.379683</v>
      </c>
      <c r="W80" s="18">
        <f t="shared" si="313"/>
        <v>-3765.9965430000002</v>
      </c>
      <c r="X80" s="18">
        <f t="shared" si="313"/>
        <v>-2184.184405</v>
      </c>
      <c r="Y80" s="18">
        <f xml:space="preserve"> 239.56 + 25.513099 * Y15</f>
        <v>-6980.6470169999993</v>
      </c>
      <c r="Z80" s="18">
        <f t="shared" ref="Z80:AE80" si="314" xml:space="preserve"> 239.56 + 25.513099 * Z15</f>
        <v>14118.685856</v>
      </c>
      <c r="AA80" s="18">
        <f t="shared" si="314"/>
        <v>239.56</v>
      </c>
      <c r="AB80" s="18">
        <f t="shared" si="314"/>
        <v>-14124.314737000001</v>
      </c>
      <c r="AC80" s="18">
        <f t="shared" si="314"/>
        <v>-6419.3588389999995</v>
      </c>
      <c r="AD80" s="18">
        <f t="shared" si="314"/>
        <v>-3459.8393550000001</v>
      </c>
      <c r="AE80" s="18">
        <f t="shared" si="314"/>
        <v>-6980.6470169999993</v>
      </c>
      <c r="AF80" s="18">
        <f t="shared" ref="AF80:BG80" si="315" xml:space="preserve"> 239.56 + 25.513099 * AF15</f>
        <v>-1980.0796129999999</v>
      </c>
      <c r="AG80" s="18">
        <f t="shared" si="315"/>
        <v>-2031.1058109999999</v>
      </c>
      <c r="AH80" s="18">
        <f t="shared" si="315"/>
        <v>-2541.3677910000001</v>
      </c>
      <c r="AI80" s="18">
        <f t="shared" si="315"/>
        <v>-2209.6975040000002</v>
      </c>
      <c r="AJ80" s="18">
        <f t="shared" si="315"/>
        <v>-1852.5141180000001</v>
      </c>
      <c r="AK80" s="18">
        <f t="shared" si="315"/>
        <v>-57190.425849000007</v>
      </c>
      <c r="AL80" s="18">
        <f t="shared" si="315"/>
        <v>-2694.4463850000002</v>
      </c>
      <c r="AM80" s="18">
        <f t="shared" si="315"/>
        <v>-434427.107663</v>
      </c>
      <c r="AN80" s="18">
        <f t="shared" si="315"/>
        <v>316.09929699999998</v>
      </c>
      <c r="AO80" s="18">
        <f t="shared" si="315"/>
        <v>-630546.29967599991</v>
      </c>
      <c r="AP80" s="18">
        <f t="shared" si="315"/>
        <v>7408.7408190000006</v>
      </c>
      <c r="AQ80" s="18">
        <f t="shared" si="315"/>
        <v>7408.7408190000006</v>
      </c>
      <c r="AR80" s="18">
        <f t="shared" si="315"/>
        <v>7434.2539180000003</v>
      </c>
      <c r="AS80" s="18">
        <f t="shared" si="315"/>
        <v>7434.2539180000003</v>
      </c>
      <c r="AT80" s="18">
        <f t="shared" si="315"/>
        <v>7434.2539180000003</v>
      </c>
      <c r="AU80" s="18">
        <f t="shared" si="315"/>
        <v>-8154.2495709999994</v>
      </c>
      <c r="AV80" s="18">
        <f t="shared" si="315"/>
        <v>-500.31987099999998</v>
      </c>
      <c r="AW80" s="18">
        <f t="shared" si="315"/>
        <v>-20272.971595999999</v>
      </c>
      <c r="AX80" s="18">
        <f t="shared" si="315"/>
        <v>-13231.356272000001</v>
      </c>
      <c r="AY80" s="18">
        <f t="shared" si="315"/>
        <v>7459.7670170000001</v>
      </c>
      <c r="AZ80" s="18">
        <f t="shared" si="315"/>
        <v>7459.7670170000001</v>
      </c>
      <c r="BA80" s="18">
        <f t="shared" si="315"/>
        <v>7485.2801160000008</v>
      </c>
      <c r="BB80" s="18">
        <f t="shared" si="315"/>
        <v>7485.2801160000008</v>
      </c>
      <c r="BC80" s="18">
        <f t="shared" si="315"/>
        <v>7485.2801160000008</v>
      </c>
      <c r="BD80" s="18">
        <f t="shared" si="315"/>
        <v>7485.2801160000008</v>
      </c>
      <c r="BE80" s="18">
        <f t="shared" si="315"/>
        <v>7485.2801160000008</v>
      </c>
      <c r="BF80" s="18">
        <f t="shared" si="315"/>
        <v>7485.2801160000008</v>
      </c>
      <c r="BG80" s="18">
        <f t="shared" si="315"/>
        <v>-6980.6470169999993</v>
      </c>
    </row>
    <row r="81" spans="2:59" x14ac:dyDescent="0.25">
      <c r="B81" s="35"/>
      <c r="C81" s="98" t="s">
        <v>24</v>
      </c>
      <c r="D81" s="86" t="s">
        <v>424</v>
      </c>
      <c r="E81" s="87">
        <f xml:space="preserve"> 331.55 + 3.592518 * E15</f>
        <v>-1543.7443960000001</v>
      </c>
      <c r="F81" s="87">
        <f t="shared" ref="F81:X81" si="316" xml:space="preserve"> 331.55 + 3.592518 * F15</f>
        <v>-73731.801087999993</v>
      </c>
      <c r="G81" s="87">
        <f t="shared" si="316"/>
        <v>331.55</v>
      </c>
      <c r="H81" s="87">
        <f t="shared" si="316"/>
        <v>288.43978400000003</v>
      </c>
      <c r="I81" s="87">
        <f t="shared" si="316"/>
        <v>-243.25287999999995</v>
      </c>
      <c r="J81" s="87">
        <f t="shared" si="316"/>
        <v>-225.29028999999997</v>
      </c>
      <c r="K81" s="87">
        <f t="shared" si="316"/>
        <v>-200.14266400000002</v>
      </c>
      <c r="L81" s="87">
        <f t="shared" si="316"/>
        <v>-182.18007400000005</v>
      </c>
      <c r="M81" s="87">
        <f t="shared" si="316"/>
        <v>-4112.3947660000003</v>
      </c>
      <c r="N81" s="87">
        <f t="shared" si="316"/>
        <v>-17440.636546000002</v>
      </c>
      <c r="O81" s="87">
        <f t="shared" si="316"/>
        <v>-17393.933812000003</v>
      </c>
      <c r="P81" s="87">
        <f t="shared" si="316"/>
        <v>-51332.451357999998</v>
      </c>
      <c r="Q81" s="87">
        <f t="shared" si="316"/>
        <v>-93954.084910000005</v>
      </c>
      <c r="R81" s="87">
        <f t="shared" si="316"/>
        <v>-93957.677427999995</v>
      </c>
      <c r="S81" s="87">
        <f t="shared" si="316"/>
        <v>-132947.27528200002</v>
      </c>
      <c r="T81" s="87">
        <f t="shared" si="316"/>
        <v>-132958.05283600002</v>
      </c>
      <c r="U81" s="87">
        <f t="shared" si="316"/>
        <v>-132986.79298000003</v>
      </c>
      <c r="V81" s="87">
        <f t="shared" si="316"/>
        <v>-297908.51680600003</v>
      </c>
      <c r="W81" s="87">
        <f t="shared" si="316"/>
        <v>-232.47532600000005</v>
      </c>
      <c r="X81" s="87">
        <f t="shared" si="316"/>
        <v>-9.7392100000000141</v>
      </c>
      <c r="Y81" s="87">
        <f xml:space="preserve"> 331.55 + 3.592518 * Y15</f>
        <v>-685.13259399999993</v>
      </c>
      <c r="Z81" s="87">
        <f t="shared" ref="Z81:AE81" si="317" xml:space="preserve"> 331.55 + 3.592518 * Z15</f>
        <v>2285.8797920000002</v>
      </c>
      <c r="AA81" s="87">
        <f t="shared" si="317"/>
        <v>331.55</v>
      </c>
      <c r="AB81" s="87">
        <f t="shared" si="317"/>
        <v>-1691.037634</v>
      </c>
      <c r="AC81" s="87">
        <f t="shared" si="317"/>
        <v>-606.09719799999993</v>
      </c>
      <c r="AD81" s="87">
        <f t="shared" si="317"/>
        <v>-189.36511000000002</v>
      </c>
      <c r="AE81" s="87">
        <f t="shared" si="317"/>
        <v>-685.13259399999993</v>
      </c>
      <c r="AF81" s="87">
        <f t="shared" ref="AF81:BG81" si="318" xml:space="preserve"> 331.55 + 3.592518 * AF15</f>
        <v>19.000934000000029</v>
      </c>
      <c r="AG81" s="87">
        <f t="shared" si="318"/>
        <v>11.815898000000004</v>
      </c>
      <c r="AH81" s="87">
        <f t="shared" si="318"/>
        <v>-60.034462000000019</v>
      </c>
      <c r="AI81" s="87">
        <f t="shared" si="318"/>
        <v>-13.331727999999998</v>
      </c>
      <c r="AJ81" s="87">
        <f t="shared" si="318"/>
        <v>36.963524000000007</v>
      </c>
      <c r="AK81" s="87">
        <f t="shared" si="318"/>
        <v>-7755.2080180000003</v>
      </c>
      <c r="AL81" s="87">
        <f t="shared" si="318"/>
        <v>-81.589569999999981</v>
      </c>
      <c r="AM81" s="87">
        <f t="shared" si="318"/>
        <v>-60874.179166000002</v>
      </c>
      <c r="AN81" s="87">
        <f t="shared" si="318"/>
        <v>342.32755400000002</v>
      </c>
      <c r="AO81" s="87">
        <f t="shared" si="318"/>
        <v>-88489.865032000002</v>
      </c>
      <c r="AP81" s="87">
        <f t="shared" si="318"/>
        <v>1341.047558</v>
      </c>
      <c r="AQ81" s="87">
        <f t="shared" si="318"/>
        <v>1341.047558</v>
      </c>
      <c r="AR81" s="87">
        <f t="shared" si="318"/>
        <v>1344.6400760000001</v>
      </c>
      <c r="AS81" s="87">
        <f t="shared" si="318"/>
        <v>1344.6400760000001</v>
      </c>
      <c r="AT81" s="87">
        <f t="shared" si="318"/>
        <v>1344.6400760000001</v>
      </c>
      <c r="AU81" s="87">
        <f t="shared" si="318"/>
        <v>-850.38842199999999</v>
      </c>
      <c r="AV81" s="87">
        <f t="shared" si="318"/>
        <v>227.36697800000002</v>
      </c>
      <c r="AW81" s="87">
        <f t="shared" si="318"/>
        <v>-2556.834472</v>
      </c>
      <c r="AX81" s="87">
        <f t="shared" si="318"/>
        <v>-1565.2995040000001</v>
      </c>
      <c r="AY81" s="87">
        <f t="shared" si="318"/>
        <v>1348.2325940000001</v>
      </c>
      <c r="AZ81" s="87">
        <f t="shared" si="318"/>
        <v>1348.2325940000001</v>
      </c>
      <c r="BA81" s="87">
        <f t="shared" si="318"/>
        <v>1351.825112</v>
      </c>
      <c r="BB81" s="87">
        <f t="shared" si="318"/>
        <v>1351.825112</v>
      </c>
      <c r="BC81" s="87">
        <f t="shared" si="318"/>
        <v>1351.825112</v>
      </c>
      <c r="BD81" s="87">
        <f t="shared" si="318"/>
        <v>1351.825112</v>
      </c>
      <c r="BE81" s="87">
        <f t="shared" si="318"/>
        <v>1351.825112</v>
      </c>
      <c r="BF81" s="87">
        <f t="shared" si="318"/>
        <v>1351.825112</v>
      </c>
      <c r="BG81" s="87">
        <f t="shared" si="318"/>
        <v>-685.13259399999993</v>
      </c>
    </row>
    <row r="82" spans="2:59" x14ac:dyDescent="0.25">
      <c r="B82">
        <v>352</v>
      </c>
      <c r="C82" t="s">
        <v>157</v>
      </c>
    </row>
    <row r="83" spans="2:59" x14ac:dyDescent="0.25">
      <c r="C83" s="97" t="s">
        <v>143</v>
      </c>
      <c r="D83" s="7" t="s">
        <v>411</v>
      </c>
      <c r="E83" s="18">
        <f t="shared" ref="E83:AJ83" si="319">0.000325 * SIN( E68  * Deg2Rad )</f>
        <v>-2.9136158351353222E-4</v>
      </c>
      <c r="F83" s="18">
        <f t="shared" si="319"/>
        <v>-2.8931441506146441E-4</v>
      </c>
      <c r="G83" s="18">
        <f t="shared" si="319"/>
        <v>-2.8210830354301618E-4</v>
      </c>
      <c r="H83" s="18">
        <f t="shared" si="319"/>
        <v>-2.8566669227805499E-4</v>
      </c>
      <c r="I83" s="18">
        <f t="shared" si="319"/>
        <v>-3.1719203320486149E-4</v>
      </c>
      <c r="J83" s="18">
        <f t="shared" si="319"/>
        <v>-3.165143765478451E-4</v>
      </c>
      <c r="K83" s="18">
        <f t="shared" si="319"/>
        <v>-3.1551895386765883E-4</v>
      </c>
      <c r="L83" s="18">
        <f t="shared" si="319"/>
        <v>-3.1477466314437327E-4</v>
      </c>
      <c r="M83" s="18">
        <f t="shared" si="319"/>
        <v>7.3677537491411967E-5</v>
      </c>
      <c r="N83" s="18">
        <f t="shared" si="319"/>
        <v>2.5513709467503811E-4</v>
      </c>
      <c r="O83" s="18">
        <f t="shared" si="319"/>
        <v>2.5015282330967555E-4</v>
      </c>
      <c r="P83" s="18">
        <f t="shared" si="319"/>
        <v>-7.8049090292208088E-5</v>
      </c>
      <c r="Q83" s="18">
        <f t="shared" si="319"/>
        <v>-1.8612912086531814E-5</v>
      </c>
      <c r="R83" s="18">
        <f t="shared" si="319"/>
        <v>-1.9222913834681774E-5</v>
      </c>
      <c r="S83" s="18">
        <f t="shared" si="319"/>
        <v>-3.2448937807414151E-4</v>
      </c>
      <c r="T83" s="18">
        <f t="shared" si="319"/>
        <v>-3.2438136356906488E-4</v>
      </c>
      <c r="U83" s="18">
        <f t="shared" si="319"/>
        <v>-3.240427612110397E-4</v>
      </c>
      <c r="V83" s="18">
        <f t="shared" si="319"/>
        <v>-1.0175020585672238E-4</v>
      </c>
      <c r="W83" s="18">
        <f t="shared" si="319"/>
        <v>-3.1678877954302521E-4</v>
      </c>
      <c r="X83" s="18">
        <f t="shared" si="319"/>
        <v>-3.0623295994977189E-4</v>
      </c>
      <c r="Y83" s="18">
        <f t="shared" si="319"/>
        <v>-3.2498054364023536E-4</v>
      </c>
      <c r="Z83" s="18">
        <f t="shared" si="319"/>
        <v>-1.0218829377140119E-5</v>
      </c>
      <c r="AA83" s="18">
        <f t="shared" si="319"/>
        <v>-2.8210830354301618E-4</v>
      </c>
      <c r="AB83" s="18">
        <f t="shared" si="319"/>
        <v>-2.7944444511244468E-4</v>
      </c>
      <c r="AC83" s="18">
        <f t="shared" si="319"/>
        <v>-3.2485081467216529E-4</v>
      </c>
      <c r="AD83" s="18">
        <f t="shared" si="319"/>
        <v>-3.1507570173856445E-4</v>
      </c>
      <c r="AE83" s="18">
        <f t="shared" si="319"/>
        <v>-3.2498054364023536E-4</v>
      </c>
      <c r="AF83" s="18">
        <f t="shared" si="319"/>
        <v>-3.0456627943157096E-4</v>
      </c>
      <c r="AG83" s="18">
        <f t="shared" si="319"/>
        <v>-3.0498938620029579E-4</v>
      </c>
      <c r="AH83" s="18">
        <f t="shared" si="319"/>
        <v>-3.0898370726368455E-4</v>
      </c>
      <c r="AI83" s="18">
        <f t="shared" si="319"/>
        <v>-3.0643645987350629E-4</v>
      </c>
      <c r="AJ83" s="18">
        <f t="shared" si="319"/>
        <v>-3.0348979531319209E-4</v>
      </c>
      <c r="AK83" s="18">
        <f t="shared" ref="AK83:BG83" si="320">0.000325 * SIN( AK68  * Deg2Rad )</f>
        <v>2.7550799482206596E-4</v>
      </c>
      <c r="AL83" s="18">
        <f t="shared" si="320"/>
        <v>-3.100975576838866E-4</v>
      </c>
      <c r="AM83" s="18">
        <f t="shared" si="320"/>
        <v>-3.2482495860019595E-4</v>
      </c>
      <c r="AN83" s="18">
        <f t="shared" si="320"/>
        <v>-2.8119632986505139E-4</v>
      </c>
      <c r="AO83" s="18">
        <f t="shared" si="320"/>
        <v>1.0822377887333498E-4</v>
      </c>
      <c r="AP83" s="18">
        <f t="shared" si="320"/>
        <v>-1.6273978988913765E-4</v>
      </c>
      <c r="AQ83" s="18">
        <f t="shared" si="320"/>
        <v>-1.6273978988913765E-4</v>
      </c>
      <c r="AR83" s="18">
        <f t="shared" si="320"/>
        <v>-1.6221215243472005E-4</v>
      </c>
      <c r="AS83" s="18">
        <f t="shared" si="320"/>
        <v>-1.6221215243472005E-4</v>
      </c>
      <c r="AT83" s="18">
        <f t="shared" si="320"/>
        <v>-1.6221215243472005E-4</v>
      </c>
      <c r="AU83" s="18">
        <f t="shared" si="320"/>
        <v>-3.2346663270591317E-4</v>
      </c>
      <c r="AV83" s="18">
        <f t="shared" si="320"/>
        <v>-2.9045988761926408E-4</v>
      </c>
      <c r="AW83" s="18">
        <f t="shared" si="320"/>
        <v>-1.7895402842422797E-4</v>
      </c>
      <c r="AX83" s="18">
        <f t="shared" si="320"/>
        <v>-2.8972351643311397E-4</v>
      </c>
      <c r="AY83" s="18">
        <f t="shared" si="320"/>
        <v>-1.6168394502737041E-4</v>
      </c>
      <c r="AZ83" s="18">
        <f t="shared" si="320"/>
        <v>-1.6168394502737041E-4</v>
      </c>
      <c r="BA83" s="18">
        <f t="shared" si="320"/>
        <v>-1.6115516952339438E-4</v>
      </c>
      <c r="BB83" s="18">
        <f t="shared" si="320"/>
        <v>-1.6115516952339438E-4</v>
      </c>
      <c r="BC83" s="18">
        <f t="shared" si="320"/>
        <v>-1.6115516952339438E-4</v>
      </c>
      <c r="BD83" s="18">
        <f t="shared" si="320"/>
        <v>-1.6115516952339438E-4</v>
      </c>
      <c r="BE83" s="18">
        <f t="shared" si="320"/>
        <v>-1.6115516952339438E-4</v>
      </c>
      <c r="BF83" s="18">
        <f t="shared" si="320"/>
        <v>-1.6115516952339438E-4</v>
      </c>
      <c r="BG83" s="18">
        <f t="shared" si="320"/>
        <v>-3.2498054364023536E-4</v>
      </c>
    </row>
    <row r="84" spans="2:59" x14ac:dyDescent="0.25">
      <c r="C84" s="97" t="s">
        <v>144</v>
      </c>
      <c r="D84" s="7" t="s">
        <v>412</v>
      </c>
      <c r="E84" s="18">
        <f t="shared" ref="E84:AJ84" si="321">0.000165 * SIN( E69  * Deg2Rad )</f>
        <v>-1.4748440054857226E-4</v>
      </c>
      <c r="F84" s="18">
        <f t="shared" si="321"/>
        <v>-1.6426602555558951E-4</v>
      </c>
      <c r="G84" s="18">
        <f t="shared" si="321"/>
        <v>-1.5681719248620955E-4</v>
      </c>
      <c r="H84" s="18">
        <f t="shared" si="321"/>
        <v>-1.5664086390820145E-4</v>
      </c>
      <c r="I84" s="18">
        <f t="shared" si="321"/>
        <v>-1.5431631954388603E-4</v>
      </c>
      <c r="J84" s="18">
        <f t="shared" si="321"/>
        <v>-1.5439935184922559E-4</v>
      </c>
      <c r="K84" s="18">
        <f t="shared" si="321"/>
        <v>-1.5451507084865087E-4</v>
      </c>
      <c r="L84" s="18">
        <f t="shared" si="321"/>
        <v>-1.5459735117159693E-4</v>
      </c>
      <c r="M84" s="18">
        <f t="shared" si="321"/>
        <v>-1.2947189856140869E-4</v>
      </c>
      <c r="N84" s="18">
        <f t="shared" si="321"/>
        <v>2.5413365730499856E-5</v>
      </c>
      <c r="O84" s="18">
        <f t="shared" si="321"/>
        <v>2.4809469312484029E-5</v>
      </c>
      <c r="P84" s="18">
        <f t="shared" si="321"/>
        <v>4.8702960321891576E-5</v>
      </c>
      <c r="Q84" s="18">
        <f t="shared" si="321"/>
        <v>-1.0174632284324168E-5</v>
      </c>
      <c r="R84" s="18">
        <f t="shared" si="321"/>
        <v>-1.0127720212302158E-5</v>
      </c>
      <c r="S84" s="18">
        <f t="shared" si="321"/>
        <v>1.8355801824787769E-5</v>
      </c>
      <c r="T84" s="18">
        <f t="shared" si="321"/>
        <v>1.8215667063711662E-5</v>
      </c>
      <c r="U84" s="18">
        <f t="shared" si="321"/>
        <v>1.7841909610667011E-5</v>
      </c>
      <c r="V84" s="18">
        <f t="shared" si="321"/>
        <v>-6.4577866111491502E-5</v>
      </c>
      <c r="W84" s="18">
        <f t="shared" si="321"/>
        <v>-1.5436617650270307E-4</v>
      </c>
      <c r="X84" s="18">
        <f t="shared" si="321"/>
        <v>-1.5537126170674304E-4</v>
      </c>
      <c r="Y84" s="18">
        <f t="shared" si="321"/>
        <v>-1.5217558240718818E-4</v>
      </c>
      <c r="Z84" s="18">
        <f t="shared" si="321"/>
        <v>-1.6285839073346229E-4</v>
      </c>
      <c r="AA84" s="18">
        <f t="shared" si="321"/>
        <v>-1.5681719248620955E-4</v>
      </c>
      <c r="AB84" s="18">
        <f t="shared" si="321"/>
        <v>-1.4661032021178795E-4</v>
      </c>
      <c r="AC84" s="18">
        <f t="shared" si="321"/>
        <v>-1.5257227445656453E-4</v>
      </c>
      <c r="AD84" s="18">
        <f t="shared" si="321"/>
        <v>-1.5456447666631576E-4</v>
      </c>
      <c r="AE84" s="18">
        <f t="shared" si="321"/>
        <v>-1.5217558240718818E-4</v>
      </c>
      <c r="AF84" s="18">
        <f t="shared" si="321"/>
        <v>-1.5549742665309967E-4</v>
      </c>
      <c r="AG84" s="18">
        <f t="shared" si="321"/>
        <v>-1.5546596109563488E-4</v>
      </c>
      <c r="AH84" s="18">
        <f t="shared" si="321"/>
        <v>-1.5514853193775266E-4</v>
      </c>
      <c r="AI84" s="18">
        <f t="shared" si="321"/>
        <v>-1.5535543434254975E-4</v>
      </c>
      <c r="AJ84" s="18">
        <f t="shared" si="321"/>
        <v>-1.5557586971915423E-4</v>
      </c>
      <c r="AK84" s="18">
        <f t="shared" ref="AK84:BG84" si="322">0.000165 * SIN( AK69  * Deg2Rad )</f>
        <v>-9.4973452728173134E-5</v>
      </c>
      <c r="AL84" s="18">
        <f t="shared" si="322"/>
        <v>-1.5505232076735824E-4</v>
      </c>
      <c r="AM84" s="18">
        <f t="shared" si="322"/>
        <v>-7.2799049378476126E-5</v>
      </c>
      <c r="AN84" s="18">
        <f t="shared" si="322"/>
        <v>-1.5686098840895132E-4</v>
      </c>
      <c r="AO84" s="18">
        <f t="shared" si="322"/>
        <v>-7.8375623335504924E-5</v>
      </c>
      <c r="AP84" s="18">
        <f t="shared" si="322"/>
        <v>-1.60418286749277E-4</v>
      </c>
      <c r="AQ84" s="18">
        <f t="shared" si="322"/>
        <v>-1.60418286749277E-4</v>
      </c>
      <c r="AR84" s="18">
        <f t="shared" si="322"/>
        <v>-1.6042927938917268E-4</v>
      </c>
      <c r="AS84" s="18">
        <f t="shared" si="322"/>
        <v>-1.6042927938917268E-4</v>
      </c>
      <c r="AT84" s="18">
        <f t="shared" si="322"/>
        <v>-1.6042927938917268E-4</v>
      </c>
      <c r="AU84" s="18">
        <f t="shared" si="322"/>
        <v>-1.5132684192502822E-4</v>
      </c>
      <c r="AV84" s="18">
        <f t="shared" si="322"/>
        <v>-1.563879325154381E-4</v>
      </c>
      <c r="AW84" s="18">
        <f t="shared" si="322"/>
        <v>-1.4107228349996415E-4</v>
      </c>
      <c r="AX84" s="18">
        <f t="shared" si="322"/>
        <v>-1.4735774008453321E-4</v>
      </c>
      <c r="AY84" s="18">
        <f t="shared" si="322"/>
        <v>-1.6044025901143922E-4</v>
      </c>
      <c r="AZ84" s="18">
        <f t="shared" si="322"/>
        <v>-1.6044025901143922E-4</v>
      </c>
      <c r="BA84" s="18">
        <f t="shared" si="322"/>
        <v>-1.604512256151857E-4</v>
      </c>
      <c r="BB84" s="18">
        <f t="shared" si="322"/>
        <v>-1.604512256151857E-4</v>
      </c>
      <c r="BC84" s="18">
        <f t="shared" si="322"/>
        <v>-1.604512256151857E-4</v>
      </c>
      <c r="BD84" s="18">
        <f t="shared" si="322"/>
        <v>-1.604512256151857E-4</v>
      </c>
      <c r="BE84" s="18">
        <f t="shared" si="322"/>
        <v>-1.604512256151857E-4</v>
      </c>
      <c r="BF84" s="18">
        <f t="shared" si="322"/>
        <v>-1.604512256151857E-4</v>
      </c>
      <c r="BG84" s="18">
        <f t="shared" si="322"/>
        <v>-1.5217558240718818E-4</v>
      </c>
    </row>
    <row r="85" spans="2:59" x14ac:dyDescent="0.25">
      <c r="C85" s="97" t="s">
        <v>145</v>
      </c>
      <c r="D85" s="7" t="s">
        <v>413</v>
      </c>
      <c r="E85" s="18">
        <f t="shared" ref="E85:AJ85" si="323">0.000164 * SIN( E70  * Deg2Rad )</f>
        <v>5.4867095517948452E-5</v>
      </c>
      <c r="F85" s="18">
        <f t="shared" si="323"/>
        <v>6.5268239159877218E-5</v>
      </c>
      <c r="G85" s="18">
        <f t="shared" si="323"/>
        <v>-1.558222153543882E-4</v>
      </c>
      <c r="H85" s="18">
        <f t="shared" si="323"/>
        <v>-1.5205025054317896E-4</v>
      </c>
      <c r="I85" s="18">
        <f t="shared" si="323"/>
        <v>-1.3006072430929384E-4</v>
      </c>
      <c r="J85" s="18">
        <f t="shared" si="323"/>
        <v>1.6188470109229183E-4</v>
      </c>
      <c r="K85" s="18">
        <f t="shared" si="323"/>
        <v>-1.6382473423060936E-4</v>
      </c>
      <c r="L85" s="18">
        <f t="shared" si="323"/>
        <v>1.0674935916677239E-4</v>
      </c>
      <c r="M85" s="18">
        <f t="shared" si="323"/>
        <v>1.1278009732964364E-4</v>
      </c>
      <c r="N85" s="18">
        <f t="shared" si="323"/>
        <v>4.2584663716843744E-5</v>
      </c>
      <c r="O85" s="18">
        <f t="shared" si="323"/>
        <v>7.8443947253746614E-5</v>
      </c>
      <c r="P85" s="18">
        <f t="shared" si="323"/>
        <v>3.1454034716090558E-5</v>
      </c>
      <c r="Q85" s="18">
        <f t="shared" si="323"/>
        <v>-1.5690238414245932E-4</v>
      </c>
      <c r="R85" s="18">
        <f t="shared" si="323"/>
        <v>-1.1882347356554291E-4</v>
      </c>
      <c r="S85" s="18">
        <f t="shared" si="323"/>
        <v>1.3185173795809399E-4</v>
      </c>
      <c r="T85" s="18">
        <f t="shared" si="323"/>
        <v>-7.3033909842907304E-5</v>
      </c>
      <c r="U85" s="18">
        <f t="shared" si="323"/>
        <v>1.4153828984689234E-4</v>
      </c>
      <c r="V85" s="18">
        <f t="shared" si="323"/>
        <v>-1.5615791384959165E-4</v>
      </c>
      <c r="W85" s="18">
        <f t="shared" si="323"/>
        <v>7.5685887785110256E-5</v>
      </c>
      <c r="X85" s="18">
        <f t="shared" si="323"/>
        <v>-1.4188602441875535E-4</v>
      </c>
      <c r="Y85" s="18">
        <f t="shared" si="323"/>
        <v>-1.6398932491513946E-4</v>
      </c>
      <c r="Z85" s="18">
        <f t="shared" si="323"/>
        <v>-2.7192060257904274E-5</v>
      </c>
      <c r="AA85" s="18">
        <f t="shared" si="323"/>
        <v>-1.558222153543882E-4</v>
      </c>
      <c r="AB85" s="18">
        <f t="shared" si="323"/>
        <v>1.9469926792540203E-5</v>
      </c>
      <c r="AC85" s="18">
        <f t="shared" si="323"/>
        <v>1.1456519081009529E-4</v>
      </c>
      <c r="AD85" s="18">
        <f t="shared" si="323"/>
        <v>-3.6036543485515874E-5</v>
      </c>
      <c r="AE85" s="18">
        <f t="shared" si="323"/>
        <v>-1.6398932491513946E-4</v>
      </c>
      <c r="AF85" s="18">
        <f t="shared" si="323"/>
        <v>1.6375754363540909E-4</v>
      </c>
      <c r="AG85" s="18">
        <f t="shared" si="323"/>
        <v>1.0500469848716683E-4</v>
      </c>
      <c r="AH85" s="18">
        <f t="shared" si="323"/>
        <v>-1.1950073312681137E-4</v>
      </c>
      <c r="AI85" s="18">
        <f t="shared" si="323"/>
        <v>-8.9917561841524165E-5</v>
      </c>
      <c r="AJ85" s="18">
        <f t="shared" si="323"/>
        <v>-1.1871551307073307E-4</v>
      </c>
      <c r="AK85" s="18">
        <f t="shared" ref="AK85:BG85" si="324">0.000164 * SIN( AK70  * Deg2Rad )</f>
        <v>5.1860444429578386E-5</v>
      </c>
      <c r="AL85" s="18">
        <f t="shared" si="324"/>
        <v>1.5080926674479968E-4</v>
      </c>
      <c r="AM85" s="18">
        <f t="shared" si="324"/>
        <v>9.7209574482487172E-5</v>
      </c>
      <c r="AN85" s="18">
        <f t="shared" si="324"/>
        <v>-7.7534501997421191E-5</v>
      </c>
      <c r="AO85" s="18">
        <f t="shared" si="324"/>
        <v>1.5351322405405206E-4</v>
      </c>
      <c r="AP85" s="18">
        <f t="shared" si="324"/>
        <v>-2.8907163477886857E-6</v>
      </c>
      <c r="AQ85" s="18">
        <f t="shared" si="324"/>
        <v>-2.8907163477886857E-6</v>
      </c>
      <c r="AR85" s="18">
        <f t="shared" si="324"/>
        <v>-7.6137400225084159E-5</v>
      </c>
      <c r="AS85" s="18">
        <f t="shared" si="324"/>
        <v>-7.6137400225084159E-5</v>
      </c>
      <c r="AT85" s="18">
        <f t="shared" si="324"/>
        <v>-7.6137400225084159E-5</v>
      </c>
      <c r="AU85" s="18">
        <f t="shared" si="324"/>
        <v>1.3697882027391908E-4</v>
      </c>
      <c r="AV85" s="18">
        <f t="shared" si="324"/>
        <v>-5.3190980502842801E-5</v>
      </c>
      <c r="AW85" s="18">
        <f t="shared" si="324"/>
        <v>1.4704108922424796E-4</v>
      </c>
      <c r="AX85" s="18">
        <f t="shared" si="324"/>
        <v>-1.0461292515950587E-4</v>
      </c>
      <c r="AY85" s="18">
        <f t="shared" si="324"/>
        <v>-1.3320464107148503E-4</v>
      </c>
      <c r="AZ85" s="18">
        <f t="shared" si="324"/>
        <v>-1.3320464107148503E-4</v>
      </c>
      <c r="BA85" s="18">
        <f t="shared" si="324"/>
        <v>-1.6196546621029053E-4</v>
      </c>
      <c r="BB85" s="18">
        <f t="shared" si="324"/>
        <v>-1.6196546621029053E-4</v>
      </c>
      <c r="BC85" s="18">
        <f t="shared" si="324"/>
        <v>-1.6196546621029053E-4</v>
      </c>
      <c r="BD85" s="18">
        <f t="shared" si="324"/>
        <v>-1.6196546621029053E-4</v>
      </c>
      <c r="BE85" s="18">
        <f t="shared" si="324"/>
        <v>-1.6196546621029053E-4</v>
      </c>
      <c r="BF85" s="18">
        <f t="shared" si="324"/>
        <v>-1.6196546621029053E-4</v>
      </c>
      <c r="BG85" s="18">
        <f t="shared" si="324"/>
        <v>-1.6398932491513946E-4</v>
      </c>
    </row>
    <row r="86" spans="2:59" x14ac:dyDescent="0.25">
      <c r="C86" s="97" t="s">
        <v>146</v>
      </c>
      <c r="D86" s="7" t="s">
        <v>414</v>
      </c>
      <c r="E86" s="18">
        <f t="shared" ref="E86:AJ86" si="325">0.000126 * SIN( E71  * Deg2Rad )</f>
        <v>1.1136114091775729E-4</v>
      </c>
      <c r="F86" s="18">
        <f t="shared" si="325"/>
        <v>-1.2599901591707165E-4</v>
      </c>
      <c r="G86" s="18">
        <f t="shared" si="325"/>
        <v>-2.3134637011398236E-5</v>
      </c>
      <c r="H86" s="18">
        <f t="shared" si="325"/>
        <v>-1.2588291136351348E-4</v>
      </c>
      <c r="I86" s="18">
        <f t="shared" si="325"/>
        <v>-1.2255776358865498E-4</v>
      </c>
      <c r="J86" s="18">
        <f t="shared" si="325"/>
        <v>1.2142571395511208E-4</v>
      </c>
      <c r="K86" s="18">
        <f t="shared" si="325"/>
        <v>8.2082700933746605E-7</v>
      </c>
      <c r="L86" s="18">
        <f t="shared" si="325"/>
        <v>-5.3546522308735827E-6</v>
      </c>
      <c r="M86" s="18">
        <f t="shared" si="325"/>
        <v>-1.003830901031831E-4</v>
      </c>
      <c r="N86" s="18">
        <f t="shared" si="325"/>
        <v>-7.5637707511947311E-5</v>
      </c>
      <c r="O86" s="18">
        <f t="shared" si="325"/>
        <v>-6.2516505257073629E-5</v>
      </c>
      <c r="P86" s="18">
        <f t="shared" si="325"/>
        <v>7.8309624777057521E-5</v>
      </c>
      <c r="Q86" s="18">
        <f t="shared" si="325"/>
        <v>7.4176732531331494E-5</v>
      </c>
      <c r="R86" s="18">
        <f t="shared" si="325"/>
        <v>1.2015350584623099E-4</v>
      </c>
      <c r="S86" s="18">
        <f t="shared" si="325"/>
        <v>-4.9026939606786922E-5</v>
      </c>
      <c r="T86" s="18">
        <f t="shared" si="325"/>
        <v>1.2574283915406216E-4</v>
      </c>
      <c r="U86" s="18">
        <f t="shared" si="325"/>
        <v>3.8179468052301393E-5</v>
      </c>
      <c r="V86" s="18">
        <f t="shared" si="325"/>
        <v>1.0287636461818515E-4</v>
      </c>
      <c r="W86" s="18">
        <f t="shared" si="325"/>
        <v>6.7998006876992203E-5</v>
      </c>
      <c r="X86" s="18">
        <f t="shared" si="325"/>
        <v>9.6189183796109093E-5</v>
      </c>
      <c r="Y86" s="18">
        <f t="shared" si="325"/>
        <v>1.0360426120965805E-4</v>
      </c>
      <c r="Z86" s="18">
        <f t="shared" si="325"/>
        <v>-4.8192136263493973E-6</v>
      </c>
      <c r="AA86" s="18">
        <f t="shared" si="325"/>
        <v>-2.3134637011398236E-5</v>
      </c>
      <c r="AB86" s="18">
        <f t="shared" si="325"/>
        <v>2.0133927964638682E-5</v>
      </c>
      <c r="AC86" s="18">
        <f t="shared" si="325"/>
        <v>-5.4766329915010916E-5</v>
      </c>
      <c r="AD86" s="18">
        <f t="shared" si="325"/>
        <v>1.186913510093391E-4</v>
      </c>
      <c r="AE86" s="18">
        <f t="shared" si="325"/>
        <v>1.0360426120965805E-4</v>
      </c>
      <c r="AF86" s="18">
        <f t="shared" si="325"/>
        <v>1.107670477558741E-4</v>
      </c>
      <c r="AG86" s="18">
        <f t="shared" si="325"/>
        <v>-2.4668817810089714E-5</v>
      </c>
      <c r="AH86" s="18">
        <f t="shared" si="325"/>
        <v>-4.214278447462212E-5</v>
      </c>
      <c r="AI86" s="18">
        <f t="shared" si="325"/>
        <v>1.257197529527622E-4</v>
      </c>
      <c r="AJ86" s="18">
        <f t="shared" si="325"/>
        <v>-1.1285655655355052E-4</v>
      </c>
      <c r="AK86" s="18">
        <f t="shared" ref="AK86:BG86" si="326">0.000126 * SIN( AK71  * Deg2Rad )</f>
        <v>1.2174525967290462E-4</v>
      </c>
      <c r="AL86" s="18">
        <f t="shared" si="326"/>
        <v>1.0687150180762251E-4</v>
      </c>
      <c r="AM86" s="18">
        <f t="shared" si="326"/>
        <v>-1.2599997996096905E-4</v>
      </c>
      <c r="AN86" s="18">
        <f t="shared" si="326"/>
        <v>1.2456435451608678E-4</v>
      </c>
      <c r="AO86" s="18">
        <f t="shared" si="326"/>
        <v>1.2586156336278446E-4</v>
      </c>
      <c r="AP86" s="18">
        <f t="shared" si="326"/>
        <v>7.873539796081347E-5</v>
      </c>
      <c r="AQ86" s="18">
        <f t="shared" si="326"/>
        <v>7.873539796081347E-5</v>
      </c>
      <c r="AR86" s="18">
        <f t="shared" si="326"/>
        <v>4.9713565780855209E-6</v>
      </c>
      <c r="AS86" s="18">
        <f t="shared" si="326"/>
        <v>4.9713565780855209E-6</v>
      </c>
      <c r="AT86" s="18">
        <f t="shared" si="326"/>
        <v>4.9713565780855209E-6</v>
      </c>
      <c r="AU86" s="18">
        <f t="shared" si="326"/>
        <v>-1.1818524622838892E-4</v>
      </c>
      <c r="AV86" s="18">
        <f t="shared" si="326"/>
        <v>2.9324592263787383E-5</v>
      </c>
      <c r="AW86" s="18">
        <f t="shared" si="326"/>
        <v>-1.0166100603773512E-4</v>
      </c>
      <c r="AX86" s="18">
        <f t="shared" si="326"/>
        <v>-5.0507682567992541E-5</v>
      </c>
      <c r="AY86" s="18">
        <f t="shared" si="326"/>
        <v>-7.0733854959378605E-5</v>
      </c>
      <c r="AZ86" s="18">
        <f t="shared" si="326"/>
        <v>-7.0733854959378605E-5</v>
      </c>
      <c r="BA86" s="18">
        <f t="shared" si="326"/>
        <v>-1.1881955338807702E-4</v>
      </c>
      <c r="BB86" s="18">
        <f t="shared" si="326"/>
        <v>-1.1881955338807702E-4</v>
      </c>
      <c r="BC86" s="18">
        <f t="shared" si="326"/>
        <v>-1.1881955338807702E-4</v>
      </c>
      <c r="BD86" s="18">
        <f t="shared" si="326"/>
        <v>-1.1881955338807702E-4</v>
      </c>
      <c r="BE86" s="18">
        <f t="shared" si="326"/>
        <v>-1.1881955338807702E-4</v>
      </c>
      <c r="BF86" s="18">
        <f t="shared" si="326"/>
        <v>-1.1881955338807702E-4</v>
      </c>
      <c r="BG86" s="18">
        <f t="shared" si="326"/>
        <v>1.0360426120965805E-4</v>
      </c>
    </row>
    <row r="87" spans="2:59" x14ac:dyDescent="0.25">
      <c r="C87" s="97" t="s">
        <v>147</v>
      </c>
      <c r="D87" s="7" t="s">
        <v>415</v>
      </c>
      <c r="E87" s="18">
        <f t="shared" ref="E87:AJ87" si="327">0.00011 * SIN( E72  * Deg2Rad )</f>
        <v>-9.4285197229819007E-5</v>
      </c>
      <c r="F87" s="18">
        <f t="shared" si="327"/>
        <v>-7.7559846262442969E-5</v>
      </c>
      <c r="G87" s="18">
        <f t="shared" si="327"/>
        <v>1.0952259655726862E-4</v>
      </c>
      <c r="H87" s="18">
        <f t="shared" si="327"/>
        <v>-7.9373865529603257E-5</v>
      </c>
      <c r="I87" s="18">
        <f t="shared" si="327"/>
        <v>8.6279880129678819E-5</v>
      </c>
      <c r="J87" s="18">
        <f t="shared" si="327"/>
        <v>6.6669482645419258E-5</v>
      </c>
      <c r="K87" s="18">
        <f t="shared" si="327"/>
        <v>-1.099996872504878E-4</v>
      </c>
      <c r="L87" s="18">
        <f t="shared" si="327"/>
        <v>2.2419039702318374E-6</v>
      </c>
      <c r="M87" s="18">
        <f t="shared" si="327"/>
        <v>-9.8479037501183613E-5</v>
      </c>
      <c r="N87" s="18">
        <f t="shared" si="327"/>
        <v>3.4713500490432299E-5</v>
      </c>
      <c r="O87" s="18">
        <f t="shared" si="327"/>
        <v>-1.0628989425557272E-4</v>
      </c>
      <c r="P87" s="18">
        <f t="shared" si="327"/>
        <v>-3.6289639745849175E-5</v>
      </c>
      <c r="Q87" s="18">
        <f t="shared" si="327"/>
        <v>-3.4142571007045344E-5</v>
      </c>
      <c r="R87" s="18">
        <f t="shared" si="327"/>
        <v>-6.5104109701191509E-5</v>
      </c>
      <c r="S87" s="18">
        <f t="shared" si="327"/>
        <v>2.1741063447772851E-5</v>
      </c>
      <c r="T87" s="18">
        <f t="shared" si="327"/>
        <v>-7.5327297229941783E-5</v>
      </c>
      <c r="U87" s="18">
        <f t="shared" si="327"/>
        <v>1.6959890957571366E-5</v>
      </c>
      <c r="V87" s="18">
        <f t="shared" si="327"/>
        <v>-9.773297754889359E-5</v>
      </c>
      <c r="W87" s="18">
        <f t="shared" si="327"/>
        <v>1.0558909578863974E-4</v>
      </c>
      <c r="X87" s="18">
        <f t="shared" si="327"/>
        <v>4.6370884392754937E-5</v>
      </c>
      <c r="Y87" s="18">
        <f t="shared" si="327"/>
        <v>-5.1142206744983064E-5</v>
      </c>
      <c r="Z87" s="18">
        <f t="shared" si="327"/>
        <v>-1.0997799810667486E-4</v>
      </c>
      <c r="AA87" s="18">
        <f t="shared" si="327"/>
        <v>1.0952259655726862E-4</v>
      </c>
      <c r="AB87" s="18">
        <f t="shared" si="327"/>
        <v>-1.0965372274731766E-4</v>
      </c>
      <c r="AC87" s="18">
        <f t="shared" si="327"/>
        <v>2.4429530353593398E-5</v>
      </c>
      <c r="AD87" s="18">
        <f t="shared" si="327"/>
        <v>-6.3477590527154251E-5</v>
      </c>
      <c r="AE87" s="18">
        <f t="shared" si="327"/>
        <v>-5.1142206744983064E-5</v>
      </c>
      <c r="AF87" s="18">
        <f t="shared" si="327"/>
        <v>-9.4566879790333009E-5</v>
      </c>
      <c r="AG87" s="18">
        <f t="shared" si="327"/>
        <v>-1.0945701404972261E-4</v>
      </c>
      <c r="AH87" s="18">
        <f t="shared" si="327"/>
        <v>-1.0838830995449164E-4</v>
      </c>
      <c r="AI87" s="18">
        <f t="shared" si="327"/>
        <v>7.5214689864116829E-5</v>
      </c>
      <c r="AJ87" s="18">
        <f t="shared" si="327"/>
        <v>5.7880922749792979E-5</v>
      </c>
      <c r="AK87" s="18">
        <f t="shared" ref="AK87:BG87" si="328">0.00011 * SIN( AK72  * Deg2Rad )</f>
        <v>6.709161128626462E-5</v>
      </c>
      <c r="AL87" s="18">
        <f t="shared" si="328"/>
        <v>5.3425557267197832E-5</v>
      </c>
      <c r="AM87" s="18">
        <f t="shared" si="328"/>
        <v>-7.7735788882197496E-5</v>
      </c>
      <c r="AN87" s="18">
        <f t="shared" si="328"/>
        <v>7.1761797164358415E-5</v>
      </c>
      <c r="AO87" s="18">
        <f t="shared" si="328"/>
        <v>-7.9649684011489508E-5</v>
      </c>
      <c r="AP87" s="18">
        <f t="shared" si="328"/>
        <v>3.6513894469867255E-5</v>
      </c>
      <c r="AQ87" s="18">
        <f t="shared" si="328"/>
        <v>3.6513894469867255E-5</v>
      </c>
      <c r="AR87" s="18">
        <f t="shared" si="328"/>
        <v>2.2664327370165553E-6</v>
      </c>
      <c r="AS87" s="18">
        <f t="shared" si="328"/>
        <v>2.2664327370165553E-6</v>
      </c>
      <c r="AT87" s="18">
        <f t="shared" si="328"/>
        <v>2.2664327370165553E-6</v>
      </c>
      <c r="AU87" s="18">
        <f t="shared" si="328"/>
        <v>-6.2790109105224001E-5</v>
      </c>
      <c r="AV87" s="18">
        <f t="shared" si="328"/>
        <v>-1.09253452530247E-4</v>
      </c>
      <c r="AW87" s="18">
        <f t="shared" si="328"/>
        <v>-4.9671647856516466E-5</v>
      </c>
      <c r="AX87" s="18">
        <f t="shared" si="328"/>
        <v>-2.2430305000998518E-5</v>
      </c>
      <c r="AY87" s="18">
        <f t="shared" si="328"/>
        <v>-3.2207953146722707E-5</v>
      </c>
      <c r="AZ87" s="18">
        <f t="shared" si="328"/>
        <v>-3.2207953146722707E-5</v>
      </c>
      <c r="BA87" s="18">
        <f t="shared" si="328"/>
        <v>-6.3457552210070855E-5</v>
      </c>
      <c r="BB87" s="18">
        <f t="shared" si="328"/>
        <v>-6.3457552210070855E-5</v>
      </c>
      <c r="BC87" s="18">
        <f t="shared" si="328"/>
        <v>-6.3457552210070855E-5</v>
      </c>
      <c r="BD87" s="18">
        <f t="shared" si="328"/>
        <v>-6.3457552210070855E-5</v>
      </c>
      <c r="BE87" s="18">
        <f t="shared" si="328"/>
        <v>-6.3457552210070855E-5</v>
      </c>
      <c r="BF87" s="18">
        <f t="shared" si="328"/>
        <v>-6.3457552210070855E-5</v>
      </c>
      <c r="BG87" s="18">
        <f t="shared" si="328"/>
        <v>-5.1142206744983064E-5</v>
      </c>
    </row>
    <row r="88" spans="2:59" x14ac:dyDescent="0.25">
      <c r="C88" s="97" t="s">
        <v>148</v>
      </c>
      <c r="D88" s="7" t="s">
        <v>416</v>
      </c>
      <c r="E88" s="18">
        <f t="shared" ref="E88:AJ88" si="329">0.000062 * SIN( E73  * Deg2Rad )</f>
        <v>3.7460608293634319E-5</v>
      </c>
      <c r="F88" s="18">
        <f t="shared" si="329"/>
        <v>-4.665181698482703E-5</v>
      </c>
      <c r="G88" s="18">
        <f t="shared" si="329"/>
        <v>3.8392322219539097E-5</v>
      </c>
      <c r="H88" s="18">
        <f t="shared" si="329"/>
        <v>-4.1562233395617685E-5</v>
      </c>
      <c r="I88" s="18">
        <f t="shared" si="329"/>
        <v>-5.933395592744693E-5</v>
      </c>
      <c r="J88" s="18">
        <f t="shared" si="329"/>
        <v>2.1555171738937161E-5</v>
      </c>
      <c r="K88" s="18">
        <f t="shared" si="329"/>
        <v>7.7901003238881468E-6</v>
      </c>
      <c r="L88" s="18">
        <f t="shared" si="329"/>
        <v>6.0922143460754077E-5</v>
      </c>
      <c r="M88" s="18">
        <f t="shared" si="329"/>
        <v>6.1761733487284996E-5</v>
      </c>
      <c r="N88" s="18">
        <f t="shared" si="329"/>
        <v>-3.2868884102675236E-5</v>
      </c>
      <c r="O88" s="18">
        <f t="shared" si="329"/>
        <v>-5.3181184228343103E-5</v>
      </c>
      <c r="P88" s="18">
        <f t="shared" si="329"/>
        <v>2.1417880854918843E-5</v>
      </c>
      <c r="Q88" s="18">
        <f t="shared" si="329"/>
        <v>3.6205820676526549E-5</v>
      </c>
      <c r="R88" s="18">
        <f t="shared" si="329"/>
        <v>6.1991182191662917E-5</v>
      </c>
      <c r="S88" s="18">
        <f t="shared" si="329"/>
        <v>5.9848105789541725E-5</v>
      </c>
      <c r="T88" s="18">
        <f t="shared" si="329"/>
        <v>-5.0645288911928981E-5</v>
      </c>
      <c r="U88" s="18">
        <f t="shared" si="329"/>
        <v>-5.3031569491394337E-5</v>
      </c>
      <c r="V88" s="18">
        <f t="shared" si="329"/>
        <v>3.7672006234336507E-5</v>
      </c>
      <c r="W88" s="18">
        <f t="shared" si="329"/>
        <v>4.9546612542982025E-5</v>
      </c>
      <c r="X88" s="18">
        <f t="shared" si="329"/>
        <v>5.4802704620912312E-5</v>
      </c>
      <c r="Y88" s="18">
        <f t="shared" si="329"/>
        <v>3.4903126949178804E-6</v>
      </c>
      <c r="Z88" s="18">
        <f t="shared" si="329"/>
        <v>-2.2227476366006668E-5</v>
      </c>
      <c r="AA88" s="18">
        <f t="shared" si="329"/>
        <v>3.8392322219539097E-5</v>
      </c>
      <c r="AB88" s="18">
        <f t="shared" si="329"/>
        <v>1.2590747968745712E-5</v>
      </c>
      <c r="AC88" s="18">
        <f t="shared" si="329"/>
        <v>-6.1997203082116766E-5</v>
      </c>
      <c r="AD88" s="18">
        <f t="shared" si="329"/>
        <v>-2.8442806089558211E-5</v>
      </c>
      <c r="AE88" s="18">
        <f t="shared" si="329"/>
        <v>3.4903126949178804E-6</v>
      </c>
      <c r="AF88" s="18">
        <f t="shared" si="329"/>
        <v>-4.6615465728996271E-6</v>
      </c>
      <c r="AG88" s="18">
        <f t="shared" si="329"/>
        <v>6.0577835350675113E-5</v>
      </c>
      <c r="AH88" s="18">
        <f t="shared" si="329"/>
        <v>6.1974944184141557E-5</v>
      </c>
      <c r="AI88" s="18">
        <f t="shared" si="329"/>
        <v>5.5996565242048199E-5</v>
      </c>
      <c r="AJ88" s="18">
        <f t="shared" si="329"/>
        <v>6.1993482533692203E-5</v>
      </c>
      <c r="AK88" s="18">
        <f t="shared" ref="AK88:BG88" si="330">0.000062 * SIN( AK73  * Deg2Rad )</f>
        <v>3.5518716913631604E-5</v>
      </c>
      <c r="AL88" s="18">
        <f t="shared" si="330"/>
        <v>4.6214942531295424E-5</v>
      </c>
      <c r="AM88" s="18">
        <f t="shared" si="330"/>
        <v>-5.9775790269290291E-5</v>
      </c>
      <c r="AN88" s="18">
        <f t="shared" si="330"/>
        <v>-5.2777953896994129E-5</v>
      </c>
      <c r="AO88" s="18">
        <f t="shared" si="330"/>
        <v>-3.9274467331522076E-5</v>
      </c>
      <c r="AP88" s="18">
        <f t="shared" si="330"/>
        <v>1.0783270491477518E-7</v>
      </c>
      <c r="AQ88" s="18">
        <f t="shared" si="330"/>
        <v>1.0783270491477518E-7</v>
      </c>
      <c r="AR88" s="18">
        <f t="shared" si="330"/>
        <v>4.977689117014652E-5</v>
      </c>
      <c r="AS88" s="18">
        <f t="shared" si="330"/>
        <v>4.977689117014652E-5</v>
      </c>
      <c r="AT88" s="18">
        <f t="shared" si="330"/>
        <v>4.977689117014652E-5</v>
      </c>
      <c r="AU88" s="18">
        <f t="shared" si="330"/>
        <v>-5.6098973623149277E-5</v>
      </c>
      <c r="AV88" s="18">
        <f t="shared" si="330"/>
        <v>3.6381939268087742E-5</v>
      </c>
      <c r="AW88" s="18">
        <f t="shared" si="330"/>
        <v>5.0470061690950582E-5</v>
      </c>
      <c r="AX88" s="18">
        <f t="shared" si="330"/>
        <v>6.0494755677306117E-5</v>
      </c>
      <c r="AY88" s="18">
        <f t="shared" si="330"/>
        <v>5.9382757520269123E-5</v>
      </c>
      <c r="AZ88" s="18">
        <f t="shared" si="330"/>
        <v>5.9382757520269123E-5</v>
      </c>
      <c r="BA88" s="18">
        <f t="shared" si="330"/>
        <v>2.1194099806456781E-5</v>
      </c>
      <c r="BB88" s="18">
        <f t="shared" si="330"/>
        <v>2.1194099806456781E-5</v>
      </c>
      <c r="BC88" s="18">
        <f t="shared" si="330"/>
        <v>2.1194099806456781E-5</v>
      </c>
      <c r="BD88" s="18">
        <f t="shared" si="330"/>
        <v>2.1194099806456781E-5</v>
      </c>
      <c r="BE88" s="18">
        <f t="shared" si="330"/>
        <v>2.1194099806456781E-5</v>
      </c>
      <c r="BF88" s="18">
        <f t="shared" si="330"/>
        <v>2.1194099806456781E-5</v>
      </c>
      <c r="BG88" s="18">
        <f t="shared" si="330"/>
        <v>3.4903126949178804E-6</v>
      </c>
    </row>
    <row r="89" spans="2:59" x14ac:dyDescent="0.25">
      <c r="C89" s="97" t="s">
        <v>149</v>
      </c>
      <c r="D89" s="7" t="s">
        <v>417</v>
      </c>
      <c r="E89" s="18">
        <f t="shared" ref="E89:AJ89" si="331">0.00006 * SIN( E74  * Deg2Rad )</f>
        <v>6.5756233609617325E-6</v>
      </c>
      <c r="F89" s="18">
        <f t="shared" si="331"/>
        <v>2.1503140644574797E-5</v>
      </c>
      <c r="G89" s="18">
        <f t="shared" si="331"/>
        <v>-2.7369976916931565E-5</v>
      </c>
      <c r="H89" s="18">
        <f t="shared" si="331"/>
        <v>2.4129133007253624E-6</v>
      </c>
      <c r="I89" s="18">
        <f t="shared" si="331"/>
        <v>5.706046442229727E-6</v>
      </c>
      <c r="J89" s="18">
        <f t="shared" si="331"/>
        <v>-7.1162376045120816E-6</v>
      </c>
      <c r="K89" s="18">
        <f t="shared" si="331"/>
        <v>-2.4392396629585894E-5</v>
      </c>
      <c r="L89" s="18">
        <f t="shared" si="331"/>
        <v>-3.5483919346790772E-5</v>
      </c>
      <c r="M89" s="18">
        <f t="shared" si="331"/>
        <v>4.7198983413621787E-5</v>
      </c>
      <c r="N89" s="18">
        <f t="shared" si="331"/>
        <v>-4.6938363790444617E-5</v>
      </c>
      <c r="O89" s="18">
        <f t="shared" si="331"/>
        <v>-2.0101134742575007E-5</v>
      </c>
      <c r="P89" s="18">
        <f t="shared" si="331"/>
        <v>-2.054099448832541E-5</v>
      </c>
      <c r="Q89" s="18">
        <f t="shared" si="331"/>
        <v>-5.5993655122357395E-5</v>
      </c>
      <c r="R89" s="18">
        <f t="shared" si="331"/>
        <v>-5.5019397857501206E-5</v>
      </c>
      <c r="S89" s="18">
        <f t="shared" si="331"/>
        <v>-5.8252167272133235E-5</v>
      </c>
      <c r="T89" s="18">
        <f t="shared" si="331"/>
        <v>-5.5930082821879246E-5</v>
      </c>
      <c r="U89" s="18">
        <f t="shared" si="331"/>
        <v>-4.53823769019192E-5</v>
      </c>
      <c r="V89" s="18">
        <f t="shared" si="331"/>
        <v>-5.9828788240856698E-5</v>
      </c>
      <c r="W89" s="18">
        <f t="shared" si="331"/>
        <v>-1.9935767288070836E-6</v>
      </c>
      <c r="X89" s="18">
        <f t="shared" si="331"/>
        <v>-2.6268888290987136E-5</v>
      </c>
      <c r="Y89" s="18">
        <f t="shared" si="331"/>
        <v>-4.7749877572862401E-5</v>
      </c>
      <c r="Z89" s="18">
        <f t="shared" si="331"/>
        <v>5.8695334561649509E-5</v>
      </c>
      <c r="AA89" s="18">
        <f t="shared" si="331"/>
        <v>-2.7369976916931565E-5</v>
      </c>
      <c r="AB89" s="18">
        <f t="shared" si="331"/>
        <v>-5.9830234084520385E-5</v>
      </c>
      <c r="AC89" s="18">
        <f t="shared" si="331"/>
        <v>-5.7464548340818143E-5</v>
      </c>
      <c r="AD89" s="18">
        <f t="shared" si="331"/>
        <v>-3.1214854675764063E-5</v>
      </c>
      <c r="AE89" s="18">
        <f t="shared" si="331"/>
        <v>-4.7749877572862401E-5</v>
      </c>
      <c r="AF89" s="18">
        <f t="shared" si="331"/>
        <v>-6.6201591126278594E-6</v>
      </c>
      <c r="AG89" s="18">
        <f t="shared" si="331"/>
        <v>-1.1697354610762665E-5</v>
      </c>
      <c r="AH89" s="18">
        <f t="shared" si="331"/>
        <v>-5.2126598966977771E-5</v>
      </c>
      <c r="AI89" s="18">
        <f t="shared" si="331"/>
        <v>-2.8554282634853565E-5</v>
      </c>
      <c r="AJ89" s="18">
        <f t="shared" si="331"/>
        <v>6.2029422332153426E-6</v>
      </c>
      <c r="AK89" s="18">
        <f t="shared" ref="AK89:BG89" si="332">0.00006 * SIN( AK74  * Deg2Rad )</f>
        <v>5.9647843038601527E-5</v>
      </c>
      <c r="AL89" s="18">
        <f t="shared" si="332"/>
        <v>-5.796615516460553E-5</v>
      </c>
      <c r="AM89" s="18">
        <f t="shared" si="332"/>
        <v>1.7634496188695415E-5</v>
      </c>
      <c r="AN89" s="18">
        <f t="shared" si="332"/>
        <v>-3.3985406383506098E-5</v>
      </c>
      <c r="AO89" s="18">
        <f t="shared" si="332"/>
        <v>2.1570527197860974E-5</v>
      </c>
      <c r="AP89" s="18">
        <f t="shared" si="332"/>
        <v>3.5179347575568683E-6</v>
      </c>
      <c r="AQ89" s="18">
        <f t="shared" si="332"/>
        <v>3.5179347575568683E-6</v>
      </c>
      <c r="AR89" s="18">
        <f t="shared" si="332"/>
        <v>9.5037162035074841E-7</v>
      </c>
      <c r="AS89" s="18">
        <f t="shared" si="332"/>
        <v>9.5037162035074841E-7</v>
      </c>
      <c r="AT89" s="18">
        <f t="shared" si="332"/>
        <v>9.5037162035074841E-7</v>
      </c>
      <c r="AU89" s="18">
        <f t="shared" si="332"/>
        <v>5.2033540387163424E-5</v>
      </c>
      <c r="AV89" s="18">
        <f t="shared" si="332"/>
        <v>4.1693231104184755E-5</v>
      </c>
      <c r="AW89" s="18">
        <f t="shared" si="332"/>
        <v>3.3845701667891709E-5</v>
      </c>
      <c r="AX89" s="18">
        <f t="shared" si="332"/>
        <v>-8.7965732155750597E-6</v>
      </c>
      <c r="AY89" s="18">
        <f t="shared" si="332"/>
        <v>-1.6189342707848428E-6</v>
      </c>
      <c r="AZ89" s="18">
        <f t="shared" si="332"/>
        <v>-1.6189342707848428E-6</v>
      </c>
      <c r="BA89" s="18">
        <f t="shared" si="332"/>
        <v>-4.1852714242167736E-6</v>
      </c>
      <c r="BB89" s="18">
        <f t="shared" si="332"/>
        <v>-4.1852714242167736E-6</v>
      </c>
      <c r="BC89" s="18">
        <f t="shared" si="332"/>
        <v>-4.1852714242167736E-6</v>
      </c>
      <c r="BD89" s="18">
        <f t="shared" si="332"/>
        <v>-4.1852714242167736E-6</v>
      </c>
      <c r="BE89" s="18">
        <f t="shared" si="332"/>
        <v>-4.1852714242167736E-6</v>
      </c>
      <c r="BF89" s="18">
        <f t="shared" si="332"/>
        <v>-4.1852714242167736E-6</v>
      </c>
      <c r="BG89" s="18">
        <f t="shared" si="332"/>
        <v>-4.7749877572862401E-5</v>
      </c>
    </row>
    <row r="90" spans="2:59" x14ac:dyDescent="0.25">
      <c r="C90" s="97" t="s">
        <v>150</v>
      </c>
      <c r="D90" s="7" t="s">
        <v>418</v>
      </c>
      <c r="E90" s="18">
        <f t="shared" ref="E90:AJ90" si="333">0.000056 * SIN( E75  * Deg2Rad )</f>
        <v>-4.8172133871315352E-5</v>
      </c>
      <c r="F90" s="18">
        <f t="shared" si="333"/>
        <v>-3.3072633622382386E-6</v>
      </c>
      <c r="G90" s="18">
        <f t="shared" si="333"/>
        <v>2.3808259966819572E-5</v>
      </c>
      <c r="H90" s="18">
        <f t="shared" si="333"/>
        <v>5.1608293637046161E-5</v>
      </c>
      <c r="I90" s="18">
        <f t="shared" si="333"/>
        <v>5.1055623121688876E-5</v>
      </c>
      <c r="J90" s="18">
        <f t="shared" si="333"/>
        <v>5.4719398996999119E-5</v>
      </c>
      <c r="K90" s="18">
        <f t="shared" si="333"/>
        <v>2.5052902977325667E-5</v>
      </c>
      <c r="L90" s="18">
        <f t="shared" si="333"/>
        <v>-9.6848507517686942E-6</v>
      </c>
      <c r="M90" s="18">
        <f t="shared" si="333"/>
        <v>5.0223066436452223E-5</v>
      </c>
      <c r="N90" s="18">
        <f t="shared" si="333"/>
        <v>7.6035387039229979E-6</v>
      </c>
      <c r="O90" s="18">
        <f t="shared" si="333"/>
        <v>5.4609931140552248E-5</v>
      </c>
      <c r="P90" s="18">
        <f t="shared" si="333"/>
        <v>-1.438653385224392E-5</v>
      </c>
      <c r="Q90" s="18">
        <f t="shared" si="333"/>
        <v>-5.5883230468060943E-5</v>
      </c>
      <c r="R90" s="18">
        <f t="shared" si="333"/>
        <v>-5.4969711901932622E-5</v>
      </c>
      <c r="S90" s="18">
        <f t="shared" si="333"/>
        <v>2.130301305049046E-5</v>
      </c>
      <c r="T90" s="18">
        <f t="shared" si="333"/>
        <v>3.9097067534530013E-5</v>
      </c>
      <c r="U90" s="18">
        <f t="shared" si="333"/>
        <v>5.4622489851392074E-5</v>
      </c>
      <c r="V90" s="18">
        <f t="shared" si="333"/>
        <v>1.8006736844392597E-5</v>
      </c>
      <c r="W90" s="18">
        <f t="shared" si="333"/>
        <v>5.5953422367295196E-5</v>
      </c>
      <c r="X90" s="18">
        <f t="shared" si="333"/>
        <v>-6.7271748875759225E-7</v>
      </c>
      <c r="Y90" s="18">
        <f t="shared" si="333"/>
        <v>-5.1547744763971563E-5</v>
      </c>
      <c r="Z90" s="18">
        <f t="shared" si="333"/>
        <v>9.9438324166873268E-6</v>
      </c>
      <c r="AA90" s="18">
        <f t="shared" si="333"/>
        <v>2.3808259966819572E-5</v>
      </c>
      <c r="AB90" s="18">
        <f t="shared" si="333"/>
        <v>1.0533823038618586E-6</v>
      </c>
      <c r="AC90" s="18">
        <f t="shared" si="333"/>
        <v>4.1451912843951185E-5</v>
      </c>
      <c r="AD90" s="18">
        <f t="shared" si="333"/>
        <v>4.5444284226780482E-6</v>
      </c>
      <c r="AE90" s="18">
        <f t="shared" si="333"/>
        <v>-5.1547744763971563E-5</v>
      </c>
      <c r="AF90" s="18">
        <f t="shared" si="333"/>
        <v>-4.8073294289143997E-5</v>
      </c>
      <c r="AG90" s="18">
        <f t="shared" si="333"/>
        <v>-3.927145076215442E-5</v>
      </c>
      <c r="AH90" s="18">
        <f t="shared" si="333"/>
        <v>5.4854692331588096E-5</v>
      </c>
      <c r="AI90" s="18">
        <f t="shared" si="333"/>
        <v>6.4545001239843111E-6</v>
      </c>
      <c r="AJ90" s="18">
        <f t="shared" si="333"/>
        <v>-5.5725293710373032E-5</v>
      </c>
      <c r="AK90" s="18">
        <f t="shared" ref="AK90:BG90" si="334">0.000056 * SIN( AK75  * Deg2Rad )</f>
        <v>-5.5928191998170249E-5</v>
      </c>
      <c r="AL90" s="18">
        <f t="shared" si="334"/>
        <v>3.1759897087582996E-5</v>
      </c>
      <c r="AM90" s="18">
        <f t="shared" si="334"/>
        <v>-4.1528478811798735E-5</v>
      </c>
      <c r="AN90" s="18">
        <f t="shared" si="334"/>
        <v>3.1644719540241502E-6</v>
      </c>
      <c r="AO90" s="18">
        <f t="shared" si="334"/>
        <v>-3.602107733459197E-5</v>
      </c>
      <c r="AP90" s="18">
        <f t="shared" si="334"/>
        <v>4.1660330690997017E-5</v>
      </c>
      <c r="AQ90" s="18">
        <f t="shared" si="334"/>
        <v>4.1660330690997017E-5</v>
      </c>
      <c r="AR90" s="18">
        <f t="shared" si="334"/>
        <v>4.6081490639345031E-5</v>
      </c>
      <c r="AS90" s="18">
        <f t="shared" si="334"/>
        <v>4.6081490639345031E-5</v>
      </c>
      <c r="AT90" s="18">
        <f t="shared" si="334"/>
        <v>4.6081490639345031E-5</v>
      </c>
      <c r="AU90" s="18">
        <f t="shared" si="334"/>
        <v>-5.5993349036023226E-5</v>
      </c>
      <c r="AV90" s="18">
        <f t="shared" si="334"/>
        <v>-4.6996901989707428E-5</v>
      </c>
      <c r="AW90" s="18">
        <f t="shared" si="334"/>
        <v>3.6089281554150694E-5</v>
      </c>
      <c r="AX90" s="18">
        <f t="shared" si="334"/>
        <v>-5.4524415397622761E-5</v>
      </c>
      <c r="AY90" s="18">
        <f t="shared" si="334"/>
        <v>4.9754215484975199E-5</v>
      </c>
      <c r="AZ90" s="18">
        <f t="shared" si="334"/>
        <v>4.9754215484975199E-5</v>
      </c>
      <c r="BA90" s="18">
        <f t="shared" si="334"/>
        <v>5.2618854462277514E-5</v>
      </c>
      <c r="BB90" s="18">
        <f t="shared" si="334"/>
        <v>5.2618854462277514E-5</v>
      </c>
      <c r="BC90" s="18">
        <f t="shared" si="334"/>
        <v>5.2618854462277514E-5</v>
      </c>
      <c r="BD90" s="18">
        <f t="shared" si="334"/>
        <v>5.2618854462277514E-5</v>
      </c>
      <c r="BE90" s="18">
        <f t="shared" si="334"/>
        <v>5.2618854462277514E-5</v>
      </c>
      <c r="BF90" s="18">
        <f t="shared" si="334"/>
        <v>5.2618854462277514E-5</v>
      </c>
      <c r="BG90" s="18">
        <f t="shared" si="334"/>
        <v>-5.1547744763971563E-5</v>
      </c>
    </row>
    <row r="91" spans="2:59" x14ac:dyDescent="0.25">
      <c r="C91" s="97" t="s">
        <v>151</v>
      </c>
      <c r="D91" s="7" t="s">
        <v>419</v>
      </c>
      <c r="E91" s="18">
        <f t="shared" ref="E91:AJ91" si="335">0.000047 * SIN( E76  * Deg2Rad )</f>
        <v>-1.9231391073494774E-5</v>
      </c>
      <c r="F91" s="18">
        <f t="shared" si="335"/>
        <v>-1.8502620338336654E-5</v>
      </c>
      <c r="G91" s="18">
        <f t="shared" si="335"/>
        <v>2.6634612205859605E-5</v>
      </c>
      <c r="H91" s="18">
        <f t="shared" si="335"/>
        <v>4.3386191765851402E-5</v>
      </c>
      <c r="I91" s="18">
        <f t="shared" si="335"/>
        <v>-5.9543310255049419E-6</v>
      </c>
      <c r="J91" s="18">
        <f t="shared" si="335"/>
        <v>3.6511424505914731E-5</v>
      </c>
      <c r="K91" s="18">
        <f t="shared" si="335"/>
        <v>-3.0301016492966894E-5</v>
      </c>
      <c r="L91" s="18">
        <f t="shared" si="335"/>
        <v>4.6728379069424217E-5</v>
      </c>
      <c r="M91" s="18">
        <f t="shared" si="335"/>
        <v>2.1798640172880588E-5</v>
      </c>
      <c r="N91" s="18">
        <f t="shared" si="335"/>
        <v>5.5888785153171284E-6</v>
      </c>
      <c r="O91" s="18">
        <f t="shared" si="335"/>
        <v>1.0119178316504421E-5</v>
      </c>
      <c r="P91" s="18">
        <f t="shared" si="335"/>
        <v>2.3954553441945069E-5</v>
      </c>
      <c r="Q91" s="18">
        <f t="shared" si="335"/>
        <v>-4.1989356387647916E-5</v>
      </c>
      <c r="R91" s="18">
        <f t="shared" si="335"/>
        <v>-2.7653245680749491E-5</v>
      </c>
      <c r="S91" s="18">
        <f t="shared" si="335"/>
        <v>-4.6999753246348584E-5</v>
      </c>
      <c r="T91" s="18">
        <f t="shared" si="335"/>
        <v>-6.5660097217833347E-6</v>
      </c>
      <c r="U91" s="18">
        <f t="shared" si="335"/>
        <v>-2.3542107307956726E-5</v>
      </c>
      <c r="V91" s="18">
        <f t="shared" si="335"/>
        <v>-2.2240197822911688E-5</v>
      </c>
      <c r="W91" s="18">
        <f t="shared" si="335"/>
        <v>4.5291831744885839E-5</v>
      </c>
      <c r="X91" s="18">
        <f t="shared" si="335"/>
        <v>-2.7157771864102166E-5</v>
      </c>
      <c r="Y91" s="18">
        <f t="shared" si="335"/>
        <v>-4.0533726315263541E-5</v>
      </c>
      <c r="Z91" s="18">
        <f t="shared" si="335"/>
        <v>4.5475289383615006E-5</v>
      </c>
      <c r="AA91" s="18">
        <f t="shared" si="335"/>
        <v>2.6634612205859605E-5</v>
      </c>
      <c r="AB91" s="18">
        <f t="shared" si="335"/>
        <v>1.1017836303483746E-5</v>
      </c>
      <c r="AC91" s="18">
        <f t="shared" si="335"/>
        <v>4.0972546198308716E-5</v>
      </c>
      <c r="AD91" s="18">
        <f t="shared" si="335"/>
        <v>3.1229272780196443E-5</v>
      </c>
      <c r="AE91" s="18">
        <f t="shared" si="335"/>
        <v>-4.0533726315263541E-5</v>
      </c>
      <c r="AF91" s="18">
        <f t="shared" si="335"/>
        <v>-2.2895541562000334E-6</v>
      </c>
      <c r="AG91" s="18">
        <f t="shared" si="335"/>
        <v>3.6899874275499232E-5</v>
      </c>
      <c r="AH91" s="18">
        <f t="shared" si="335"/>
        <v>-3.9397422701555449E-5</v>
      </c>
      <c r="AI91" s="18">
        <f t="shared" si="335"/>
        <v>-4.1711813583003696E-5</v>
      </c>
      <c r="AJ91" s="18">
        <f t="shared" si="335"/>
        <v>-3.0773809040989467E-5</v>
      </c>
      <c r="AK91" s="18">
        <f t="shared" ref="AK91:BG91" si="336">0.000047 * SIN( AK76  * Deg2Rad )</f>
        <v>-3.5723632055434355E-5</v>
      </c>
      <c r="AL91" s="18">
        <f t="shared" si="336"/>
        <v>3.0538081268276855E-5</v>
      </c>
      <c r="AM91" s="18">
        <f t="shared" si="336"/>
        <v>-1.2329891435449237E-5</v>
      </c>
      <c r="AN91" s="18">
        <f t="shared" si="336"/>
        <v>4.2133511183063582E-5</v>
      </c>
      <c r="AO91" s="18">
        <f t="shared" si="336"/>
        <v>-3.7214095015209303E-5</v>
      </c>
      <c r="AP91" s="18">
        <f t="shared" si="336"/>
        <v>3.3275663452864223E-5</v>
      </c>
      <c r="AQ91" s="18">
        <f t="shared" si="336"/>
        <v>3.3275663452864223E-5</v>
      </c>
      <c r="AR91" s="18">
        <f t="shared" si="336"/>
        <v>1.4375959633695748E-5</v>
      </c>
      <c r="AS91" s="18">
        <f t="shared" si="336"/>
        <v>1.4375959633695748E-5</v>
      </c>
      <c r="AT91" s="18">
        <f t="shared" si="336"/>
        <v>1.4375959633695748E-5</v>
      </c>
      <c r="AU91" s="18">
        <f t="shared" si="336"/>
        <v>4.2792763721955963E-5</v>
      </c>
      <c r="AV91" s="18">
        <f t="shared" si="336"/>
        <v>-2.7663011764909301E-5</v>
      </c>
      <c r="AW91" s="18">
        <f t="shared" si="336"/>
        <v>4.5698290626994078E-5</v>
      </c>
      <c r="AX91" s="18">
        <f t="shared" si="336"/>
        <v>3.0577548015165238E-5</v>
      </c>
      <c r="AY91" s="18">
        <f t="shared" si="336"/>
        <v>-7.7172972312092557E-6</v>
      </c>
      <c r="AZ91" s="18">
        <f t="shared" si="336"/>
        <v>-7.7172972312092557E-6</v>
      </c>
      <c r="BA91" s="18">
        <f t="shared" si="336"/>
        <v>-2.8096192153984208E-5</v>
      </c>
      <c r="BB91" s="18">
        <f t="shared" si="336"/>
        <v>-2.8096192153984208E-5</v>
      </c>
      <c r="BC91" s="18">
        <f t="shared" si="336"/>
        <v>-2.8096192153984208E-5</v>
      </c>
      <c r="BD91" s="18">
        <f t="shared" si="336"/>
        <v>-2.8096192153984208E-5</v>
      </c>
      <c r="BE91" s="18">
        <f t="shared" si="336"/>
        <v>-2.8096192153984208E-5</v>
      </c>
      <c r="BF91" s="18">
        <f t="shared" si="336"/>
        <v>-2.8096192153984208E-5</v>
      </c>
      <c r="BG91" s="18">
        <f t="shared" si="336"/>
        <v>-4.0533726315263541E-5</v>
      </c>
    </row>
    <row r="92" spans="2:59" x14ac:dyDescent="0.25">
      <c r="C92" s="97" t="s">
        <v>152</v>
      </c>
      <c r="D92" s="7" t="s">
        <v>420</v>
      </c>
      <c r="E92" s="18">
        <f t="shared" ref="E92:AJ92" si="337">0.000042 * SIN( E77  * Deg2Rad )</f>
        <v>2.4924848778404143E-5</v>
      </c>
      <c r="F92" s="18">
        <f t="shared" si="337"/>
        <v>-2.4488734505005835E-5</v>
      </c>
      <c r="G92" s="18">
        <f t="shared" si="337"/>
        <v>-1.9191592881557542E-5</v>
      </c>
      <c r="H92" s="18">
        <f t="shared" si="337"/>
        <v>-1.8232248009027954E-5</v>
      </c>
      <c r="I92" s="18">
        <f t="shared" si="337"/>
        <v>-5.6260831559948167E-6</v>
      </c>
      <c r="J92" s="18">
        <f t="shared" si="337"/>
        <v>-6.0682410159839067E-6</v>
      </c>
      <c r="K92" s="18">
        <f t="shared" si="337"/>
        <v>-6.6860986391086329E-6</v>
      </c>
      <c r="L92" s="18">
        <f t="shared" si="337"/>
        <v>-7.1265266911875295E-6</v>
      </c>
      <c r="M92" s="18">
        <f t="shared" si="337"/>
        <v>3.5020660248071223E-5</v>
      </c>
      <c r="N92" s="18">
        <f t="shared" si="337"/>
        <v>-2.4373604239130439E-5</v>
      </c>
      <c r="O92" s="18">
        <f t="shared" si="337"/>
        <v>-2.3418976247219066E-5</v>
      </c>
      <c r="P92" s="18">
        <f t="shared" si="337"/>
        <v>-4.06138861821888E-5</v>
      </c>
      <c r="Q92" s="18">
        <f t="shared" si="337"/>
        <v>-3.9446773020194481E-5</v>
      </c>
      <c r="R92" s="18">
        <f t="shared" si="337"/>
        <v>-3.9416022484179378E-5</v>
      </c>
      <c r="S92" s="18">
        <f t="shared" si="337"/>
        <v>5.584865570929334E-6</v>
      </c>
      <c r="T92" s="18">
        <f t="shared" si="337"/>
        <v>5.3192278726233969E-6</v>
      </c>
      <c r="U92" s="18">
        <f t="shared" si="337"/>
        <v>4.6098319760765466E-6</v>
      </c>
      <c r="V92" s="18">
        <f t="shared" si="337"/>
        <v>4.5891738752677643E-6</v>
      </c>
      <c r="W92" s="18">
        <f t="shared" si="337"/>
        <v>-5.8914573752998568E-6</v>
      </c>
      <c r="X92" s="18">
        <f t="shared" si="337"/>
        <v>-1.1306436890575207E-5</v>
      </c>
      <c r="Y92" s="18">
        <f t="shared" si="337"/>
        <v>5.3266736564999937E-6</v>
      </c>
      <c r="Z92" s="18">
        <f t="shared" si="337"/>
        <v>-4.1923341516018683E-5</v>
      </c>
      <c r="AA92" s="18">
        <f t="shared" si="337"/>
        <v>-1.9191592881557542E-5</v>
      </c>
      <c r="AB92" s="18">
        <f t="shared" si="337"/>
        <v>2.7773400335164592E-5</v>
      </c>
      <c r="AC92" s="18">
        <f t="shared" si="337"/>
        <v>3.3727856287543122E-6</v>
      </c>
      <c r="AD92" s="18">
        <f t="shared" si="337"/>
        <v>-6.9504493378475015E-6</v>
      </c>
      <c r="AE92" s="18">
        <f t="shared" si="337"/>
        <v>5.3266736564999937E-6</v>
      </c>
      <c r="AF92" s="18">
        <f t="shared" si="337"/>
        <v>-1.199280808483862E-5</v>
      </c>
      <c r="AG92" s="18">
        <f t="shared" si="337"/>
        <v>-1.1821532844252315E-5</v>
      </c>
      <c r="AH92" s="18">
        <f t="shared" si="337"/>
        <v>-1.0097535816891622E-5</v>
      </c>
      <c r="AI92" s="18">
        <f t="shared" si="337"/>
        <v>-1.1220406397365668E-5</v>
      </c>
      <c r="AJ92" s="18">
        <f t="shared" si="337"/>
        <v>-1.2420040611921776E-5</v>
      </c>
      <c r="AK92" s="18">
        <f t="shared" ref="AK92:BG92" si="338">0.000042 * SIN( AK77  * Deg2Rad )</f>
        <v>-3.8671457028839473E-5</v>
      </c>
      <c r="AL92" s="18">
        <f t="shared" si="338"/>
        <v>-9.5766338433097218E-6</v>
      </c>
      <c r="AM92" s="18">
        <f t="shared" si="338"/>
        <v>-3.9030472373025106E-5</v>
      </c>
      <c r="AN92" s="18">
        <f t="shared" si="338"/>
        <v>-1.942950127102954E-5</v>
      </c>
      <c r="AO92" s="18">
        <f t="shared" si="338"/>
        <v>4.0609094871262983E-5</v>
      </c>
      <c r="AP92" s="18">
        <f t="shared" si="338"/>
        <v>-3.6883192790726938E-5</v>
      </c>
      <c r="AQ92" s="18">
        <f t="shared" si="338"/>
        <v>-3.6883192790726938E-5</v>
      </c>
      <c r="AR92" s="18">
        <f t="shared" si="338"/>
        <v>-3.6925826509284315E-5</v>
      </c>
      <c r="AS92" s="18">
        <f t="shared" si="338"/>
        <v>-3.6925826509284315E-5</v>
      </c>
      <c r="AT92" s="18">
        <f t="shared" si="338"/>
        <v>-3.6925826509284315E-5</v>
      </c>
      <c r="AU92" s="18">
        <f t="shared" si="338"/>
        <v>9.3694279552411718E-6</v>
      </c>
      <c r="AV92" s="18">
        <f t="shared" si="338"/>
        <v>-1.6853009420685697E-5</v>
      </c>
      <c r="AW92" s="18">
        <f t="shared" si="338"/>
        <v>3.9653308528068905E-5</v>
      </c>
      <c r="AX92" s="18">
        <f t="shared" si="338"/>
        <v>2.5354067124582414E-5</v>
      </c>
      <c r="AY92" s="18">
        <f t="shared" si="338"/>
        <v>-3.6968293291648071E-5</v>
      </c>
      <c r="AZ92" s="18">
        <f t="shared" si="338"/>
        <v>-3.6968293291648071E-5</v>
      </c>
      <c r="BA92" s="18">
        <f t="shared" si="338"/>
        <v>-3.7010592945832197E-5</v>
      </c>
      <c r="BB92" s="18">
        <f t="shared" si="338"/>
        <v>-3.7010592945832197E-5</v>
      </c>
      <c r="BC92" s="18">
        <f t="shared" si="338"/>
        <v>-3.7010592945832197E-5</v>
      </c>
      <c r="BD92" s="18">
        <f t="shared" si="338"/>
        <v>-3.7010592945832197E-5</v>
      </c>
      <c r="BE92" s="18">
        <f t="shared" si="338"/>
        <v>-3.7010592945832197E-5</v>
      </c>
      <c r="BF92" s="18">
        <f t="shared" si="338"/>
        <v>-3.7010592945832197E-5</v>
      </c>
      <c r="BG92" s="18">
        <f t="shared" si="338"/>
        <v>5.3266736564999937E-6</v>
      </c>
    </row>
    <row r="93" spans="2:59" x14ac:dyDescent="0.25">
      <c r="C93" s="97" t="s">
        <v>153</v>
      </c>
      <c r="D93" s="7" t="s">
        <v>421</v>
      </c>
      <c r="E93" s="18">
        <f t="shared" ref="E93:AJ93" si="339">0.00004 * SIN( E78  * Deg2Rad )</f>
        <v>2.9992510775122098E-5</v>
      </c>
      <c r="F93" s="18">
        <f t="shared" si="339"/>
        <v>3.698783390048987E-5</v>
      </c>
      <c r="G93" s="18">
        <f t="shared" si="339"/>
        <v>-3.7257496134372368E-5</v>
      </c>
      <c r="H93" s="18">
        <f t="shared" si="339"/>
        <v>-3.9996173260010954E-5</v>
      </c>
      <c r="I93" s="18">
        <f t="shared" si="339"/>
        <v>-2.6235373411723913E-6</v>
      </c>
      <c r="J93" s="18">
        <f t="shared" si="339"/>
        <v>3.8069046422883419E-6</v>
      </c>
      <c r="K93" s="18">
        <f t="shared" si="339"/>
        <v>1.2607350684652522E-5</v>
      </c>
      <c r="L93" s="18">
        <f t="shared" si="339"/>
        <v>1.8528007294233569E-5</v>
      </c>
      <c r="M93" s="18">
        <f t="shared" si="339"/>
        <v>7.0537207673366502E-6</v>
      </c>
      <c r="N93" s="18">
        <f t="shared" si="339"/>
        <v>8.8639230132625619E-6</v>
      </c>
      <c r="O93" s="18">
        <f t="shared" si="339"/>
        <v>-7.7515771048667404E-6</v>
      </c>
      <c r="P93" s="18">
        <f t="shared" si="339"/>
        <v>2.9408701530482774E-5</v>
      </c>
      <c r="Q93" s="18">
        <f t="shared" si="339"/>
        <v>3.2518687477703382E-5</v>
      </c>
      <c r="R93" s="18">
        <f t="shared" si="339"/>
        <v>3.3251504105193255E-5</v>
      </c>
      <c r="S93" s="18">
        <f t="shared" si="339"/>
        <v>-3.9934612868574786E-5</v>
      </c>
      <c r="T93" s="18">
        <f t="shared" si="339"/>
        <v>-3.9528103180718111E-5</v>
      </c>
      <c r="U93" s="18">
        <f t="shared" si="339"/>
        <v>-3.666437123740435E-5</v>
      </c>
      <c r="V93" s="18">
        <f t="shared" si="339"/>
        <v>2.4220419176110265E-6</v>
      </c>
      <c r="W93" s="18">
        <f t="shared" si="339"/>
        <v>1.2372389773378717E-6</v>
      </c>
      <c r="X93" s="18">
        <f t="shared" si="339"/>
        <v>3.591373016473707E-5</v>
      </c>
      <c r="Y93" s="18">
        <f t="shared" si="339"/>
        <v>3.0917874461557821E-5</v>
      </c>
      <c r="Z93" s="18">
        <f t="shared" si="339"/>
        <v>-2.2760949486643425E-5</v>
      </c>
      <c r="AA93" s="18">
        <f t="shared" si="339"/>
        <v>-3.7257496134372368E-5</v>
      </c>
      <c r="AB93" s="18">
        <f t="shared" si="339"/>
        <v>-1.8187840596058449E-5</v>
      </c>
      <c r="AC93" s="18">
        <f t="shared" si="339"/>
        <v>6.9754330626076852E-6</v>
      </c>
      <c r="AD93" s="18">
        <f t="shared" si="339"/>
        <v>1.620888347884675E-5</v>
      </c>
      <c r="AE93" s="18">
        <f t="shared" si="339"/>
        <v>3.0917874461557821E-5</v>
      </c>
      <c r="AF93" s="18">
        <f t="shared" si="339"/>
        <v>3.0243723401040786E-5</v>
      </c>
      <c r="AG93" s="18">
        <f t="shared" si="339"/>
        <v>3.1865303617356077E-5</v>
      </c>
      <c r="AH93" s="18">
        <f t="shared" si="339"/>
        <v>3.9999441816495621E-5</v>
      </c>
      <c r="AI93" s="18">
        <f t="shared" si="339"/>
        <v>3.6461984902362949E-5</v>
      </c>
      <c r="AJ93" s="18">
        <f t="shared" si="339"/>
        <v>2.5657491452552409E-5</v>
      </c>
      <c r="AK93" s="18">
        <f t="shared" ref="AK93:BG93" si="340">0.00004 * SIN( AK78  * Deg2Rad )</f>
        <v>3.9434839120254505E-5</v>
      </c>
      <c r="AL93" s="18">
        <f t="shared" si="340"/>
        <v>3.9296245788229685E-5</v>
      </c>
      <c r="AM93" s="18">
        <f t="shared" si="340"/>
        <v>-6.0193606214724484E-6</v>
      </c>
      <c r="AN93" s="18">
        <f t="shared" si="340"/>
        <v>-3.5680382183899454E-5</v>
      </c>
      <c r="AO93" s="18">
        <f t="shared" si="340"/>
        <v>3.1047845177714757E-5</v>
      </c>
      <c r="AP93" s="18">
        <f t="shared" si="340"/>
        <v>3.9999075727115375E-5</v>
      </c>
      <c r="AQ93" s="18">
        <f t="shared" si="340"/>
        <v>3.9999075727115375E-5</v>
      </c>
      <c r="AR93" s="18">
        <f t="shared" si="340"/>
        <v>3.9987105201827849E-5</v>
      </c>
      <c r="AS93" s="18">
        <f t="shared" si="340"/>
        <v>3.9987105201827849E-5</v>
      </c>
      <c r="AT93" s="18">
        <f t="shared" si="340"/>
        <v>3.9987105201827849E-5</v>
      </c>
      <c r="AU93" s="18">
        <f t="shared" si="340"/>
        <v>2.8055937603708887E-5</v>
      </c>
      <c r="AV93" s="18">
        <f t="shared" si="340"/>
        <v>-3.386743244879353E-5</v>
      </c>
      <c r="AW93" s="18">
        <f t="shared" si="340"/>
        <v>-3.7206275477944325E-5</v>
      </c>
      <c r="AX93" s="18">
        <f t="shared" si="340"/>
        <v>2.4354825817613482E-5</v>
      </c>
      <c r="AY93" s="18">
        <f t="shared" si="340"/>
        <v>3.9933702520346575E-5</v>
      </c>
      <c r="AZ93" s="18">
        <f t="shared" si="340"/>
        <v>3.9933702520346575E-5</v>
      </c>
      <c r="BA93" s="18">
        <f t="shared" si="340"/>
        <v>3.9838923015215082E-5</v>
      </c>
      <c r="BB93" s="18">
        <f t="shared" si="340"/>
        <v>3.9838923015215082E-5</v>
      </c>
      <c r="BC93" s="18">
        <f t="shared" si="340"/>
        <v>3.9838923015215082E-5</v>
      </c>
      <c r="BD93" s="18">
        <f t="shared" si="340"/>
        <v>3.9838923015215082E-5</v>
      </c>
      <c r="BE93" s="18">
        <f t="shared" si="340"/>
        <v>3.9838923015215082E-5</v>
      </c>
      <c r="BF93" s="18">
        <f t="shared" si="340"/>
        <v>3.9838923015215082E-5</v>
      </c>
      <c r="BG93" s="18">
        <f t="shared" si="340"/>
        <v>3.0917874461557821E-5</v>
      </c>
    </row>
    <row r="94" spans="2:59" x14ac:dyDescent="0.25">
      <c r="C94" s="97" t="s">
        <v>154</v>
      </c>
      <c r="D94" s="7" t="s">
        <v>422</v>
      </c>
      <c r="E94" s="18">
        <f t="shared" ref="E94:AJ94" si="341">0.000037 * SIN( E79  * Deg2Rad )</f>
        <v>2.8225571961505056E-5</v>
      </c>
      <c r="F94" s="18">
        <f t="shared" si="341"/>
        <v>-3.5302474028578937E-5</v>
      </c>
      <c r="G94" s="18">
        <f t="shared" si="341"/>
        <v>1.1605457918816481E-5</v>
      </c>
      <c r="H94" s="18">
        <f t="shared" si="341"/>
        <v>-2.8892936719486395E-5</v>
      </c>
      <c r="I94" s="18">
        <f t="shared" si="341"/>
        <v>-3.47720182363403E-5</v>
      </c>
      <c r="J94" s="18">
        <f t="shared" si="341"/>
        <v>7.0638186395074468E-6</v>
      </c>
      <c r="K94" s="18">
        <f t="shared" si="341"/>
        <v>-2.5392065388231428E-7</v>
      </c>
      <c r="L94" s="18">
        <f t="shared" si="341"/>
        <v>-3.1586768919749302E-5</v>
      </c>
      <c r="M94" s="18">
        <f t="shared" si="341"/>
        <v>3.506670978063074E-5</v>
      </c>
      <c r="N94" s="18">
        <f t="shared" si="341"/>
        <v>-1.6536960026789614E-5</v>
      </c>
      <c r="O94" s="18">
        <f t="shared" si="341"/>
        <v>-3.5183466599815377E-5</v>
      </c>
      <c r="P94" s="18">
        <f t="shared" si="341"/>
        <v>-3.5175631607957438E-5</v>
      </c>
      <c r="Q94" s="18">
        <f t="shared" si="341"/>
        <v>3.1659087321844196E-5</v>
      </c>
      <c r="R94" s="18">
        <f t="shared" si="341"/>
        <v>3.6726554479869056E-5</v>
      </c>
      <c r="S94" s="18">
        <f t="shared" si="341"/>
        <v>-3.689071617804993E-5</v>
      </c>
      <c r="T94" s="18">
        <f t="shared" si="341"/>
        <v>-1.3746780673803839E-5</v>
      </c>
      <c r="U94" s="18">
        <f t="shared" si="341"/>
        <v>5.2932876320291377E-6</v>
      </c>
      <c r="V94" s="18">
        <f t="shared" si="341"/>
        <v>3.5967201173000035E-5</v>
      </c>
      <c r="W94" s="18">
        <f t="shared" si="341"/>
        <v>-2.2467866949684893E-5</v>
      </c>
      <c r="X94" s="18">
        <f t="shared" si="341"/>
        <v>1.4394831834251701E-5</v>
      </c>
      <c r="Y94" s="18">
        <f t="shared" si="341"/>
        <v>1.6426961474280704E-5</v>
      </c>
      <c r="Z94" s="18">
        <f t="shared" si="341"/>
        <v>3.5564335028403729E-6</v>
      </c>
      <c r="AA94" s="18">
        <f t="shared" si="341"/>
        <v>1.1605457918816481E-5</v>
      </c>
      <c r="AB94" s="18">
        <f t="shared" si="341"/>
        <v>-2.286044923306078E-5</v>
      </c>
      <c r="AC94" s="18">
        <f t="shared" si="341"/>
        <v>-2.0689170541535922E-5</v>
      </c>
      <c r="AD94" s="18">
        <f t="shared" si="341"/>
        <v>-3.5380947180648235E-5</v>
      </c>
      <c r="AE94" s="18">
        <f t="shared" si="341"/>
        <v>1.6426961474280704E-5</v>
      </c>
      <c r="AF94" s="18">
        <f t="shared" si="341"/>
        <v>-2.1998372189536943E-5</v>
      </c>
      <c r="AG94" s="18">
        <f t="shared" si="341"/>
        <v>7.639479092702548E-6</v>
      </c>
      <c r="AH94" s="18">
        <f t="shared" si="341"/>
        <v>2.5758609610652187E-5</v>
      </c>
      <c r="AI94" s="18">
        <f t="shared" si="341"/>
        <v>-8.4122870721276318E-7</v>
      </c>
      <c r="AJ94" s="18">
        <f t="shared" si="341"/>
        <v>-1.4176365134160455E-5</v>
      </c>
      <c r="AK94" s="18">
        <f t="shared" ref="AK94:BG94" si="342">0.000037 * SIN( AK79  * Deg2Rad )</f>
        <v>2.9026855607634787E-5</v>
      </c>
      <c r="AL94" s="18">
        <f t="shared" si="342"/>
        <v>-3.6311837264368918E-5</v>
      </c>
      <c r="AM94" s="18">
        <f t="shared" si="342"/>
        <v>3.6660267944144016E-5</v>
      </c>
      <c r="AN94" s="18">
        <f t="shared" si="342"/>
        <v>-3.0052539317914373E-5</v>
      </c>
      <c r="AO94" s="18">
        <f t="shared" si="342"/>
        <v>-1.6544276550666468E-5</v>
      </c>
      <c r="AP94" s="18">
        <f t="shared" si="342"/>
        <v>3.1580950849825084E-5</v>
      </c>
      <c r="AQ94" s="18">
        <f t="shared" si="342"/>
        <v>3.1580950849825084E-5</v>
      </c>
      <c r="AR94" s="18">
        <f t="shared" si="342"/>
        <v>2.0904083907328919E-5</v>
      </c>
      <c r="AS94" s="18">
        <f t="shared" si="342"/>
        <v>2.0904083907328919E-5</v>
      </c>
      <c r="AT94" s="18">
        <f t="shared" si="342"/>
        <v>2.0904083907328919E-5</v>
      </c>
      <c r="AU94" s="18">
        <f t="shared" si="342"/>
        <v>3.187131648166794E-5</v>
      </c>
      <c r="AV94" s="18">
        <f t="shared" si="342"/>
        <v>1.7090996465998673E-8</v>
      </c>
      <c r="AW94" s="18">
        <f t="shared" si="342"/>
        <v>2.0473236789756269E-5</v>
      </c>
      <c r="AX94" s="18">
        <f t="shared" si="342"/>
        <v>-9.517228304278459E-6</v>
      </c>
      <c r="AY94" s="18">
        <f t="shared" si="342"/>
        <v>6.5536721840750195E-6</v>
      </c>
      <c r="AZ94" s="18">
        <f t="shared" si="342"/>
        <v>6.5536721840750195E-6</v>
      </c>
      <c r="BA94" s="18">
        <f t="shared" si="342"/>
        <v>-8.9484383341761982E-6</v>
      </c>
      <c r="BB94" s="18">
        <f t="shared" si="342"/>
        <v>-8.9484383341761982E-6</v>
      </c>
      <c r="BC94" s="18">
        <f t="shared" si="342"/>
        <v>-8.9484383341761982E-6</v>
      </c>
      <c r="BD94" s="18">
        <f t="shared" si="342"/>
        <v>-8.9484383341761982E-6</v>
      </c>
      <c r="BE94" s="18">
        <f t="shared" si="342"/>
        <v>-8.9484383341761982E-6</v>
      </c>
      <c r="BF94" s="18">
        <f t="shared" si="342"/>
        <v>-8.9484383341761982E-6</v>
      </c>
      <c r="BG94" s="18">
        <f t="shared" si="342"/>
        <v>1.6426961474280704E-5</v>
      </c>
    </row>
    <row r="95" spans="2:59" x14ac:dyDescent="0.25">
      <c r="C95" s="97" t="s">
        <v>155</v>
      </c>
      <c r="D95" s="7" t="s">
        <v>423</v>
      </c>
      <c r="E95" s="18">
        <f t="shared" ref="E95:AJ95" si="343">0.000035 * SIN( E80  * Deg2Rad )</f>
        <v>-3.0823169574581549E-5</v>
      </c>
      <c r="F95" s="18">
        <f t="shared" si="343"/>
        <v>-2.3196741200249193E-5</v>
      </c>
      <c r="G95" s="18">
        <f t="shared" si="343"/>
        <v>-3.0175606329197193E-5</v>
      </c>
      <c r="H95" s="18">
        <f t="shared" si="343"/>
        <v>-3.2120729658253594E-5</v>
      </c>
      <c r="I95" s="18">
        <f t="shared" si="343"/>
        <v>3.1055482338587277E-5</v>
      </c>
      <c r="J95" s="18">
        <f t="shared" si="343"/>
        <v>-3.1728424115145901E-5</v>
      </c>
      <c r="K95" s="18">
        <f t="shared" si="343"/>
        <v>3.135570780886662E-5</v>
      </c>
      <c r="L95" s="18">
        <f t="shared" si="343"/>
        <v>-6.7903180259385503E-6</v>
      </c>
      <c r="M95" s="18">
        <f t="shared" si="343"/>
        <v>-8.7636468093244095E-8</v>
      </c>
      <c r="N95" s="18">
        <f t="shared" si="343"/>
        <v>1.5485170094950913E-5</v>
      </c>
      <c r="O95" s="18">
        <f t="shared" si="343"/>
        <v>-1.2645004578462801E-6</v>
      </c>
      <c r="P95" s="18">
        <f t="shared" si="343"/>
        <v>2.6344396345775148E-6</v>
      </c>
      <c r="Q95" s="18">
        <f t="shared" si="343"/>
        <v>-3.2514384824447713E-5</v>
      </c>
      <c r="R95" s="18">
        <f t="shared" si="343"/>
        <v>-2.3764146634628713E-5</v>
      </c>
      <c r="S95" s="18">
        <f t="shared" si="343"/>
        <v>6.618221135445024E-6</v>
      </c>
      <c r="T95" s="18">
        <f t="shared" si="343"/>
        <v>3.4965045233901946E-5</v>
      </c>
      <c r="U95" s="18">
        <f t="shared" si="343"/>
        <v>-3.2554779107297856E-5</v>
      </c>
      <c r="V95" s="18">
        <f t="shared" si="343"/>
        <v>3.4604615285428323E-5</v>
      </c>
      <c r="W95" s="18">
        <f t="shared" si="343"/>
        <v>-8.4693153633726397E-6</v>
      </c>
      <c r="X95" s="18">
        <f t="shared" si="343"/>
        <v>-1.4338616392456864E-5</v>
      </c>
      <c r="Y95" s="18">
        <f t="shared" si="343"/>
        <v>-2.2193366764436566E-5</v>
      </c>
      <c r="Z95" s="18">
        <f t="shared" si="343"/>
        <v>3.4319819013423746E-5</v>
      </c>
      <c r="AA95" s="18">
        <f t="shared" si="343"/>
        <v>-3.0175606329197193E-5</v>
      </c>
      <c r="AB95" s="18">
        <f t="shared" si="343"/>
        <v>-3.4827837904888022E-5</v>
      </c>
      <c r="AC95" s="18">
        <f t="shared" si="343"/>
        <v>3.0504818717308119E-5</v>
      </c>
      <c r="AD95" s="18">
        <f t="shared" si="343"/>
        <v>2.2422304193487243E-5</v>
      </c>
      <c r="AE95" s="18">
        <f t="shared" si="343"/>
        <v>-2.2193366764436566E-5</v>
      </c>
      <c r="AF95" s="18">
        <f t="shared" si="343"/>
        <v>4.863279855895348E-8</v>
      </c>
      <c r="AG95" s="18">
        <f t="shared" si="343"/>
        <v>2.7240739162581051E-5</v>
      </c>
      <c r="AH95" s="18">
        <f t="shared" si="343"/>
        <v>-1.2752366577989375E-5</v>
      </c>
      <c r="AI95" s="18">
        <f t="shared" si="343"/>
        <v>-2.6692405340944215E-5</v>
      </c>
      <c r="AJ95" s="18">
        <f t="shared" si="343"/>
        <v>-2.7772616144718123E-5</v>
      </c>
      <c r="AK95" s="18">
        <f t="shared" ref="AK95:BG95" si="344">0.000035 * SIN( AK80  * Deg2Rad )</f>
        <v>2.6643604072757018E-5</v>
      </c>
      <c r="AL95" s="18">
        <f t="shared" si="344"/>
        <v>-3.3872006228864669E-6</v>
      </c>
      <c r="AM95" s="18">
        <f t="shared" si="344"/>
        <v>3.4955414017417829E-5</v>
      </c>
      <c r="AN95" s="18">
        <f t="shared" si="344"/>
        <v>-2.426937342004408E-5</v>
      </c>
      <c r="AO95" s="18">
        <f t="shared" si="344"/>
        <v>3.8405041629541813E-6</v>
      </c>
      <c r="AP95" s="18">
        <f t="shared" si="344"/>
        <v>-1.6829689702283493E-5</v>
      </c>
      <c r="AQ95" s="18">
        <f t="shared" si="344"/>
        <v>-1.6829689702283493E-5</v>
      </c>
      <c r="AR95" s="18">
        <f t="shared" si="344"/>
        <v>-2.8406487627986261E-5</v>
      </c>
      <c r="AS95" s="18">
        <f t="shared" si="344"/>
        <v>-2.8406487627986261E-5</v>
      </c>
      <c r="AT95" s="18">
        <f t="shared" si="344"/>
        <v>-2.8406487627986261E-5</v>
      </c>
      <c r="AU95" s="18">
        <f t="shared" si="344"/>
        <v>2.8404936258818024E-5</v>
      </c>
      <c r="AV95" s="18">
        <f t="shared" si="344"/>
        <v>-2.2347532909767263E-5</v>
      </c>
      <c r="AW95" s="18">
        <f t="shared" si="344"/>
        <v>-3.2224445493777788E-5</v>
      </c>
      <c r="AX95" s="18">
        <f t="shared" si="344"/>
        <v>3.4990194582356286E-5</v>
      </c>
      <c r="AY95" s="18">
        <f t="shared" si="344"/>
        <v>-3.4443272638382677E-5</v>
      </c>
      <c r="AZ95" s="18">
        <f t="shared" si="344"/>
        <v>-3.4443272638382677E-5</v>
      </c>
      <c r="BA95" s="18">
        <f t="shared" si="344"/>
        <v>-3.3762712732329738E-5</v>
      </c>
      <c r="BB95" s="18">
        <f t="shared" si="344"/>
        <v>-3.3762712732329738E-5</v>
      </c>
      <c r="BC95" s="18">
        <f t="shared" si="344"/>
        <v>-3.3762712732329738E-5</v>
      </c>
      <c r="BD95" s="18">
        <f t="shared" si="344"/>
        <v>-3.3762712732329738E-5</v>
      </c>
      <c r="BE95" s="18">
        <f t="shared" si="344"/>
        <v>-3.3762712732329738E-5</v>
      </c>
      <c r="BF95" s="18">
        <f t="shared" si="344"/>
        <v>-3.3762712732329738E-5</v>
      </c>
      <c r="BG95" s="18">
        <f t="shared" si="344"/>
        <v>-2.2193366764436566E-5</v>
      </c>
    </row>
    <row r="96" spans="2:59" x14ac:dyDescent="0.25">
      <c r="B96" s="35"/>
      <c r="C96" s="98" t="s">
        <v>156</v>
      </c>
      <c r="D96" s="86" t="s">
        <v>424</v>
      </c>
      <c r="E96" s="87">
        <f t="shared" ref="E96:AJ96" si="345">0.000023 * SIN( E81  * Deg2Rad )</f>
        <v>-2.2341402194596815E-5</v>
      </c>
      <c r="F96" s="87">
        <f t="shared" si="345"/>
        <v>2.1355011819067011E-5</v>
      </c>
      <c r="G96" s="87">
        <f t="shared" si="345"/>
        <v>-1.0957008319412891E-5</v>
      </c>
      <c r="H96" s="87">
        <f t="shared" si="345"/>
        <v>-2.181910199060565E-5</v>
      </c>
      <c r="I96" s="87">
        <f t="shared" si="345"/>
        <v>2.0539036034061146E-5</v>
      </c>
      <c r="J96" s="87">
        <f t="shared" si="345"/>
        <v>1.6345645941630059E-5</v>
      </c>
      <c r="K96" s="87">
        <f t="shared" si="345"/>
        <v>7.9202541120670433E-6</v>
      </c>
      <c r="L96" s="87">
        <f t="shared" si="345"/>
        <v>8.7492664251645744E-7</v>
      </c>
      <c r="M96" s="87">
        <f t="shared" si="345"/>
        <v>-1.0657670732188181E-5</v>
      </c>
      <c r="N96" s="87">
        <f t="shared" si="345"/>
        <v>-7.6258669277622815E-6</v>
      </c>
      <c r="O96" s="87">
        <f t="shared" si="345"/>
        <v>-2.1022338319711564E-5</v>
      </c>
      <c r="P96" s="87">
        <f t="shared" si="345"/>
        <v>1.2341418352454757E-5</v>
      </c>
      <c r="Q96" s="87">
        <f t="shared" si="345"/>
        <v>2.3702536905157375E-6</v>
      </c>
      <c r="R96" s="87">
        <f t="shared" si="345"/>
        <v>9.3208483835117922E-7</v>
      </c>
      <c r="S96" s="87">
        <f t="shared" si="345"/>
        <v>-2.1962447029662162E-5</v>
      </c>
      <c r="T96" s="87">
        <f t="shared" si="345"/>
        <v>-2.0297828637483892E-5</v>
      </c>
      <c r="U96" s="87">
        <f t="shared" si="345"/>
        <v>-1.2596312054824136E-5</v>
      </c>
      <c r="V96" s="87">
        <f t="shared" si="345"/>
        <v>3.406288567481415E-6</v>
      </c>
      <c r="W96" s="87">
        <f t="shared" si="345"/>
        <v>1.8241095487832739E-5</v>
      </c>
      <c r="X96" s="87">
        <f t="shared" si="345"/>
        <v>-3.8907696981287127E-6</v>
      </c>
      <c r="Y96" s="87">
        <f t="shared" si="345"/>
        <v>1.3148622035836671E-5</v>
      </c>
      <c r="Z96" s="87">
        <f t="shared" si="345"/>
        <v>1.8635713230432553E-5</v>
      </c>
      <c r="AA96" s="87">
        <f t="shared" si="345"/>
        <v>-1.0957008319412891E-5</v>
      </c>
      <c r="AB96" s="87">
        <f t="shared" si="345"/>
        <v>2.1751840988641383E-5</v>
      </c>
      <c r="AC96" s="87">
        <f t="shared" si="345"/>
        <v>2.1027385244056566E-5</v>
      </c>
      <c r="AD96" s="87">
        <f t="shared" si="345"/>
        <v>3.742678759143367E-6</v>
      </c>
      <c r="AE96" s="87">
        <f t="shared" si="345"/>
        <v>1.3148622035836671E-5</v>
      </c>
      <c r="AF96" s="87">
        <f t="shared" si="345"/>
        <v>7.4884220563403418E-6</v>
      </c>
      <c r="AG96" s="87">
        <f t="shared" si="345"/>
        <v>4.7096560119462516E-6</v>
      </c>
      <c r="AH96" s="87">
        <f t="shared" si="345"/>
        <v>-1.9925497650344412E-5</v>
      </c>
      <c r="AI96" s="87">
        <f t="shared" si="345"/>
        <v>-5.3035379733734557E-6</v>
      </c>
      <c r="AJ96" s="87">
        <f t="shared" si="345"/>
        <v>1.3830048783837423E-5</v>
      </c>
      <c r="AK96" s="87">
        <f t="shared" ref="AK96:BG96" si="346">0.000023 * SIN( AK81  * Deg2Rad )</f>
        <v>6.0334570821572405E-6</v>
      </c>
      <c r="AL96" s="87">
        <f t="shared" si="346"/>
        <v>-2.275265165045599E-5</v>
      </c>
      <c r="AM96" s="87">
        <f t="shared" si="346"/>
        <v>-1.2920999710122519E-5</v>
      </c>
      <c r="AN96" s="87">
        <f t="shared" si="346"/>
        <v>-6.9822223144562383E-6</v>
      </c>
      <c r="AO96" s="87">
        <f t="shared" si="346"/>
        <v>2.1631400819679324E-5</v>
      </c>
      <c r="AP96" s="87">
        <f t="shared" si="346"/>
        <v>-2.2719810498827558E-5</v>
      </c>
      <c r="AQ96" s="87">
        <f t="shared" si="346"/>
        <v>-2.2719810498827558E-5</v>
      </c>
      <c r="AR96" s="87">
        <f t="shared" si="346"/>
        <v>-2.289943355545474E-5</v>
      </c>
      <c r="AS96" s="87">
        <f t="shared" si="346"/>
        <v>-2.289943355545474E-5</v>
      </c>
      <c r="AT96" s="87">
        <f t="shared" si="346"/>
        <v>-2.289943355545474E-5</v>
      </c>
      <c r="AU96" s="87">
        <f t="shared" si="346"/>
        <v>-1.7518392987164763E-5</v>
      </c>
      <c r="AV96" s="87">
        <f t="shared" si="346"/>
        <v>-1.6921257605493936E-5</v>
      </c>
      <c r="AW96" s="87">
        <f t="shared" si="346"/>
        <v>-1.3788620750402885E-5</v>
      </c>
      <c r="AX96" s="87">
        <f t="shared" si="346"/>
        <v>-1.8771279626731401E-5</v>
      </c>
      <c r="AY96" s="87">
        <f t="shared" si="346"/>
        <v>-2.2989058149217615E-5</v>
      </c>
      <c r="AZ96" s="87">
        <f t="shared" si="346"/>
        <v>-2.2989058149217615E-5</v>
      </c>
      <c r="BA96" s="87">
        <f t="shared" si="346"/>
        <v>-2.2988332041024607E-5</v>
      </c>
      <c r="BB96" s="87">
        <f t="shared" si="346"/>
        <v>-2.2988332041024607E-5</v>
      </c>
      <c r="BC96" s="87">
        <f t="shared" si="346"/>
        <v>-2.2988332041024607E-5</v>
      </c>
      <c r="BD96" s="87">
        <f t="shared" si="346"/>
        <v>-2.2988332041024607E-5</v>
      </c>
      <c r="BE96" s="87">
        <f t="shared" si="346"/>
        <v>-2.2988332041024607E-5</v>
      </c>
      <c r="BF96" s="87">
        <f t="shared" si="346"/>
        <v>-2.2988332041024607E-5</v>
      </c>
      <c r="BG96" s="87">
        <f t="shared" si="346"/>
        <v>1.3148622035836671E-5</v>
      </c>
    </row>
    <row r="97" spans="1:59" x14ac:dyDescent="0.25">
      <c r="C97" s="8" t="s">
        <v>467</v>
      </c>
    </row>
    <row r="98" spans="1:59" x14ac:dyDescent="0.25">
      <c r="B98" s="35"/>
      <c r="C98" s="35" t="s">
        <v>471</v>
      </c>
      <c r="D98" s="86" t="s">
        <v>559</v>
      </c>
      <c r="E98" s="94">
        <f>SUM(E83:E96)</f>
        <v>-3.6029187840057889E-4</v>
      </c>
      <c r="F98" s="94">
        <f t="shared" ref="F98:X98" si="347">SUM(F83:F96)</f>
        <v>-6.6347472769179554E-4</v>
      </c>
      <c r="G98" s="94">
        <f t="shared" si="347"/>
        <v>-5.3287078010818038E-4</v>
      </c>
      <c r="H98" s="94">
        <f t="shared" si="347"/>
        <v>-8.848306079519315E-4</v>
      </c>
      <c r="I98" s="94">
        <f t="shared" si="347"/>
        <v>-6.378006982669099E-4</v>
      </c>
      <c r="J98" s="94">
        <f t="shared" si="347"/>
        <v>-2.5844368974612513E-5</v>
      </c>
      <c r="K98" s="94">
        <f t="shared" si="347"/>
        <v>-7.1994473569681318E-4</v>
      </c>
      <c r="L98" s="94">
        <f t="shared" si="347"/>
        <v>-3.2935433067834605E-4</v>
      </c>
      <c r="M98" s="94">
        <f t="shared" si="347"/>
        <v>1.0550181576127697E-4</v>
      </c>
      <c r="N98" s="94">
        <f t="shared" si="347"/>
        <v>1.9140874834151826E-4</v>
      </c>
      <c r="O98" s="94">
        <f t="shared" si="347"/>
        <v>8.7405772119939377E-5</v>
      </c>
      <c r="P98" s="94">
        <f t="shared" si="347"/>
        <v>2.316783746064577E-5</v>
      </c>
      <c r="Q98" s="94">
        <f t="shared" si="347"/>
        <v>-2.6872931764514776E-4</v>
      </c>
      <c r="R98" s="94">
        <f t="shared" si="347"/>
        <v>-1.6104591041140239E-4</v>
      </c>
      <c r="S98" s="94">
        <f t="shared" si="347"/>
        <v>-3.1225320549863598E-4</v>
      </c>
      <c r="T98" s="94">
        <f t="shared" si="347"/>
        <v>-4.3611681773068211E-4</v>
      </c>
      <c r="U98" s="94">
        <f t="shared" si="347"/>
        <v>-2.4876910938490638E-4</v>
      </c>
      <c r="V98" s="94">
        <f t="shared" si="347"/>
        <v>-2.6274352091476468E-4</v>
      </c>
      <c r="W98" s="94">
        <f t="shared" si="347"/>
        <v>-9.0433980891816887E-5</v>
      </c>
      <c r="X98" s="94">
        <f t="shared" si="347"/>
        <v>-4.3945411189151297E-4</v>
      </c>
      <c r="Y98" s="125">
        <f>SUM(Y83:Y96)</f>
        <v>-6.8139766759132893E-4</v>
      </c>
      <c r="Z98" s="94">
        <f t="shared" ref="Z98:AE98" si="348">SUM(Z83:Z96)</f>
        <v>-2.3135183736155114E-4</v>
      </c>
      <c r="AA98" s="94">
        <f t="shared" si="348"/>
        <v>-5.3287078010818038E-4</v>
      </c>
      <c r="AB98" s="94">
        <f t="shared" si="348"/>
        <v>-5.5762378723300181E-4</v>
      </c>
      <c r="AC98" s="94">
        <f t="shared" si="348"/>
        <v>-3.8904073814953634E-4</v>
      </c>
      <c r="AD98" s="94">
        <f t="shared" si="348"/>
        <v>-4.7430445105767731E-4</v>
      </c>
      <c r="AE98" s="94">
        <f t="shared" si="348"/>
        <v>-6.8139766759132893E-4</v>
      </c>
      <c r="AF98" s="94">
        <f t="shared" ref="AF98:BG98" si="349">SUM(AF83:AF96)</f>
        <v>-3.3796095063302743E-4</v>
      </c>
      <c r="AG98" s="94">
        <f t="shared" si="349"/>
        <v>-3.8343393137498519E-4</v>
      </c>
      <c r="AH98" s="94">
        <f t="shared" si="349"/>
        <v>-6.8587580052824348E-4</v>
      </c>
      <c r="AI98" s="94">
        <f t="shared" si="349"/>
        <v>-3.6618563760905908E-4</v>
      </c>
      <c r="AJ98" s="94">
        <f t="shared" si="349"/>
        <v>-6.6594097154570246E-4</v>
      </c>
      <c r="AK98" s="94">
        <f t="shared" si="349"/>
        <v>4.8721389223523308E-4</v>
      </c>
      <c r="AL98" s="94">
        <f t="shared" si="349"/>
        <v>-1.3622886450186645E-4</v>
      </c>
      <c r="AM98" s="94">
        <f t="shared" si="349"/>
        <v>-5.8650501741025268E-4</v>
      </c>
      <c r="AN98" s="94">
        <f t="shared" si="349"/>
        <v>-4.7714506424173471E-4</v>
      </c>
      <c r="AO98" s="94">
        <f t="shared" si="349"/>
        <v>2.1921871494065944E-4</v>
      </c>
      <c r="AP98" s="94">
        <f t="shared" si="349"/>
        <v>-1.3709040536408722E-4</v>
      </c>
      <c r="AQ98" s="94">
        <f t="shared" si="349"/>
        <v>-1.3709040536408722E-4</v>
      </c>
      <c r="AR98" s="94">
        <f t="shared" si="349"/>
        <v>-3.0769688825390531E-4</v>
      </c>
      <c r="AS98" s="94">
        <f t="shared" si="349"/>
        <v>-3.0769688825390531E-4</v>
      </c>
      <c r="AT98" s="94">
        <f t="shared" si="349"/>
        <v>-3.0769688825390531E-4</v>
      </c>
      <c r="AU98" s="94">
        <f t="shared" si="349"/>
        <v>-4.5587280292841718E-4</v>
      </c>
      <c r="AV98" s="94">
        <f t="shared" si="349"/>
        <v>-6.6652454567462326E-4</v>
      </c>
      <c r="AW98" s="94">
        <f t="shared" si="349"/>
        <v>-1.8130733745850853E-4</v>
      </c>
      <c r="AX98" s="94">
        <f t="shared" si="349"/>
        <v>-5.3047027457332849E-4</v>
      </c>
      <c r="AY98" s="94">
        <f t="shared" si="349"/>
        <v>-5.063831610879725E-4</v>
      </c>
      <c r="AZ98" s="94">
        <f t="shared" si="349"/>
        <v>-5.063831610879725E-4</v>
      </c>
      <c r="BA98" s="94">
        <f t="shared" si="349"/>
        <v>-6.8718862929463271E-4</v>
      </c>
      <c r="BB98" s="94">
        <f t="shared" si="349"/>
        <v>-6.8718862929463271E-4</v>
      </c>
      <c r="BC98" s="94">
        <f t="shared" si="349"/>
        <v>-6.8718862929463271E-4</v>
      </c>
      <c r="BD98" s="94">
        <f t="shared" si="349"/>
        <v>-6.8718862929463271E-4</v>
      </c>
      <c r="BE98" s="94">
        <f t="shared" si="349"/>
        <v>-6.8718862929463271E-4</v>
      </c>
      <c r="BF98" s="94">
        <f t="shared" si="349"/>
        <v>-6.8718862929463271E-4</v>
      </c>
      <c r="BG98" s="94">
        <f t="shared" si="349"/>
        <v>-6.8139766759132893E-4</v>
      </c>
    </row>
    <row r="99" spans="1:59" x14ac:dyDescent="0.25">
      <c r="B99" s="103">
        <v>353</v>
      </c>
      <c r="C99" s="106" t="s">
        <v>558</v>
      </c>
      <c r="D99" s="107" t="s">
        <v>298</v>
      </c>
      <c r="E99" s="116">
        <f>E21+E41+E98</f>
        <v>2436134.6971960245</v>
      </c>
      <c r="F99" s="116">
        <f t="shared" ref="F99:X99" si="350">F21+F41+F98</f>
        <v>1842747.4368686618</v>
      </c>
      <c r="G99" s="116">
        <f t="shared" si="350"/>
        <v>2451550.2602577913</v>
      </c>
      <c r="H99" s="116">
        <f t="shared" si="350"/>
        <v>2451196.1578377932</v>
      </c>
      <c r="I99" s="116">
        <f t="shared" si="350"/>
        <v>2446825.0731883598</v>
      </c>
      <c r="J99" s="116">
        <f t="shared" si="350"/>
        <v>2446972.7345336978</v>
      </c>
      <c r="K99" s="116">
        <f t="shared" si="350"/>
        <v>2447179.7266962738</v>
      </c>
      <c r="L99" s="116">
        <f t="shared" si="350"/>
        <v>2447326.8851884641</v>
      </c>
      <c r="M99" s="116">
        <f t="shared" si="350"/>
        <v>2415021.0776915257</v>
      </c>
      <c r="N99" s="116">
        <f t="shared" si="350"/>
        <v>2305462.7136972747</v>
      </c>
      <c r="O99" s="116">
        <f t="shared" si="350"/>
        <v>2305846.697128165</v>
      </c>
      <c r="P99" s="116">
        <f t="shared" si="350"/>
        <v>2026870.4678683053</v>
      </c>
      <c r="Q99" s="116">
        <f t="shared" si="350"/>
        <v>1676519.8736408127</v>
      </c>
      <c r="R99" s="116">
        <f t="shared" si="350"/>
        <v>1676490.0972646</v>
      </c>
      <c r="S99" s="116">
        <f t="shared" si="350"/>
        <v>1355994.6273358425</v>
      </c>
      <c r="T99" s="116">
        <f t="shared" si="350"/>
        <v>1355906.7494074411</v>
      </c>
      <c r="U99" s="116">
        <f t="shared" si="350"/>
        <v>1355669.4949495059</v>
      </c>
      <c r="V99" s="116">
        <f t="shared" si="350"/>
        <v>9.7574940654408167</v>
      </c>
      <c r="W99" s="116">
        <f t="shared" si="350"/>
        <v>2446913.566107186</v>
      </c>
      <c r="X99" s="116">
        <f t="shared" si="350"/>
        <v>2448745.2398917191</v>
      </c>
      <c r="Y99" s="127">
        <f>Y21+Y41+Y98</f>
        <v>2443192.6511826837</v>
      </c>
      <c r="Z99" s="116">
        <f t="shared" ref="Z99:AE99" si="351">Z21+Z41+Z98</f>
        <v>2467614.9092886685</v>
      </c>
      <c r="AA99" s="116">
        <f t="shared" si="351"/>
        <v>2451550.2602577913</v>
      </c>
      <c r="AB99" s="116">
        <f t="shared" si="351"/>
        <v>2434924.0182496342</v>
      </c>
      <c r="AC99" s="116">
        <f t="shared" si="351"/>
        <v>2443842.8474019784</v>
      </c>
      <c r="AD99" s="116">
        <f t="shared" si="351"/>
        <v>2447268.0005642977</v>
      </c>
      <c r="AE99" s="116">
        <f t="shared" si="351"/>
        <v>2443192.6511826837</v>
      </c>
      <c r="AF99" s="116">
        <f t="shared" ref="AF99" si="352">AF21+AF41+AF98</f>
        <v>2448980.5304304794</v>
      </c>
      <c r="AG99" s="116">
        <f t="shared" ref="AG99" si="353">AG21+AG41+AG98</f>
        <v>2448921.3574780114</v>
      </c>
      <c r="AH99" s="116">
        <f t="shared" ref="AH99" si="354">AH21+AH41+AH98</f>
        <v>2448331.8413745803</v>
      </c>
      <c r="AI99" s="116">
        <f t="shared" ref="AI99" si="355">AI21+AI41+AI98</f>
        <v>2448715.7100752452</v>
      </c>
      <c r="AJ99" s="116">
        <f t="shared" ref="AJ99" si="356">AJ21+AJ41+AJ98</f>
        <v>2449129.0886117895</v>
      </c>
      <c r="AK99" s="116">
        <f t="shared" ref="AK99" si="357">AK21+AK41+AK98</f>
        <v>2385076.4880753052</v>
      </c>
      <c r="AL99" s="116">
        <f t="shared" ref="AL99" si="358">AL21+AL41+AL98</f>
        <v>2448153.5327884573</v>
      </c>
      <c r="AM99" s="116">
        <f t="shared" ref="AM99" si="359">AM21+AM41+AM98</f>
        <v>1948437.7797204461</v>
      </c>
      <c r="AN99" s="116">
        <f t="shared" ref="AN99" si="360">AN21+AN41+AN98</f>
        <v>2451639.2591001745</v>
      </c>
      <c r="AO99" s="116">
        <f t="shared" ref="AO99" si="361">AO21+AO41+AO98</f>
        <v>1721436.0813008165</v>
      </c>
      <c r="AP99" s="116">
        <f t="shared" ref="AP99" si="362">AP21+AP41+AP98</f>
        <v>2459848.4136201283</v>
      </c>
      <c r="AQ99" s="116">
        <f t="shared" ref="AQ99" si="363">AQ21+AQ41+AQ98</f>
        <v>2459848.4136201283</v>
      </c>
      <c r="AR99" s="116">
        <f t="shared" ref="AR99" si="364">AR21+AR41+AR98</f>
        <v>2459877.9512321567</v>
      </c>
      <c r="AS99" s="116">
        <f t="shared" ref="AS99" si="365">AS21+AS41+AS98</f>
        <v>2459877.9512321567</v>
      </c>
      <c r="AT99" s="116">
        <f t="shared" ref="AT99" si="366">AT21+AT41+AT98</f>
        <v>2459877.9512321567</v>
      </c>
      <c r="AU99" s="116">
        <f t="shared" ref="AU99" si="367">AU21+AU41+AU98</f>
        <v>2441834.6909610098</v>
      </c>
      <c r="AV99" s="116">
        <f t="shared" ref="AV99" si="368">AV21+AV41+AV98</f>
        <v>2450693.4949553194</v>
      </c>
      <c r="AW99" s="116">
        <f t="shared" ref="AW99" si="369">AW21+AW41+AW98</f>
        <v>2427807.7225545268</v>
      </c>
      <c r="AX99" s="116">
        <f t="shared" ref="AX99" si="370">AX21+AX41+AX98</f>
        <v>2435958.496080752</v>
      </c>
      <c r="AY99" s="116">
        <f t="shared" ref="AY99" si="371">AY21+AY41+AY98</f>
        <v>2459907.4571649851</v>
      </c>
      <c r="AZ99" s="116">
        <f t="shared" ref="AZ99" si="372">AZ21+AZ41+AZ98</f>
        <v>2459907.4571649851</v>
      </c>
      <c r="BA99" s="116">
        <f t="shared" ref="BA99" si="373">BA21+BA41+BA98</f>
        <v>2459936.9291703883</v>
      </c>
      <c r="BB99" s="116">
        <f t="shared" ref="BB99" si="374">BB21+BB41+BB98</f>
        <v>2459936.9291703883</v>
      </c>
      <c r="BC99" s="116">
        <f t="shared" ref="BC99" si="375">BC21+BC41+BC98</f>
        <v>2459936.9291703883</v>
      </c>
      <c r="BD99" s="116">
        <f t="shared" ref="BD99" si="376">BD21+BD41+BD98</f>
        <v>2459936.9291703883</v>
      </c>
      <c r="BE99" s="116">
        <f t="shared" ref="BE99:BG99" si="377">BE21+BE41+BE98</f>
        <v>2459936.9291703883</v>
      </c>
      <c r="BF99" s="116">
        <f t="shared" si="377"/>
        <v>2459936.9291703883</v>
      </c>
      <c r="BG99" s="116">
        <f t="shared" si="377"/>
        <v>2443192.6511826837</v>
      </c>
    </row>
    <row r="100" spans="1:59" ht="15.75" thickBot="1" x14ac:dyDescent="0.3">
      <c r="A100" s="46"/>
      <c r="B100" s="115"/>
      <c r="C100" s="109" t="str">
        <f>'07JD'!C90</f>
        <v>DATE OF NEW MOON</v>
      </c>
      <c r="D100" s="114" t="str">
        <f>'07JD'!D90</f>
        <v>date_new</v>
      </c>
      <c r="E100" s="110">
        <f>'07JD'!E90</f>
        <v>21116.19719602447</v>
      </c>
      <c r="F100" s="110" t="str">
        <f>'07JD'!F90</f>
        <v>333-3-2 22:29:5.54</v>
      </c>
      <c r="G100" s="110">
        <f>'07JD'!G90</f>
        <v>36531.760257791262</v>
      </c>
      <c r="H100" s="110">
        <f>'07JD'!H90</f>
        <v>36177.657837793231</v>
      </c>
      <c r="I100" s="110">
        <f>'07JD'!I90</f>
        <v>31806.573188359849</v>
      </c>
      <c r="J100" s="110">
        <f>'07JD'!J90</f>
        <v>31954.234533697832</v>
      </c>
      <c r="K100" s="110">
        <f>'07JD'!K90</f>
        <v>32161.226696273778</v>
      </c>
      <c r="L100" s="110">
        <f>'07JD'!L90</f>
        <v>32308.385188464075</v>
      </c>
      <c r="M100" s="110">
        <f>'07JD'!M90</f>
        <v>1.5776915256865323</v>
      </c>
      <c r="N100" s="110" t="str">
        <f>'07JD'!N90</f>
        <v>1600-1-16 5:7:43.43</v>
      </c>
      <c r="O100" s="110" t="str">
        <f>'07JD'!O90</f>
        <v>1601-2-3 4:43:51.51</v>
      </c>
      <c r="P100" s="110" t="str">
        <f>'07JD'!P90</f>
        <v>837-4-8 23:13:43.43</v>
      </c>
      <c r="Q100" s="110" t="str">
        <f>'07JD'!Q90</f>
        <v>-122-1-23 8:58:2.25</v>
      </c>
      <c r="R100" s="110" t="str">
        <f>'07JD'!R90</f>
        <v>-123-12-24 14:20:3.36</v>
      </c>
      <c r="S100" s="110" t="str">
        <f>'07JD'!S90</f>
        <v>-1000-7-6 3:3:21.21</v>
      </c>
      <c r="T100" s="110" t="str">
        <f>'07JD'!T90</f>
        <v>-1000-4-9 5:59:8.88</v>
      </c>
      <c r="U100" s="110" t="str">
        <f>'07JD'!U90</f>
        <v>-1001-8-15 23:52:43.43</v>
      </c>
      <c r="V100" s="110" t="str">
        <f>'07JD'!V90</f>
        <v>-4712-1-11 6:10:47.47</v>
      </c>
      <c r="W100" s="110">
        <f>'07JD'!W90</f>
        <v>31895.066107186023</v>
      </c>
      <c r="X100" s="110">
        <f>'07JD'!X90</f>
        <v>33726.739891719073</v>
      </c>
      <c r="Y100" s="110">
        <f>'07JD'!Y90</f>
        <v>28174.15118268365</v>
      </c>
      <c r="Z100" s="110">
        <f>'07JD'!Z90</f>
        <v>52596.409288668539</v>
      </c>
      <c r="AA100" s="110">
        <f>'07JD'!AA90</f>
        <v>36531.760257791262</v>
      </c>
      <c r="AB100" s="110">
        <f>'07JD'!AB90</f>
        <v>19905.518249634188</v>
      </c>
      <c r="AC100" s="110">
        <f>'07JD'!AC90</f>
        <v>28824.347401978448</v>
      </c>
      <c r="AD100" s="110">
        <f>'07JD'!AD90</f>
        <v>32249.500564297661</v>
      </c>
      <c r="AE100" s="110">
        <f>'07JD'!AE90</f>
        <v>28174.15118268365</v>
      </c>
      <c r="AF100" s="110">
        <f>'07JD'!AF90</f>
        <v>33962.030430479441</v>
      </c>
      <c r="AG100" s="110">
        <f>'07JD'!AG90</f>
        <v>33902.8574780114</v>
      </c>
      <c r="AH100" s="110">
        <f>'07JD'!AH90</f>
        <v>33313.341374580283</v>
      </c>
      <c r="AI100" s="110">
        <f>'07JD'!AI90</f>
        <v>33697.210075245239</v>
      </c>
      <c r="AJ100" s="110">
        <f>'07JD'!AJ90</f>
        <v>34110.588611789513</v>
      </c>
      <c r="AK100" s="110" t="str">
        <f>'07JD'!AK90</f>
        <v>1818-1-6 23:42:49.49</v>
      </c>
      <c r="AL100" s="110">
        <f>'07JD'!AL90</f>
        <v>33135.032788457349</v>
      </c>
      <c r="AM100" s="110" t="str">
        <f>'07JD'!AM90</f>
        <v>622-7-14 6:42:47.47</v>
      </c>
      <c r="AN100" s="110">
        <f>'07JD'!AN90</f>
        <v>36620.759100174531</v>
      </c>
      <c r="AO100" s="110" t="str">
        <f>'07JD'!AO90</f>
        <v>1-1-13 13:57:4.43</v>
      </c>
      <c r="AP100" s="110">
        <f>'07JD'!AP90</f>
        <v>44829.913620128296</v>
      </c>
      <c r="AQ100" s="110">
        <f>'07JD'!AQ90</f>
        <v>44829.913620128296</v>
      </c>
      <c r="AR100" s="110">
        <f>'07JD'!AR90</f>
        <v>44859.451232156716</v>
      </c>
      <c r="AS100" s="110">
        <f>'07JD'!AS90</f>
        <v>44859.451232156716</v>
      </c>
      <c r="AT100" s="110">
        <f>'07JD'!AT90</f>
        <v>44859.451232156716</v>
      </c>
      <c r="AU100" s="110">
        <f>'07JD'!AU90</f>
        <v>26816.190961009823</v>
      </c>
      <c r="AV100" s="110">
        <f>'07JD'!AV90</f>
        <v>35674.994955319446</v>
      </c>
      <c r="AW100" s="110">
        <f>'07JD'!AW90</f>
        <v>12789.222554526757</v>
      </c>
      <c r="AX100" s="110">
        <f>'07JD'!AX90</f>
        <v>20939.996080751996</v>
      </c>
      <c r="AY100" s="110">
        <f>'07JD'!AY90</f>
        <v>44888.957164985128</v>
      </c>
      <c r="AZ100" s="110">
        <f>'07JD'!AZ90</f>
        <v>44888.957164985128</v>
      </c>
      <c r="BA100" s="110">
        <f>'07JD'!BA90</f>
        <v>44918.429170388263</v>
      </c>
      <c r="BB100" s="110">
        <f>'07JD'!BB90</f>
        <v>44918.429170388263</v>
      </c>
      <c r="BC100" s="110">
        <f>'07JD'!BC90</f>
        <v>44918.429170388263</v>
      </c>
      <c r="BD100" s="110">
        <f>'07JD'!BD90</f>
        <v>44918.429170388263</v>
      </c>
      <c r="BE100" s="110">
        <f>'07JD'!BE90</f>
        <v>44918.429170388263</v>
      </c>
      <c r="BF100" s="110">
        <f>'07JD'!BF90</f>
        <v>44918.429170388263</v>
      </c>
      <c r="BG100" s="110">
        <f>'07JD'!BG90</f>
        <v>28174.15118268365</v>
      </c>
    </row>
    <row r="101" spans="1:59" ht="15.75" thickTop="1" x14ac:dyDescent="0.25">
      <c r="A101" s="100"/>
      <c r="B101" s="100"/>
      <c r="C101" s="100" t="s">
        <v>561</v>
      </c>
      <c r="D101" s="101" t="s">
        <v>562</v>
      </c>
      <c r="E101" s="101" t="s">
        <v>563</v>
      </c>
      <c r="F101" s="101" t="s">
        <v>563</v>
      </c>
      <c r="G101" s="101" t="s">
        <v>563</v>
      </c>
      <c r="H101" s="101" t="s">
        <v>563</v>
      </c>
      <c r="I101" s="101" t="s">
        <v>563</v>
      </c>
      <c r="J101" s="101" t="s">
        <v>563</v>
      </c>
      <c r="K101" s="101" t="s">
        <v>563</v>
      </c>
      <c r="L101" s="101" t="s">
        <v>563</v>
      </c>
      <c r="M101" s="101" t="s">
        <v>563</v>
      </c>
      <c r="N101" s="101" t="s">
        <v>563</v>
      </c>
      <c r="O101" s="101" t="s">
        <v>563</v>
      </c>
      <c r="P101" s="101" t="s">
        <v>563</v>
      </c>
      <c r="Q101" s="101" t="s">
        <v>563</v>
      </c>
      <c r="R101" s="101" t="s">
        <v>563</v>
      </c>
      <c r="S101" s="101" t="s">
        <v>563</v>
      </c>
      <c r="T101" s="101" t="s">
        <v>563</v>
      </c>
      <c r="U101" s="101" t="s">
        <v>563</v>
      </c>
      <c r="V101" s="101" t="s">
        <v>563</v>
      </c>
      <c r="W101" s="101" t="s">
        <v>563</v>
      </c>
      <c r="X101" s="101" t="s">
        <v>563</v>
      </c>
      <c r="Y101" s="101" t="s">
        <v>563</v>
      </c>
      <c r="Z101" s="101" t="s">
        <v>563</v>
      </c>
      <c r="AA101" s="101" t="s">
        <v>563</v>
      </c>
      <c r="AB101" s="101" t="s">
        <v>563</v>
      </c>
      <c r="AC101" s="101" t="s">
        <v>563</v>
      </c>
      <c r="AD101" s="101" t="s">
        <v>563</v>
      </c>
      <c r="AE101" s="101" t="s">
        <v>563</v>
      </c>
      <c r="AF101" s="101" t="s">
        <v>563</v>
      </c>
      <c r="AG101" s="101" t="s">
        <v>563</v>
      </c>
      <c r="AH101" s="101" t="s">
        <v>563</v>
      </c>
      <c r="AI101" s="101" t="s">
        <v>563</v>
      </c>
      <c r="AJ101" s="101" t="s">
        <v>563</v>
      </c>
      <c r="AK101" s="101" t="s">
        <v>563</v>
      </c>
      <c r="AL101" s="101" t="s">
        <v>563</v>
      </c>
      <c r="AM101" s="101" t="s">
        <v>563</v>
      </c>
      <c r="AN101" s="101" t="s">
        <v>563</v>
      </c>
      <c r="AO101" s="101" t="s">
        <v>563</v>
      </c>
      <c r="AP101" s="101" t="s">
        <v>563</v>
      </c>
      <c r="AQ101" s="101" t="s">
        <v>563</v>
      </c>
      <c r="AR101" s="101" t="s">
        <v>563</v>
      </c>
      <c r="AS101" s="101" t="s">
        <v>563</v>
      </c>
      <c r="AT101" s="101" t="s">
        <v>563</v>
      </c>
      <c r="AU101" s="101" t="s">
        <v>563</v>
      </c>
      <c r="AV101" s="101" t="s">
        <v>563</v>
      </c>
      <c r="AW101" s="101" t="s">
        <v>563</v>
      </c>
      <c r="AX101" s="101" t="s">
        <v>563</v>
      </c>
      <c r="AY101" s="101" t="s">
        <v>563</v>
      </c>
      <c r="AZ101" s="101" t="s">
        <v>563</v>
      </c>
      <c r="BA101" s="101" t="s">
        <v>563</v>
      </c>
      <c r="BB101" s="101" t="s">
        <v>563</v>
      </c>
      <c r="BC101" s="101" t="s">
        <v>563</v>
      </c>
      <c r="BD101" s="101" t="s">
        <v>563</v>
      </c>
      <c r="BE101" s="101" t="s">
        <v>563</v>
      </c>
      <c r="BF101" s="101" t="s">
        <v>563</v>
      </c>
      <c r="BG101" s="101" t="s">
        <v>563</v>
      </c>
    </row>
    <row r="102" spans="1:59" x14ac:dyDescent="0.25">
      <c r="A102">
        <v>49.2</v>
      </c>
      <c r="B102">
        <v>350</v>
      </c>
      <c r="C102" t="s">
        <v>112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</row>
    <row r="103" spans="1:59" x14ac:dyDescent="0.25">
      <c r="C103" t="s">
        <v>113</v>
      </c>
      <c r="D103" s="7" t="s">
        <v>556</v>
      </c>
      <c r="E103" s="28">
        <f>E15</f>
        <v>-522</v>
      </c>
      <c r="F103" s="28">
        <f t="shared" ref="F103:X103" si="378">F15</f>
        <v>-20616</v>
      </c>
      <c r="G103" s="28">
        <f t="shared" si="378"/>
        <v>0</v>
      </c>
      <c r="H103" s="28">
        <f t="shared" si="378"/>
        <v>-12</v>
      </c>
      <c r="I103" s="28">
        <f t="shared" si="378"/>
        <v>-160</v>
      </c>
      <c r="J103" s="28">
        <f t="shared" si="378"/>
        <v>-155</v>
      </c>
      <c r="K103" s="28">
        <f t="shared" si="378"/>
        <v>-148</v>
      </c>
      <c r="L103" s="28">
        <f t="shared" si="378"/>
        <v>-143</v>
      </c>
      <c r="M103" s="28">
        <f t="shared" si="378"/>
        <v>-1237</v>
      </c>
      <c r="N103" s="28">
        <f t="shared" si="378"/>
        <v>-4947</v>
      </c>
      <c r="O103" s="28">
        <f t="shared" si="378"/>
        <v>-4934</v>
      </c>
      <c r="P103" s="28">
        <f t="shared" si="378"/>
        <v>-14381</v>
      </c>
      <c r="Q103" s="28">
        <f t="shared" si="378"/>
        <v>-26245</v>
      </c>
      <c r="R103" s="28">
        <f t="shared" si="378"/>
        <v>-26246</v>
      </c>
      <c r="S103" s="28">
        <f t="shared" si="378"/>
        <v>-37099</v>
      </c>
      <c r="T103" s="28">
        <f t="shared" si="378"/>
        <v>-37102</v>
      </c>
      <c r="U103" s="28">
        <f t="shared" si="378"/>
        <v>-37110</v>
      </c>
      <c r="V103" s="28">
        <f t="shared" si="378"/>
        <v>-83017</v>
      </c>
      <c r="W103" s="28">
        <f t="shared" si="378"/>
        <v>-157</v>
      </c>
      <c r="X103" s="28">
        <f t="shared" si="378"/>
        <v>-95</v>
      </c>
      <c r="Y103" s="28">
        <f>Y15</f>
        <v>-283</v>
      </c>
      <c r="Z103" s="28">
        <f t="shared" ref="Z103:AE103" si="379">Z15</f>
        <v>544</v>
      </c>
      <c r="AA103" s="28">
        <f t="shared" si="379"/>
        <v>0</v>
      </c>
      <c r="AB103" s="28">
        <f t="shared" si="379"/>
        <v>-563</v>
      </c>
      <c r="AC103" s="28">
        <f t="shared" si="379"/>
        <v>-261</v>
      </c>
      <c r="AD103" s="28">
        <f t="shared" si="379"/>
        <v>-145</v>
      </c>
      <c r="AE103" s="28">
        <f t="shared" si="379"/>
        <v>-283</v>
      </c>
      <c r="AF103" s="28">
        <f t="shared" ref="AF103:BG103" si="380">AF15</f>
        <v>-87</v>
      </c>
      <c r="AG103" s="28">
        <f t="shared" si="380"/>
        <v>-89</v>
      </c>
      <c r="AH103" s="28">
        <f t="shared" si="380"/>
        <v>-109</v>
      </c>
      <c r="AI103" s="28">
        <f t="shared" si="380"/>
        <v>-96</v>
      </c>
      <c r="AJ103" s="28">
        <f t="shared" si="380"/>
        <v>-82</v>
      </c>
      <c r="AK103" s="28">
        <f t="shared" si="380"/>
        <v>-2251</v>
      </c>
      <c r="AL103" s="28">
        <f t="shared" si="380"/>
        <v>-115</v>
      </c>
      <c r="AM103" s="28">
        <f t="shared" si="380"/>
        <v>-17037</v>
      </c>
      <c r="AN103" s="28">
        <f t="shared" si="380"/>
        <v>3</v>
      </c>
      <c r="AO103" s="28">
        <f t="shared" si="380"/>
        <v>-24724</v>
      </c>
      <c r="AP103" s="28">
        <f t="shared" si="380"/>
        <v>281</v>
      </c>
      <c r="AQ103" s="28">
        <f t="shared" si="380"/>
        <v>281</v>
      </c>
      <c r="AR103" s="28">
        <f t="shared" si="380"/>
        <v>282</v>
      </c>
      <c r="AS103" s="28">
        <f t="shared" si="380"/>
        <v>282</v>
      </c>
      <c r="AT103" s="28">
        <f t="shared" si="380"/>
        <v>282</v>
      </c>
      <c r="AU103" s="28">
        <f t="shared" si="380"/>
        <v>-329</v>
      </c>
      <c r="AV103" s="28">
        <f t="shared" si="380"/>
        <v>-29</v>
      </c>
      <c r="AW103" s="28">
        <f t="shared" si="380"/>
        <v>-804</v>
      </c>
      <c r="AX103" s="28">
        <f t="shared" si="380"/>
        <v>-528</v>
      </c>
      <c r="AY103" s="28">
        <f t="shared" si="380"/>
        <v>283</v>
      </c>
      <c r="AZ103" s="28">
        <f t="shared" si="380"/>
        <v>283</v>
      </c>
      <c r="BA103" s="28">
        <f t="shared" si="380"/>
        <v>284</v>
      </c>
      <c r="BB103" s="28">
        <f t="shared" si="380"/>
        <v>284</v>
      </c>
      <c r="BC103" s="28">
        <f t="shared" si="380"/>
        <v>284</v>
      </c>
      <c r="BD103" s="28">
        <f t="shared" si="380"/>
        <v>284</v>
      </c>
      <c r="BE103" s="28">
        <f t="shared" si="380"/>
        <v>284</v>
      </c>
      <c r="BF103" s="28">
        <f t="shared" si="380"/>
        <v>284</v>
      </c>
      <c r="BG103" s="28">
        <f t="shared" si="380"/>
        <v>-283</v>
      </c>
    </row>
    <row r="104" spans="1:59" x14ac:dyDescent="0.25">
      <c r="C104" t="s">
        <v>115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</row>
    <row r="105" spans="1:59" x14ac:dyDescent="0.25">
      <c r="C105" t="s">
        <v>114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</row>
    <row r="106" spans="1:59" x14ac:dyDescent="0.25">
      <c r="A106" s="35"/>
      <c r="B106" s="35"/>
      <c r="C106" s="35" t="s">
        <v>118</v>
      </c>
      <c r="D106" s="86" t="s">
        <v>372</v>
      </c>
      <c r="E106" s="91">
        <f>E103+0.25</f>
        <v>-521.75</v>
      </c>
      <c r="F106" s="91">
        <f t="shared" ref="F106:X106" si="381">F103+0.25</f>
        <v>-20615.75</v>
      </c>
      <c r="G106" s="91">
        <f t="shared" si="381"/>
        <v>0.25</v>
      </c>
      <c r="H106" s="91">
        <f t="shared" si="381"/>
        <v>-11.75</v>
      </c>
      <c r="I106" s="91">
        <f t="shared" si="381"/>
        <v>-159.75</v>
      </c>
      <c r="J106" s="91">
        <f t="shared" si="381"/>
        <v>-154.75</v>
      </c>
      <c r="K106" s="91">
        <f t="shared" si="381"/>
        <v>-147.75</v>
      </c>
      <c r="L106" s="91">
        <f t="shared" si="381"/>
        <v>-142.75</v>
      </c>
      <c r="M106" s="91">
        <f t="shared" si="381"/>
        <v>-1236.75</v>
      </c>
      <c r="N106" s="91">
        <f t="shared" si="381"/>
        <v>-4946.75</v>
      </c>
      <c r="O106" s="91">
        <f t="shared" si="381"/>
        <v>-4933.75</v>
      </c>
      <c r="P106" s="91">
        <f t="shared" si="381"/>
        <v>-14380.75</v>
      </c>
      <c r="Q106" s="91">
        <f t="shared" si="381"/>
        <v>-26244.75</v>
      </c>
      <c r="R106" s="91">
        <f t="shared" si="381"/>
        <v>-26245.75</v>
      </c>
      <c r="S106" s="91">
        <f t="shared" si="381"/>
        <v>-37098.75</v>
      </c>
      <c r="T106" s="91">
        <f t="shared" si="381"/>
        <v>-37101.75</v>
      </c>
      <c r="U106" s="91">
        <f t="shared" si="381"/>
        <v>-37109.75</v>
      </c>
      <c r="V106" s="91">
        <f t="shared" si="381"/>
        <v>-83016.75</v>
      </c>
      <c r="W106" s="91">
        <f t="shared" si="381"/>
        <v>-156.75</v>
      </c>
      <c r="X106" s="91">
        <f t="shared" si="381"/>
        <v>-94.75</v>
      </c>
      <c r="Y106" s="91">
        <f>Y103+0.25</f>
        <v>-282.75</v>
      </c>
      <c r="Z106" s="91">
        <f t="shared" ref="Z106:AE106" si="382">Z103+0.25</f>
        <v>544.25</v>
      </c>
      <c r="AA106" s="91">
        <f t="shared" si="382"/>
        <v>0.25</v>
      </c>
      <c r="AB106" s="91">
        <f t="shared" si="382"/>
        <v>-562.75</v>
      </c>
      <c r="AC106" s="91">
        <f t="shared" si="382"/>
        <v>-260.75</v>
      </c>
      <c r="AD106" s="91">
        <f t="shared" si="382"/>
        <v>-144.75</v>
      </c>
      <c r="AE106" s="91">
        <f t="shared" si="382"/>
        <v>-282.75</v>
      </c>
      <c r="AF106" s="91">
        <f t="shared" ref="AF106:BG106" si="383">AF103+0.25</f>
        <v>-86.75</v>
      </c>
      <c r="AG106" s="91">
        <f t="shared" si="383"/>
        <v>-88.75</v>
      </c>
      <c r="AH106" s="91">
        <f t="shared" si="383"/>
        <v>-108.75</v>
      </c>
      <c r="AI106" s="91">
        <f t="shared" si="383"/>
        <v>-95.75</v>
      </c>
      <c r="AJ106" s="91">
        <f t="shared" si="383"/>
        <v>-81.75</v>
      </c>
      <c r="AK106" s="91">
        <f t="shared" si="383"/>
        <v>-2250.75</v>
      </c>
      <c r="AL106" s="91">
        <f t="shared" si="383"/>
        <v>-114.75</v>
      </c>
      <c r="AM106" s="91">
        <f t="shared" si="383"/>
        <v>-17036.75</v>
      </c>
      <c r="AN106" s="91">
        <f t="shared" si="383"/>
        <v>3.25</v>
      </c>
      <c r="AO106" s="91">
        <f t="shared" si="383"/>
        <v>-24723.75</v>
      </c>
      <c r="AP106" s="91">
        <f t="shared" si="383"/>
        <v>281.25</v>
      </c>
      <c r="AQ106" s="91">
        <f t="shared" si="383"/>
        <v>281.25</v>
      </c>
      <c r="AR106" s="91">
        <f t="shared" si="383"/>
        <v>282.25</v>
      </c>
      <c r="AS106" s="91">
        <f t="shared" si="383"/>
        <v>282.25</v>
      </c>
      <c r="AT106" s="91">
        <f t="shared" si="383"/>
        <v>282.25</v>
      </c>
      <c r="AU106" s="91">
        <f t="shared" si="383"/>
        <v>-328.75</v>
      </c>
      <c r="AV106" s="91">
        <f t="shared" si="383"/>
        <v>-28.75</v>
      </c>
      <c r="AW106" s="91">
        <f t="shared" si="383"/>
        <v>-803.75</v>
      </c>
      <c r="AX106" s="91">
        <f t="shared" si="383"/>
        <v>-527.75</v>
      </c>
      <c r="AY106" s="91">
        <f t="shared" si="383"/>
        <v>283.25</v>
      </c>
      <c r="AZ106" s="91">
        <f t="shared" si="383"/>
        <v>283.25</v>
      </c>
      <c r="BA106" s="91">
        <f t="shared" si="383"/>
        <v>284.25</v>
      </c>
      <c r="BB106" s="91">
        <f t="shared" si="383"/>
        <v>284.25</v>
      </c>
      <c r="BC106" s="91">
        <f t="shared" si="383"/>
        <v>284.25</v>
      </c>
      <c r="BD106" s="91">
        <f t="shared" si="383"/>
        <v>284.25</v>
      </c>
      <c r="BE106" s="91">
        <f t="shared" si="383"/>
        <v>284.25</v>
      </c>
      <c r="BF106" s="91">
        <f t="shared" si="383"/>
        <v>284.25</v>
      </c>
      <c r="BG106" s="91">
        <f t="shared" si="383"/>
        <v>-282.75</v>
      </c>
    </row>
    <row r="107" spans="1:59" x14ac:dyDescent="0.25">
      <c r="A107">
        <v>49.3</v>
      </c>
      <c r="B107">
        <v>350</v>
      </c>
      <c r="C107" t="s">
        <v>116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</row>
    <row r="108" spans="1:59" x14ac:dyDescent="0.25">
      <c r="A108" s="35"/>
      <c r="B108" s="35"/>
      <c r="C108" s="35" t="s">
        <v>117</v>
      </c>
      <c r="D108" s="86" t="s">
        <v>376</v>
      </c>
      <c r="E108" s="93">
        <f>E106/1236.85</f>
        <v>-0.42183773295064075</v>
      </c>
      <c r="F108" s="93">
        <f t="shared" ref="F108:X108" si="384">F106/1236.85</f>
        <v>-16.667946800339575</v>
      </c>
      <c r="G108" s="93">
        <f t="shared" si="384"/>
        <v>2.0212636940615273E-4</v>
      </c>
      <c r="H108" s="93">
        <f t="shared" si="384"/>
        <v>-9.4999393620891787E-3</v>
      </c>
      <c r="I108" s="93">
        <f t="shared" si="384"/>
        <v>-0.1291587500505316</v>
      </c>
      <c r="J108" s="93">
        <f t="shared" si="384"/>
        <v>-0.12511622266240854</v>
      </c>
      <c r="K108" s="93">
        <f t="shared" si="384"/>
        <v>-0.11945668431903628</v>
      </c>
      <c r="L108" s="93">
        <f t="shared" si="384"/>
        <v>-0.11541415693091321</v>
      </c>
      <c r="M108" s="93">
        <f t="shared" si="384"/>
        <v>-0.99991914945223759</v>
      </c>
      <c r="N108" s="93">
        <f t="shared" si="384"/>
        <v>-3.9994744714395445</v>
      </c>
      <c r="O108" s="93">
        <f t="shared" si="384"/>
        <v>-3.9889639002304245</v>
      </c>
      <c r="P108" s="93">
        <f t="shared" si="384"/>
        <v>-11.626915147350124</v>
      </c>
      <c r="Q108" s="93">
        <f t="shared" si="384"/>
        <v>-21.21902413388851</v>
      </c>
      <c r="R108" s="93">
        <f t="shared" si="384"/>
        <v>-21.219832639366132</v>
      </c>
      <c r="S108" s="93">
        <f t="shared" si="384"/>
        <v>-29.994542588026036</v>
      </c>
      <c r="T108" s="93">
        <f t="shared" si="384"/>
        <v>-29.996968104458912</v>
      </c>
      <c r="U108" s="93">
        <f t="shared" si="384"/>
        <v>-30.003436148279906</v>
      </c>
      <c r="V108" s="93">
        <f t="shared" si="384"/>
        <v>-67.119497109592928</v>
      </c>
      <c r="W108" s="93">
        <f t="shared" si="384"/>
        <v>-0.12673323361765776</v>
      </c>
      <c r="X108" s="93">
        <f t="shared" si="384"/>
        <v>-7.6605894004931896E-2</v>
      </c>
      <c r="Y108" s="93">
        <f>Y106/1236.85</f>
        <v>-0.22860492379835876</v>
      </c>
      <c r="Z108" s="93">
        <f t="shared" ref="Z108:AE108" si="385">Z106/1236.85</f>
        <v>0.44002910619719454</v>
      </c>
      <c r="AA108" s="93">
        <f t="shared" si="385"/>
        <v>2.0212636940615273E-4</v>
      </c>
      <c r="AB108" s="93">
        <f t="shared" si="385"/>
        <v>-0.45498645753324984</v>
      </c>
      <c r="AC108" s="93">
        <f t="shared" si="385"/>
        <v>-0.21081780329061731</v>
      </c>
      <c r="AD108" s="93">
        <f t="shared" si="385"/>
        <v>-0.11703116788616244</v>
      </c>
      <c r="AE108" s="93">
        <f t="shared" si="385"/>
        <v>-0.22860492379835876</v>
      </c>
      <c r="AF108" s="93">
        <f t="shared" ref="AF108:BG108" si="386">AF106/1236.85</f>
        <v>-7.0137850183935008E-2</v>
      </c>
      <c r="AG108" s="93">
        <f t="shared" si="386"/>
        <v>-7.1754861139184223E-2</v>
      </c>
      <c r="AH108" s="93">
        <f t="shared" si="386"/>
        <v>-8.7924970691676443E-2</v>
      </c>
      <c r="AI108" s="93">
        <f t="shared" si="386"/>
        <v>-7.7414399482556503E-2</v>
      </c>
      <c r="AJ108" s="93">
        <f t="shared" si="386"/>
        <v>-6.6095322795811942E-2</v>
      </c>
      <c r="AK108" s="93">
        <f t="shared" si="386"/>
        <v>-1.8197437037635931</v>
      </c>
      <c r="AL108" s="93">
        <f t="shared" si="386"/>
        <v>-9.2776003557424103E-2</v>
      </c>
      <c r="AM108" s="93">
        <f t="shared" si="386"/>
        <v>-13.774305695921091</v>
      </c>
      <c r="AN108" s="93">
        <f t="shared" si="386"/>
        <v>2.6276428022799858E-3</v>
      </c>
      <c r="AO108" s="93">
        <f t="shared" si="386"/>
        <v>-19.989287302421474</v>
      </c>
      <c r="AP108" s="93">
        <f t="shared" si="386"/>
        <v>0.22739216558192182</v>
      </c>
      <c r="AQ108" s="93">
        <f t="shared" si="386"/>
        <v>0.22739216558192182</v>
      </c>
      <c r="AR108" s="93">
        <f t="shared" si="386"/>
        <v>0.22820067105954644</v>
      </c>
      <c r="AS108" s="93">
        <f t="shared" si="386"/>
        <v>0.22820067105954644</v>
      </c>
      <c r="AT108" s="93">
        <f t="shared" si="386"/>
        <v>0.22820067105954644</v>
      </c>
      <c r="AU108" s="93">
        <f t="shared" si="386"/>
        <v>-0.26579617576909087</v>
      </c>
      <c r="AV108" s="93">
        <f t="shared" si="386"/>
        <v>-2.3244532481707565E-2</v>
      </c>
      <c r="AW108" s="93">
        <f t="shared" si="386"/>
        <v>-0.64983627764078111</v>
      </c>
      <c r="AX108" s="93">
        <f t="shared" si="386"/>
        <v>-0.42668876581638843</v>
      </c>
      <c r="AY108" s="93">
        <f t="shared" si="386"/>
        <v>0.22900917653717107</v>
      </c>
      <c r="AZ108" s="93">
        <f t="shared" si="386"/>
        <v>0.22900917653717107</v>
      </c>
      <c r="BA108" s="93">
        <f t="shared" si="386"/>
        <v>0.22981768201479566</v>
      </c>
      <c r="BB108" s="93">
        <f t="shared" si="386"/>
        <v>0.22981768201479566</v>
      </c>
      <c r="BC108" s="93">
        <f t="shared" si="386"/>
        <v>0.22981768201479566</v>
      </c>
      <c r="BD108" s="93">
        <f t="shared" si="386"/>
        <v>0.22981768201479566</v>
      </c>
      <c r="BE108" s="93">
        <f t="shared" si="386"/>
        <v>0.22981768201479566</v>
      </c>
      <c r="BF108" s="93">
        <f t="shared" si="386"/>
        <v>0.22981768201479566</v>
      </c>
      <c r="BG108" s="93">
        <f t="shared" si="386"/>
        <v>-0.22860492379835876</v>
      </c>
    </row>
    <row r="109" spans="1:59" x14ac:dyDescent="0.25">
      <c r="A109">
        <v>49.1</v>
      </c>
      <c r="B109">
        <v>349</v>
      </c>
      <c r="C109" t="s">
        <v>121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</row>
    <row r="110" spans="1:59" x14ac:dyDescent="0.25">
      <c r="A110" s="35"/>
      <c r="B110" s="35"/>
      <c r="C110" s="35" t="s">
        <v>122</v>
      </c>
      <c r="D110" s="86" t="s">
        <v>380</v>
      </c>
      <c r="E110" s="93">
        <f xml:space="preserve"> 2451550.09766 + 29.530588861 *E106    + 0.00015437* E108^2    - 0.00000015* E108^3   + 0.00000000073* E108^4</f>
        <v>2436142.5129492544</v>
      </c>
      <c r="F110" s="93">
        <f t="shared" ref="F110:X110" si="387" xml:space="preserve"> 2451550.09766 + 29.530588861 *F106    + 0.00015437* F108^2    - 0.00000015* F108^3   + 0.00000000073* F108^4</f>
        <v>1842754.9039869311</v>
      </c>
      <c r="G110" s="93">
        <f t="shared" si="387"/>
        <v>2451557.4803072154</v>
      </c>
      <c r="H110" s="93">
        <f t="shared" si="387"/>
        <v>2451203.1132408972</v>
      </c>
      <c r="I110" s="93">
        <f t="shared" si="387"/>
        <v>2446832.5860920306</v>
      </c>
      <c r="J110" s="93">
        <f t="shared" si="387"/>
        <v>2446980.2390361768</v>
      </c>
      <c r="K110" s="93">
        <f t="shared" si="387"/>
        <v>2447186.9531579907</v>
      </c>
      <c r="L110" s="93">
        <f t="shared" si="387"/>
        <v>2447334.6061021485</v>
      </c>
      <c r="M110" s="93">
        <f t="shared" si="387"/>
        <v>2415028.1420406541</v>
      </c>
      <c r="N110" s="93">
        <f t="shared" si="387"/>
        <v>2305469.6596909021</v>
      </c>
      <c r="O110" s="93">
        <f t="shared" si="387"/>
        <v>2305853.5573330568</v>
      </c>
      <c r="P110" s="93">
        <f t="shared" si="387"/>
        <v>2026878.1030148156</v>
      </c>
      <c r="Q110" s="93">
        <f t="shared" si="387"/>
        <v>1676527.2467359549</v>
      </c>
      <c r="R110" s="93">
        <f t="shared" si="387"/>
        <v>1676497.716152577</v>
      </c>
      <c r="S110" s="93">
        <f t="shared" si="387"/>
        <v>1356002.3076740934</v>
      </c>
      <c r="T110" s="93">
        <f t="shared" si="387"/>
        <v>1355913.7159311459</v>
      </c>
      <c r="U110" s="93">
        <f t="shared" si="387"/>
        <v>1355677.4712832961</v>
      </c>
      <c r="V110" s="93">
        <f t="shared" si="387"/>
        <v>17.340446395612194</v>
      </c>
      <c r="W110" s="93">
        <f t="shared" si="387"/>
        <v>2446921.177858518</v>
      </c>
      <c r="X110" s="93">
        <f t="shared" si="387"/>
        <v>2448752.074366326</v>
      </c>
      <c r="Y110" s="93">
        <f xml:space="preserve"> 2451550.09766 + 29.530588861 *Y106    + 0.00015437* Y108^2    - 0.00000015* Y108^3   + 0.00000000073* Y108^4</f>
        <v>2443200.3236676217</v>
      </c>
      <c r="Z110" s="93">
        <f t="shared" ref="Z110:AE110" si="388" xml:space="preserve"> 2451550.09766 + 29.530588861 *Z106    + 0.00015437* Z108^2    - 0.00000015* Z108^3   + 0.00000000073* Z108^4</f>
        <v>2467622.1206774763</v>
      </c>
      <c r="AA110" s="93">
        <f t="shared" si="388"/>
        <v>2451557.4803072154</v>
      </c>
      <c r="AB110" s="93">
        <f t="shared" si="388"/>
        <v>2434931.7588104429</v>
      </c>
      <c r="AC110" s="93">
        <f t="shared" si="388"/>
        <v>2443849.9966213568</v>
      </c>
      <c r="AD110" s="93">
        <f t="shared" si="388"/>
        <v>2447275.5449244846</v>
      </c>
      <c r="AE110" s="93">
        <f t="shared" si="388"/>
        <v>2443200.3236676217</v>
      </c>
      <c r="AF110" s="93">
        <f t="shared" ref="AF110:BG110" si="389" xml:space="preserve"> 2451550.09766 + 29.530588861 *AF106    + 0.00015437* AF108^2    - 0.00000015* AF108^3   + 0.00000000073* AF108^4</f>
        <v>2448988.3190770675</v>
      </c>
      <c r="AG110" s="93">
        <f t="shared" si="389"/>
        <v>2448929.2578993812</v>
      </c>
      <c r="AH110" s="93">
        <f t="shared" si="389"/>
        <v>2448338.6461225599</v>
      </c>
      <c r="AI110" s="93">
        <f t="shared" si="389"/>
        <v>2448722.5437774844</v>
      </c>
      <c r="AJ110" s="93">
        <f t="shared" si="389"/>
        <v>2449135.9720212873</v>
      </c>
      <c r="AK110" s="93">
        <f t="shared" si="389"/>
        <v>2385084.1252932074</v>
      </c>
      <c r="AL110" s="93">
        <f t="shared" si="389"/>
        <v>2448161.4625895289</v>
      </c>
      <c r="AM110" s="93">
        <f t="shared" si="389"/>
        <v>1948444.867589501</v>
      </c>
      <c r="AN110" s="93">
        <f t="shared" si="389"/>
        <v>2451646.0720737991</v>
      </c>
      <c r="AO110" s="93">
        <f t="shared" si="389"/>
        <v>1721443.2643043429</v>
      </c>
      <c r="AP110" s="93">
        <f t="shared" si="389"/>
        <v>2459855.5757851363</v>
      </c>
      <c r="AQ110" s="93">
        <f t="shared" si="389"/>
        <v>2459855.5757851363</v>
      </c>
      <c r="AR110" s="93">
        <f t="shared" si="389"/>
        <v>2459885.1063740542</v>
      </c>
      <c r="AS110" s="93">
        <f t="shared" si="389"/>
        <v>2459885.1063740542</v>
      </c>
      <c r="AT110" s="93">
        <f t="shared" si="389"/>
        <v>2459885.1063740542</v>
      </c>
      <c r="AU110" s="93">
        <f t="shared" si="389"/>
        <v>2441841.9165828549</v>
      </c>
      <c r="AV110" s="93">
        <f t="shared" si="389"/>
        <v>2450701.0932303295</v>
      </c>
      <c r="AW110" s="93">
        <f t="shared" si="389"/>
        <v>2427814.8869282007</v>
      </c>
      <c r="AX110" s="93">
        <f t="shared" si="389"/>
        <v>2435965.3294167239</v>
      </c>
      <c r="AY110" s="93">
        <f t="shared" si="389"/>
        <v>2459914.6369629721</v>
      </c>
      <c r="AZ110" s="93">
        <f t="shared" si="389"/>
        <v>2459914.6369629721</v>
      </c>
      <c r="BA110" s="93">
        <f t="shared" si="389"/>
        <v>2459944.1675518905</v>
      </c>
      <c r="BB110" s="93">
        <f t="shared" si="389"/>
        <v>2459944.1675518905</v>
      </c>
      <c r="BC110" s="93">
        <f t="shared" si="389"/>
        <v>2459944.1675518905</v>
      </c>
      <c r="BD110" s="93">
        <f t="shared" si="389"/>
        <v>2459944.1675518905</v>
      </c>
      <c r="BE110" s="93">
        <f t="shared" si="389"/>
        <v>2459944.1675518905</v>
      </c>
      <c r="BF110" s="93">
        <f t="shared" si="389"/>
        <v>2459944.1675518905</v>
      </c>
      <c r="BG110" s="93">
        <f t="shared" si="389"/>
        <v>2443200.3236676217</v>
      </c>
    </row>
    <row r="111" spans="1:59" x14ac:dyDescent="0.25">
      <c r="A111" s="103">
        <v>47.6</v>
      </c>
      <c r="B111" s="103">
        <v>338</v>
      </c>
      <c r="C111" s="103" t="s">
        <v>125</v>
      </c>
      <c r="D111" s="104" t="s">
        <v>384</v>
      </c>
      <c r="E111" s="105">
        <f xml:space="preserve"> 1 - 0.002516 *E108 - 0.0000074 *E108^2</f>
        <v>1.0010600269277641</v>
      </c>
      <c r="F111" s="105">
        <f t="shared" ref="F111:X111" si="390" xml:space="preserve"> 1 - 0.002516 *F108 - 0.0000074 *F108^2</f>
        <v>1.0398806828156661</v>
      </c>
      <c r="G111" s="105">
        <f t="shared" si="390"/>
        <v>0.99999949144975231</v>
      </c>
      <c r="H111" s="105">
        <f t="shared" si="390"/>
        <v>1.0000239011795935</v>
      </c>
      <c r="I111" s="105">
        <f t="shared" si="390"/>
        <v>1.0003248399684552</v>
      </c>
      <c r="J111" s="105">
        <f t="shared" si="390"/>
        <v>1.0003146765761066</v>
      </c>
      <c r="K111" s="105">
        <f t="shared" si="390"/>
        <v>1.0003004474204908</v>
      </c>
      <c r="L111" s="105">
        <f t="shared" si="390"/>
        <v>1.0002902834476739</v>
      </c>
      <c r="M111" s="105">
        <f t="shared" si="390"/>
        <v>1.0025083977765614</v>
      </c>
      <c r="N111" s="105">
        <f t="shared" si="390"/>
        <v>1.0099443088793889</v>
      </c>
      <c r="O111" s="105">
        <f t="shared" si="390"/>
        <v>1.0099184856087995</v>
      </c>
      <c r="P111" s="105">
        <f t="shared" si="390"/>
        <v>1.0282529483574896</v>
      </c>
      <c r="Q111" s="105">
        <f t="shared" si="390"/>
        <v>1.0500552370304237</v>
      </c>
      <c r="R111" s="105">
        <f t="shared" si="390"/>
        <v>1.0500570173210491</v>
      </c>
      <c r="S111" s="105">
        <f t="shared" si="390"/>
        <v>1.0688086920219932</v>
      </c>
      <c r="T111" s="105">
        <f t="shared" si="390"/>
        <v>1.068813717844415</v>
      </c>
      <c r="U111" s="105">
        <f t="shared" si="390"/>
        <v>1.0688271196118633</v>
      </c>
      <c r="V111" s="105">
        <f t="shared" si="390"/>
        <v>1.1355354557251254</v>
      </c>
      <c r="W111" s="105">
        <f t="shared" si="390"/>
        <v>1.0003187419620696</v>
      </c>
      <c r="X111" s="105">
        <f t="shared" si="390"/>
        <v>1.0001926970026904</v>
      </c>
      <c r="Y111" s="105">
        <f xml:space="preserve"> 1 - 0.002516 *Y108 - 0.0000074 *Y108^2</f>
        <v>1.0005747832627141</v>
      </c>
      <c r="Z111" s="105">
        <f t="shared" ref="Z111:AE111" si="391" xml:space="preserve"> 1 - 0.002516 *Z108 - 0.0000074 *Z108^2</f>
        <v>0.99889145393926204</v>
      </c>
      <c r="AA111" s="105">
        <f t="shared" si="391"/>
        <v>0.99999949144975231</v>
      </c>
      <c r="AB111" s="105">
        <f t="shared" si="391"/>
        <v>1.0011432140333472</v>
      </c>
      <c r="AC111" s="105">
        <f t="shared" si="391"/>
        <v>1.0005300887063975</v>
      </c>
      <c r="AD111" s="105">
        <f t="shared" si="391"/>
        <v>1.000294349065824</v>
      </c>
      <c r="AE111" s="105">
        <f t="shared" si="391"/>
        <v>1.0005747832627141</v>
      </c>
      <c r="AF111" s="105">
        <f t="shared" ref="AF111:BG111" si="392" xml:space="preserve"> 1 - 0.002516 *AF108 - 0.0000074 *AF108^2</f>
        <v>1.0001764304281096</v>
      </c>
      <c r="AG111" s="105">
        <f t="shared" si="392"/>
        <v>1.0001804971298014</v>
      </c>
      <c r="AH111" s="105">
        <f t="shared" si="392"/>
        <v>1.0002211620183368</v>
      </c>
      <c r="AI111" s="105">
        <f t="shared" si="392"/>
        <v>1.0001947302809775</v>
      </c>
      <c r="AJ111" s="105">
        <f t="shared" si="392"/>
        <v>1.0001662635045756</v>
      </c>
      <c r="AK111" s="105">
        <f t="shared" si="392"/>
        <v>1.0045539703017785</v>
      </c>
      <c r="AL111" s="105">
        <f t="shared" si="392"/>
        <v>1.0002333607302878</v>
      </c>
      <c r="AM111" s="105">
        <f t="shared" si="392"/>
        <v>1.0332521400501429</v>
      </c>
      <c r="AN111" s="105">
        <f t="shared" si="392"/>
        <v>0.99999338879961608</v>
      </c>
      <c r="AO111" s="105">
        <f t="shared" si="392"/>
        <v>1.0473362169621376</v>
      </c>
      <c r="AP111" s="105">
        <f t="shared" si="392"/>
        <v>0.9994274986781384</v>
      </c>
      <c r="AQ111" s="105">
        <f t="shared" si="392"/>
        <v>0.9994274986781384</v>
      </c>
      <c r="AR111" s="105">
        <f t="shared" si="392"/>
        <v>0.99942546175257174</v>
      </c>
      <c r="AS111" s="105">
        <f t="shared" si="392"/>
        <v>0.99942546175257174</v>
      </c>
      <c r="AT111" s="105">
        <f t="shared" si="392"/>
        <v>0.99942546175257174</v>
      </c>
      <c r="AU111" s="105">
        <f t="shared" si="392"/>
        <v>1.0006682203859429</v>
      </c>
      <c r="AV111" s="105">
        <f t="shared" si="392"/>
        <v>1.0000584792454428</v>
      </c>
      <c r="AW111" s="105">
        <f t="shared" si="392"/>
        <v>1.0016318631493548</v>
      </c>
      <c r="AX111" s="105">
        <f t="shared" si="392"/>
        <v>1.0010722016663527</v>
      </c>
      <c r="AY111" s="105">
        <f t="shared" si="392"/>
        <v>0.99942342481733071</v>
      </c>
      <c r="AZ111" s="105">
        <f t="shared" si="392"/>
        <v>0.99942342481733071</v>
      </c>
      <c r="BA111" s="105">
        <f t="shared" si="392"/>
        <v>0.99942138787241519</v>
      </c>
      <c r="BB111" s="105">
        <f t="shared" si="392"/>
        <v>0.99942138787241519</v>
      </c>
      <c r="BC111" s="105">
        <f t="shared" si="392"/>
        <v>0.99942138787241519</v>
      </c>
      <c r="BD111" s="105">
        <f t="shared" si="392"/>
        <v>0.99942138787241519</v>
      </c>
      <c r="BE111" s="105">
        <f t="shared" si="392"/>
        <v>0.99942138787241519</v>
      </c>
      <c r="BF111" s="105">
        <f t="shared" si="392"/>
        <v>0.99942138787241519</v>
      </c>
      <c r="BG111" s="105">
        <f t="shared" si="392"/>
        <v>1.0005747832627141</v>
      </c>
    </row>
    <row r="112" spans="1:59" x14ac:dyDescent="0.25">
      <c r="A112">
        <v>49.4</v>
      </c>
      <c r="B112">
        <v>350</v>
      </c>
      <c r="C112" t="s">
        <v>126</v>
      </c>
      <c r="D112"/>
    </row>
    <row r="113" spans="1:59" x14ac:dyDescent="0.25">
      <c r="C113" t="s">
        <v>0</v>
      </c>
      <c r="D113"/>
    </row>
    <row r="114" spans="1:59" x14ac:dyDescent="0.25">
      <c r="C114" t="s">
        <v>127</v>
      </c>
      <c r="D114" s="7" t="s">
        <v>388</v>
      </c>
      <c r="E114" s="15">
        <f xml:space="preserve"> 2.5534 + 29.1053567 *E106   - 0.0000014 *E108^2   - 0.00000011 *E108^3</f>
        <v>-15183.166458465868</v>
      </c>
      <c r="F114" s="15">
        <f t="shared" ref="F114:X114" si="393" xml:space="preserve"> 2.5534 + 29.1053567 *F106   - 0.0000014 *F108^2   - 0.00000011 *F108^3</f>
        <v>-600026.20386759704</v>
      </c>
      <c r="G114" s="15">
        <f t="shared" si="393"/>
        <v>9.8297391749999434</v>
      </c>
      <c r="H114" s="15">
        <f t="shared" si="393"/>
        <v>-339.43454122512628</v>
      </c>
      <c r="I114" s="15">
        <f t="shared" si="393"/>
        <v>-4647.027332848118</v>
      </c>
      <c r="J114" s="15">
        <f t="shared" si="393"/>
        <v>-4501.5005493467006</v>
      </c>
      <c r="K114" s="15">
        <f t="shared" si="393"/>
        <v>-4297.7630524447914</v>
      </c>
      <c r="L114" s="15">
        <f t="shared" si="393"/>
        <v>-4152.2362689434794</v>
      </c>
      <c r="M114" s="15">
        <f t="shared" si="393"/>
        <v>-35993.4965000148</v>
      </c>
      <c r="N114" s="15">
        <f t="shared" si="393"/>
        <v>-143974.3698710819</v>
      </c>
      <c r="O114" s="15">
        <f t="shared" si="393"/>
        <v>-143596.00023391968</v>
      </c>
      <c r="P114" s="15">
        <f t="shared" si="393"/>
        <v>-418554.30497988779</v>
      </c>
      <c r="Q114" s="15">
        <f t="shared" si="393"/>
        <v>-763860.2564317527</v>
      </c>
      <c r="R114" s="15">
        <f t="shared" si="393"/>
        <v>-763889.36178838066</v>
      </c>
      <c r="S114" s="15">
        <f t="shared" si="393"/>
        <v>-1079769.7967652869</v>
      </c>
      <c r="T114" s="15">
        <f t="shared" si="393"/>
        <v>-1079857.1128348706</v>
      </c>
      <c r="U114" s="15">
        <f t="shared" si="393"/>
        <v>-1080089.9556870928</v>
      </c>
      <c r="V114" s="15">
        <f t="shared" si="393"/>
        <v>-2416229.5404704972</v>
      </c>
      <c r="W114" s="15">
        <f t="shared" si="393"/>
        <v>-4559.7112627472625</v>
      </c>
      <c r="X114" s="15">
        <f t="shared" si="393"/>
        <v>-2755.1791473331668</v>
      </c>
      <c r="Y114" s="15">
        <f xml:space="preserve"> 2.5534 + 29.1053567 *Y106   - 0.0000014 *Y108^2   - 0.00000011 *Y108^3</f>
        <v>-8226.9862069968494</v>
      </c>
      <c r="Z114" s="15">
        <f t="shared" ref="Z114:AE114" si="394" xml:space="preserve"> 2.5534 + 29.1053567 *Z106   - 0.0000014 *Z108^2   - 0.00000011 *Z108^3</f>
        <v>15843.143783694553</v>
      </c>
      <c r="AA114" s="15">
        <f t="shared" si="394"/>
        <v>9.8297391749999434</v>
      </c>
      <c r="AB114" s="15">
        <f t="shared" si="394"/>
        <v>-16376.486083204458</v>
      </c>
      <c r="AC114" s="15">
        <f t="shared" si="394"/>
        <v>-7586.6683595861923</v>
      </c>
      <c r="AD114" s="15">
        <f t="shared" si="394"/>
        <v>-4210.4469823439986</v>
      </c>
      <c r="AE114" s="15">
        <f t="shared" si="394"/>
        <v>-8226.9862069968494</v>
      </c>
      <c r="AF114" s="15">
        <f t="shared" ref="AF114:BG114" si="395" xml:space="preserve"> 2.5534 + 29.1053567 *AF106   - 0.0000014 *AF108^2   - 0.00000011 *AF108^3</f>
        <v>-2522.3362937318498</v>
      </c>
      <c r="AG114" s="15">
        <f t="shared" si="395"/>
        <v>-2580.5470071321679</v>
      </c>
      <c r="AH114" s="15">
        <f t="shared" si="395"/>
        <v>-3162.6541411357489</v>
      </c>
      <c r="AI114" s="15">
        <f t="shared" si="395"/>
        <v>-2784.2845040333395</v>
      </c>
      <c r="AJ114" s="15">
        <f t="shared" si="395"/>
        <v>-2376.8095102310845</v>
      </c>
      <c r="AK114" s="15">
        <f t="shared" si="395"/>
        <v>-65506.328196498194</v>
      </c>
      <c r="AL114" s="15">
        <f t="shared" si="395"/>
        <v>-3337.2862813369629</v>
      </c>
      <c r="AM114" s="15">
        <f t="shared" si="395"/>
        <v>-495858.13233687298</v>
      </c>
      <c r="AN114" s="15">
        <f t="shared" si="395"/>
        <v>97.145809274990341</v>
      </c>
      <c r="AO114" s="15">
        <f t="shared" si="395"/>
        <v>-719591.00899243867</v>
      </c>
      <c r="AP114" s="15">
        <f t="shared" si="395"/>
        <v>8188.4349718013164</v>
      </c>
      <c r="AQ114" s="15">
        <f t="shared" si="395"/>
        <v>8188.4349718013164</v>
      </c>
      <c r="AR114" s="15">
        <f t="shared" si="395"/>
        <v>8217.5403285007887</v>
      </c>
      <c r="AS114" s="15">
        <f t="shared" si="395"/>
        <v>8217.5403285007887</v>
      </c>
      <c r="AT114" s="15">
        <f t="shared" si="395"/>
        <v>8217.5403285007887</v>
      </c>
      <c r="AU114" s="15">
        <f t="shared" si="395"/>
        <v>-9565.8326152218415</v>
      </c>
      <c r="AV114" s="15">
        <f t="shared" si="395"/>
        <v>-834.22560512575512</v>
      </c>
      <c r="AW114" s="15">
        <f t="shared" si="395"/>
        <v>-23390.877048186016</v>
      </c>
      <c r="AX114" s="15">
        <f t="shared" si="395"/>
        <v>-15357.798598671345</v>
      </c>
      <c r="AY114" s="15">
        <f t="shared" si="395"/>
        <v>8246.6456852002575</v>
      </c>
      <c r="AZ114" s="15">
        <f t="shared" si="395"/>
        <v>8246.6456852002575</v>
      </c>
      <c r="BA114" s="15">
        <f t="shared" si="395"/>
        <v>8275.7510418997244</v>
      </c>
      <c r="BB114" s="15">
        <f t="shared" si="395"/>
        <v>8275.7510418997244</v>
      </c>
      <c r="BC114" s="15">
        <f t="shared" si="395"/>
        <v>8275.7510418997244</v>
      </c>
      <c r="BD114" s="15">
        <f t="shared" si="395"/>
        <v>8275.7510418997244</v>
      </c>
      <c r="BE114" s="15">
        <f t="shared" si="395"/>
        <v>8275.7510418997244</v>
      </c>
      <c r="BF114" s="15">
        <f t="shared" si="395"/>
        <v>8275.7510418997244</v>
      </c>
      <c r="BG114" s="15">
        <f t="shared" si="395"/>
        <v>-8226.9862069968494</v>
      </c>
    </row>
    <row r="115" spans="1:59" x14ac:dyDescent="0.25">
      <c r="A115" s="35"/>
      <c r="B115" s="35"/>
      <c r="C115" s="35" t="s">
        <v>128</v>
      </c>
      <c r="D115" s="86" t="s">
        <v>391</v>
      </c>
      <c r="E115" s="94">
        <f>MOD(E114,360)</f>
        <v>296.83354153413165</v>
      </c>
      <c r="F115" s="94">
        <f t="shared" ref="F115:X115" si="396">MOD(F114,360)</f>
        <v>93.796132402960211</v>
      </c>
      <c r="G115" s="94">
        <f t="shared" si="396"/>
        <v>9.8297391749999434</v>
      </c>
      <c r="H115" s="94">
        <f t="shared" si="396"/>
        <v>20.565458774873719</v>
      </c>
      <c r="I115" s="94">
        <f t="shared" si="396"/>
        <v>32.972667151881978</v>
      </c>
      <c r="J115" s="94">
        <f t="shared" si="396"/>
        <v>178.49945065329939</v>
      </c>
      <c r="K115" s="94">
        <f t="shared" si="396"/>
        <v>22.236947555208644</v>
      </c>
      <c r="L115" s="94">
        <f t="shared" si="396"/>
        <v>167.76373105652056</v>
      </c>
      <c r="M115" s="94">
        <f t="shared" si="396"/>
        <v>6.5034999851995963</v>
      </c>
      <c r="N115" s="94">
        <f t="shared" si="396"/>
        <v>25.630128918099217</v>
      </c>
      <c r="O115" s="94">
        <f t="shared" si="396"/>
        <v>43.999766080320114</v>
      </c>
      <c r="P115" s="94">
        <f t="shared" si="396"/>
        <v>125.69502011220902</v>
      </c>
      <c r="Q115" s="94">
        <f t="shared" si="396"/>
        <v>59.743568247300573</v>
      </c>
      <c r="R115" s="94">
        <f t="shared" si="396"/>
        <v>30.638211619341746</v>
      </c>
      <c r="S115" s="94">
        <f t="shared" si="396"/>
        <v>230.20323471305892</v>
      </c>
      <c r="T115" s="94">
        <f t="shared" si="396"/>
        <v>142.88716512941755</v>
      </c>
      <c r="U115" s="94">
        <f t="shared" si="396"/>
        <v>270.04431290715002</v>
      </c>
      <c r="V115" s="94">
        <f t="shared" si="396"/>
        <v>90.459529502782971</v>
      </c>
      <c r="W115" s="94">
        <f t="shared" si="396"/>
        <v>120.28873725273752</v>
      </c>
      <c r="X115" s="94">
        <f t="shared" si="396"/>
        <v>124.82085266683316</v>
      </c>
      <c r="Y115" s="94">
        <f>MOD(Y114,360)</f>
        <v>53.013793003150568</v>
      </c>
      <c r="Z115" s="94">
        <f t="shared" ref="Z115:AE115" si="397">MOD(Z114,360)</f>
        <v>3.1437836945533491</v>
      </c>
      <c r="AA115" s="94">
        <f t="shared" si="397"/>
        <v>9.8297391749999434</v>
      </c>
      <c r="AB115" s="94">
        <f t="shared" si="397"/>
        <v>183.51391679554217</v>
      </c>
      <c r="AC115" s="94">
        <f t="shared" si="397"/>
        <v>333.33164041380769</v>
      </c>
      <c r="AD115" s="94">
        <f t="shared" si="397"/>
        <v>109.55301765600143</v>
      </c>
      <c r="AE115" s="94">
        <f t="shared" si="397"/>
        <v>53.013793003150568</v>
      </c>
      <c r="AF115" s="94">
        <f t="shared" ref="AF115" si="398">MOD(AF114,360)</f>
        <v>357.66370626815024</v>
      </c>
      <c r="AG115" s="94">
        <f t="shared" ref="AG115" si="399">MOD(AG114,360)</f>
        <v>299.45299286783211</v>
      </c>
      <c r="AH115" s="94">
        <f t="shared" ref="AH115" si="400">MOD(AH114,360)</f>
        <v>77.345858864251113</v>
      </c>
      <c r="AI115" s="94">
        <f t="shared" ref="AI115" si="401">MOD(AI114,360)</f>
        <v>95.715495966660455</v>
      </c>
      <c r="AJ115" s="94">
        <f t="shared" ref="AJ115" si="402">MOD(AJ114,360)</f>
        <v>143.19048976891554</v>
      </c>
      <c r="AK115" s="94">
        <f t="shared" ref="AK115" si="403">MOD(AK114,360)</f>
        <v>13.671803501805698</v>
      </c>
      <c r="AL115" s="94">
        <f t="shared" ref="AL115" si="404">MOD(AL114,360)</f>
        <v>262.71371866303707</v>
      </c>
      <c r="AM115" s="94">
        <f t="shared" ref="AM115" si="405">MOD(AM114,360)</f>
        <v>221.86766312702093</v>
      </c>
      <c r="AN115" s="94">
        <f t="shared" ref="AN115" si="406">MOD(AN114,360)</f>
        <v>97.145809274990341</v>
      </c>
      <c r="AO115" s="94">
        <f t="shared" ref="AO115" si="407">MOD(AO114,360)</f>
        <v>48.991007561329752</v>
      </c>
      <c r="AP115" s="94">
        <f t="shared" ref="AP115" si="408">MOD(AP114,360)</f>
        <v>268.43497180131635</v>
      </c>
      <c r="AQ115" s="94">
        <f t="shared" ref="AQ115" si="409">MOD(AQ114,360)</f>
        <v>268.43497180131635</v>
      </c>
      <c r="AR115" s="94">
        <f t="shared" ref="AR115" si="410">MOD(AR114,360)</f>
        <v>297.54032850078875</v>
      </c>
      <c r="AS115" s="94">
        <f t="shared" ref="AS115" si="411">MOD(AS114,360)</f>
        <v>297.54032850078875</v>
      </c>
      <c r="AT115" s="94">
        <f t="shared" ref="AT115" si="412">MOD(AT114,360)</f>
        <v>297.54032850078875</v>
      </c>
      <c r="AU115" s="94">
        <f t="shared" ref="AU115" si="413">MOD(AU114,360)</f>
        <v>154.16738477815852</v>
      </c>
      <c r="AV115" s="94">
        <f t="shared" ref="AV115" si="414">MOD(AV114,360)</f>
        <v>245.77439487424488</v>
      </c>
      <c r="AW115" s="94">
        <f t="shared" ref="AW115" si="415">MOD(AW114,360)</f>
        <v>9.1229518139844004</v>
      </c>
      <c r="AX115" s="94">
        <f t="shared" ref="AX115" si="416">MOD(AX114,360)</f>
        <v>122.20140132865527</v>
      </c>
      <c r="AY115" s="94">
        <f t="shared" ref="AY115" si="417">MOD(AY114,360)</f>
        <v>326.6456852002575</v>
      </c>
      <c r="AZ115" s="94">
        <f t="shared" ref="AZ115" si="418">MOD(AZ114,360)</f>
        <v>326.6456852002575</v>
      </c>
      <c r="BA115" s="94">
        <f t="shared" ref="BA115" si="419">MOD(BA114,360)</f>
        <v>355.75104189972444</v>
      </c>
      <c r="BB115" s="94">
        <f t="shared" ref="BB115" si="420">MOD(BB114,360)</f>
        <v>355.75104189972444</v>
      </c>
      <c r="BC115" s="94">
        <f t="shared" ref="BC115" si="421">MOD(BC114,360)</f>
        <v>355.75104189972444</v>
      </c>
      <c r="BD115" s="94">
        <f t="shared" ref="BD115" si="422">MOD(BD114,360)</f>
        <v>355.75104189972444</v>
      </c>
      <c r="BE115" s="94">
        <f t="shared" ref="BE115:BG115" si="423">MOD(BE114,360)</f>
        <v>355.75104189972444</v>
      </c>
      <c r="BF115" s="94">
        <f t="shared" si="423"/>
        <v>355.75104189972444</v>
      </c>
      <c r="BG115" s="94">
        <f t="shared" si="423"/>
        <v>53.013793003150568</v>
      </c>
    </row>
    <row r="116" spans="1:59" x14ac:dyDescent="0.25">
      <c r="A116">
        <v>49.5</v>
      </c>
      <c r="B116">
        <v>350</v>
      </c>
      <c r="C116" t="s">
        <v>129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</row>
    <row r="117" spans="1:59" x14ac:dyDescent="0.25">
      <c r="C117" t="s">
        <v>130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</row>
    <row r="118" spans="1:59" x14ac:dyDescent="0.25">
      <c r="C118" t="s">
        <v>132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</row>
    <row r="119" spans="1:59" x14ac:dyDescent="0.25">
      <c r="C119" t="s">
        <v>133</v>
      </c>
      <c r="D119" s="7" t="s">
        <v>393</v>
      </c>
      <c r="E119" s="13">
        <f xml:space="preserve"> 201.5643 + 385.81693528 *E106    + 0.0107582 *E108^2    + 0.00001238 *E108^3    - 0.000000058 *E108^4</f>
        <v>-201098.41976888097</v>
      </c>
      <c r="F119" s="13">
        <f t="shared" ref="F119:X119" si="424" xml:space="preserve"> 201.5643 + 385.81693528 *F106    + 0.0107582 *F108^2    + 0.00001238 *F108^3    - 0.000000058 *F108^4</f>
        <v>-7953700.9921553954</v>
      </c>
      <c r="G119" s="13">
        <f t="shared" si="424"/>
        <v>298.01853382043953</v>
      </c>
      <c r="H119" s="13">
        <f t="shared" si="424"/>
        <v>-4331.7846885690951</v>
      </c>
      <c r="I119" s="13">
        <f t="shared" si="424"/>
        <v>-61432.690931538578</v>
      </c>
      <c r="J119" s="13">
        <f t="shared" si="424"/>
        <v>-59503.606266194663</v>
      </c>
      <c r="K119" s="13">
        <f t="shared" si="424"/>
        <v>-56802.887734122683</v>
      </c>
      <c r="L119" s="13">
        <f t="shared" si="424"/>
        <v>-54873.803067935216</v>
      </c>
      <c r="M119" s="13">
        <f t="shared" si="424"/>
        <v>-476957.51966351445</v>
      </c>
      <c r="N119" s="13">
        <f t="shared" si="424"/>
        <v>-1908338.1890172148</v>
      </c>
      <c r="O119" s="13">
        <f t="shared" si="424"/>
        <v>-1903322.569755483</v>
      </c>
      <c r="P119" s="13">
        <f t="shared" si="424"/>
        <v>-5548133.8938975828</v>
      </c>
      <c r="Q119" s="13">
        <f t="shared" si="424"/>
        <v>-10125462.734076623</v>
      </c>
      <c r="R119" s="13">
        <f t="shared" si="424"/>
        <v>-10125848.550658081</v>
      </c>
      <c r="S119" s="13">
        <f t="shared" si="424"/>
        <v>-14313115.165584732</v>
      </c>
      <c r="T119" s="13">
        <f t="shared" si="424"/>
        <v>-14314272.614921382</v>
      </c>
      <c r="U119" s="13">
        <f t="shared" si="424"/>
        <v>-14317359.146485243</v>
      </c>
      <c r="V119" s="13">
        <f t="shared" si="424"/>
        <v>-32029022.952155355</v>
      </c>
      <c r="W119" s="13">
        <f t="shared" si="424"/>
        <v>-60275.240132374405</v>
      </c>
      <c r="X119" s="13">
        <f t="shared" si="424"/>
        <v>-36354.59025465147</v>
      </c>
      <c r="Y119" s="13">
        <f xml:space="preserve"> 201.5643 + 385.81693528 *Y106    + 0.0107582 *Y108^2    + 0.00001238 *Y108^3    - 0.000000058 *Y108^4</f>
        <v>-108888.17358834227</v>
      </c>
      <c r="Z119" s="13">
        <f t="shared" ref="Z119:AE119" si="425" xml:space="preserve"> 201.5643 + 385.81693528 *Z106    + 0.0107582 *Z108^2    + 0.00001238 *Z108^3    - 0.000000058 *Z108^4</f>
        <v>210182.4334102557</v>
      </c>
      <c r="AA119" s="13">
        <f t="shared" si="425"/>
        <v>298.01853382043953</v>
      </c>
      <c r="AB119" s="13">
        <f t="shared" si="425"/>
        <v>-216916.91380290475</v>
      </c>
      <c r="AC119" s="13">
        <f t="shared" si="425"/>
        <v>-100400.2010962371</v>
      </c>
      <c r="AD119" s="13">
        <f t="shared" si="425"/>
        <v>-55645.43693445238</v>
      </c>
      <c r="AE119" s="13">
        <f t="shared" si="425"/>
        <v>-108888.17358834227</v>
      </c>
      <c r="AF119" s="13">
        <f t="shared" ref="AF119:BG119" si="426" xml:space="preserve"> 201.5643 + 385.81693528 *AF106    + 0.0107582 *AF108^2    + 0.00001238 *AF108^3    - 0.000000058 *AF108^4</f>
        <v>-33268.054782621264</v>
      </c>
      <c r="AG119" s="13">
        <f t="shared" si="426"/>
        <v>-34039.688650713186</v>
      </c>
      <c r="AH119" s="13">
        <f t="shared" si="426"/>
        <v>-41756.027328538919</v>
      </c>
      <c r="AI119" s="13">
        <f t="shared" si="426"/>
        <v>-36740.407188591969</v>
      </c>
      <c r="AJ119" s="13">
        <f t="shared" si="426"/>
        <v>-31338.970112145395</v>
      </c>
      <c r="AK119" s="13">
        <f t="shared" si="426"/>
        <v>-868175.86723127228</v>
      </c>
      <c r="AL119" s="13">
        <f t="shared" si="426"/>
        <v>-44070.928930789902</v>
      </c>
      <c r="AM119" s="13">
        <f t="shared" si="426"/>
        <v>-6572863.1011041664</v>
      </c>
      <c r="AN119" s="13">
        <f t="shared" si="426"/>
        <v>1455.4693397342803</v>
      </c>
      <c r="AO119" s="13">
        <f t="shared" si="426"/>
        <v>-9538635.6987987086</v>
      </c>
      <c r="AP119" s="13">
        <f t="shared" si="426"/>
        <v>108712.57790392177</v>
      </c>
      <c r="AQ119" s="13">
        <f t="shared" si="426"/>
        <v>108712.57790392177</v>
      </c>
      <c r="AR119" s="13">
        <f t="shared" si="426"/>
        <v>109098.3948431661</v>
      </c>
      <c r="AS119" s="13">
        <f t="shared" si="426"/>
        <v>109098.3948431661</v>
      </c>
      <c r="AT119" s="13">
        <f t="shared" si="426"/>
        <v>109098.3948431661</v>
      </c>
      <c r="AU119" s="13">
        <f t="shared" si="426"/>
        <v>-126635.75241349167</v>
      </c>
      <c r="AV119" s="13">
        <f t="shared" si="426"/>
        <v>-10890.672583487411</v>
      </c>
      <c r="AW119" s="13">
        <f t="shared" si="426"/>
        <v>-309898.79289165762</v>
      </c>
      <c r="AX119" s="13">
        <f t="shared" si="426"/>
        <v>-203413.32133631024</v>
      </c>
      <c r="AY119" s="13">
        <f t="shared" si="426"/>
        <v>109484.21178242451</v>
      </c>
      <c r="AZ119" s="13">
        <f t="shared" si="426"/>
        <v>109484.21178242451</v>
      </c>
      <c r="BA119" s="13">
        <f t="shared" si="426"/>
        <v>109870.02872169699</v>
      </c>
      <c r="BB119" s="13">
        <f t="shared" si="426"/>
        <v>109870.02872169699</v>
      </c>
      <c r="BC119" s="13">
        <f t="shared" si="426"/>
        <v>109870.02872169699</v>
      </c>
      <c r="BD119" s="13">
        <f t="shared" si="426"/>
        <v>109870.02872169699</v>
      </c>
      <c r="BE119" s="13">
        <f t="shared" si="426"/>
        <v>109870.02872169699</v>
      </c>
      <c r="BF119" s="13">
        <f t="shared" si="426"/>
        <v>109870.02872169699</v>
      </c>
      <c r="BG119" s="13">
        <f t="shared" si="426"/>
        <v>-108888.17358834227</v>
      </c>
    </row>
    <row r="120" spans="1:59" x14ac:dyDescent="0.25">
      <c r="A120" s="35"/>
      <c r="B120" s="35"/>
      <c r="C120" s="35" t="s">
        <v>134</v>
      </c>
      <c r="D120" s="86" t="s">
        <v>391</v>
      </c>
      <c r="E120" s="94">
        <f>MOD(E119,360)</f>
        <v>141.58023111903458</v>
      </c>
      <c r="F120" s="94">
        <f t="shared" ref="F120:X120" si="427">MOD(F119,360)</f>
        <v>139.00784460455179</v>
      </c>
      <c r="G120" s="94">
        <f t="shared" si="427"/>
        <v>298.01853382043953</v>
      </c>
      <c r="H120" s="94">
        <f t="shared" si="427"/>
        <v>348.21531143090488</v>
      </c>
      <c r="I120" s="94">
        <f t="shared" si="427"/>
        <v>127.3090684614217</v>
      </c>
      <c r="J120" s="94">
        <f t="shared" si="427"/>
        <v>256.39373380533652</v>
      </c>
      <c r="K120" s="94">
        <f t="shared" si="427"/>
        <v>77.112265877316531</v>
      </c>
      <c r="L120" s="94">
        <f t="shared" si="427"/>
        <v>206.19693206478405</v>
      </c>
      <c r="M120" s="94">
        <f t="shared" si="427"/>
        <v>42.480336485547014</v>
      </c>
      <c r="N120" s="94">
        <f t="shared" si="427"/>
        <v>21.810982785187662</v>
      </c>
      <c r="O120" s="94">
        <f t="shared" si="427"/>
        <v>357.43024451704696</v>
      </c>
      <c r="P120" s="94">
        <f t="shared" si="427"/>
        <v>186.10610241722316</v>
      </c>
      <c r="Q120" s="94">
        <f t="shared" si="427"/>
        <v>257.26592337712646</v>
      </c>
      <c r="R120" s="94">
        <f t="shared" si="427"/>
        <v>231.44934191927314</v>
      </c>
      <c r="S120" s="94">
        <f t="shared" si="427"/>
        <v>124.83441526815295</v>
      </c>
      <c r="T120" s="94">
        <f t="shared" si="427"/>
        <v>47.385078618302941</v>
      </c>
      <c r="U120" s="94">
        <f t="shared" si="427"/>
        <v>200.85351475700736</v>
      </c>
      <c r="V120" s="94">
        <f t="shared" si="427"/>
        <v>177.04784464463592</v>
      </c>
      <c r="W120" s="94">
        <f t="shared" si="427"/>
        <v>204.75986762559478</v>
      </c>
      <c r="X120" s="94">
        <f t="shared" si="427"/>
        <v>5.409745348530123</v>
      </c>
      <c r="Y120" s="94">
        <f>MOD(Y119,360)</f>
        <v>191.82641165773384</v>
      </c>
      <c r="Z120" s="94">
        <f t="shared" ref="Z120:AE120" si="428">MOD(Z119,360)</f>
        <v>302.43341025570408</v>
      </c>
      <c r="AA120" s="94">
        <f t="shared" si="428"/>
        <v>298.01853382043953</v>
      </c>
      <c r="AB120" s="94">
        <f t="shared" si="428"/>
        <v>163.08619709525374</v>
      </c>
      <c r="AC120" s="94">
        <f t="shared" si="428"/>
        <v>39.798903762901318</v>
      </c>
      <c r="AD120" s="94">
        <f t="shared" si="428"/>
        <v>154.56306554761977</v>
      </c>
      <c r="AE120" s="94">
        <f t="shared" si="428"/>
        <v>191.82641165773384</v>
      </c>
      <c r="AF120" s="94">
        <f t="shared" ref="AF120" si="429">MOD(AF119,360)</f>
        <v>211.94521737873583</v>
      </c>
      <c r="AG120" s="94">
        <f t="shared" ref="AG120" si="430">MOD(AG119,360)</f>
        <v>160.31134928681422</v>
      </c>
      <c r="AH120" s="94">
        <f t="shared" ref="AH120" si="431">MOD(AH119,360)</f>
        <v>3.9726714610806084</v>
      </c>
      <c r="AI120" s="94">
        <f t="shared" ref="AI120" si="432">MOD(AI119,360)</f>
        <v>339.59281140803068</v>
      </c>
      <c r="AJ120" s="94">
        <f t="shared" ref="AJ120" si="433">MOD(AJ119,360)</f>
        <v>341.02988785460548</v>
      </c>
      <c r="AK120" s="94">
        <f t="shared" ref="AK120" si="434">MOD(AK119,360)</f>
        <v>144.13276872772258</v>
      </c>
      <c r="AL120" s="94">
        <f t="shared" ref="AL120" si="435">MOD(AL119,360)</f>
        <v>209.07106921009836</v>
      </c>
      <c r="AM120" s="94">
        <f t="shared" ref="AM120" si="436">MOD(AM119,360)</f>
        <v>16.898895833641291</v>
      </c>
      <c r="AN120" s="94">
        <f t="shared" ref="AN120" si="437">MOD(AN119,360)</f>
        <v>15.469339734280311</v>
      </c>
      <c r="AO120" s="94">
        <f t="shared" ref="AO120" si="438">MOD(AO119,360)</f>
        <v>284.30120129138231</v>
      </c>
      <c r="AP120" s="94">
        <f t="shared" ref="AP120" si="439">MOD(AP119,360)</f>
        <v>352.57790392177412</v>
      </c>
      <c r="AQ120" s="94">
        <f t="shared" ref="AQ120" si="440">MOD(AQ119,360)</f>
        <v>352.57790392177412</v>
      </c>
      <c r="AR120" s="94">
        <f t="shared" ref="AR120" si="441">MOD(AR119,360)</f>
        <v>18.394843166097417</v>
      </c>
      <c r="AS120" s="94">
        <f t="shared" ref="AS120" si="442">MOD(AS119,360)</f>
        <v>18.394843166097417</v>
      </c>
      <c r="AT120" s="94">
        <f t="shared" ref="AT120" si="443">MOD(AT119,360)</f>
        <v>18.394843166097417</v>
      </c>
      <c r="AU120" s="94">
        <f t="shared" ref="AU120" si="444">MOD(AU119,360)</f>
        <v>84.247586508325185</v>
      </c>
      <c r="AV120" s="94">
        <f t="shared" ref="AV120" si="445">MOD(AV119,360)</f>
        <v>269.32741651258948</v>
      </c>
      <c r="AW120" s="94">
        <f t="shared" ref="AW120" si="446">MOD(AW119,360)</f>
        <v>61.207108342379797</v>
      </c>
      <c r="AX120" s="94">
        <f t="shared" ref="AX120" si="447">MOD(AX119,360)</f>
        <v>346.67866368975956</v>
      </c>
      <c r="AY120" s="94">
        <f t="shared" ref="AY120" si="448">MOD(AY119,360)</f>
        <v>44.211782424506964</v>
      </c>
      <c r="AZ120" s="94">
        <f t="shared" ref="AZ120" si="449">MOD(AZ119,360)</f>
        <v>44.211782424506964</v>
      </c>
      <c r="BA120" s="94">
        <f t="shared" ref="BA120" si="450">MOD(BA119,360)</f>
        <v>70.028721696988214</v>
      </c>
      <c r="BB120" s="94">
        <f t="shared" ref="BB120" si="451">MOD(BB119,360)</f>
        <v>70.028721696988214</v>
      </c>
      <c r="BC120" s="94">
        <f t="shared" ref="BC120" si="452">MOD(BC119,360)</f>
        <v>70.028721696988214</v>
      </c>
      <c r="BD120" s="94">
        <f t="shared" ref="BD120" si="453">MOD(BD119,360)</f>
        <v>70.028721696988214</v>
      </c>
      <c r="BE120" s="94">
        <f t="shared" ref="BE120:BG120" si="454">MOD(BE119,360)</f>
        <v>70.028721696988214</v>
      </c>
      <c r="BF120" s="94">
        <f t="shared" si="454"/>
        <v>70.028721696988214</v>
      </c>
      <c r="BG120" s="94">
        <f t="shared" si="454"/>
        <v>191.82641165773384</v>
      </c>
    </row>
    <row r="121" spans="1:59" x14ac:dyDescent="0.25">
      <c r="A121">
        <v>49.6</v>
      </c>
      <c r="B121">
        <v>350</v>
      </c>
      <c r="C121" t="s">
        <v>135</v>
      </c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</row>
    <row r="122" spans="1:59" x14ac:dyDescent="0.25">
      <c r="C122" t="s">
        <v>136</v>
      </c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</row>
    <row r="123" spans="1:59" x14ac:dyDescent="0.25">
      <c r="C123" t="s">
        <v>131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</row>
    <row r="124" spans="1:59" x14ac:dyDescent="0.25">
      <c r="C124" t="s">
        <v>137</v>
      </c>
      <c r="D124" s="7" t="s">
        <v>397</v>
      </c>
      <c r="E124">
        <f xml:space="preserve"> 160.7108 + 390.67050284 *E106    - 0.0016118 *E108^2    - 0.00000227 *E108^3    + 0.000000011 *E108^4</f>
        <v>-203671.62434341435</v>
      </c>
      <c r="F124">
        <f t="shared" ref="F124:X124" si="455" xml:space="preserve"> 160.7108 + 390.67050284 *F106    - 0.0016118 *F108^2    - 0.00000227 *F108^3    + 0.000000011 *F108^4</f>
        <v>-8053805.1445540246</v>
      </c>
      <c r="G124">
        <f t="shared" si="455"/>
        <v>258.37842570993416</v>
      </c>
      <c r="H124">
        <f t="shared" si="455"/>
        <v>-4429.6676085154613</v>
      </c>
      <c r="I124">
        <f t="shared" si="455"/>
        <v>-62248.902055573126</v>
      </c>
      <c r="J124">
        <f t="shared" si="455"/>
        <v>-60295.549539716783</v>
      </c>
      <c r="K124">
        <f t="shared" si="455"/>
        <v>-57560.856017606355</v>
      </c>
      <c r="L124">
        <f t="shared" si="455"/>
        <v>-55607.503501876374</v>
      </c>
      <c r="M124">
        <f t="shared" si="455"/>
        <v>-483001.03519662889</v>
      </c>
      <c r="N124">
        <f t="shared" si="455"/>
        <v>-1932388.6247577567</v>
      </c>
      <c r="O124">
        <f t="shared" si="455"/>
        <v>-1927309.9080866764</v>
      </c>
      <c r="P124">
        <f t="shared" si="455"/>
        <v>-5617974.3370387852</v>
      </c>
      <c r="Q124">
        <f t="shared" si="455"/>
        <v>-10252889.670401106</v>
      </c>
      <c r="R124">
        <f t="shared" si="455"/>
        <v>-10253280.340956431</v>
      </c>
      <c r="S124">
        <f t="shared" si="455"/>
        <v>-14493227.986367647</v>
      </c>
      <c r="T124">
        <f t="shared" si="455"/>
        <v>-14494399.998092959</v>
      </c>
      <c r="U124">
        <f t="shared" si="455"/>
        <v>-14497525.362693865</v>
      </c>
      <c r="V124">
        <f t="shared" si="455"/>
        <v>-32432041.107405409</v>
      </c>
      <c r="W124">
        <f t="shared" si="455"/>
        <v>-61076.890546053</v>
      </c>
      <c r="X124">
        <f t="shared" si="455"/>
        <v>-36855.319353547769</v>
      </c>
      <c r="Y124">
        <f xml:space="preserve"> 160.7108 + 390.67050284 *Y106    - 0.0016118 *Y108^2    - 0.00000227 *Y108^3    + 0.000000011 *Y108^4</f>
        <v>-110301.37396221585</v>
      </c>
      <c r="Z124">
        <f t="shared" ref="Z124:AE124" si="456" xml:space="preserve"> 160.7108 + 390.67050284 *Z106    - 0.0016118 *Z108^2    - 0.00000227 *Z108^3    + 0.000000011 *Z108^4</f>
        <v>212783.13165839124</v>
      </c>
      <c r="AA124">
        <f t="shared" si="456"/>
        <v>258.37842570993416</v>
      </c>
      <c r="AB124">
        <f t="shared" si="456"/>
        <v>-219689.11500665874</v>
      </c>
      <c r="AC124">
        <f t="shared" si="456"/>
        <v>-101706.62288714378</v>
      </c>
      <c r="AD124">
        <f t="shared" si="456"/>
        <v>-56388.844508162045</v>
      </c>
      <c r="AE124">
        <f t="shared" si="456"/>
        <v>-110301.37396221585</v>
      </c>
      <c r="AF124">
        <f t="shared" ref="AF124:BG124" si="457" xml:space="preserve"> 160.7108 + 390.67050284 *AF106    - 0.0016118 *AF108^2    - 0.00000227 *AF108^3    + 0.000000011 *AF108^4</f>
        <v>-33729.955329298173</v>
      </c>
      <c r="AG124">
        <f t="shared" si="457"/>
        <v>-34511.296335347928</v>
      </c>
      <c r="AH124">
        <f t="shared" si="457"/>
        <v>-42324.70639630896</v>
      </c>
      <c r="AI124">
        <f t="shared" si="457"/>
        <v>-37245.989856588443</v>
      </c>
      <c r="AJ124">
        <f t="shared" si="457"/>
        <v>-31776.602814210641</v>
      </c>
      <c r="AK124">
        <f t="shared" si="457"/>
        <v>-879140.92879075301</v>
      </c>
      <c r="AL124">
        <f t="shared" si="457"/>
        <v>-44668.729414761576</v>
      </c>
      <c r="AM124">
        <f t="shared" si="457"/>
        <v>-6655595.2779401569</v>
      </c>
      <c r="AN124">
        <f t="shared" si="457"/>
        <v>1430.3899342188715</v>
      </c>
      <c r="AO124">
        <f t="shared" si="457"/>
        <v>-9658679.7579328995</v>
      </c>
      <c r="AP124">
        <f t="shared" si="457"/>
        <v>110036.78964038168</v>
      </c>
      <c r="AQ124">
        <f t="shared" si="457"/>
        <v>110036.78964038168</v>
      </c>
      <c r="AR124">
        <f t="shared" si="457"/>
        <v>110427.46014262769</v>
      </c>
      <c r="AS124">
        <f t="shared" si="457"/>
        <v>110427.46014262769</v>
      </c>
      <c r="AT124">
        <f t="shared" si="457"/>
        <v>110427.46014262769</v>
      </c>
      <c r="AU124">
        <f t="shared" si="457"/>
        <v>-128272.21712247713</v>
      </c>
      <c r="AV124">
        <f t="shared" si="457"/>
        <v>-11071.066157520838</v>
      </c>
      <c r="AW124">
        <f t="shared" si="457"/>
        <v>-313840.70653766755</v>
      </c>
      <c r="AX124">
        <f t="shared" si="457"/>
        <v>-206015.64736708291</v>
      </c>
      <c r="AY124">
        <f t="shared" si="457"/>
        <v>110818.13064487158</v>
      </c>
      <c r="AZ124">
        <f t="shared" si="457"/>
        <v>110818.13064487158</v>
      </c>
      <c r="BA124">
        <f t="shared" si="457"/>
        <v>111208.80114711338</v>
      </c>
      <c r="BB124">
        <f t="shared" si="457"/>
        <v>111208.80114711338</v>
      </c>
      <c r="BC124">
        <f t="shared" si="457"/>
        <v>111208.80114711338</v>
      </c>
      <c r="BD124">
        <f t="shared" si="457"/>
        <v>111208.80114711338</v>
      </c>
      <c r="BE124">
        <f t="shared" si="457"/>
        <v>111208.80114711338</v>
      </c>
      <c r="BF124">
        <f t="shared" si="457"/>
        <v>111208.80114711338</v>
      </c>
      <c r="BG124">
        <f t="shared" si="457"/>
        <v>-110301.37396221585</v>
      </c>
    </row>
    <row r="125" spans="1:59" x14ac:dyDescent="0.25">
      <c r="A125" s="35"/>
      <c r="B125" s="35"/>
      <c r="C125" s="35" t="s">
        <v>138</v>
      </c>
      <c r="D125" s="86" t="s">
        <v>391</v>
      </c>
      <c r="E125" s="95">
        <f>MOD(E124,360)</f>
        <v>88.375656585645629</v>
      </c>
      <c r="F125" s="95">
        <f t="shared" ref="F125:X125" si="458">MOD(F124,360)</f>
        <v>114.85544597543776</v>
      </c>
      <c r="G125" s="95">
        <f t="shared" si="458"/>
        <v>258.37842570993416</v>
      </c>
      <c r="H125" s="95">
        <f t="shared" si="458"/>
        <v>250.33239148453868</v>
      </c>
      <c r="I125" s="95">
        <f t="shared" si="458"/>
        <v>31.097944426874164</v>
      </c>
      <c r="J125" s="95">
        <f t="shared" si="458"/>
        <v>184.45046028321667</v>
      </c>
      <c r="K125" s="95">
        <f t="shared" si="458"/>
        <v>39.143982393645274</v>
      </c>
      <c r="L125" s="95">
        <f t="shared" si="458"/>
        <v>192.49649812362622</v>
      </c>
      <c r="M125" s="95">
        <f t="shared" si="458"/>
        <v>118.96480337111279</v>
      </c>
      <c r="N125" s="95">
        <f t="shared" si="458"/>
        <v>91.375242243288085</v>
      </c>
      <c r="O125" s="95">
        <f t="shared" si="458"/>
        <v>130.09191332361661</v>
      </c>
      <c r="P125" s="95">
        <f t="shared" si="458"/>
        <v>185.66296121478081</v>
      </c>
      <c r="Q125" s="95">
        <f t="shared" si="458"/>
        <v>270.32959889434278</v>
      </c>
      <c r="R125" s="95">
        <f t="shared" si="458"/>
        <v>239.65904356911778</v>
      </c>
      <c r="S125" s="95">
        <f t="shared" si="458"/>
        <v>12.013632353395224</v>
      </c>
      <c r="T125" s="95">
        <f t="shared" si="458"/>
        <v>280.00190704129636</v>
      </c>
      <c r="U125" s="95">
        <f t="shared" si="458"/>
        <v>34.63730613514781</v>
      </c>
      <c r="V125" s="95">
        <f t="shared" si="458"/>
        <v>358.89259459078312</v>
      </c>
      <c r="W125" s="95">
        <f t="shared" si="458"/>
        <v>123.10945394699957</v>
      </c>
      <c r="X125" s="95">
        <f t="shared" si="458"/>
        <v>224.68064645223058</v>
      </c>
      <c r="Y125" s="95">
        <f>MOD(Y124,360)</f>
        <v>218.6260377841536</v>
      </c>
      <c r="Z125" s="95">
        <f t="shared" ref="Z125:AE125" si="459">MOD(Z124,360)</f>
        <v>23.131658391241217</v>
      </c>
      <c r="AA125" s="95">
        <f t="shared" si="459"/>
        <v>258.37842570993416</v>
      </c>
      <c r="AB125" s="95">
        <f t="shared" si="459"/>
        <v>270.88499334125663</v>
      </c>
      <c r="AC125" s="95">
        <f t="shared" si="459"/>
        <v>173.37711285622208</v>
      </c>
      <c r="AD125" s="95">
        <f t="shared" si="459"/>
        <v>131.1554918379552</v>
      </c>
      <c r="AE125" s="95">
        <f t="shared" si="459"/>
        <v>218.6260377841536</v>
      </c>
      <c r="AF125" s="95">
        <f t="shared" ref="AF125" si="460">MOD(AF124,360)</f>
        <v>110.04467070182727</v>
      </c>
      <c r="AG125" s="95">
        <f t="shared" ref="AG125" si="461">MOD(AG124,360)</f>
        <v>48.703664652071893</v>
      </c>
      <c r="AH125" s="95">
        <f t="shared" ref="AH125" si="462">MOD(AH124,360)</f>
        <v>155.29360369103961</v>
      </c>
      <c r="AI125" s="95">
        <f t="shared" ref="AI125" si="463">MOD(AI124,360)</f>
        <v>194.01014341155678</v>
      </c>
      <c r="AJ125" s="95">
        <f t="shared" ref="AJ125" si="464">MOD(AJ124,360)</f>
        <v>263.39718578935936</v>
      </c>
      <c r="AK125" s="95">
        <f t="shared" ref="AK125" si="465">MOD(AK124,360)</f>
        <v>339.0712092469912</v>
      </c>
      <c r="AL125" s="95">
        <f t="shared" ref="AL125" si="466">MOD(AL124,360)</f>
        <v>331.27058523842425</v>
      </c>
      <c r="AM125" s="95">
        <f t="shared" ref="AM125" si="467">MOD(AM124,360)</f>
        <v>84.72205984313041</v>
      </c>
      <c r="AN125" s="95">
        <f t="shared" ref="AN125" si="468">MOD(AN124,360)</f>
        <v>350.38993421887153</v>
      </c>
      <c r="AO125" s="95">
        <f t="shared" ref="AO125" si="469">MOD(AO124,360)</f>
        <v>120.2420671004802</v>
      </c>
      <c r="AP125" s="95">
        <f t="shared" ref="AP125" si="470">MOD(AP124,360)</f>
        <v>236.78964038168488</v>
      </c>
      <c r="AQ125" s="95">
        <f t="shared" ref="AQ125" si="471">MOD(AQ124,360)</f>
        <v>236.78964038168488</v>
      </c>
      <c r="AR125" s="95">
        <f t="shared" ref="AR125" si="472">MOD(AR124,360)</f>
        <v>267.46014262769313</v>
      </c>
      <c r="AS125" s="95">
        <f t="shared" ref="AS125" si="473">MOD(AS124,360)</f>
        <v>267.46014262769313</v>
      </c>
      <c r="AT125" s="95">
        <f t="shared" ref="AT125" si="474">MOD(AT124,360)</f>
        <v>267.46014262769313</v>
      </c>
      <c r="AU125" s="95">
        <f t="shared" ref="AU125" si="475">MOD(AU124,360)</f>
        <v>247.78287752286997</v>
      </c>
      <c r="AV125" s="95">
        <f t="shared" ref="AV125" si="476">MOD(AV124,360)</f>
        <v>88.933842479162195</v>
      </c>
      <c r="AW125" s="95">
        <f t="shared" ref="AW125" si="477">MOD(AW124,360)</f>
        <v>79.29346233245451</v>
      </c>
      <c r="AX125" s="95">
        <f t="shared" ref="AX125" si="478">MOD(AX124,360)</f>
        <v>264.35263291708543</v>
      </c>
      <c r="AY125" s="95">
        <f t="shared" ref="AY125" si="479">MOD(AY124,360)</f>
        <v>298.13064487157681</v>
      </c>
      <c r="AZ125" s="95">
        <f t="shared" ref="AZ125" si="480">MOD(AZ124,360)</f>
        <v>298.13064487157681</v>
      </c>
      <c r="BA125" s="95">
        <f t="shared" ref="BA125" si="481">MOD(BA124,360)</f>
        <v>328.80114711337956</v>
      </c>
      <c r="BB125" s="95">
        <f t="shared" ref="BB125" si="482">MOD(BB124,360)</f>
        <v>328.80114711337956</v>
      </c>
      <c r="BC125" s="95">
        <f t="shared" ref="BC125" si="483">MOD(BC124,360)</f>
        <v>328.80114711337956</v>
      </c>
      <c r="BD125" s="95">
        <f t="shared" ref="BD125" si="484">MOD(BD124,360)</f>
        <v>328.80114711337956</v>
      </c>
      <c r="BE125" s="95">
        <f t="shared" ref="BE125:BG125" si="485">MOD(BE124,360)</f>
        <v>328.80114711337956</v>
      </c>
      <c r="BF125" s="95">
        <f t="shared" si="485"/>
        <v>328.80114711337956</v>
      </c>
      <c r="BG125" s="95">
        <f t="shared" si="485"/>
        <v>218.6260377841536</v>
      </c>
    </row>
    <row r="126" spans="1:59" x14ac:dyDescent="0.25">
      <c r="A126">
        <v>49.7</v>
      </c>
      <c r="B126">
        <v>350</v>
      </c>
      <c r="C126" t="s">
        <v>8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</row>
    <row r="127" spans="1:59" x14ac:dyDescent="0.25">
      <c r="C127" t="s">
        <v>139</v>
      </c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</row>
    <row r="128" spans="1:59" x14ac:dyDescent="0.25">
      <c r="C128" t="s">
        <v>140</v>
      </c>
      <c r="D128" s="7" t="s">
        <v>401</v>
      </c>
      <c r="E128">
        <f xml:space="preserve"> 124.7746 - 1.56375588 *E106    + 0.0020672 *E108^2    + 0.00000215 *E108^3</f>
        <v>940.66459808079981</v>
      </c>
      <c r="F128">
        <f t="shared" ref="F128:X128" si="486" xml:space="preserve"> 124.7746 - 1.56375588 *F106    + 0.0020672 *F108^2    + 0.00000215 *F108^3</f>
        <v>32363.339237547902</v>
      </c>
      <c r="G128">
        <f t="shared" si="486"/>
        <v>124.38366103008447</v>
      </c>
      <c r="H128">
        <f t="shared" si="486"/>
        <v>143.1487317765606</v>
      </c>
      <c r="I128">
        <f t="shared" si="486"/>
        <v>374.58463631036221</v>
      </c>
      <c r="J128">
        <f t="shared" si="486"/>
        <v>366.76585478588083</v>
      </c>
      <c r="K128">
        <f t="shared" si="486"/>
        <v>355.81956076507117</v>
      </c>
      <c r="L128">
        <f t="shared" si="486"/>
        <v>348.00077940268261</v>
      </c>
      <c r="M128">
        <f t="shared" si="486"/>
        <v>2058.7517493062664</v>
      </c>
      <c r="N128">
        <f t="shared" si="486"/>
        <v>7860.3169283538173</v>
      </c>
      <c r="O128">
        <f t="shared" si="486"/>
        <v>7839.9879294269576</v>
      </c>
      <c r="P128">
        <f t="shared" si="486"/>
        <v>22613.03304672354</v>
      </c>
      <c r="Q128">
        <f t="shared" si="486"/>
        <v>41166.066941524252</v>
      </c>
      <c r="R128">
        <f t="shared" si="486"/>
        <v>41167.630765986061</v>
      </c>
      <c r="S128">
        <f t="shared" si="486"/>
        <v>58139.96483799236</v>
      </c>
      <c r="T128">
        <f t="shared" si="486"/>
        <v>58144.656392355304</v>
      </c>
      <c r="U128">
        <f t="shared" si="486"/>
        <v>58157.167204097626</v>
      </c>
      <c r="V128">
        <f t="shared" si="486"/>
        <v>129951.36823603179</v>
      </c>
      <c r="W128">
        <f t="shared" si="486"/>
        <v>369.8933673875689</v>
      </c>
      <c r="X128">
        <f t="shared" si="486"/>
        <v>272.94048176032015</v>
      </c>
      <c r="Y128">
        <f xml:space="preserve"> 124.7746 - 1.56375588 *Y106    + 0.0020672 *Y108^2    + 0.00000215 *Y108^3</f>
        <v>566.92668307662268</v>
      </c>
      <c r="Z128">
        <f t="shared" ref="Z128:AE128" si="487" xml:space="preserve"> 124.7746 - 1.56375588 *Z106    + 0.0020672 *Z108^2    + 0.00000215 *Z108^3</f>
        <v>-726.29913724394828</v>
      </c>
      <c r="AA128">
        <f t="shared" si="487"/>
        <v>124.38366103008447</v>
      </c>
      <c r="AB128">
        <f t="shared" si="487"/>
        <v>1004.7786492041008</v>
      </c>
      <c r="AC128">
        <f t="shared" si="487"/>
        <v>532.52403756479441</v>
      </c>
      <c r="AD128">
        <f t="shared" si="487"/>
        <v>351.12829193953326</v>
      </c>
      <c r="AE128">
        <f t="shared" si="487"/>
        <v>566.92668307662268</v>
      </c>
      <c r="AF128">
        <f t="shared" ref="AF128:BG128" si="488" xml:space="preserve"> 124.7746 - 1.56375588 *AF106    + 0.0020672 *AF108^2    + 0.00000215 *AF108^3</f>
        <v>260.43043275847242</v>
      </c>
      <c r="AG128">
        <f t="shared" si="488"/>
        <v>263.55794499272253</v>
      </c>
      <c r="AH128">
        <f t="shared" si="488"/>
        <v>294.8330679296493</v>
      </c>
      <c r="AI128">
        <f t="shared" si="488"/>
        <v>274.50423789770991</v>
      </c>
      <c r="AJ128">
        <f t="shared" si="488"/>
        <v>252.61165222013196</v>
      </c>
      <c r="AK128">
        <f t="shared" si="488"/>
        <v>3644.4049794189414</v>
      </c>
      <c r="AL128">
        <f t="shared" si="488"/>
        <v>304.21560502147315</v>
      </c>
      <c r="AM128">
        <f t="shared" si="488"/>
        <v>26766.479182689196</v>
      </c>
      <c r="AN128">
        <f t="shared" si="488"/>
        <v>119.69239340427305</v>
      </c>
      <c r="AO128">
        <f t="shared" si="488"/>
        <v>38787.492860199651</v>
      </c>
      <c r="AP128">
        <f t="shared" si="488"/>
        <v>-315.03163433560314</v>
      </c>
      <c r="AQ128">
        <f t="shared" si="488"/>
        <v>-315.03163433560314</v>
      </c>
      <c r="AR128">
        <f t="shared" si="488"/>
        <v>-316.59538945388078</v>
      </c>
      <c r="AS128">
        <f t="shared" si="488"/>
        <v>-316.59538945388078</v>
      </c>
      <c r="AT128">
        <f t="shared" si="488"/>
        <v>-316.59538945388078</v>
      </c>
      <c r="AU128">
        <f t="shared" si="488"/>
        <v>638.85949155236085</v>
      </c>
      <c r="AV128">
        <f t="shared" si="488"/>
        <v>169.73258266689831</v>
      </c>
      <c r="AW128">
        <f t="shared" si="488"/>
        <v>1381.644260912077</v>
      </c>
      <c r="AX128">
        <f t="shared" si="488"/>
        <v>950.04714186423826</v>
      </c>
      <c r="AY128">
        <f t="shared" si="488"/>
        <v>-318.15914456945404</v>
      </c>
      <c r="AZ128">
        <f t="shared" si="488"/>
        <v>-318.15914456945404</v>
      </c>
      <c r="BA128">
        <f t="shared" si="488"/>
        <v>-319.72289968232275</v>
      </c>
      <c r="BB128">
        <f t="shared" si="488"/>
        <v>-319.72289968232275</v>
      </c>
      <c r="BC128">
        <f t="shared" si="488"/>
        <v>-319.72289968232275</v>
      </c>
      <c r="BD128">
        <f t="shared" si="488"/>
        <v>-319.72289968232275</v>
      </c>
      <c r="BE128">
        <f t="shared" si="488"/>
        <v>-319.72289968232275</v>
      </c>
      <c r="BF128">
        <f t="shared" si="488"/>
        <v>-319.72289968232275</v>
      </c>
      <c r="BG128">
        <f t="shared" si="488"/>
        <v>566.92668307662268</v>
      </c>
    </row>
    <row r="129" spans="1:59" x14ac:dyDescent="0.25">
      <c r="A129" s="35"/>
      <c r="B129" s="35"/>
      <c r="C129" s="35" t="s">
        <v>141</v>
      </c>
      <c r="D129" s="86" t="s">
        <v>391</v>
      </c>
      <c r="E129" s="95">
        <f>MOD(E128,360)</f>
        <v>220.66459808079981</v>
      </c>
      <c r="F129" s="95">
        <f t="shared" ref="F129:X129" si="489">MOD(F128,360)</f>
        <v>323.33923754790158</v>
      </c>
      <c r="G129" s="95">
        <f t="shared" si="489"/>
        <v>124.38366103008447</v>
      </c>
      <c r="H129" s="95">
        <f t="shared" si="489"/>
        <v>143.1487317765606</v>
      </c>
      <c r="I129" s="95">
        <f t="shared" si="489"/>
        <v>14.584636310362214</v>
      </c>
      <c r="J129" s="95">
        <f t="shared" si="489"/>
        <v>6.7658547858808333</v>
      </c>
      <c r="K129" s="95">
        <f t="shared" si="489"/>
        <v>355.81956076507117</v>
      </c>
      <c r="L129" s="95">
        <f t="shared" si="489"/>
        <v>348.00077940268261</v>
      </c>
      <c r="M129" s="95">
        <f t="shared" si="489"/>
        <v>258.75174930626645</v>
      </c>
      <c r="N129" s="95">
        <f t="shared" si="489"/>
        <v>300.31692835381727</v>
      </c>
      <c r="O129" s="95">
        <f t="shared" si="489"/>
        <v>279.98792942695763</v>
      </c>
      <c r="P129" s="95">
        <f t="shared" si="489"/>
        <v>293.03304672353988</v>
      </c>
      <c r="Q129" s="95">
        <f t="shared" si="489"/>
        <v>126.06694152425189</v>
      </c>
      <c r="R129" s="95">
        <f t="shared" si="489"/>
        <v>127.63076598606131</v>
      </c>
      <c r="S129" s="95">
        <f t="shared" si="489"/>
        <v>179.96483799236012</v>
      </c>
      <c r="T129" s="95">
        <f t="shared" si="489"/>
        <v>184.65639235530398</v>
      </c>
      <c r="U129" s="95">
        <f t="shared" si="489"/>
        <v>197.16720409762638</v>
      </c>
      <c r="V129" s="95">
        <f t="shared" si="489"/>
        <v>351.36823603179073</v>
      </c>
      <c r="W129" s="95">
        <f t="shared" si="489"/>
        <v>9.893367387568901</v>
      </c>
      <c r="X129" s="95">
        <f t="shared" si="489"/>
        <v>272.94048176032015</v>
      </c>
      <c r="Y129" s="95">
        <f>MOD(Y128,360)</f>
        <v>206.92668307662268</v>
      </c>
      <c r="Z129" s="95">
        <f t="shared" ref="Z129:AE129" si="490">MOD(Z128,360)</f>
        <v>353.70086275605172</v>
      </c>
      <c r="AA129" s="95">
        <f t="shared" si="490"/>
        <v>124.38366103008447</v>
      </c>
      <c r="AB129" s="95">
        <f t="shared" si="490"/>
        <v>284.77864920410082</v>
      </c>
      <c r="AC129" s="95">
        <f t="shared" si="490"/>
        <v>172.52403756479441</v>
      </c>
      <c r="AD129" s="95">
        <f t="shared" si="490"/>
        <v>351.12829193953326</v>
      </c>
      <c r="AE129" s="95">
        <f t="shared" si="490"/>
        <v>206.92668307662268</v>
      </c>
      <c r="AF129" s="95">
        <f t="shared" ref="AF129" si="491">MOD(AF128,360)</f>
        <v>260.43043275847242</v>
      </c>
      <c r="AG129" s="95">
        <f t="shared" ref="AG129" si="492">MOD(AG128,360)</f>
        <v>263.55794499272253</v>
      </c>
      <c r="AH129" s="95">
        <f t="shared" ref="AH129" si="493">MOD(AH128,360)</f>
        <v>294.8330679296493</v>
      </c>
      <c r="AI129" s="95">
        <f t="shared" ref="AI129" si="494">MOD(AI128,360)</f>
        <v>274.50423789770991</v>
      </c>
      <c r="AJ129" s="95">
        <f t="shared" ref="AJ129" si="495">MOD(AJ128,360)</f>
        <v>252.61165222013196</v>
      </c>
      <c r="AK129" s="95">
        <f t="shared" ref="AK129" si="496">MOD(AK128,360)</f>
        <v>44.404979418941366</v>
      </c>
      <c r="AL129" s="95">
        <f t="shared" ref="AL129" si="497">MOD(AL128,360)</f>
        <v>304.21560502147315</v>
      </c>
      <c r="AM129" s="95">
        <f t="shared" ref="AM129" si="498">MOD(AM128,360)</f>
        <v>126.47918268919602</v>
      </c>
      <c r="AN129" s="95">
        <f t="shared" ref="AN129" si="499">MOD(AN128,360)</f>
        <v>119.69239340427305</v>
      </c>
      <c r="AO129" s="95">
        <f t="shared" ref="AO129" si="500">MOD(AO128,360)</f>
        <v>267.49286019965075</v>
      </c>
      <c r="AP129" s="95">
        <f t="shared" ref="AP129" si="501">MOD(AP128,360)</f>
        <v>44.968365664396856</v>
      </c>
      <c r="AQ129" s="95">
        <f t="shared" ref="AQ129" si="502">MOD(AQ128,360)</f>
        <v>44.968365664396856</v>
      </c>
      <c r="AR129" s="95">
        <f t="shared" ref="AR129" si="503">MOD(AR128,360)</f>
        <v>43.404610546119216</v>
      </c>
      <c r="AS129" s="95">
        <f t="shared" ref="AS129" si="504">MOD(AS128,360)</f>
        <v>43.404610546119216</v>
      </c>
      <c r="AT129" s="95">
        <f t="shared" ref="AT129" si="505">MOD(AT128,360)</f>
        <v>43.404610546119216</v>
      </c>
      <c r="AU129" s="95">
        <f t="shared" ref="AU129" si="506">MOD(AU128,360)</f>
        <v>278.85949155236085</v>
      </c>
      <c r="AV129" s="95">
        <f t="shared" ref="AV129" si="507">MOD(AV128,360)</f>
        <v>169.73258266689831</v>
      </c>
      <c r="AW129" s="95">
        <f t="shared" ref="AW129" si="508">MOD(AW128,360)</f>
        <v>301.64426091207702</v>
      </c>
      <c r="AX129" s="95">
        <f t="shared" ref="AX129" si="509">MOD(AX128,360)</f>
        <v>230.04714186423826</v>
      </c>
      <c r="AY129" s="95">
        <f t="shared" ref="AY129" si="510">MOD(AY128,360)</f>
        <v>41.840855430545957</v>
      </c>
      <c r="AZ129" s="95">
        <f t="shared" ref="AZ129" si="511">MOD(AZ128,360)</f>
        <v>41.840855430545957</v>
      </c>
      <c r="BA129" s="95">
        <f t="shared" ref="BA129" si="512">MOD(BA128,360)</f>
        <v>40.277100317677252</v>
      </c>
      <c r="BB129" s="95">
        <f t="shared" ref="BB129" si="513">MOD(BB128,360)</f>
        <v>40.277100317677252</v>
      </c>
      <c r="BC129" s="95">
        <f t="shared" ref="BC129" si="514">MOD(BC128,360)</f>
        <v>40.277100317677252</v>
      </c>
      <c r="BD129" s="95">
        <f t="shared" ref="BD129" si="515">MOD(BD128,360)</f>
        <v>40.277100317677252</v>
      </c>
      <c r="BE129" s="95">
        <f t="shared" ref="BE129:BG129" si="516">MOD(BE128,360)</f>
        <v>40.277100317677252</v>
      </c>
      <c r="BF129" s="95">
        <f t="shared" si="516"/>
        <v>40.277100317677252</v>
      </c>
      <c r="BG129" s="95">
        <f t="shared" si="516"/>
        <v>206.92668307662268</v>
      </c>
    </row>
    <row r="130" spans="1:59" x14ac:dyDescent="0.25">
      <c r="C130" t="s">
        <v>142</v>
      </c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</row>
    <row r="131" spans="1:59" x14ac:dyDescent="0.25">
      <c r="B131">
        <v>352</v>
      </c>
      <c r="C131" s="8" t="s">
        <v>407</v>
      </c>
      <c r="D131" s="7" t="s">
        <v>405</v>
      </c>
      <c r="E131" s="17">
        <f>SUM(E132:E156)</f>
        <v>-0.5650664974277797</v>
      </c>
      <c r="F131" s="17">
        <f t="shared" ref="F131:X131" si="517">SUM(F132:F156)</f>
        <v>-0.23439412699029516</v>
      </c>
      <c r="G131" s="17">
        <f t="shared" si="517"/>
        <v>0.58351630615434058</v>
      </c>
      <c r="H131" s="17">
        <f t="shared" si="517"/>
        <v>0.18768090233285026</v>
      </c>
      <c r="I131" s="17">
        <f t="shared" si="517"/>
        <v>-0.40627696638281524</v>
      </c>
      <c r="J131" s="17">
        <f t="shared" si="517"/>
        <v>0.61528165855081762</v>
      </c>
      <c r="K131" s="17">
        <f t="shared" si="517"/>
        <v>-0.542351648067666</v>
      </c>
      <c r="L131" s="17">
        <f t="shared" si="517"/>
        <v>0.32426132444573086</v>
      </c>
      <c r="M131" s="17">
        <f t="shared" si="517"/>
        <v>-0.40894895434062417</v>
      </c>
      <c r="N131" s="17">
        <f t="shared" si="517"/>
        <v>-0.1600283758522825</v>
      </c>
      <c r="O131" s="17">
        <f t="shared" si="517"/>
        <v>0.12991841236386661</v>
      </c>
      <c r="P131" s="17">
        <f t="shared" si="517"/>
        <v>0.22573673123484433</v>
      </c>
      <c r="Q131" s="17">
        <f t="shared" si="517"/>
        <v>0.77681957336634855</v>
      </c>
      <c r="R131" s="17">
        <f t="shared" si="517"/>
        <v>0.60943682339336935</v>
      </c>
      <c r="S131" s="17">
        <f t="shared" si="517"/>
        <v>-0.66498826054213234</v>
      </c>
      <c r="T131" s="17">
        <f t="shared" si="517"/>
        <v>-0.34939972979519657</v>
      </c>
      <c r="U131" s="17">
        <f t="shared" si="517"/>
        <v>3.595461272175432E-2</v>
      </c>
      <c r="V131" s="17">
        <f t="shared" si="517"/>
        <v>0.18123689044490288</v>
      </c>
      <c r="W131" s="17">
        <f t="shared" si="517"/>
        <v>0.42078045190714308</v>
      </c>
      <c r="X131" s="17">
        <f t="shared" si="517"/>
        <v>7.8535313637348822E-2</v>
      </c>
      <c r="Y131" s="17">
        <f>SUM(Y132:Y156)</f>
        <v>0.29315417044636821</v>
      </c>
      <c r="Z131" s="17">
        <f t="shared" ref="Z131:AE131" si="518">SUM(Z132:Z156)</f>
        <v>0.54553475361519899</v>
      </c>
      <c r="AA131" s="17">
        <f t="shared" si="518"/>
        <v>0.58351630615434058</v>
      </c>
      <c r="AB131" s="17">
        <f t="shared" si="518"/>
        <v>-0.19630336165952644</v>
      </c>
      <c r="AC131" s="17">
        <f t="shared" si="518"/>
        <v>-0.47504529434717313</v>
      </c>
      <c r="AD131" s="17">
        <f t="shared" si="518"/>
        <v>-0.10797388761159894</v>
      </c>
      <c r="AE131" s="17">
        <f t="shared" si="518"/>
        <v>0.29315417044636821</v>
      </c>
      <c r="AF131" s="17">
        <f t="shared" ref="AF131" si="519">SUM(AF132:AF156)</f>
        <v>0.33112484185989394</v>
      </c>
      <c r="AG131" s="17">
        <f t="shared" ref="AG131" si="520">SUM(AG132:AG156)</f>
        <v>-0.37667469959704936</v>
      </c>
      <c r="AH131" s="17">
        <f t="shared" ref="AH131" si="521">SUM(AH132:AH156)</f>
        <v>0.10393694855593524</v>
      </c>
      <c r="AI131" s="17">
        <f t="shared" ref="AI131" si="522">SUM(AI132:AI156)</f>
        <v>0.37478961176674802</v>
      </c>
      <c r="AJ131" s="17">
        <f t="shared" ref="AJ131" si="523">SUM(AJ132:AJ156)</f>
        <v>0.29063603842831831</v>
      </c>
      <c r="AK131" s="17">
        <f t="shared" ref="AK131" si="524">SUM(AK132:AK156)</f>
        <v>-0.34166723762397971</v>
      </c>
      <c r="AL131" s="17">
        <f t="shared" ref="AL131" si="525">SUM(AL132:AL156)</f>
        <v>0.12248772152622671</v>
      </c>
      <c r="AM131" s="17">
        <f t="shared" ref="AM131" si="526">SUM(AM132:AM156)</f>
        <v>-0.27989702187923687</v>
      </c>
      <c r="AN131" s="17">
        <f t="shared" ref="AN131" si="527">SUM(AN132:AN156)</f>
        <v>-1.1414314036405807E-2</v>
      </c>
      <c r="AO131" s="17">
        <f t="shared" ref="AO131" si="528">SUM(AO132:AO156)</f>
        <v>0.734812676741043</v>
      </c>
      <c r="AP131" s="17">
        <f t="shared" ref="AP131" si="529">SUM(AP132:AP156)</f>
        <v>-6.8352636159331473E-2</v>
      </c>
      <c r="AQ131" s="17">
        <f t="shared" ref="AQ131" si="530">SUM(AQ132:AQ156)</f>
        <v>-6.8352636159331473E-2</v>
      </c>
      <c r="AR131" s="17">
        <f t="shared" ref="AR131" si="531">SUM(AR132:AR156)</f>
        <v>-0.33261664553168074</v>
      </c>
      <c r="AS131" s="17">
        <f t="shared" ref="AS131" si="532">SUM(AS132:AS156)</f>
        <v>-0.33261664553168074</v>
      </c>
      <c r="AT131" s="17">
        <f t="shared" ref="AT131" si="533">SUM(AT132:AT156)</f>
        <v>-0.33261664553168074</v>
      </c>
      <c r="AU131" s="17">
        <f t="shared" ref="AU131" si="534">SUM(AU132:AU156)</f>
        <v>-0.5365670448315728</v>
      </c>
      <c r="AV131" s="17">
        <f t="shared" ref="AV131" si="535">SUM(AV132:AV156)</f>
        <v>0.46831330999094156</v>
      </c>
      <c r="AW131" s="17">
        <f t="shared" ref="AW131" si="536">SUM(AW132:AW156)</f>
        <v>-0.51785867138988328</v>
      </c>
      <c r="AX131" s="17">
        <f t="shared" ref="AX131" si="537">SUM(AX132:AX156)</f>
        <v>0.27183845117040895</v>
      </c>
      <c r="AY131" s="17">
        <f t="shared" ref="AY131" si="538">SUM(AY132:AY156)</f>
        <v>-0.5298600157835246</v>
      </c>
      <c r="AZ131" s="17">
        <f t="shared" ref="AZ131" si="539">SUM(AZ132:AZ156)</f>
        <v>-0.5298600157835246</v>
      </c>
      <c r="BA131" s="17">
        <f t="shared" ref="BA131" si="540">SUM(BA132:BA156)</f>
        <v>-0.61281124115456131</v>
      </c>
      <c r="BB131" s="17">
        <f t="shared" ref="BB131" si="541">SUM(BB132:BB156)</f>
        <v>-0.61281124115456131</v>
      </c>
      <c r="BC131" s="17">
        <f t="shared" ref="BC131" si="542">SUM(BC132:BC156)</f>
        <v>-0.61281124115456131</v>
      </c>
      <c r="BD131" s="17">
        <f t="shared" ref="BD131" si="543">SUM(BD132:BD156)</f>
        <v>-0.61281124115456131</v>
      </c>
      <c r="BE131" s="17">
        <f t="shared" ref="BE131:BG131" si="544">SUM(BE132:BE156)</f>
        <v>-0.61281124115456131</v>
      </c>
      <c r="BF131" s="17">
        <f t="shared" si="544"/>
        <v>-0.61281124115456131</v>
      </c>
      <c r="BG131" s="17">
        <f t="shared" si="544"/>
        <v>0.29315417044636821</v>
      </c>
    </row>
    <row r="132" spans="1:59" x14ac:dyDescent="0.25">
      <c r="C132" t="s">
        <v>64</v>
      </c>
      <c r="D132" s="84" t="s">
        <v>409</v>
      </c>
      <c r="E132" s="18">
        <f t="shared" ref="E132:AJ132" si="545" xml:space="preserve"> -0.62801 * SIN( (E120 ) * Deg2Rad )</f>
        <v>-0.39025680777805799</v>
      </c>
      <c r="F132" s="18">
        <f t="shared" si="545"/>
        <v>-0.41194673438411866</v>
      </c>
      <c r="G132" s="18">
        <f t="shared" si="545"/>
        <v>0.55440451738001928</v>
      </c>
      <c r="H132" s="18">
        <f t="shared" si="545"/>
        <v>0.12826128136023501</v>
      </c>
      <c r="I132" s="18">
        <f t="shared" si="545"/>
        <v>-0.49950506043483761</v>
      </c>
      <c r="J132" s="18">
        <f t="shared" si="545"/>
        <v>0.61038507411096676</v>
      </c>
      <c r="K132" s="18">
        <f t="shared" si="545"/>
        <v>-0.61218977825196452</v>
      </c>
      <c r="L132" s="18">
        <f t="shared" si="545"/>
        <v>0.27723991796899722</v>
      </c>
      <c r="M132" s="18">
        <f t="shared" si="545"/>
        <v>-0.42411847689083376</v>
      </c>
      <c r="N132" s="18">
        <f t="shared" si="545"/>
        <v>-0.23333448177693064</v>
      </c>
      <c r="O132" s="18">
        <f t="shared" si="545"/>
        <v>2.8157242103198685E-2</v>
      </c>
      <c r="P132" s="18">
        <f t="shared" si="545"/>
        <v>6.6801407972154642E-2</v>
      </c>
      <c r="Q132" s="18">
        <f t="shared" si="545"/>
        <v>0.61256322617054604</v>
      </c>
      <c r="R132" s="18">
        <f t="shared" si="545"/>
        <v>0.49113990201913887</v>
      </c>
      <c r="S132" s="18">
        <f t="shared" si="545"/>
        <v>-0.51547453705525415</v>
      </c>
      <c r="T132" s="18">
        <f t="shared" si="545"/>
        <v>-0.46216561232569919</v>
      </c>
      <c r="U132" s="18">
        <f t="shared" si="545"/>
        <v>0.22355896382184245</v>
      </c>
      <c r="V132" s="18">
        <f t="shared" si="545"/>
        <v>-3.2343793576125324E-2</v>
      </c>
      <c r="W132" s="18">
        <f t="shared" si="545"/>
        <v>0.26302072035503882</v>
      </c>
      <c r="X132" s="18">
        <f t="shared" si="545"/>
        <v>-5.9207304160880242E-2</v>
      </c>
      <c r="Y132" s="18">
        <f t="shared" si="545"/>
        <v>0.12870892811146756</v>
      </c>
      <c r="Z132" s="18">
        <f t="shared" si="545"/>
        <v>0.53005006815045774</v>
      </c>
      <c r="AA132" s="18">
        <f t="shared" si="545"/>
        <v>0.55440451738001928</v>
      </c>
      <c r="AB132" s="18">
        <f t="shared" si="545"/>
        <v>-0.18270863702795898</v>
      </c>
      <c r="AC132" s="18">
        <f t="shared" si="545"/>
        <v>-0.40198606084954647</v>
      </c>
      <c r="AD132" s="18">
        <f t="shared" si="545"/>
        <v>-0.26974119680501868</v>
      </c>
      <c r="AE132" s="18">
        <f t="shared" si="545"/>
        <v>0.12870892811146756</v>
      </c>
      <c r="AF132" s="18">
        <f t="shared" si="545"/>
        <v>0.33228522301734781</v>
      </c>
      <c r="AG132" s="18">
        <f t="shared" si="545"/>
        <v>-0.21158207227968781</v>
      </c>
      <c r="AH132" s="18">
        <f t="shared" si="545"/>
        <v>-4.3508943974204482E-2</v>
      </c>
      <c r="AI132" s="18">
        <f t="shared" si="545"/>
        <v>0.21898058099629331</v>
      </c>
      <c r="AJ132" s="18">
        <f t="shared" si="545"/>
        <v>0.20415028071773292</v>
      </c>
      <c r="AK132" s="18">
        <f t="shared" ref="AK132:BG132" si="546" xml:space="preserve"> -0.62801 * SIN( (AK120 ) * Deg2Rad )</f>
        <v>-0.36795669857499103</v>
      </c>
      <c r="AL132" s="18">
        <f t="shared" si="546"/>
        <v>0.30514636507520199</v>
      </c>
      <c r="AM132" s="18">
        <f t="shared" si="546"/>
        <v>-0.18255230464210551</v>
      </c>
      <c r="AN132" s="18">
        <f t="shared" si="546"/>
        <v>-0.16750450864639974</v>
      </c>
      <c r="AO132" s="18">
        <f t="shared" si="546"/>
        <v>0.60854831707023616</v>
      </c>
      <c r="AP132" s="18">
        <f t="shared" si="546"/>
        <v>8.1125091038619562E-2</v>
      </c>
      <c r="AQ132" s="18">
        <f t="shared" si="546"/>
        <v>8.1125091038619562E-2</v>
      </c>
      <c r="AR132" s="18">
        <f t="shared" si="546"/>
        <v>-0.19817711734108925</v>
      </c>
      <c r="AS132" s="18">
        <f t="shared" si="546"/>
        <v>-0.19817711734108925</v>
      </c>
      <c r="AT132" s="18">
        <f t="shared" si="546"/>
        <v>-0.19817711734108925</v>
      </c>
      <c r="AU132" s="18">
        <f t="shared" si="546"/>
        <v>-0.62484752822728351</v>
      </c>
      <c r="AV132" s="18">
        <f t="shared" si="546"/>
        <v>0.62796673081519927</v>
      </c>
      <c r="AW132" s="18">
        <f t="shared" si="546"/>
        <v>-0.55036688897499964</v>
      </c>
      <c r="AX132" s="18">
        <f t="shared" si="546"/>
        <v>0.14470111686511972</v>
      </c>
      <c r="AY132" s="18">
        <f t="shared" si="546"/>
        <v>-0.437919232618242</v>
      </c>
      <c r="AZ132" s="18">
        <f t="shared" si="546"/>
        <v>-0.437919232618242</v>
      </c>
      <c r="BA132" s="18">
        <f t="shared" si="546"/>
        <v>-0.59024396135339774</v>
      </c>
      <c r="BB132" s="18">
        <f t="shared" si="546"/>
        <v>-0.59024396135339774</v>
      </c>
      <c r="BC132" s="18">
        <f t="shared" si="546"/>
        <v>-0.59024396135339774</v>
      </c>
      <c r="BD132" s="18">
        <f t="shared" si="546"/>
        <v>-0.59024396135339774</v>
      </c>
      <c r="BE132" s="18">
        <f t="shared" si="546"/>
        <v>-0.59024396135339774</v>
      </c>
      <c r="BF132" s="18">
        <f t="shared" si="546"/>
        <v>-0.59024396135339774</v>
      </c>
      <c r="BG132" s="18">
        <f t="shared" si="546"/>
        <v>0.12870892811146756</v>
      </c>
    </row>
    <row r="133" spans="1:59" x14ac:dyDescent="0.25">
      <c r="C133" t="s">
        <v>65</v>
      </c>
      <c r="E133" s="18">
        <f t="shared" ref="E133:AJ133" si="547" xml:space="preserve"> 0.17172 *E111 * SIN( (E115 ) * Deg2Rad )</f>
        <v>-0.15339191265914115</v>
      </c>
      <c r="F133" s="18">
        <f t="shared" si="547"/>
        <v>0.17817652120421953</v>
      </c>
      <c r="G133" s="18">
        <f t="shared" si="547"/>
        <v>2.9316186411638235E-2</v>
      </c>
      <c r="H133" s="18">
        <f t="shared" si="547"/>
        <v>6.0322775143332695E-2</v>
      </c>
      <c r="I133" s="18">
        <f t="shared" si="547"/>
        <v>9.3487060109465614E-2</v>
      </c>
      <c r="J133" s="18">
        <f t="shared" si="547"/>
        <v>4.4981664570492306E-3</v>
      </c>
      <c r="K133" s="18">
        <f t="shared" si="547"/>
        <v>6.5004857143997993E-2</v>
      </c>
      <c r="L133" s="18">
        <f t="shared" si="547"/>
        <v>3.6405497606625391E-2</v>
      </c>
      <c r="M133" s="18">
        <f t="shared" si="547"/>
        <v>1.949846566533181E-2</v>
      </c>
      <c r="N133" s="18">
        <f t="shared" si="547"/>
        <v>7.5017844078023505E-2</v>
      </c>
      <c r="O133" s="18">
        <f t="shared" si="547"/>
        <v>0.12046936982858254</v>
      </c>
      <c r="P133" s="18">
        <f t="shared" si="547"/>
        <v>0.14339983961297548</v>
      </c>
      <c r="Q133" s="18">
        <f t="shared" si="547"/>
        <v>0.15575272029000092</v>
      </c>
      <c r="R133" s="18">
        <f t="shared" si="547"/>
        <v>9.1891694469364224E-2</v>
      </c>
      <c r="S133" s="18">
        <f t="shared" si="547"/>
        <v>-0.14101418554321071</v>
      </c>
      <c r="T133" s="18">
        <f t="shared" si="547"/>
        <v>0.1107435876752938</v>
      </c>
      <c r="U133" s="18">
        <f t="shared" si="547"/>
        <v>-0.18353893808718125</v>
      </c>
      <c r="V133" s="18">
        <f t="shared" si="547"/>
        <v>0.19498787696632716</v>
      </c>
      <c r="W133" s="18">
        <f t="shared" si="547"/>
        <v>0.14832657442969951</v>
      </c>
      <c r="X133" s="18">
        <f t="shared" si="547"/>
        <v>0.14099922980701934</v>
      </c>
      <c r="Y133" s="18">
        <f t="shared" si="547"/>
        <v>0.13724540512250019</v>
      </c>
      <c r="Z133" s="18">
        <f t="shared" si="547"/>
        <v>9.4070025589002987E-3</v>
      </c>
      <c r="AA133" s="18">
        <f t="shared" si="547"/>
        <v>2.9316186411638235E-2</v>
      </c>
      <c r="AB133" s="18">
        <f t="shared" si="547"/>
        <v>-1.0536919041652793E-2</v>
      </c>
      <c r="AC133" s="18">
        <f t="shared" si="547"/>
        <v>-7.7113184487727457E-2</v>
      </c>
      <c r="AD133" s="18">
        <f t="shared" si="547"/>
        <v>0.16186491704120137</v>
      </c>
      <c r="AE133" s="18">
        <f t="shared" si="547"/>
        <v>0.13724540512250019</v>
      </c>
      <c r="AF133" s="18">
        <f t="shared" si="547"/>
        <v>-7.0013526235023224E-3</v>
      </c>
      <c r="AG133" s="18">
        <f t="shared" si="547"/>
        <v>-0.14955379361139687</v>
      </c>
      <c r="AH133" s="18">
        <f t="shared" si="547"/>
        <v>0.16758600993650344</v>
      </c>
      <c r="AI133" s="18">
        <f t="shared" si="547"/>
        <v>0.17089959640009492</v>
      </c>
      <c r="AJ133" s="18">
        <f t="shared" si="547"/>
        <v>0.10290426047908149</v>
      </c>
      <c r="AK133" s="18">
        <f t="shared" ref="AK133:BG133" si="548" xml:space="preserve"> 0.17172 *AK111 * SIN( (AK115 ) * Deg2Rad )</f>
        <v>4.0772574036429712E-2</v>
      </c>
      <c r="AL133" s="18">
        <f t="shared" si="548"/>
        <v>-0.17037308228868836</v>
      </c>
      <c r="AM133" s="18">
        <f t="shared" si="548"/>
        <v>-0.11841901534340617</v>
      </c>
      <c r="AN133" s="18">
        <f t="shared" si="548"/>
        <v>0.17038508970875105</v>
      </c>
      <c r="AO133" s="18">
        <f t="shared" si="548"/>
        <v>0.13571492254779291</v>
      </c>
      <c r="AP133" s="18">
        <f t="shared" si="548"/>
        <v>-0.17155767028296121</v>
      </c>
      <c r="AQ133" s="18">
        <f t="shared" si="548"/>
        <v>-0.17155767028296121</v>
      </c>
      <c r="AR133" s="18">
        <f t="shared" si="548"/>
        <v>-0.15217417190277338</v>
      </c>
      <c r="AS133" s="18">
        <f t="shared" si="548"/>
        <v>-0.15217417190277338</v>
      </c>
      <c r="AT133" s="18">
        <f t="shared" si="548"/>
        <v>-0.15217417190277338</v>
      </c>
      <c r="AU133" s="18">
        <f t="shared" si="548"/>
        <v>7.4875878976473645E-2</v>
      </c>
      <c r="AV133" s="18">
        <f t="shared" si="548"/>
        <v>-0.15660695069298494</v>
      </c>
      <c r="AW133" s="18">
        <f t="shared" si="548"/>
        <v>2.7271254202895712E-2</v>
      </c>
      <c r="AX133" s="18">
        <f t="shared" si="548"/>
        <v>0.14546184981203522</v>
      </c>
      <c r="AY133" s="18">
        <f t="shared" si="548"/>
        <v>-9.435977657463937E-2</v>
      </c>
      <c r="AZ133" s="18">
        <f t="shared" si="548"/>
        <v>-9.435977657463937E-2</v>
      </c>
      <c r="BA133" s="18">
        <f t="shared" si="548"/>
        <v>-1.2715434300800276E-2</v>
      </c>
      <c r="BB133" s="18">
        <f t="shared" si="548"/>
        <v>-1.2715434300800276E-2</v>
      </c>
      <c r="BC133" s="18">
        <f t="shared" si="548"/>
        <v>-1.2715434300800276E-2</v>
      </c>
      <c r="BD133" s="18">
        <f t="shared" si="548"/>
        <v>-1.2715434300800276E-2</v>
      </c>
      <c r="BE133" s="18">
        <f t="shared" si="548"/>
        <v>-1.2715434300800276E-2</v>
      </c>
      <c r="BF133" s="18">
        <f t="shared" si="548"/>
        <v>-1.2715434300800276E-2</v>
      </c>
      <c r="BG133" s="18">
        <f t="shared" si="548"/>
        <v>0.13724540512250019</v>
      </c>
    </row>
    <row r="134" spans="1:59" x14ac:dyDescent="0.25">
      <c r="C134" t="s">
        <v>66</v>
      </c>
      <c r="E134" s="18">
        <f t="shared" ref="E134:AJ134" si="549" xml:space="preserve"> -0.01183 *E111 * SIN( (E120+E115 ) * Deg2Rad )</f>
        <v>-1.1601231263434996E-2</v>
      </c>
      <c r="F134" s="18">
        <f t="shared" si="549"/>
        <v>9.7992588053602021E-3</v>
      </c>
      <c r="G134" s="18">
        <f t="shared" si="549"/>
        <v>9.3414168575328242E-3</v>
      </c>
      <c r="H134" s="18">
        <f t="shared" si="549"/>
        <v>-1.8059418200563147E-3</v>
      </c>
      <c r="I134" s="18">
        <f t="shared" si="549"/>
        <v>-3.9926836392001775E-3</v>
      </c>
      <c r="J134" s="18">
        <f t="shared" si="549"/>
        <v>-1.14247685310465E-2</v>
      </c>
      <c r="K134" s="18">
        <f t="shared" si="549"/>
        <v>-1.1676363806770815E-2</v>
      </c>
      <c r="L134" s="18">
        <f t="shared" si="549"/>
        <v>-2.8548831117053562E-3</v>
      </c>
      <c r="M134" s="18">
        <f t="shared" si="549"/>
        <v>-8.948414517584281E-3</v>
      </c>
      <c r="N134" s="18">
        <f t="shared" si="549"/>
        <v>-8.8004243549538053E-3</v>
      </c>
      <c r="O134" s="18">
        <f t="shared" si="549"/>
        <v>-7.9056078234418948E-3</v>
      </c>
      <c r="P134" s="18">
        <f t="shared" si="549"/>
        <v>9.067984443650404E-3</v>
      </c>
      <c r="Q134" s="18">
        <f t="shared" si="549"/>
        <v>8.4703831478950015E-3</v>
      </c>
      <c r="R134" s="18">
        <f t="shared" si="549"/>
        <v>1.2303910227901168E-2</v>
      </c>
      <c r="S134" s="18">
        <f t="shared" si="549"/>
        <v>1.0937206047101089E-3</v>
      </c>
      <c r="T134" s="18">
        <f t="shared" si="549"/>
        <v>2.2547602366434793E-3</v>
      </c>
      <c r="U134" s="18">
        <f t="shared" si="549"/>
        <v>-1.1812462416965859E-2</v>
      </c>
      <c r="V134" s="18">
        <f t="shared" si="549"/>
        <v>1.3420674139065563E-2</v>
      </c>
      <c r="W134" s="18">
        <f t="shared" si="549"/>
        <v>6.7793463187889105E-3</v>
      </c>
      <c r="X134" s="18">
        <f t="shared" si="549"/>
        <v>-9.0333683241491745E-3</v>
      </c>
      <c r="Y134" s="18">
        <f t="shared" si="549"/>
        <v>1.0713790424802267E-2</v>
      </c>
      <c r="Z134" s="18">
        <f t="shared" si="549"/>
        <v>9.6110562315556564E-3</v>
      </c>
      <c r="AA134" s="18">
        <f t="shared" si="549"/>
        <v>9.3414168575328242E-3</v>
      </c>
      <c r="AB134" s="18">
        <f t="shared" si="549"/>
        <v>2.7446890071495338E-3</v>
      </c>
      <c r="AC134" s="18">
        <f t="shared" si="549"/>
        <v>-2.6888515700314126E-3</v>
      </c>
      <c r="AD134" s="18">
        <f t="shared" si="549"/>
        <v>1.1771139014222545E-2</v>
      </c>
      <c r="AE134" s="18">
        <f t="shared" si="549"/>
        <v>1.0713790424802267E-2</v>
      </c>
      <c r="AF134" s="18">
        <f t="shared" si="549"/>
        <v>5.84596546837761E-3</v>
      </c>
      <c r="AG134" s="18">
        <f t="shared" si="549"/>
        <v>-1.1660730674096247E-2</v>
      </c>
      <c r="AH134" s="18">
        <f t="shared" si="549"/>
        <v>-1.1697047164066712E-2</v>
      </c>
      <c r="AI134" s="18">
        <f t="shared" si="549"/>
        <v>-1.1445440991869133E-2</v>
      </c>
      <c r="AJ134" s="18">
        <f t="shared" si="549"/>
        <v>-9.7836240444647751E-3</v>
      </c>
      <c r="AK134" s="18">
        <f t="shared" ref="AK134:BG134" si="550" xml:space="preserve"> -0.01183 *AK111 * SIN( (AK120+AK115 ) * Deg2Rad )</f>
        <v>-4.4893340487777277E-3</v>
      </c>
      <c r="AL134" s="18">
        <f t="shared" si="550"/>
        <v>-1.0987716871968416E-2</v>
      </c>
      <c r="AM134" s="18">
        <f t="shared" si="550"/>
        <v>1.0451738732393514E-2</v>
      </c>
      <c r="AN134" s="18">
        <f t="shared" si="550"/>
        <v>-1.0920302270623551E-2</v>
      </c>
      <c r="AO134" s="18">
        <f t="shared" si="550"/>
        <v>5.5685618575252432E-3</v>
      </c>
      <c r="AP134" s="18">
        <f t="shared" si="550"/>
        <v>1.1678079106928323E-2</v>
      </c>
      <c r="AQ134" s="18">
        <f t="shared" si="550"/>
        <v>1.1678079106928323E-2</v>
      </c>
      <c r="AR134" s="18">
        <f t="shared" si="550"/>
        <v>8.2227048396305309E-3</v>
      </c>
      <c r="AS134" s="18">
        <f t="shared" si="550"/>
        <v>8.2227048396305309E-3</v>
      </c>
      <c r="AT134" s="18">
        <f t="shared" si="550"/>
        <v>8.2227048396305309E-3</v>
      </c>
      <c r="AU134" s="18">
        <f t="shared" si="550"/>
        <v>1.0084283033940744E-2</v>
      </c>
      <c r="AV134" s="18">
        <f t="shared" si="550"/>
        <v>-4.9808056905719066E-3</v>
      </c>
      <c r="AW134" s="18">
        <f t="shared" si="550"/>
        <v>-1.1157865670720732E-2</v>
      </c>
      <c r="AX134" s="18">
        <f t="shared" si="550"/>
        <v>-1.120552408282777E-2</v>
      </c>
      <c r="AY134" s="18">
        <f t="shared" si="550"/>
        <v>-2.2270903197841182E-3</v>
      </c>
      <c r="AZ134" s="18">
        <f t="shared" si="550"/>
        <v>-2.2270903197841182E-3</v>
      </c>
      <c r="BA134" s="18">
        <f t="shared" si="550"/>
        <v>-1.0782425082532583E-2</v>
      </c>
      <c r="BB134" s="18">
        <f t="shared" si="550"/>
        <v>-1.0782425082532583E-2</v>
      </c>
      <c r="BC134" s="18">
        <f t="shared" si="550"/>
        <v>-1.0782425082532583E-2</v>
      </c>
      <c r="BD134" s="18">
        <f t="shared" si="550"/>
        <v>-1.0782425082532583E-2</v>
      </c>
      <c r="BE134" s="18">
        <f t="shared" si="550"/>
        <v>-1.0782425082532583E-2</v>
      </c>
      <c r="BF134" s="18">
        <f t="shared" si="550"/>
        <v>-1.0782425082532583E-2</v>
      </c>
      <c r="BG134" s="18">
        <f t="shared" si="550"/>
        <v>1.0713790424802267E-2</v>
      </c>
    </row>
    <row r="135" spans="1:59" x14ac:dyDescent="0.25">
      <c r="C135" t="s">
        <v>67</v>
      </c>
      <c r="E135" s="18">
        <f t="shared" ref="E135:AJ135" si="551" xml:space="preserve"> 0.00862 * SIN( (2 * E120 ) * Deg2Rad )</f>
        <v>-8.3936064560394714E-3</v>
      </c>
      <c r="F135" s="18">
        <f t="shared" si="551"/>
        <v>-8.5357819282822073E-3</v>
      </c>
      <c r="G135" s="18">
        <f t="shared" si="551"/>
        <v>-7.1494208472398426E-3</v>
      </c>
      <c r="H135" s="18">
        <f t="shared" si="551"/>
        <v>-3.4467863662888602E-3</v>
      </c>
      <c r="I135" s="18">
        <f t="shared" si="551"/>
        <v>-8.3112265784934473E-3</v>
      </c>
      <c r="J135" s="18">
        <f t="shared" si="551"/>
        <v>3.9418610005597758E-3</v>
      </c>
      <c r="K135" s="18">
        <f t="shared" si="551"/>
        <v>3.7483688918836053E-3</v>
      </c>
      <c r="L135" s="18">
        <f t="shared" si="551"/>
        <v>6.8289734459156867E-3</v>
      </c>
      <c r="M135" s="18">
        <f t="shared" si="551"/>
        <v>8.5866806048690066E-3</v>
      </c>
      <c r="N135" s="18">
        <f t="shared" si="551"/>
        <v>5.9469131737264905E-3</v>
      </c>
      <c r="O135" s="18">
        <f t="shared" si="551"/>
        <v>-7.7218944450500589E-4</v>
      </c>
      <c r="P135" s="18">
        <f t="shared" si="551"/>
        <v>1.8234144208832252E-3</v>
      </c>
      <c r="Q135" s="18">
        <f t="shared" si="551"/>
        <v>3.7066805599765798E-3</v>
      </c>
      <c r="R135" s="18">
        <f t="shared" si="551"/>
        <v>8.4024856981465435E-3</v>
      </c>
      <c r="S135" s="18">
        <f t="shared" si="551"/>
        <v>-8.0829745125065144E-3</v>
      </c>
      <c r="T135" s="18">
        <f t="shared" si="551"/>
        <v>8.590142975460565E-3</v>
      </c>
      <c r="U135" s="18">
        <f t="shared" si="551"/>
        <v>5.7350752375797259E-3</v>
      </c>
      <c r="V135" s="18">
        <f t="shared" si="551"/>
        <v>-8.8671676432996874E-4</v>
      </c>
      <c r="W135" s="18">
        <f t="shared" si="551"/>
        <v>6.5566273217547251E-3</v>
      </c>
      <c r="X135" s="18">
        <f t="shared" si="551"/>
        <v>1.6181072230271288E-3</v>
      </c>
      <c r="Y135" s="18">
        <f t="shared" si="551"/>
        <v>3.4582896462503061E-3</v>
      </c>
      <c r="Z135" s="18">
        <f t="shared" si="551"/>
        <v>-7.8038842339797467E-3</v>
      </c>
      <c r="AA135" s="18">
        <f t="shared" si="551"/>
        <v>-7.1494208472398426E-3</v>
      </c>
      <c r="AB135" s="18">
        <f t="shared" si="551"/>
        <v>-4.7987189116591366E-3</v>
      </c>
      <c r="AC135" s="18">
        <f t="shared" si="551"/>
        <v>8.4783265276025706E-3</v>
      </c>
      <c r="AD135" s="18">
        <f t="shared" si="551"/>
        <v>-6.687039922881363E-3</v>
      </c>
      <c r="AE135" s="18">
        <f t="shared" si="551"/>
        <v>3.4582896462503061E-3</v>
      </c>
      <c r="AF135" s="18">
        <f t="shared" si="551"/>
        <v>7.7403644938203141E-3</v>
      </c>
      <c r="AG135" s="18">
        <f t="shared" si="551"/>
        <v>-5.4687377549791447E-3</v>
      </c>
      <c r="AH135" s="18">
        <f t="shared" si="551"/>
        <v>1.1915285972191405E-3</v>
      </c>
      <c r="AI135" s="18">
        <f t="shared" si="551"/>
        <v>-5.634122816682483E-3</v>
      </c>
      <c r="AJ135" s="18">
        <f t="shared" si="551"/>
        <v>-5.299912371753689E-3</v>
      </c>
      <c r="AK135" s="18">
        <f t="shared" ref="AK135:BG135" si="552" xml:space="preserve"> 0.00862 * SIN( (2 * AK120 ) * Deg2Rad )</f>
        <v>-8.1856741247027485E-3</v>
      </c>
      <c r="AL135" s="18">
        <f t="shared" si="552"/>
        <v>7.3214840634804506E-3</v>
      </c>
      <c r="AM135" s="18">
        <f t="shared" si="552"/>
        <v>4.7949921175368011E-3</v>
      </c>
      <c r="AN135" s="18">
        <f t="shared" si="552"/>
        <v>4.4317178561956881E-3</v>
      </c>
      <c r="AO135" s="18">
        <f t="shared" si="552"/>
        <v>-4.1266411695533439E-3</v>
      </c>
      <c r="AP135" s="18">
        <f t="shared" si="552"/>
        <v>-2.208369794194831E-3</v>
      </c>
      <c r="AQ135" s="18">
        <f t="shared" si="552"/>
        <v>-2.208369794194831E-3</v>
      </c>
      <c r="AR135" s="18">
        <f t="shared" si="552"/>
        <v>5.1623408692597315E-3</v>
      </c>
      <c r="AS135" s="18">
        <f t="shared" si="552"/>
        <v>5.1623408692597315E-3</v>
      </c>
      <c r="AT135" s="18">
        <f t="shared" si="552"/>
        <v>5.1623408692597315E-3</v>
      </c>
      <c r="AU135" s="18">
        <f t="shared" si="552"/>
        <v>1.7192632167621316E-3</v>
      </c>
      <c r="AV135" s="18">
        <f t="shared" si="552"/>
        <v>2.0235825798649662E-4</v>
      </c>
      <c r="AW135" s="18">
        <f t="shared" si="552"/>
        <v>7.2769604336877253E-3</v>
      </c>
      <c r="AX135" s="18">
        <f t="shared" si="552"/>
        <v>-3.8654227220747996E-3</v>
      </c>
      <c r="AY135" s="18">
        <f t="shared" si="552"/>
        <v>8.6167374526159579E-3</v>
      </c>
      <c r="AZ135" s="18">
        <f t="shared" si="552"/>
        <v>8.6167374526159579E-3</v>
      </c>
      <c r="BA135" s="18">
        <f t="shared" si="552"/>
        <v>5.5342060963239782E-3</v>
      </c>
      <c r="BB135" s="18">
        <f t="shared" si="552"/>
        <v>5.5342060963239782E-3</v>
      </c>
      <c r="BC135" s="18">
        <f t="shared" si="552"/>
        <v>5.5342060963239782E-3</v>
      </c>
      <c r="BD135" s="18">
        <f t="shared" si="552"/>
        <v>5.5342060963239782E-3</v>
      </c>
      <c r="BE135" s="18">
        <f t="shared" si="552"/>
        <v>5.5342060963239782E-3</v>
      </c>
      <c r="BF135" s="18">
        <f t="shared" si="552"/>
        <v>5.5342060963239782E-3</v>
      </c>
      <c r="BG135" s="18">
        <f t="shared" si="552"/>
        <v>3.4582896462503061E-3</v>
      </c>
    </row>
    <row r="136" spans="1:59" x14ac:dyDescent="0.25">
      <c r="C136" t="s">
        <v>68</v>
      </c>
      <c r="E136" s="18">
        <f t="shared" ref="E136:AJ136" si="553" xml:space="preserve"> 0.00804 * SIN( (2 * E124 ) * Deg2Rad )</f>
        <v>4.5562603818554163E-4</v>
      </c>
      <c r="F136" s="18">
        <f t="shared" si="553"/>
        <v>-6.132841818177092E-3</v>
      </c>
      <c r="G136" s="18">
        <f t="shared" si="553"/>
        <v>3.1728572366728708E-3</v>
      </c>
      <c r="H136" s="18">
        <f t="shared" si="553"/>
        <v>5.0962054260030656E-3</v>
      </c>
      <c r="I136" s="18">
        <f t="shared" si="553"/>
        <v>7.1117619665686275E-3</v>
      </c>
      <c r="J136" s="18">
        <f t="shared" si="553"/>
        <v>1.2439991283655911E-3</v>
      </c>
      <c r="K136" s="18">
        <f t="shared" si="553"/>
        <v>7.8726087494583874E-3</v>
      </c>
      <c r="L136" s="18">
        <f t="shared" si="553"/>
        <v>3.3969600816173649E-3</v>
      </c>
      <c r="M136" s="18">
        <f t="shared" si="553"/>
        <v>-6.813067060725592E-3</v>
      </c>
      <c r="N136" s="18">
        <f t="shared" si="553"/>
        <v>-3.8581206029267062E-4</v>
      </c>
      <c r="O136" s="18">
        <f t="shared" si="553"/>
        <v>-7.9222928947964705E-3</v>
      </c>
      <c r="P136" s="18">
        <f t="shared" si="553"/>
        <v>1.5789738743743325E-3</v>
      </c>
      <c r="Q136" s="18">
        <f t="shared" si="553"/>
        <v>-9.2499540666929044E-5</v>
      </c>
      <c r="R136" s="18">
        <f t="shared" si="553"/>
        <v>7.010194515026537E-3</v>
      </c>
      <c r="S136" s="18">
        <f t="shared" si="553"/>
        <v>3.2736573785817793E-3</v>
      </c>
      <c r="T136" s="18">
        <f t="shared" si="553"/>
        <v>-2.7503448784865587E-3</v>
      </c>
      <c r="U136" s="18">
        <f t="shared" si="553"/>
        <v>7.5197100085774172E-3</v>
      </c>
      <c r="V136" s="18">
        <f t="shared" si="553"/>
        <v>-3.1071476226563518E-4</v>
      </c>
      <c r="W136" s="18">
        <f t="shared" si="553"/>
        <v>-7.3573460315503447E-3</v>
      </c>
      <c r="X136" s="18">
        <f t="shared" si="553"/>
        <v>8.0395004490691341E-3</v>
      </c>
      <c r="Y136" s="18">
        <f t="shared" si="553"/>
        <v>7.8418165305389007E-3</v>
      </c>
      <c r="Z136" s="18">
        <f t="shared" si="553"/>
        <v>5.8090983081037261E-3</v>
      </c>
      <c r="AA136" s="18">
        <f t="shared" si="553"/>
        <v>3.1728572366728708E-3</v>
      </c>
      <c r="AB136" s="18">
        <f t="shared" si="553"/>
        <v>-2.4833294377805704E-4</v>
      </c>
      <c r="AC136" s="18">
        <f t="shared" si="553"/>
        <v>-1.8421939524614925E-3</v>
      </c>
      <c r="AD136" s="18">
        <f t="shared" si="553"/>
        <v>-7.9677112893352612E-3</v>
      </c>
      <c r="AE136" s="18">
        <f t="shared" si="553"/>
        <v>7.8418165305389007E-3</v>
      </c>
      <c r="AF136" s="18">
        <f t="shared" si="553"/>
        <v>-5.1776098298811262E-3</v>
      </c>
      <c r="AG136" s="18">
        <f t="shared" si="553"/>
        <v>7.9729036165369221E-3</v>
      </c>
      <c r="AH136" s="18">
        <f t="shared" si="553"/>
        <v>-6.1057093748946292E-3</v>
      </c>
      <c r="AI136" s="18">
        <f t="shared" si="553"/>
        <v>3.7770646483788221E-3</v>
      </c>
      <c r="AJ136" s="18">
        <f t="shared" si="553"/>
        <v>1.8367099245534002E-3</v>
      </c>
      <c r="AK136" s="18">
        <f t="shared" ref="AK136:BG136" si="554" xml:space="preserve"> 0.00804 * SIN( (2 * AK124 ) * Deg2Rad )</f>
        <v>-5.364941869995918E-3</v>
      </c>
      <c r="AL136" s="18">
        <f t="shared" si="554"/>
        <v>-6.7777613730682475E-3</v>
      </c>
      <c r="AM136" s="18">
        <f t="shared" si="554"/>
        <v>1.4728829977905501E-3</v>
      </c>
      <c r="AN136" s="18">
        <f t="shared" si="554"/>
        <v>-2.6467554933317428E-3</v>
      </c>
      <c r="AO136" s="18">
        <f t="shared" si="554"/>
        <v>-6.9965632149549348E-3</v>
      </c>
      <c r="AP136" s="18">
        <f t="shared" si="554"/>
        <v>7.3687198450915255E-3</v>
      </c>
      <c r="AQ136" s="18">
        <f t="shared" si="554"/>
        <v>7.3687198450915255E-3</v>
      </c>
      <c r="AR136" s="18">
        <f t="shared" si="554"/>
        <v>7.1187485350077205E-4</v>
      </c>
      <c r="AS136" s="18">
        <f t="shared" si="554"/>
        <v>7.1187485350077205E-4</v>
      </c>
      <c r="AT136" s="18">
        <f t="shared" si="554"/>
        <v>7.1187485350077205E-4</v>
      </c>
      <c r="AU136" s="18">
        <f t="shared" si="554"/>
        <v>5.6287255834326696E-3</v>
      </c>
      <c r="AV136" s="18">
        <f t="shared" si="554"/>
        <v>2.9914691659863312E-4</v>
      </c>
      <c r="AW136" s="18">
        <f t="shared" si="554"/>
        <v>2.9353175610997507E-3</v>
      </c>
      <c r="AX136" s="18">
        <f t="shared" si="554"/>
        <v>1.5746823919767729E-3</v>
      </c>
      <c r="AY136" s="18">
        <f t="shared" si="554"/>
        <v>-6.6858957026303548E-3</v>
      </c>
      <c r="AZ136" s="18">
        <f t="shared" si="554"/>
        <v>-6.6858957026303548E-3</v>
      </c>
      <c r="BA136" s="18">
        <f t="shared" si="554"/>
        <v>-7.1249276195618936E-3</v>
      </c>
      <c r="BB136" s="18">
        <f t="shared" si="554"/>
        <v>-7.1249276195618936E-3</v>
      </c>
      <c r="BC136" s="18">
        <f t="shared" si="554"/>
        <v>-7.1249276195618936E-3</v>
      </c>
      <c r="BD136" s="18">
        <f t="shared" si="554"/>
        <v>-7.1249276195618936E-3</v>
      </c>
      <c r="BE136" s="18">
        <f t="shared" si="554"/>
        <v>-7.1249276195618936E-3</v>
      </c>
      <c r="BF136" s="18">
        <f t="shared" si="554"/>
        <v>-7.1249276195618936E-3</v>
      </c>
      <c r="BG136" s="18">
        <f t="shared" si="554"/>
        <v>7.8418165305389007E-3</v>
      </c>
    </row>
    <row r="137" spans="1:59" x14ac:dyDescent="0.25">
      <c r="C137" t="s">
        <v>69</v>
      </c>
      <c r="E137" s="18">
        <f t="shared" ref="E137:AJ137" si="555" xml:space="preserve"> 0.00454 *E111 * SIN( (E120-E115 ) * Deg2Rad )</f>
        <v>-1.9024915465427554E-3</v>
      </c>
      <c r="F137" s="18">
        <f t="shared" si="555"/>
        <v>3.3506047609416145E-3</v>
      </c>
      <c r="G137" s="18">
        <f t="shared" si="555"/>
        <v>-4.3131481568205437E-3</v>
      </c>
      <c r="H137" s="18">
        <f t="shared" si="555"/>
        <v>-2.4293755094548998E-3</v>
      </c>
      <c r="I137" s="18">
        <f t="shared" si="555"/>
        <v>4.5284738781432628E-3</v>
      </c>
      <c r="J137" s="18">
        <f t="shared" si="555"/>
        <v>4.4404377795984554E-3</v>
      </c>
      <c r="K137" s="18">
        <f t="shared" si="555"/>
        <v>3.7143904639079734E-3</v>
      </c>
      <c r="L137" s="18">
        <f t="shared" si="555"/>
        <v>2.8228913746256331E-3</v>
      </c>
      <c r="M137" s="18">
        <f t="shared" si="555"/>
        <v>2.6737499819916456E-3</v>
      </c>
      <c r="N137" s="18">
        <f t="shared" si="555"/>
        <v>-3.0540438759725567E-4</v>
      </c>
      <c r="O137" s="18">
        <f t="shared" si="555"/>
        <v>-3.3296903295493927E-3</v>
      </c>
      <c r="P137" s="18">
        <f t="shared" si="555"/>
        <v>4.0594816192449559E-3</v>
      </c>
      <c r="Q137" s="18">
        <f t="shared" si="555"/>
        <v>-1.4353137997225782E-3</v>
      </c>
      <c r="R137" s="18">
        <f t="shared" si="555"/>
        <v>-1.6937525126182419E-3</v>
      </c>
      <c r="S137" s="18">
        <f t="shared" si="555"/>
        <v>-4.6788688658442679E-3</v>
      </c>
      <c r="T137" s="18">
        <f t="shared" si="555"/>
        <v>-4.8300577863293424E-3</v>
      </c>
      <c r="U137" s="18">
        <f t="shared" si="555"/>
        <v>-4.5359415386262841E-3</v>
      </c>
      <c r="V137" s="18">
        <f t="shared" si="555"/>
        <v>5.14619423915956E-3</v>
      </c>
      <c r="W137" s="18">
        <f t="shared" si="555"/>
        <v>4.5203192693920599E-3</v>
      </c>
      <c r="X137" s="18">
        <f t="shared" si="555"/>
        <v>-3.9556406666555605E-3</v>
      </c>
      <c r="Y137" s="18">
        <f t="shared" si="555"/>
        <v>2.9914161828175361E-3</v>
      </c>
      <c r="Z137" s="18">
        <f t="shared" si="555"/>
        <v>-3.9552072943353578E-3</v>
      </c>
      <c r="AA137" s="18">
        <f t="shared" si="555"/>
        <v>-4.3131481568205437E-3</v>
      </c>
      <c r="AB137" s="18">
        <f t="shared" si="555"/>
        <v>-1.5863871136857009E-3</v>
      </c>
      <c r="AC137" s="18">
        <f t="shared" si="555"/>
        <v>4.1646241596728873E-3</v>
      </c>
      <c r="AD137" s="18">
        <f t="shared" si="555"/>
        <v>3.2117728216150333E-3</v>
      </c>
      <c r="AE137" s="18">
        <f t="shared" si="555"/>
        <v>2.9914161828175361E-3</v>
      </c>
      <c r="AF137" s="18">
        <f t="shared" si="555"/>
        <v>-2.5576490446164238E-3</v>
      </c>
      <c r="AG137" s="18">
        <f t="shared" si="555"/>
        <v>-2.9705644620284361E-3</v>
      </c>
      <c r="AH137" s="18">
        <f t="shared" si="555"/>
        <v>-4.3511391392238828E-3</v>
      </c>
      <c r="AI137" s="18">
        <f t="shared" si="555"/>
        <v>-4.0770478636091333E-3</v>
      </c>
      <c r="AJ137" s="18">
        <f t="shared" si="555"/>
        <v>-1.3910599801297842E-3</v>
      </c>
      <c r="AK137" s="18">
        <f t="shared" ref="AK137:BG137" si="556" xml:space="preserve"> 0.00454 *AK111 * SIN( (AK120-AK115 ) * Deg2Rad )</f>
        <v>3.4699816049831157E-3</v>
      </c>
      <c r="AL137" s="18">
        <f t="shared" si="556"/>
        <v>-3.6570754786255165E-3</v>
      </c>
      <c r="AM137" s="18">
        <f t="shared" si="556"/>
        <v>1.9801695323132264E-3</v>
      </c>
      <c r="AN137" s="18">
        <f t="shared" si="556"/>
        <v>-4.4921478519402928E-3</v>
      </c>
      <c r="AO137" s="18">
        <f t="shared" si="556"/>
        <v>-3.9096995117420888E-3</v>
      </c>
      <c r="AP137" s="18">
        <f t="shared" si="556"/>
        <v>4.5137136197617878E-3</v>
      </c>
      <c r="AQ137" s="18">
        <f t="shared" si="556"/>
        <v>4.5137136197617878E-3</v>
      </c>
      <c r="AR137" s="18">
        <f t="shared" si="556"/>
        <v>4.4797119969362652E-3</v>
      </c>
      <c r="AS137" s="18">
        <f t="shared" si="556"/>
        <v>4.4797119969362652E-3</v>
      </c>
      <c r="AT137" s="18">
        <f t="shared" si="556"/>
        <v>4.4797119969362652E-3</v>
      </c>
      <c r="AU137" s="18">
        <f t="shared" si="556"/>
        <v>-4.2668760840717419E-3</v>
      </c>
      <c r="AV137" s="18">
        <f t="shared" si="556"/>
        <v>1.8142789568524199E-3</v>
      </c>
      <c r="AW137" s="18">
        <f t="shared" si="556"/>
        <v>3.5875152279792183E-3</v>
      </c>
      <c r="AX137" s="18">
        <f t="shared" si="556"/>
        <v>-3.1842532624729832E-3</v>
      </c>
      <c r="AY137" s="18">
        <f t="shared" si="556"/>
        <v>4.4309582509290246E-3</v>
      </c>
      <c r="AZ137" s="18">
        <f t="shared" si="556"/>
        <v>4.4309582509290246E-3</v>
      </c>
      <c r="BA137" s="18">
        <f t="shared" si="556"/>
        <v>4.3676129943544468E-3</v>
      </c>
      <c r="BB137" s="18">
        <f t="shared" si="556"/>
        <v>4.3676129943544468E-3</v>
      </c>
      <c r="BC137" s="18">
        <f t="shared" si="556"/>
        <v>4.3676129943544468E-3</v>
      </c>
      <c r="BD137" s="18">
        <f t="shared" si="556"/>
        <v>4.3676129943544468E-3</v>
      </c>
      <c r="BE137" s="18">
        <f t="shared" si="556"/>
        <v>4.3676129943544468E-3</v>
      </c>
      <c r="BF137" s="18">
        <f t="shared" si="556"/>
        <v>4.3676129943544468E-3</v>
      </c>
      <c r="BG137" s="18">
        <f t="shared" si="556"/>
        <v>2.9914161828175361E-3</v>
      </c>
    </row>
    <row r="138" spans="1:59" x14ac:dyDescent="0.25">
      <c r="C138" t="s">
        <v>70</v>
      </c>
      <c r="E138" s="18">
        <f t="shared" ref="E138:AJ138" si="557" xml:space="preserve"> 0.00204 *E111^2 * SIN( (2 * E115 ) * Deg2Rad )</f>
        <v>-1.646885528467007E-3</v>
      </c>
      <c r="F138" s="18">
        <f t="shared" si="557"/>
        <v>-2.9145680709270674E-4</v>
      </c>
      <c r="G138" s="18">
        <f t="shared" si="557"/>
        <v>6.8631513945890932E-4</v>
      </c>
      <c r="H138" s="18">
        <f t="shared" si="557"/>
        <v>1.3419389822557138E-3</v>
      </c>
      <c r="I138" s="18">
        <f t="shared" si="557"/>
        <v>1.8640506774093059E-3</v>
      </c>
      <c r="J138" s="18">
        <f t="shared" si="557"/>
        <v>-1.0687164404418879E-4</v>
      </c>
      <c r="K138" s="18">
        <f t="shared" si="557"/>
        <v>1.4300507380204527E-3</v>
      </c>
      <c r="L138" s="18">
        <f t="shared" si="557"/>
        <v>-8.4557507448220957E-4</v>
      </c>
      <c r="M138" s="18">
        <f t="shared" si="557"/>
        <v>4.614493070737506E-4</v>
      </c>
      <c r="N138" s="18">
        <f t="shared" si="557"/>
        <v>1.6229969041579603E-3</v>
      </c>
      <c r="O138" s="18">
        <f t="shared" si="557"/>
        <v>2.0794000292681351E-3</v>
      </c>
      <c r="P138" s="18">
        <f t="shared" si="557"/>
        <v>-2.0441224582540642E-3</v>
      </c>
      <c r="Q138" s="18">
        <f t="shared" si="557"/>
        <v>1.9579715825880262E-3</v>
      </c>
      <c r="R138" s="18">
        <f t="shared" si="557"/>
        <v>1.9725590404046939E-3</v>
      </c>
      <c r="S138" s="18">
        <f t="shared" si="557"/>
        <v>2.2920655926113647E-3</v>
      </c>
      <c r="T138" s="18">
        <f t="shared" si="557"/>
        <v>-2.2426561493442704E-3</v>
      </c>
      <c r="U138" s="18">
        <f t="shared" si="557"/>
        <v>-3.6048112507571379E-6</v>
      </c>
      <c r="V138" s="18">
        <f t="shared" si="557"/>
        <v>-4.2192348911987727E-5</v>
      </c>
      <c r="W138" s="18">
        <f t="shared" si="557"/>
        <v>-1.7780152401776954E-3</v>
      </c>
      <c r="X138" s="18">
        <f t="shared" si="557"/>
        <v>-1.913309513850831E-3</v>
      </c>
      <c r="Y138" s="18">
        <f t="shared" si="557"/>
        <v>1.9629575098416268E-3</v>
      </c>
      <c r="Z138" s="18">
        <f t="shared" si="557"/>
        <v>2.2292293926920708E-4</v>
      </c>
      <c r="AA138" s="18">
        <f t="shared" si="557"/>
        <v>6.8631513945890932E-4</v>
      </c>
      <c r="AB138" s="18">
        <f t="shared" si="557"/>
        <v>2.5016806339411081E-4</v>
      </c>
      <c r="AC138" s="18">
        <f t="shared" si="557"/>
        <v>-1.6381386365656549E-3</v>
      </c>
      <c r="AD138" s="18">
        <f t="shared" si="557"/>
        <v>-1.2875030172986275E-3</v>
      </c>
      <c r="AE138" s="18">
        <f t="shared" si="557"/>
        <v>1.9629575098416268E-3</v>
      </c>
      <c r="AF138" s="18">
        <f t="shared" si="557"/>
        <v>-1.6624044911081208E-4</v>
      </c>
      <c r="AG138" s="18">
        <f t="shared" si="557"/>
        <v>-1.7475256028067659E-3</v>
      </c>
      <c r="AH138" s="18">
        <f t="shared" si="557"/>
        <v>8.7246241834583037E-4</v>
      </c>
      <c r="AI138" s="18">
        <f t="shared" si="557"/>
        <v>-4.0446007964015069E-4</v>
      </c>
      <c r="AJ138" s="18">
        <f t="shared" si="557"/>
        <v>-1.9578424801629216E-3</v>
      </c>
      <c r="AK138" s="18">
        <f t="shared" ref="AK138:BG138" si="558" xml:space="preserve"> 0.00204 *AK111^2 * SIN( (2 * AK115 ) * Deg2Rad )</f>
        <v>9.4557829659618617E-4</v>
      </c>
      <c r="AL138" s="18">
        <f t="shared" si="558"/>
        <v>5.1351566343556363E-4</v>
      </c>
      <c r="AM138" s="18">
        <f t="shared" si="558"/>
        <v>2.1649187288887779E-3</v>
      </c>
      <c r="AN138" s="18">
        <f t="shared" si="558"/>
        <v>-5.0358214907856376E-4</v>
      </c>
      <c r="AO138" s="18">
        <f t="shared" si="558"/>
        <v>2.216023305306038E-3</v>
      </c>
      <c r="AP138" s="18">
        <f t="shared" si="558"/>
        <v>1.1126184220561679E-4</v>
      </c>
      <c r="AQ138" s="18">
        <f t="shared" si="558"/>
        <v>1.1126184220561679E-4</v>
      </c>
      <c r="AR138" s="18">
        <f t="shared" si="558"/>
        <v>-1.6707941673173088E-3</v>
      </c>
      <c r="AS138" s="18">
        <f t="shared" si="558"/>
        <v>-1.6707941673173088E-3</v>
      </c>
      <c r="AT138" s="18">
        <f t="shared" si="558"/>
        <v>-1.6707941673173088E-3</v>
      </c>
      <c r="AU138" s="18">
        <f t="shared" si="558"/>
        <v>-1.6023154946540601E-3</v>
      </c>
      <c r="AV138" s="18">
        <f t="shared" si="558"/>
        <v>1.5268966172423846E-3</v>
      </c>
      <c r="AW138" s="18">
        <f t="shared" si="558"/>
        <v>6.408019437681592E-4</v>
      </c>
      <c r="AX138" s="18">
        <f t="shared" si="558"/>
        <v>-1.8437288171157949E-3</v>
      </c>
      <c r="AY138" s="18">
        <f t="shared" si="558"/>
        <v>-1.8715920347570191E-3</v>
      </c>
      <c r="AZ138" s="18">
        <f t="shared" si="558"/>
        <v>-1.8715920347570191E-3</v>
      </c>
      <c r="BA138" s="18">
        <f t="shared" si="558"/>
        <v>-3.0110906698693936E-4</v>
      </c>
      <c r="BB138" s="18">
        <f t="shared" si="558"/>
        <v>-3.0110906698693936E-4</v>
      </c>
      <c r="BC138" s="18">
        <f t="shared" si="558"/>
        <v>-3.0110906698693936E-4</v>
      </c>
      <c r="BD138" s="18">
        <f t="shared" si="558"/>
        <v>-3.0110906698693936E-4</v>
      </c>
      <c r="BE138" s="18">
        <f t="shared" si="558"/>
        <v>-3.0110906698693936E-4</v>
      </c>
      <c r="BF138" s="18">
        <f t="shared" si="558"/>
        <v>-3.0110906698693936E-4</v>
      </c>
      <c r="BG138" s="18">
        <f t="shared" si="558"/>
        <v>1.9629575098416268E-3</v>
      </c>
    </row>
    <row r="139" spans="1:59" x14ac:dyDescent="0.25">
      <c r="C139" t="s">
        <v>71</v>
      </c>
      <c r="E139" s="18">
        <f t="shared" ref="E139:AJ139" si="559" xml:space="preserve"> -0.0018 * SIN( (E120-2 * E124 ) * Deg2Rad )</f>
        <v>1.036835673818179E-3</v>
      </c>
      <c r="F139" s="18">
        <f t="shared" si="559"/>
        <v>1.7998644932464484E-3</v>
      </c>
      <c r="G139" s="18">
        <f t="shared" si="559"/>
        <v>-1.1263759984280505E-3</v>
      </c>
      <c r="H139" s="18">
        <f t="shared" si="559"/>
        <v>8.3255522005488026E-4</v>
      </c>
      <c r="I139" s="18">
        <f t="shared" si="559"/>
        <v>-1.6328535122325785E-3</v>
      </c>
      <c r="J139" s="18">
        <f t="shared" si="559"/>
        <v>1.6628967436479571E-3</v>
      </c>
      <c r="K139" s="18">
        <f t="shared" si="559"/>
        <v>3.693307859857999E-5</v>
      </c>
      <c r="L139" s="18">
        <f t="shared" si="559"/>
        <v>3.7819975937106552E-5</v>
      </c>
      <c r="M139" s="18">
        <f t="shared" si="559"/>
        <v>-4.7949312965068732E-4</v>
      </c>
      <c r="N139" s="18">
        <f t="shared" si="559"/>
        <v>5.8781941315239668E-4</v>
      </c>
      <c r="O139" s="18">
        <f t="shared" si="559"/>
        <v>-1.785623107853576E-3</v>
      </c>
      <c r="P139" s="18">
        <f t="shared" si="559"/>
        <v>-1.6375873596436095E-4</v>
      </c>
      <c r="Q139" s="18">
        <f t="shared" si="559"/>
        <v>-1.7510455348734414E-3</v>
      </c>
      <c r="R139" s="18">
        <f t="shared" si="559"/>
        <v>-1.6673818736421269E-3</v>
      </c>
      <c r="S139" s="18">
        <f t="shared" si="559"/>
        <v>-1.768074943932565E-3</v>
      </c>
      <c r="T139" s="18">
        <f t="shared" si="559"/>
        <v>8.2783700736563956E-4</v>
      </c>
      <c r="U139" s="18">
        <f t="shared" si="559"/>
        <v>-1.3464765205840256E-3</v>
      </c>
      <c r="V139" s="18">
        <f t="shared" si="559"/>
        <v>-2.316372241013175E-5</v>
      </c>
      <c r="W139" s="18">
        <f t="shared" si="559"/>
        <v>1.1917520349247293E-3</v>
      </c>
      <c r="X139" s="18">
        <f t="shared" si="559"/>
        <v>1.7899796606176495E-3</v>
      </c>
      <c r="Y139" s="18">
        <f t="shared" si="559"/>
        <v>-1.6369604607843831E-3</v>
      </c>
      <c r="Z139" s="18">
        <f t="shared" si="559"/>
        <v>1.747817353698237E-3</v>
      </c>
      <c r="AA139" s="18">
        <f t="shared" si="559"/>
        <v>-1.1263759984280505E-3</v>
      </c>
      <c r="AB139" s="18">
        <f t="shared" si="559"/>
        <v>5.7662097879174787E-4</v>
      </c>
      <c r="AC139" s="18">
        <f t="shared" si="559"/>
        <v>-1.4383881899271179E-3</v>
      </c>
      <c r="AD139" s="18">
        <f t="shared" si="559"/>
        <v>1.7143323775489427E-3</v>
      </c>
      <c r="AE139" s="18">
        <f t="shared" si="559"/>
        <v>-1.6369604607843831E-3</v>
      </c>
      <c r="AF139" s="18">
        <f t="shared" si="559"/>
        <v>2.549945100930143E-4</v>
      </c>
      <c r="AG139" s="18">
        <f t="shared" si="559"/>
        <v>-1.6024405757965831E-3</v>
      </c>
      <c r="AH139" s="18">
        <f t="shared" si="559"/>
        <v>-1.444799137132736E-3</v>
      </c>
      <c r="AI139" s="18">
        <f t="shared" si="559"/>
        <v>1.3466094863934254E-3</v>
      </c>
      <c r="AJ139" s="18">
        <f t="shared" si="559"/>
        <v>-1.8079123532464727E-4</v>
      </c>
      <c r="AK139" s="18">
        <f t="shared" ref="AK139:BG139" si="560" xml:space="preserve"> -0.0018 * SIN( (AK120-2 * AK124 ) * Deg2Rad )</f>
        <v>1.8784973559310688E-4</v>
      </c>
      <c r="AL139" s="18">
        <f t="shared" si="560"/>
        <v>1.7966997352105883E-3</v>
      </c>
      <c r="AM139" s="18">
        <f t="shared" si="560"/>
        <v>8.2988702506156184E-4</v>
      </c>
      <c r="AN139" s="18">
        <f t="shared" si="560"/>
        <v>-1.0244311851346475E-3</v>
      </c>
      <c r="AO139" s="18">
        <f t="shared" si="560"/>
        <v>-1.2462446499310988E-3</v>
      </c>
      <c r="AP139" s="18">
        <f t="shared" si="560"/>
        <v>1.5428788629731143E-3</v>
      </c>
      <c r="AQ139" s="18">
        <f t="shared" si="560"/>
        <v>1.5428788629731143E-3</v>
      </c>
      <c r="AR139" s="18">
        <f t="shared" si="560"/>
        <v>7.1701525930690764E-4</v>
      </c>
      <c r="AS139" s="18">
        <f t="shared" si="560"/>
        <v>7.1701525930690764E-4</v>
      </c>
      <c r="AT139" s="18">
        <f t="shared" si="560"/>
        <v>7.1701525930690764E-4</v>
      </c>
      <c r="AU139" s="18">
        <f t="shared" si="560"/>
        <v>1.4051315394770375E-3</v>
      </c>
      <c r="AV139" s="18">
        <f t="shared" si="560"/>
        <v>-1.7994158562350665E-3</v>
      </c>
      <c r="AW139" s="18">
        <f t="shared" si="560"/>
        <v>1.7850896493940528E-3</v>
      </c>
      <c r="AX139" s="18">
        <f t="shared" si="560"/>
        <v>-6.3654309172714283E-5</v>
      </c>
      <c r="AY139" s="18">
        <f t="shared" si="560"/>
        <v>-3.7576223442572116E-4</v>
      </c>
      <c r="AZ139" s="18">
        <f t="shared" si="560"/>
        <v>-3.7576223442572116E-4</v>
      </c>
      <c r="BA139" s="18">
        <f t="shared" si="560"/>
        <v>-1.3286596366023308E-3</v>
      </c>
      <c r="BB139" s="18">
        <f t="shared" si="560"/>
        <v>-1.3286596366023308E-3</v>
      </c>
      <c r="BC139" s="18">
        <f t="shared" si="560"/>
        <v>-1.3286596366023308E-3</v>
      </c>
      <c r="BD139" s="18">
        <f t="shared" si="560"/>
        <v>-1.3286596366023308E-3</v>
      </c>
      <c r="BE139" s="18">
        <f t="shared" si="560"/>
        <v>-1.3286596366023308E-3</v>
      </c>
      <c r="BF139" s="18">
        <f t="shared" si="560"/>
        <v>-1.3286596366023308E-3</v>
      </c>
      <c r="BG139" s="18">
        <f t="shared" si="560"/>
        <v>-1.6369604607843831E-3</v>
      </c>
    </row>
    <row r="140" spans="1:59" x14ac:dyDescent="0.25">
      <c r="C140" t="s">
        <v>72</v>
      </c>
      <c r="E140" s="18">
        <f t="shared" ref="E140:AJ140" si="561" xml:space="preserve"> -0.0007 * SIN( (E120+2 * E124 ) * Deg2Rad )</f>
        <v>4.6537343364198971E-4</v>
      </c>
      <c r="F140" s="18">
        <f t="shared" si="561"/>
        <v>-1.061088448323551E-4</v>
      </c>
      <c r="G140" s="18">
        <f t="shared" si="561"/>
        <v>-6.9757010120804759E-4</v>
      </c>
      <c r="H140" s="18">
        <f t="shared" si="561"/>
        <v>-5.4492288717135221E-4</v>
      </c>
      <c r="I140" s="18">
        <f t="shared" si="561"/>
        <v>1.1559305808730084E-4</v>
      </c>
      <c r="J140" s="18">
        <f t="shared" si="561"/>
        <v>6.9764081640031033E-4</v>
      </c>
      <c r="K140" s="18">
        <f t="shared" si="561"/>
        <v>-2.9139399226173543E-4</v>
      </c>
      <c r="L140" s="18">
        <f t="shared" si="561"/>
        <v>5.4545946412578922E-4</v>
      </c>
      <c r="M140" s="18">
        <f t="shared" si="561"/>
        <v>6.8847808983634048E-4</v>
      </c>
      <c r="N140" s="18">
        <f t="shared" si="561"/>
        <v>2.9096845119304989E-4</v>
      </c>
      <c r="O140" s="18">
        <f t="shared" si="561"/>
        <v>6.8370748973190149E-4</v>
      </c>
      <c r="P140" s="18">
        <f t="shared" si="561"/>
        <v>2.0970187537391191E-4</v>
      </c>
      <c r="Q140" s="18">
        <f t="shared" si="561"/>
        <v>-6.845125345870159E-4</v>
      </c>
      <c r="R140" s="18">
        <f t="shared" si="561"/>
        <v>1.1230962356506693E-4</v>
      </c>
      <c r="S140" s="18">
        <f t="shared" si="561"/>
        <v>-3.6197412565627362E-4</v>
      </c>
      <c r="T140" s="18">
        <f t="shared" si="561"/>
        <v>6.4619499048047683E-4</v>
      </c>
      <c r="U140" s="18">
        <f t="shared" si="561"/>
        <v>6.9999824973384739E-4</v>
      </c>
      <c r="V140" s="18">
        <f t="shared" si="561"/>
        <v>-6.3040872298299801E-5</v>
      </c>
      <c r="W140" s="18">
        <f t="shared" si="561"/>
        <v>-6.9989786410117548E-4</v>
      </c>
      <c r="X140" s="18">
        <f t="shared" si="561"/>
        <v>-6.9757452046627258E-4</v>
      </c>
      <c r="Y140" s="18">
        <f t="shared" si="561"/>
        <v>6.9990946507686512E-4</v>
      </c>
      <c r="Z140" s="18">
        <f t="shared" si="561"/>
        <v>1.3720151236057559E-4</v>
      </c>
      <c r="AA140" s="18">
        <f t="shared" si="561"/>
        <v>-6.9757010120804759E-4</v>
      </c>
      <c r="AB140" s="18">
        <f t="shared" si="561"/>
        <v>1.8286993575979664E-4</v>
      </c>
      <c r="AC140" s="18">
        <f t="shared" si="561"/>
        <v>-3.1291923580257331E-4</v>
      </c>
      <c r="AD140" s="18">
        <f t="shared" si="561"/>
        <v>-5.8622990065997993E-4</v>
      </c>
      <c r="AE140" s="18">
        <f t="shared" si="561"/>
        <v>6.9990946507686512E-4</v>
      </c>
      <c r="AF140" s="18">
        <f t="shared" si="561"/>
        <v>-6.6586991196306965E-4</v>
      </c>
      <c r="AG140" s="18">
        <f t="shared" si="561"/>
        <v>6.839804797287701E-4</v>
      </c>
      <c r="AH140" s="18">
        <f t="shared" si="561"/>
        <v>4.9876228601470317E-4</v>
      </c>
      <c r="AI140" s="18">
        <f t="shared" si="561"/>
        <v>-9.2738090107269443E-5</v>
      </c>
      <c r="AJ140" s="18">
        <f t="shared" si="561"/>
        <v>-3.7276256095251383E-4</v>
      </c>
      <c r="AK140" s="18">
        <f t="shared" ref="AK140:BG140" si="562" xml:space="preserve"> -0.0007 * SIN( (AK120+2 * AK124 ) * Deg2Rad )</f>
        <v>-6.8399641712325529E-4</v>
      </c>
      <c r="AL140" s="18">
        <f t="shared" si="562"/>
        <v>-3.3280539963713522E-4</v>
      </c>
      <c r="AM140" s="18">
        <f t="shared" si="562"/>
        <v>7.7336356059599169E-5</v>
      </c>
      <c r="AN140" s="18">
        <f t="shared" si="562"/>
        <v>4.5791843747656245E-5</v>
      </c>
      <c r="AO140" s="18">
        <f t="shared" si="562"/>
        <v>-1.8370531213192986E-4</v>
      </c>
      <c r="AP140" s="18">
        <f t="shared" si="562"/>
        <v>-6.7235132910718873E-4</v>
      </c>
      <c r="AQ140" s="18">
        <f t="shared" si="562"/>
        <v>-6.7235132910718873E-4</v>
      </c>
      <c r="AR140" s="18">
        <f t="shared" si="562"/>
        <v>1.6121468164204543E-4</v>
      </c>
      <c r="AS140" s="18">
        <f t="shared" si="562"/>
        <v>1.6121468164204543E-4</v>
      </c>
      <c r="AT140" s="18">
        <f t="shared" si="562"/>
        <v>1.6121468164204543E-4</v>
      </c>
      <c r="AU140" s="18">
        <f t="shared" si="562"/>
        <v>4.4820200603958791E-4</v>
      </c>
      <c r="AV140" s="18">
        <f t="shared" si="562"/>
        <v>-6.9916137008023123E-4</v>
      </c>
      <c r="AW140" s="18">
        <f t="shared" si="562"/>
        <v>4.480207789033648E-4</v>
      </c>
      <c r="AX140" s="18">
        <f t="shared" si="562"/>
        <v>-2.9157506062944073E-4</v>
      </c>
      <c r="AY140" s="18">
        <f t="shared" si="562"/>
        <v>6.8833831213065317E-4</v>
      </c>
      <c r="AZ140" s="18">
        <f t="shared" si="562"/>
        <v>6.8833831213065317E-4</v>
      </c>
      <c r="BA140" s="18">
        <f t="shared" si="562"/>
        <v>-9.2955061885683163E-5</v>
      </c>
      <c r="BB140" s="18">
        <f t="shared" si="562"/>
        <v>-9.2955061885683163E-5</v>
      </c>
      <c r="BC140" s="18">
        <f t="shared" si="562"/>
        <v>-9.2955061885683163E-5</v>
      </c>
      <c r="BD140" s="18">
        <f t="shared" si="562"/>
        <v>-9.2955061885683163E-5</v>
      </c>
      <c r="BE140" s="18">
        <f t="shared" si="562"/>
        <v>-9.2955061885683163E-5</v>
      </c>
      <c r="BF140" s="18">
        <f t="shared" si="562"/>
        <v>-9.2955061885683163E-5</v>
      </c>
      <c r="BG140" s="18">
        <f t="shared" si="562"/>
        <v>6.9990946507686512E-4</v>
      </c>
    </row>
    <row r="141" spans="1:59" x14ac:dyDescent="0.25">
      <c r="C141" t="s">
        <v>73</v>
      </c>
      <c r="E141" s="18">
        <f t="shared" ref="E141:AJ141" si="563" xml:space="preserve"> -0.0004 * SIN( (3 * E120 ) * Deg2Rad )</f>
        <v>-3.6175433811874561E-4</v>
      </c>
      <c r="F141" s="18">
        <f t="shared" si="563"/>
        <v>-3.3555768144423475E-4</v>
      </c>
      <c r="G141" s="18">
        <f t="shared" si="563"/>
        <v>-4.1425320696226835E-5</v>
      </c>
      <c r="H141" s="18">
        <f t="shared" si="563"/>
        <v>2.314509978039205E-4</v>
      </c>
      <c r="I141" s="18">
        <f t="shared" si="563"/>
        <v>-1.4937131959915476E-4</v>
      </c>
      <c r="J141" s="18">
        <f t="shared" si="563"/>
        <v>-3.0271225178006984E-4</v>
      </c>
      <c r="K141" s="18">
        <f t="shared" si="563"/>
        <v>3.1233272083919337E-4</v>
      </c>
      <c r="L141" s="18">
        <f t="shared" si="563"/>
        <v>3.9209576437960417E-4</v>
      </c>
      <c r="M141" s="18">
        <f t="shared" si="563"/>
        <v>-3.1759187512027344E-4</v>
      </c>
      <c r="N141" s="18">
        <f t="shared" si="563"/>
        <v>-3.6379013759965927E-4</v>
      </c>
      <c r="O141" s="18">
        <f t="shared" si="563"/>
        <v>5.3658582168139529E-5</v>
      </c>
      <c r="P141" s="18">
        <f t="shared" si="563"/>
        <v>1.2571832083564107E-4</v>
      </c>
      <c r="Q141" s="18">
        <f t="shared" si="563"/>
        <v>-3.1433313000905005E-4</v>
      </c>
      <c r="R141" s="18">
        <f t="shared" si="563"/>
        <v>1.7316145709043968E-4</v>
      </c>
      <c r="S141" s="18">
        <f t="shared" si="563"/>
        <v>-1.0017393967678661E-4</v>
      </c>
      <c r="T141" s="18">
        <f t="shared" si="563"/>
        <v>-2.454096800786796E-4</v>
      </c>
      <c r="U141" s="18">
        <f t="shared" si="563"/>
        <v>3.5499930647246215E-4</v>
      </c>
      <c r="V141" s="18">
        <f t="shared" si="563"/>
        <v>-6.1583871780315373E-5</v>
      </c>
      <c r="W141" s="18">
        <f t="shared" si="563"/>
        <v>3.8503814099603688E-4</v>
      </c>
      <c r="X141" s="18">
        <f t="shared" si="563"/>
        <v>-1.1179242968024024E-4</v>
      </c>
      <c r="Y141" s="18">
        <f t="shared" si="563"/>
        <v>2.3216314695678555E-4</v>
      </c>
      <c r="Z141" s="18">
        <f t="shared" si="563"/>
        <v>5.0827441439967127E-5</v>
      </c>
      <c r="AA141" s="18">
        <f t="shared" si="563"/>
        <v>-4.1425320696226835E-5</v>
      </c>
      <c r="AB141" s="18">
        <f t="shared" si="563"/>
        <v>-3.0971910544090196E-4</v>
      </c>
      <c r="AC141" s="18">
        <f t="shared" si="563"/>
        <v>-3.4849679479646015E-4</v>
      </c>
      <c r="AD141" s="18">
        <f t="shared" si="563"/>
        <v>-3.8863750381707248E-4</v>
      </c>
      <c r="AE141" s="18">
        <f t="shared" si="563"/>
        <v>2.3216314695678555E-4</v>
      </c>
      <c r="AF141" s="18">
        <f t="shared" si="563"/>
        <v>3.979270536936066E-4</v>
      </c>
      <c r="AG141" s="18">
        <f t="shared" si="563"/>
        <v>-3.4310383350057063E-4</v>
      </c>
      <c r="AH141" s="18">
        <f t="shared" si="563"/>
        <v>-8.2604731401344733E-5</v>
      </c>
      <c r="AI141" s="18">
        <f t="shared" si="563"/>
        <v>3.505951788236842E-4</v>
      </c>
      <c r="AJ141" s="18">
        <f t="shared" si="563"/>
        <v>3.3512688897080386E-4</v>
      </c>
      <c r="AK141" s="18">
        <f t="shared" ref="AK141:BG141" si="564" xml:space="preserve"> -0.0004 * SIN( (3 * AK120 ) * Deg2Rad )</f>
        <v>-3.8127269140476346E-4</v>
      </c>
      <c r="AL141" s="18">
        <f t="shared" si="564"/>
        <v>3.9952694859546009E-4</v>
      </c>
      <c r="AM141" s="18">
        <f t="shared" si="564"/>
        <v>-3.0952143605670815E-4</v>
      </c>
      <c r="AN141" s="18">
        <f t="shared" si="564"/>
        <v>-2.8970734981003478E-4</v>
      </c>
      <c r="AO141" s="18">
        <f t="shared" si="564"/>
        <v>-2.9300003214265867E-4</v>
      </c>
      <c r="AP141" s="18">
        <f t="shared" si="564"/>
        <v>1.5156468711186908E-4</v>
      </c>
      <c r="AQ141" s="18">
        <f t="shared" si="564"/>
        <v>1.5156468711186908E-4</v>
      </c>
      <c r="AR141" s="18">
        <f t="shared" si="564"/>
        <v>-3.2839803206066259E-4</v>
      </c>
      <c r="AS141" s="18">
        <f t="shared" si="564"/>
        <v>-3.2839803206066259E-4</v>
      </c>
      <c r="AT141" s="18">
        <f t="shared" si="564"/>
        <v>-3.2839803206066259E-4</v>
      </c>
      <c r="AU141" s="18">
        <f t="shared" si="564"/>
        <v>3.819929851339094E-4</v>
      </c>
      <c r="AV141" s="18">
        <f t="shared" si="564"/>
        <v>-3.9975198682209041E-4</v>
      </c>
      <c r="AW141" s="18">
        <f t="shared" si="564"/>
        <v>2.5264789069017141E-5</v>
      </c>
      <c r="AX141" s="18">
        <f t="shared" si="564"/>
        <v>2.5692251295388139E-4</v>
      </c>
      <c r="AY141" s="18">
        <f t="shared" si="564"/>
        <v>-2.9427174579082149E-4</v>
      </c>
      <c r="AZ141" s="18">
        <f t="shared" si="564"/>
        <v>-2.9427174579082149E-4</v>
      </c>
      <c r="BA141" s="18">
        <f t="shared" si="564"/>
        <v>2.005207276001917E-4</v>
      </c>
      <c r="BB141" s="18">
        <f t="shared" si="564"/>
        <v>2.005207276001917E-4</v>
      </c>
      <c r="BC141" s="18">
        <f t="shared" si="564"/>
        <v>2.005207276001917E-4</v>
      </c>
      <c r="BD141" s="18">
        <f t="shared" si="564"/>
        <v>2.005207276001917E-4</v>
      </c>
      <c r="BE141" s="18">
        <f t="shared" si="564"/>
        <v>2.005207276001917E-4</v>
      </c>
      <c r="BF141" s="18">
        <f t="shared" si="564"/>
        <v>2.005207276001917E-4</v>
      </c>
      <c r="BG141" s="18">
        <f t="shared" si="564"/>
        <v>2.3216314695678555E-4</v>
      </c>
    </row>
    <row r="142" spans="1:59" x14ac:dyDescent="0.25">
      <c r="C142" t="s">
        <v>74</v>
      </c>
      <c r="E142" s="18">
        <f t="shared" ref="E142:AJ142" si="565" xml:space="preserve"> -0.00034 *E111 * SIN( (2 * E120-E115 ) * Deg2Rad )</f>
        <v>8.0454949258371736E-5</v>
      </c>
      <c r="F142" s="18">
        <f t="shared" si="565"/>
        <v>2.6014410460975767E-5</v>
      </c>
      <c r="G142" s="18">
        <f t="shared" si="565"/>
        <v>2.4542845065003108E-4</v>
      </c>
      <c r="H142" s="18">
        <f t="shared" si="565"/>
        <v>2.3676441731792564E-4</v>
      </c>
      <c r="I142" s="18">
        <f t="shared" si="565"/>
        <v>2.2601000760321026E-4</v>
      </c>
      <c r="J142" s="18">
        <f t="shared" si="565"/>
        <v>1.4755457740883257E-4</v>
      </c>
      <c r="K142" s="18">
        <f t="shared" si="565"/>
        <v>-2.5279446279242421E-4</v>
      </c>
      <c r="L142" s="18">
        <f t="shared" si="565"/>
        <v>3.0729983455030313E-4</v>
      </c>
      <c r="M142" s="18">
        <f t="shared" si="565"/>
        <v>-3.3395924560645487E-4</v>
      </c>
      <c r="N142" s="18">
        <f t="shared" si="565"/>
        <v>-1.060640540662915E-4</v>
      </c>
      <c r="O142" s="18">
        <f t="shared" si="565"/>
        <v>2.5969318902367304E-4</v>
      </c>
      <c r="P142" s="18">
        <f t="shared" si="565"/>
        <v>3.2065150394301582E-4</v>
      </c>
      <c r="Q142" s="18">
        <f t="shared" si="565"/>
        <v>-3.5577276972873992E-4</v>
      </c>
      <c r="R142" s="18">
        <f t="shared" si="565"/>
        <v>-3.4004365148183771E-4</v>
      </c>
      <c r="S142" s="18">
        <f t="shared" si="565"/>
        <v>-1.2109801644823722E-4</v>
      </c>
      <c r="T142" s="18">
        <f t="shared" si="565"/>
        <v>2.7055236145633195E-4</v>
      </c>
      <c r="U142" s="18">
        <f t="shared" si="565"/>
        <v>-2.7148647753886369E-4</v>
      </c>
      <c r="V142" s="18">
        <f t="shared" si="565"/>
        <v>3.8370304439183086E-4</v>
      </c>
      <c r="W142" s="18">
        <f t="shared" si="565"/>
        <v>3.2112975015705558E-4</v>
      </c>
      <c r="X142" s="18">
        <f t="shared" si="565"/>
        <v>3.1066202033488077E-4</v>
      </c>
      <c r="Y142" s="18">
        <f t="shared" si="565"/>
        <v>1.6680127472656816E-4</v>
      </c>
      <c r="Z142" s="18">
        <f t="shared" si="565"/>
        <v>2.9909515666431957E-4</v>
      </c>
      <c r="AA142" s="18">
        <f t="shared" si="565"/>
        <v>2.4542845065003108E-4</v>
      </c>
      <c r="AB142" s="18">
        <f t="shared" si="565"/>
        <v>-2.0646777403640013E-4</v>
      </c>
      <c r="AC142" s="18">
        <f t="shared" si="565"/>
        <v>-3.2656310708161141E-4</v>
      </c>
      <c r="AD142" s="18">
        <f t="shared" si="565"/>
        <v>1.1393674502666035E-4</v>
      </c>
      <c r="AE142" s="18">
        <f t="shared" si="565"/>
        <v>1.6680127472656816E-4</v>
      </c>
      <c r="AF142" s="18">
        <f t="shared" si="565"/>
        <v>-3.1120515592948943E-4</v>
      </c>
      <c r="AG142" s="18">
        <f t="shared" si="565"/>
        <v>-1.2280689512817668E-4</v>
      </c>
      <c r="AH142" s="18">
        <f t="shared" si="565"/>
        <v>3.1833170667429817E-4</v>
      </c>
      <c r="AI142" s="18">
        <f t="shared" si="565"/>
        <v>2.3395748594060589E-4</v>
      </c>
      <c r="AJ142" s="18">
        <f t="shared" si="565"/>
        <v>-6.7104723013296624E-6</v>
      </c>
      <c r="AK142" s="18">
        <f t="shared" ref="AK142:BG142" si="566" xml:space="preserve"> -0.00034 *AK111 * SIN( (2 * AK120-AK115 ) * Deg2Rad )</f>
        <v>3.4045117477294695E-4</v>
      </c>
      <c r="AL142" s="18">
        <f t="shared" si="566"/>
        <v>-1.4141510575108279E-4</v>
      </c>
      <c r="AM142" s="18">
        <f t="shared" si="566"/>
        <v>-4.931651453044207E-5</v>
      </c>
      <c r="AN142" s="18">
        <f t="shared" si="566"/>
        <v>3.1110130154127712E-4</v>
      </c>
      <c r="AO142" s="18">
        <f t="shared" si="566"/>
        <v>-1.2405814297543303E-4</v>
      </c>
      <c r="AP142" s="18">
        <f t="shared" si="566"/>
        <v>-3.3071979305716816E-4</v>
      </c>
      <c r="AQ142" s="18">
        <f t="shared" si="566"/>
        <v>-3.3071979305716816E-4</v>
      </c>
      <c r="AR142" s="18">
        <f t="shared" si="566"/>
        <v>-3.3538657396470174E-4</v>
      </c>
      <c r="AS142" s="18">
        <f t="shared" si="566"/>
        <v>-3.3538657396470174E-4</v>
      </c>
      <c r="AT142" s="18">
        <f t="shared" si="566"/>
        <v>-3.3538657396470174E-4</v>
      </c>
      <c r="AU142" s="18">
        <f t="shared" si="566"/>
        <v>-8.4195667594505775E-5</v>
      </c>
      <c r="AV142" s="18">
        <f t="shared" si="566"/>
        <v>3.1326650857697874E-4</v>
      </c>
      <c r="AW142" s="18">
        <f t="shared" si="566"/>
        <v>-3.1280188749341071E-4</v>
      </c>
      <c r="AX142" s="18">
        <f t="shared" si="566"/>
        <v>1.7609402514623179E-4</v>
      </c>
      <c r="AY142" s="18">
        <f t="shared" si="566"/>
        <v>-2.8886601576758974E-4</v>
      </c>
      <c r="AZ142" s="18">
        <f t="shared" si="566"/>
        <v>-2.8886601576758974E-4</v>
      </c>
      <c r="BA142" s="18">
        <f t="shared" si="566"/>
        <v>-1.982583807005856E-4</v>
      </c>
      <c r="BB142" s="18">
        <f t="shared" si="566"/>
        <v>-1.982583807005856E-4</v>
      </c>
      <c r="BC142" s="18">
        <f t="shared" si="566"/>
        <v>-1.982583807005856E-4</v>
      </c>
      <c r="BD142" s="18">
        <f t="shared" si="566"/>
        <v>-1.982583807005856E-4</v>
      </c>
      <c r="BE142" s="18">
        <f t="shared" si="566"/>
        <v>-1.982583807005856E-4</v>
      </c>
      <c r="BF142" s="18">
        <f t="shared" si="566"/>
        <v>-1.982583807005856E-4</v>
      </c>
      <c r="BG142" s="18">
        <f t="shared" si="566"/>
        <v>1.6680127472656816E-4</v>
      </c>
    </row>
    <row r="143" spans="1:59" x14ac:dyDescent="0.25">
      <c r="C143" t="s">
        <v>75</v>
      </c>
      <c r="E143" s="18">
        <f t="shared" ref="E143:AJ143" si="567" xml:space="preserve"> 0.00032 *E111 * SIN( (E115+2 * E124 ) * Deg2Rad )</f>
        <v>2.9358080167174428E-4</v>
      </c>
      <c r="F143" s="18">
        <f t="shared" si="567"/>
        <v>-1.9790151659987369E-4</v>
      </c>
      <c r="G143" s="18">
        <f t="shared" si="567"/>
        <v>7.4232142706523834E-5</v>
      </c>
      <c r="H143" s="18">
        <f t="shared" si="567"/>
        <v>1.0296757837685695E-4</v>
      </c>
      <c r="I143" s="18">
        <f t="shared" si="567"/>
        <v>3.1880240226519026E-4</v>
      </c>
      <c r="J143" s="18">
        <f t="shared" si="567"/>
        <v>-4.122961683134629E-5</v>
      </c>
      <c r="K143" s="18">
        <f t="shared" si="567"/>
        <v>3.1471071063842289E-4</v>
      </c>
      <c r="L143" s="18">
        <f t="shared" si="567"/>
        <v>-7.0680336002666724E-5</v>
      </c>
      <c r="M143" s="18">
        <f t="shared" si="567"/>
        <v>-2.8939034394450362E-4</v>
      </c>
      <c r="N143" s="18">
        <f t="shared" si="567"/>
        <v>-1.5361706816075096E-4</v>
      </c>
      <c r="O143" s="18">
        <f t="shared" si="567"/>
        <v>-2.6734287423491011E-4</v>
      </c>
      <c r="P143" s="18">
        <f t="shared" si="567"/>
        <v>2.2431740906417847E-4</v>
      </c>
      <c r="Q143" s="18">
        <f t="shared" si="567"/>
        <v>-2.9217367763469858E-4</v>
      </c>
      <c r="R143" s="18">
        <f t="shared" si="567"/>
        <v>1.6823102872996453E-4</v>
      </c>
      <c r="S143" s="18">
        <f t="shared" si="567"/>
        <v>-3.2914615084326691E-4</v>
      </c>
      <c r="T143" s="18">
        <f t="shared" si="567"/>
        <v>-1.006192534296798E-4</v>
      </c>
      <c r="U143" s="18">
        <f t="shared" si="567"/>
        <v>-1.2079143319627994E-4</v>
      </c>
      <c r="V143" s="18">
        <f t="shared" si="567"/>
        <v>3.6320084169883112E-4</v>
      </c>
      <c r="W143" s="18">
        <f t="shared" si="567"/>
        <v>3.6279012123842792E-5</v>
      </c>
      <c r="X143" s="18">
        <f t="shared" si="567"/>
        <v>-1.7981884128466673E-4</v>
      </c>
      <c r="Y143" s="18">
        <f t="shared" si="567"/>
        <v>2.4431746596888725E-4</v>
      </c>
      <c r="Z143" s="18">
        <f t="shared" si="567"/>
        <v>2.4272325542214597E-4</v>
      </c>
      <c r="AA143" s="18">
        <f t="shared" si="567"/>
        <v>7.4232142706523834E-5</v>
      </c>
      <c r="AB143" s="18">
        <f t="shared" si="567"/>
        <v>2.9502760685034432E-5</v>
      </c>
      <c r="AC143" s="18">
        <f t="shared" si="567"/>
        <v>-2.0543327484225373E-4</v>
      </c>
      <c r="AD143" s="18">
        <f t="shared" si="567"/>
        <v>6.5807957500647212E-5</v>
      </c>
      <c r="AE143" s="18">
        <f t="shared" si="567"/>
        <v>2.4431746596888725E-4</v>
      </c>
      <c r="AF143" s="18">
        <f t="shared" si="567"/>
        <v>-1.9595755476226414E-4</v>
      </c>
      <c r="AG143" s="18">
        <f t="shared" si="567"/>
        <v>1.9199186141715427E-4</v>
      </c>
      <c r="AH143" s="18">
        <f t="shared" si="567"/>
        <v>1.499338789373451E-4</v>
      </c>
      <c r="AI143" s="18">
        <f t="shared" si="567"/>
        <v>2.6616620270633243E-4</v>
      </c>
      <c r="AJ143" s="18">
        <f t="shared" si="567"/>
        <v>-2.4522932696153144E-4</v>
      </c>
      <c r="AK143" s="18">
        <f t="shared" ref="AK143:BG143" si="568" xml:space="preserve"> 0.00032 *AK111 * SIN( (AK115+2 * AK124 ) * Deg2Rad )</f>
        <v>-1.5183455310718771E-4</v>
      </c>
      <c r="AL143" s="18">
        <f t="shared" si="568"/>
        <v>-1.3655855339057889E-4</v>
      </c>
      <c r="AM143" s="18">
        <f t="shared" si="568"/>
        <v>1.7183225098229199E-4</v>
      </c>
      <c r="AN143" s="18">
        <f t="shared" si="568"/>
        <v>3.1291859725081264E-4</v>
      </c>
      <c r="AO143" s="18">
        <f t="shared" si="568"/>
        <v>-3.1597253138315723E-4</v>
      </c>
      <c r="AP143" s="18">
        <f t="shared" si="568"/>
        <v>1.1987924092098283E-4</v>
      </c>
      <c r="AQ143" s="18">
        <f t="shared" si="568"/>
        <v>1.1987924092098283E-4</v>
      </c>
      <c r="AR143" s="18">
        <f t="shared" si="568"/>
        <v>2.9555565541305578E-4</v>
      </c>
      <c r="AS143" s="18">
        <f t="shared" si="568"/>
        <v>2.9555565541305578E-4</v>
      </c>
      <c r="AT143" s="18">
        <f t="shared" si="568"/>
        <v>2.9555565541305578E-4</v>
      </c>
      <c r="AU143" s="18">
        <f t="shared" si="568"/>
        <v>-3.0140940517938016E-4</v>
      </c>
      <c r="AV143" s="18">
        <f t="shared" si="568"/>
        <v>2.8674895117108859E-4</v>
      </c>
      <c r="AW143" s="18">
        <f t="shared" si="568"/>
        <v>6.8226983822658425E-5</v>
      </c>
      <c r="AX143" s="18">
        <f t="shared" si="568"/>
        <v>-2.9925266164304413E-4</v>
      </c>
      <c r="AY143" s="18">
        <f t="shared" si="568"/>
        <v>-1.24483732660314E-4</v>
      </c>
      <c r="AZ143" s="18">
        <f t="shared" si="568"/>
        <v>-1.24483732660314E-4</v>
      </c>
      <c r="BA143" s="18">
        <f t="shared" si="568"/>
        <v>-2.9361490008432325E-4</v>
      </c>
      <c r="BB143" s="18">
        <f t="shared" si="568"/>
        <v>-2.9361490008432325E-4</v>
      </c>
      <c r="BC143" s="18">
        <f t="shared" si="568"/>
        <v>-2.9361490008432325E-4</v>
      </c>
      <c r="BD143" s="18">
        <f t="shared" si="568"/>
        <v>-2.9361490008432325E-4</v>
      </c>
      <c r="BE143" s="18">
        <f t="shared" si="568"/>
        <v>-2.9361490008432325E-4</v>
      </c>
      <c r="BF143" s="18">
        <f t="shared" si="568"/>
        <v>-2.9361490008432325E-4</v>
      </c>
      <c r="BG143" s="18">
        <f t="shared" si="568"/>
        <v>2.4431746596888725E-4</v>
      </c>
    </row>
    <row r="144" spans="1:59" x14ac:dyDescent="0.25">
      <c r="C144" t="s">
        <v>76</v>
      </c>
      <c r="E144" s="18">
        <f t="shared" ref="E144:AJ144" si="569" xml:space="preserve"> 0.00032 *E111 * SIN( (E115-2 * E124 ) * Deg2Rad )</f>
        <v>2.7719173855458775E-4</v>
      </c>
      <c r="F144" s="18">
        <f t="shared" si="569"/>
        <v>-2.3151164199149653E-4</v>
      </c>
      <c r="G144" s="18">
        <f t="shared" si="569"/>
        <v>-1.7462566899152781E-4</v>
      </c>
      <c r="H144" s="18">
        <f t="shared" si="569"/>
        <v>-2.7685696452086717E-4</v>
      </c>
      <c r="I144" s="18">
        <f t="shared" si="569"/>
        <v>-1.5627904044089927E-4</v>
      </c>
      <c r="J144" s="18">
        <f t="shared" si="569"/>
        <v>5.7792381321930688E-5</v>
      </c>
      <c r="K144" s="18">
        <f t="shared" si="569"/>
        <v>-2.6553100522977316E-4</v>
      </c>
      <c r="L144" s="18">
        <f t="shared" si="569"/>
        <v>1.9365808188528982E-4</v>
      </c>
      <c r="M144" s="18">
        <f t="shared" si="569"/>
        <v>2.5080503628380891E-4</v>
      </c>
      <c r="N144" s="18">
        <f t="shared" si="569"/>
        <v>-1.2565214992376971E-4</v>
      </c>
      <c r="O144" s="18">
        <f t="shared" si="569"/>
        <v>1.907957884592823E-4</v>
      </c>
      <c r="P144" s="18">
        <f t="shared" si="569"/>
        <v>2.9972547990165556E-4</v>
      </c>
      <c r="Q144" s="18">
        <f t="shared" si="569"/>
        <v>-2.8827789279773242E-4</v>
      </c>
      <c r="R144" s="18">
        <f t="shared" si="569"/>
        <v>-3.3592905924071601E-4</v>
      </c>
      <c r="S144" s="18">
        <f t="shared" si="569"/>
        <v>-1.5087457458281813E-4</v>
      </c>
      <c r="T144" s="18">
        <f t="shared" si="569"/>
        <v>-2.8722108397898722E-4</v>
      </c>
      <c r="U144" s="18">
        <f t="shared" si="569"/>
        <v>-1.2128624496917849E-4</v>
      </c>
      <c r="V144" s="18">
        <f t="shared" si="569"/>
        <v>3.6297558764161861E-4</v>
      </c>
      <c r="W144" s="18">
        <f t="shared" si="569"/>
        <v>-2.5919707319999128E-4</v>
      </c>
      <c r="X144" s="18">
        <f t="shared" si="569"/>
        <v>1.856767951650976E-4</v>
      </c>
      <c r="Y144" s="18">
        <f t="shared" si="569"/>
        <v>-1.3144587158445578E-4</v>
      </c>
      <c r="Z144" s="18">
        <f t="shared" si="569"/>
        <v>-2.1848478148202931E-4</v>
      </c>
      <c r="AA144" s="18">
        <f t="shared" si="569"/>
        <v>-1.7462566899152781E-4</v>
      </c>
      <c r="AB144" s="18">
        <f t="shared" si="569"/>
        <v>9.7495724603085566E-6</v>
      </c>
      <c r="AC144" s="18">
        <f t="shared" si="569"/>
        <v>-7.432140546821717E-5</v>
      </c>
      <c r="AD144" s="18">
        <f t="shared" si="569"/>
        <v>-1.4652321475264068E-4</v>
      </c>
      <c r="AE144" s="18">
        <f t="shared" si="569"/>
        <v>-1.3144587158445578E-4</v>
      </c>
      <c r="AF144" s="18">
        <f t="shared" si="569"/>
        <v>2.1592055797641744E-4</v>
      </c>
      <c r="AG144" s="18">
        <f t="shared" si="569"/>
        <v>-1.2013221430245081E-4</v>
      </c>
      <c r="AH144" s="18">
        <f t="shared" si="569"/>
        <v>2.5642900651364788E-4</v>
      </c>
      <c r="AI144" s="18">
        <f t="shared" si="569"/>
        <v>2.9611460692204164E-4</v>
      </c>
      <c r="AJ144" s="18">
        <f t="shared" si="569"/>
        <v>-1.2815286057598339E-4</v>
      </c>
      <c r="AK144" s="18">
        <f t="shared" ref="AK144:BG144" si="570" xml:space="preserve"> 0.00032 *AK111 * SIN( (AK115-2 * AK124 ) * Deg2Rad )</f>
        <v>2.6501470042087418E-4</v>
      </c>
      <c r="AL144" s="18">
        <f t="shared" si="570"/>
        <v>-2.0500070138782474E-4</v>
      </c>
      <c r="AM144" s="18">
        <f t="shared" si="570"/>
        <v>2.6204606473968274E-4</v>
      </c>
      <c r="AN144" s="18">
        <f t="shared" si="570"/>
        <v>2.8671039662131448E-4</v>
      </c>
      <c r="AO144" s="18">
        <f t="shared" si="570"/>
        <v>6.67782840318007E-5</v>
      </c>
      <c r="AP144" s="18">
        <f t="shared" si="570"/>
        <v>1.3589003211234246E-4</v>
      </c>
      <c r="AQ144" s="18">
        <f t="shared" si="570"/>
        <v>1.3589003211234246E-4</v>
      </c>
      <c r="AR144" s="18">
        <f t="shared" si="570"/>
        <v>2.6936958704698187E-4</v>
      </c>
      <c r="AS144" s="18">
        <f t="shared" si="570"/>
        <v>2.6936958704698187E-4</v>
      </c>
      <c r="AT144" s="18">
        <f t="shared" si="570"/>
        <v>2.6936958704698187E-4</v>
      </c>
      <c r="AU144" s="18">
        <f t="shared" si="570"/>
        <v>1.0214381465821105E-4</v>
      </c>
      <c r="AV144" s="18">
        <f t="shared" si="570"/>
        <v>2.96520598227268E-4</v>
      </c>
      <c r="AW144" s="18">
        <f t="shared" si="570"/>
        <v>-1.6285093297319583E-4</v>
      </c>
      <c r="AX144" s="18">
        <f t="shared" si="570"/>
        <v>-2.3238355044082764E-4</v>
      </c>
      <c r="AY144" s="18">
        <f t="shared" si="570"/>
        <v>3.1980829848409653E-4</v>
      </c>
      <c r="AZ144" s="18">
        <f t="shared" si="570"/>
        <v>3.1980829848409653E-4</v>
      </c>
      <c r="BA144" s="18">
        <f t="shared" si="570"/>
        <v>2.7165743816460884E-4</v>
      </c>
      <c r="BB144" s="18">
        <f t="shared" si="570"/>
        <v>2.7165743816460884E-4</v>
      </c>
      <c r="BC144" s="18">
        <f t="shared" si="570"/>
        <v>2.7165743816460884E-4</v>
      </c>
      <c r="BD144" s="18">
        <f t="shared" si="570"/>
        <v>2.7165743816460884E-4</v>
      </c>
      <c r="BE144" s="18">
        <f t="shared" si="570"/>
        <v>2.7165743816460884E-4</v>
      </c>
      <c r="BF144" s="18">
        <f t="shared" si="570"/>
        <v>2.7165743816460884E-4</v>
      </c>
      <c r="BG144" s="18">
        <f t="shared" si="570"/>
        <v>-1.3144587158445578E-4</v>
      </c>
    </row>
    <row r="145" spans="2:59" x14ac:dyDescent="0.25">
      <c r="C145" t="s">
        <v>77</v>
      </c>
      <c r="E145" s="18">
        <f t="shared" ref="E145:AJ145" si="571" xml:space="preserve"> -0.00028 *E111^2 * SIN( (E120+2 * E115 ) * Deg2Rad )</f>
        <v>-7.3792271979537674E-5</v>
      </c>
      <c r="F145" s="18">
        <f t="shared" si="571"/>
        <v>1.6667325758964587E-4</v>
      </c>
      <c r="G145" s="18">
        <f t="shared" si="571"/>
        <v>1.8852277359434366E-4</v>
      </c>
      <c r="H145" s="18">
        <f t="shared" si="571"/>
        <v>-1.3723061721635841E-4</v>
      </c>
      <c r="I145" s="18">
        <f t="shared" si="571"/>
        <v>6.4238766778480327E-5</v>
      </c>
      <c r="J145" s="18">
        <f t="shared" si="571"/>
        <v>2.6848893087266768E-4</v>
      </c>
      <c r="K145" s="18">
        <f t="shared" si="571"/>
        <v>-2.3866231821066981E-4</v>
      </c>
      <c r="L145" s="18">
        <f t="shared" si="571"/>
        <v>8.4305999560640912E-6</v>
      </c>
      <c r="M145" s="18">
        <f t="shared" si="571"/>
        <v>-2.3187920285680958E-4</v>
      </c>
      <c r="N145" s="18">
        <f t="shared" si="571"/>
        <v>-2.7322090490640823E-4</v>
      </c>
      <c r="O145" s="18">
        <f t="shared" si="571"/>
        <v>-2.8467386777736824E-4</v>
      </c>
      <c r="P145" s="18">
        <f t="shared" si="571"/>
        <v>-2.8902338849855176E-4</v>
      </c>
      <c r="Q145" s="18">
        <f t="shared" si="571"/>
        <v>-8.8991336778999479E-5</v>
      </c>
      <c r="R145" s="18">
        <f t="shared" si="571"/>
        <v>2.8476483279202248E-4</v>
      </c>
      <c r="S145" s="18">
        <f t="shared" si="571"/>
        <v>2.2712304753437702E-4</v>
      </c>
      <c r="T145" s="18">
        <f t="shared" si="571"/>
        <v>1.444206284142497E-4</v>
      </c>
      <c r="U145" s="18">
        <f t="shared" si="571"/>
        <v>-1.1432939085836821E-4</v>
      </c>
      <c r="V145" s="18">
        <f t="shared" si="571"/>
        <v>1.2808657563121314E-5</v>
      </c>
      <c r="W145" s="18">
        <f t="shared" si="571"/>
        <v>-2.7925129497595393E-4</v>
      </c>
      <c r="X145" s="18">
        <f t="shared" si="571"/>
        <v>2.7062846704320454E-4</v>
      </c>
      <c r="Y145" s="18">
        <f t="shared" si="571"/>
        <v>2.4784415976599768E-4</v>
      </c>
      <c r="Z145" s="18">
        <f t="shared" si="571"/>
        <v>2.1797233245141937E-4</v>
      </c>
      <c r="AA145" s="18">
        <f t="shared" si="571"/>
        <v>1.8852277359434366E-4</v>
      </c>
      <c r="AB145" s="18">
        <f t="shared" si="571"/>
        <v>-4.8182578145529932E-5</v>
      </c>
      <c r="AC145" s="18">
        <f t="shared" si="571"/>
        <v>6.5613889609422135E-5</v>
      </c>
      <c r="AD145" s="18">
        <f t="shared" si="571"/>
        <v>-6.6206924397694319E-5</v>
      </c>
      <c r="AE145" s="18">
        <f t="shared" si="571"/>
        <v>2.4784415976599768E-4</v>
      </c>
      <c r="AF145" s="18">
        <f t="shared" si="571"/>
        <v>1.2834828029520333E-4</v>
      </c>
      <c r="AG145" s="18">
        <f t="shared" si="571"/>
        <v>-1.7709775996094655E-4</v>
      </c>
      <c r="AH145" s="18">
        <f t="shared" si="571"/>
        <v>-1.0191753016124031E-4</v>
      </c>
      <c r="AI145" s="18">
        <f t="shared" si="571"/>
        <v>-4.3703769443116377E-5</v>
      </c>
      <c r="AJ145" s="18">
        <f t="shared" si="571"/>
        <v>2.7980718389859262E-4</v>
      </c>
      <c r="AK145" s="18">
        <f t="shared" ref="AK145:BG145" si="572" xml:space="preserve"> -0.00028 *AK111^2 * SIN( (AK120+2 * AK115 ) * Deg2Rad )</f>
        <v>-4.1879661047369171E-5</v>
      </c>
      <c r="AL145" s="18">
        <f t="shared" si="572"/>
        <v>-7.0132055824403475E-5</v>
      </c>
      <c r="AM145" s="18">
        <f t="shared" si="572"/>
        <v>-2.937967495977145E-4</v>
      </c>
      <c r="AN145" s="18">
        <f t="shared" si="572"/>
        <v>1.389852747758356E-4</v>
      </c>
      <c r="AO145" s="18">
        <f t="shared" si="572"/>
        <v>-1.1646128139309202E-4</v>
      </c>
      <c r="AP145" s="18">
        <f t="shared" si="572"/>
        <v>-5.1217828352809978E-5</v>
      </c>
      <c r="AQ145" s="18">
        <f t="shared" si="572"/>
        <v>-5.1217828352809978E-5</v>
      </c>
      <c r="AR145" s="18">
        <f t="shared" si="572"/>
        <v>2.681271321026744E-4</v>
      </c>
      <c r="AS145" s="18">
        <f t="shared" si="572"/>
        <v>2.681271321026744E-4</v>
      </c>
      <c r="AT145" s="18">
        <f t="shared" si="572"/>
        <v>2.681271321026744E-4</v>
      </c>
      <c r="AU145" s="18">
        <f t="shared" si="572"/>
        <v>-1.5098475269175466E-4</v>
      </c>
      <c r="AV145" s="18">
        <f t="shared" si="572"/>
        <v>-1.8326095484157051E-4</v>
      </c>
      <c r="AW145" s="18">
        <f t="shared" si="572"/>
        <v>-2.7616857250672923E-4</v>
      </c>
      <c r="AX145" s="18">
        <f t="shared" si="572"/>
        <v>2.1831860526648071E-4</v>
      </c>
      <c r="AY145" s="18">
        <f t="shared" si="572"/>
        <v>1.0701361652521269E-4</v>
      </c>
      <c r="AZ145" s="18">
        <f t="shared" si="572"/>
        <v>1.0701361652521269E-4</v>
      </c>
      <c r="BA145" s="18">
        <f t="shared" si="572"/>
        <v>-2.4585583193616119E-4</v>
      </c>
      <c r="BB145" s="18">
        <f t="shared" si="572"/>
        <v>-2.4585583193616119E-4</v>
      </c>
      <c r="BC145" s="18">
        <f t="shared" si="572"/>
        <v>-2.4585583193616119E-4</v>
      </c>
      <c r="BD145" s="18">
        <f t="shared" si="572"/>
        <v>-2.4585583193616119E-4</v>
      </c>
      <c r="BE145" s="18">
        <f t="shared" si="572"/>
        <v>-2.4585583193616119E-4</v>
      </c>
      <c r="BF145" s="18">
        <f t="shared" si="572"/>
        <v>-2.4585583193616119E-4</v>
      </c>
      <c r="BG145" s="18">
        <f t="shared" si="572"/>
        <v>2.4784415976599768E-4</v>
      </c>
    </row>
    <row r="146" spans="2:59" x14ac:dyDescent="0.25">
      <c r="C146" t="s">
        <v>78</v>
      </c>
      <c r="E146" s="18">
        <f t="shared" ref="E146:AJ146" si="573" xml:space="preserve"> 0.00027 *E111 * SIN( (2 * E120+E115 ) * Deg2Rad )</f>
        <v>-1.7371495542706534E-4</v>
      </c>
      <c r="F146" s="18">
        <f t="shared" si="573"/>
        <v>5.7472607666375661E-5</v>
      </c>
      <c r="G146" s="18">
        <f t="shared" si="573"/>
        <v>-2.4640119046732701E-4</v>
      </c>
      <c r="H146" s="18">
        <f t="shared" si="573"/>
        <v>-1.4149485880532309E-5</v>
      </c>
      <c r="I146" s="18">
        <f t="shared" si="573"/>
        <v>-2.574581856714788E-4</v>
      </c>
      <c r="J146" s="18">
        <f t="shared" si="573"/>
        <v>-1.2975523177019256E-4</v>
      </c>
      <c r="K146" s="18">
        <f t="shared" si="573"/>
        <v>1.6669294573915556E-5</v>
      </c>
      <c r="L146" s="18">
        <f t="shared" si="573"/>
        <v>-1.7417144456929507E-4</v>
      </c>
      <c r="M146" s="18">
        <f t="shared" si="573"/>
        <v>2.7058889072618036E-4</v>
      </c>
      <c r="N146" s="18">
        <f t="shared" si="573"/>
        <v>2.5500084189671919E-4</v>
      </c>
      <c r="O146" s="18">
        <f t="shared" si="573"/>
        <v>1.7108445837703192E-4</v>
      </c>
      <c r="P146" s="18">
        <f t="shared" si="573"/>
        <v>1.8610342277768861E-4</v>
      </c>
      <c r="Q146" s="18">
        <f t="shared" si="573"/>
        <v>-1.5966752711164603E-4</v>
      </c>
      <c r="R146" s="18">
        <f t="shared" si="573"/>
        <v>2.0552908628324252E-4</v>
      </c>
      <c r="S146" s="18">
        <f t="shared" si="573"/>
        <v>2.5023773686009041E-4</v>
      </c>
      <c r="T146" s="18">
        <f t="shared" si="573"/>
        <v>-2.4381048118874568E-4</v>
      </c>
      <c r="U146" s="18">
        <f t="shared" si="573"/>
        <v>-2.1529521355889648E-4</v>
      </c>
      <c r="V146" s="18">
        <f t="shared" si="573"/>
        <v>3.0521125126117138E-4</v>
      </c>
      <c r="W146" s="18">
        <f t="shared" si="573"/>
        <v>4.778881207759441E-5</v>
      </c>
      <c r="X146" s="18">
        <f t="shared" si="573"/>
        <v>1.8880960016458683E-4</v>
      </c>
      <c r="Y146" s="18">
        <f t="shared" si="573"/>
        <v>2.6287306858365395E-4</v>
      </c>
      <c r="Z146" s="18">
        <f t="shared" si="573"/>
        <v>-2.5008082219585081E-4</v>
      </c>
      <c r="AA146" s="18">
        <f t="shared" si="573"/>
        <v>-2.4640119046732701E-4</v>
      </c>
      <c r="AB146" s="18">
        <f t="shared" si="573"/>
        <v>1.3643394551994759E-4</v>
      </c>
      <c r="AC146" s="18">
        <f t="shared" si="573"/>
        <v>2.1554553731689257E-4</v>
      </c>
      <c r="AD146" s="18">
        <f t="shared" si="573"/>
        <v>2.307207137726147E-4</v>
      </c>
      <c r="AE146" s="18">
        <f t="shared" si="573"/>
        <v>2.6287306858365395E-4</v>
      </c>
      <c r="AF146" s="18">
        <f t="shared" si="573"/>
        <v>2.374441386659202E-4</v>
      </c>
      <c r="AG146" s="18">
        <f t="shared" si="573"/>
        <v>-2.660078043883417E-4</v>
      </c>
      <c r="AH146" s="18">
        <f t="shared" si="573"/>
        <v>2.6914820624685448E-4</v>
      </c>
      <c r="AI146" s="18">
        <f t="shared" si="573"/>
        <v>2.2094647176236476E-4</v>
      </c>
      <c r="AJ146" s="18">
        <f t="shared" si="573"/>
        <v>2.6053555872354144E-4</v>
      </c>
      <c r="AK146" s="18">
        <f t="shared" ref="AK146:BG146" si="574" xml:space="preserve"> 0.00027 *AK111 * SIN( (2 * AK120+AK115 ) * Deg2Rad )</f>
        <v>-2.3017276839343116E-4</v>
      </c>
      <c r="AL146" s="18">
        <f t="shared" si="574"/>
        <v>-1.7048362443672301E-4</v>
      </c>
      <c r="AM146" s="18">
        <f t="shared" si="574"/>
        <v>-2.7029255086777825E-4</v>
      </c>
      <c r="AN146" s="18">
        <f t="shared" si="574"/>
        <v>2.1251614542970574E-4</v>
      </c>
      <c r="AO146" s="18">
        <f t="shared" si="574"/>
        <v>-2.7617716141867352E-4</v>
      </c>
      <c r="AP146" s="18">
        <f t="shared" si="574"/>
        <v>-2.5885422278916677E-4</v>
      </c>
      <c r="AQ146" s="18">
        <f t="shared" si="574"/>
        <v>-2.5885422278916677E-4</v>
      </c>
      <c r="AR146" s="18">
        <f t="shared" si="574"/>
        <v>-1.1689328875822563E-4</v>
      </c>
      <c r="AS146" s="18">
        <f t="shared" si="574"/>
        <v>-1.1689328875822563E-4</v>
      </c>
      <c r="AT146" s="18">
        <f t="shared" si="574"/>
        <v>-1.1689328875822563E-4</v>
      </c>
      <c r="AU146" s="18">
        <f t="shared" si="574"/>
        <v>-1.6386661413604392E-4</v>
      </c>
      <c r="AV146" s="18">
        <f t="shared" si="574"/>
        <v>2.4356850588086581E-4</v>
      </c>
      <c r="AW146" s="18">
        <f t="shared" si="574"/>
        <v>2.0243174527656471E-4</v>
      </c>
      <c r="AX146" s="18">
        <f t="shared" si="574"/>
        <v>2.6901843990933237E-4</v>
      </c>
      <c r="AY146" s="18">
        <f t="shared" si="574"/>
        <v>2.2123043781564186E-4</v>
      </c>
      <c r="AZ146" s="18">
        <f t="shared" si="574"/>
        <v>2.2123043781564186E-4</v>
      </c>
      <c r="BA146" s="18">
        <f t="shared" si="574"/>
        <v>1.8809701109418874E-4</v>
      </c>
      <c r="BB146" s="18">
        <f t="shared" si="574"/>
        <v>1.8809701109418874E-4</v>
      </c>
      <c r="BC146" s="18">
        <f t="shared" si="574"/>
        <v>1.8809701109418874E-4</v>
      </c>
      <c r="BD146" s="18">
        <f t="shared" si="574"/>
        <v>1.8809701109418874E-4</v>
      </c>
      <c r="BE146" s="18">
        <f t="shared" si="574"/>
        <v>1.8809701109418874E-4</v>
      </c>
      <c r="BF146" s="18">
        <f t="shared" si="574"/>
        <v>1.8809701109418874E-4</v>
      </c>
      <c r="BG146" s="18">
        <f t="shared" si="574"/>
        <v>2.6287306858365395E-4</v>
      </c>
    </row>
    <row r="147" spans="2:59" x14ac:dyDescent="0.25">
      <c r="C147" t="s">
        <v>79</v>
      </c>
      <c r="E147" s="18">
        <f t="shared" ref="E147:AJ147" si="575" xml:space="preserve"> -0.00017 * SIN( (E129 ) * Deg2Rad )</f>
        <v>1.1077707336096184E-4</v>
      </c>
      <c r="F147" s="18">
        <f t="shared" si="575"/>
        <v>1.015029083302568E-4</v>
      </c>
      <c r="G147" s="18">
        <f t="shared" si="575"/>
        <v>-1.4029667786916674E-4</v>
      </c>
      <c r="H147" s="18">
        <f t="shared" si="575"/>
        <v>-1.0195577492192048E-4</v>
      </c>
      <c r="I147" s="18">
        <f t="shared" si="575"/>
        <v>-4.2807676353445268E-5</v>
      </c>
      <c r="J147" s="18">
        <f t="shared" si="575"/>
        <v>-2.0028072824591391E-5</v>
      </c>
      <c r="K147" s="18">
        <f t="shared" si="575"/>
        <v>1.2392610691205375E-5</v>
      </c>
      <c r="L147" s="18">
        <f t="shared" si="575"/>
        <v>3.5342725435860242E-5</v>
      </c>
      <c r="M147" s="18">
        <f t="shared" si="575"/>
        <v>1.667345101673909E-4</v>
      </c>
      <c r="N147" s="18">
        <f t="shared" si="575"/>
        <v>1.4675189606775762E-4</v>
      </c>
      <c r="O147" s="18">
        <f t="shared" si="575"/>
        <v>1.6742353335198043E-4</v>
      </c>
      <c r="P147" s="18">
        <f t="shared" si="575"/>
        <v>1.5644748724677273E-4</v>
      </c>
      <c r="Q147" s="18">
        <f t="shared" si="575"/>
        <v>-1.3741604958787833E-4</v>
      </c>
      <c r="R147" s="18">
        <f t="shared" si="575"/>
        <v>-1.3463352314794372E-4</v>
      </c>
      <c r="S147" s="18">
        <f t="shared" si="575"/>
        <v>-1.0432777028900677E-7</v>
      </c>
      <c r="T147" s="18">
        <f t="shared" si="575"/>
        <v>1.3800591035359526E-5</v>
      </c>
      <c r="U147" s="18">
        <f t="shared" si="575"/>
        <v>5.0177404622499247E-5</v>
      </c>
      <c r="V147" s="18">
        <f t="shared" si="575"/>
        <v>2.5514190403540407E-5</v>
      </c>
      <c r="W147" s="18">
        <f t="shared" si="575"/>
        <v>-2.9208560533358813E-5</v>
      </c>
      <c r="X147" s="18">
        <f t="shared" si="575"/>
        <v>1.697761715351236E-4</v>
      </c>
      <c r="Y147" s="18">
        <f t="shared" si="575"/>
        <v>7.6984496101746699E-5</v>
      </c>
      <c r="Z147" s="18">
        <f t="shared" si="575"/>
        <v>1.8652288493666978E-5</v>
      </c>
      <c r="AA147" s="18">
        <f t="shared" si="575"/>
        <v>-1.4029667786916674E-4</v>
      </c>
      <c r="AB147" s="18">
        <f t="shared" si="575"/>
        <v>1.6437614690618241E-4</v>
      </c>
      <c r="AC147" s="18">
        <f t="shared" si="575"/>
        <v>-2.2118739996342669E-5</v>
      </c>
      <c r="AD147" s="18">
        <f t="shared" si="575"/>
        <v>2.6217829288962116E-5</v>
      </c>
      <c r="AE147" s="18">
        <f t="shared" si="575"/>
        <v>7.6984496101746699E-5</v>
      </c>
      <c r="AF147" s="18">
        <f t="shared" si="575"/>
        <v>1.6763436117612124E-4</v>
      </c>
      <c r="AG147" s="18">
        <f t="shared" si="575"/>
        <v>1.6892659168791236E-4</v>
      </c>
      <c r="AH147" s="18">
        <f t="shared" si="575"/>
        <v>1.5428099131014708E-4</v>
      </c>
      <c r="AI147" s="18">
        <f t="shared" si="575"/>
        <v>1.6947495971887043E-4</v>
      </c>
      <c r="AJ147" s="18">
        <f t="shared" si="575"/>
        <v>1.622311911804344E-4</v>
      </c>
      <c r="AK147" s="18">
        <f t="shared" ref="AK147:BG147" si="576" xml:space="preserve"> -0.00017 * SIN( (AK129 ) * Deg2Rad )</f>
        <v>-1.1895332322421433E-4</v>
      </c>
      <c r="AL147" s="18">
        <f t="shared" si="576"/>
        <v>1.405776673722711E-4</v>
      </c>
      <c r="AM147" s="18">
        <f t="shared" si="576"/>
        <v>-1.3669239723013201E-4</v>
      </c>
      <c r="AN147" s="18">
        <f t="shared" si="576"/>
        <v>-1.4767853827071933E-4</v>
      </c>
      <c r="AO147" s="18">
        <f t="shared" si="576"/>
        <v>1.6983727230781979E-4</v>
      </c>
      <c r="AP147" s="18">
        <f t="shared" si="576"/>
        <v>-1.2014176475938057E-4</v>
      </c>
      <c r="AQ147" s="18">
        <f t="shared" si="576"/>
        <v>-1.2014176475938057E-4</v>
      </c>
      <c r="AR147" s="18">
        <f t="shared" si="576"/>
        <v>-1.1681481582984247E-4</v>
      </c>
      <c r="AS147" s="18">
        <f t="shared" si="576"/>
        <v>-1.1681481582984247E-4</v>
      </c>
      <c r="AT147" s="18">
        <f t="shared" si="576"/>
        <v>-1.1681481582984247E-4</v>
      </c>
      <c r="AU147" s="18">
        <f t="shared" si="576"/>
        <v>1.6797172999645805E-4</v>
      </c>
      <c r="AV147" s="18">
        <f t="shared" si="576"/>
        <v>-3.0301254850576908E-5</v>
      </c>
      <c r="AW147" s="18">
        <f t="shared" si="576"/>
        <v>1.4472472327961723E-4</v>
      </c>
      <c r="AX147" s="18">
        <f t="shared" si="576"/>
        <v>1.3031741969591652E-4</v>
      </c>
      <c r="AY147" s="18">
        <f t="shared" si="576"/>
        <v>-1.1340085810338261E-4</v>
      </c>
      <c r="AZ147" s="18">
        <f t="shared" si="576"/>
        <v>-1.1340085810338261E-4</v>
      </c>
      <c r="BA147" s="18">
        <f t="shared" si="576"/>
        <v>-1.0990243444602185E-4</v>
      </c>
      <c r="BB147" s="18">
        <f t="shared" si="576"/>
        <v>-1.0990243444602185E-4</v>
      </c>
      <c r="BC147" s="18">
        <f t="shared" si="576"/>
        <v>-1.0990243444602185E-4</v>
      </c>
      <c r="BD147" s="18">
        <f t="shared" si="576"/>
        <v>-1.0990243444602185E-4</v>
      </c>
      <c r="BE147" s="18">
        <f t="shared" si="576"/>
        <v>-1.0990243444602185E-4</v>
      </c>
      <c r="BF147" s="18">
        <f t="shared" si="576"/>
        <v>-1.0990243444602185E-4</v>
      </c>
      <c r="BG147" s="18">
        <f t="shared" si="576"/>
        <v>7.6984496101746699E-5</v>
      </c>
    </row>
    <row r="148" spans="2:59" x14ac:dyDescent="0.25">
      <c r="C148" t="s">
        <v>80</v>
      </c>
      <c r="E148" s="18">
        <f t="shared" ref="E148:AJ148" si="577" xml:space="preserve"> -0.00005 * SIN( (E120-E115-2 * E124 ) * Deg2Rad )</f>
        <v>-2.3470015510364773E-5</v>
      </c>
      <c r="F148" s="18">
        <f t="shared" si="577"/>
        <v>-3.9222411873324222E-6</v>
      </c>
      <c r="G148" s="18">
        <f t="shared" si="577"/>
        <v>-3.7487113107323612E-5</v>
      </c>
      <c r="H148" s="18">
        <f t="shared" si="577"/>
        <v>6.0805349248225331E-6</v>
      </c>
      <c r="I148" s="18">
        <f t="shared" si="577"/>
        <v>-2.6599871299545731E-5</v>
      </c>
      <c r="J148" s="18">
        <f t="shared" si="577"/>
        <v>-4.6676945259638831E-5</v>
      </c>
      <c r="K148" s="18">
        <f t="shared" si="577"/>
        <v>1.9867522500704607E-5</v>
      </c>
      <c r="L148" s="18">
        <f t="shared" si="577"/>
        <v>-1.1621522426131158E-5</v>
      </c>
      <c r="M148" s="18">
        <f t="shared" si="577"/>
        <v>-1.869210874362611E-5</v>
      </c>
      <c r="N148" s="18">
        <f t="shared" si="577"/>
        <v>-5.7205300712664131E-6</v>
      </c>
      <c r="O148" s="18">
        <f t="shared" si="577"/>
        <v>-4.0060942342444785E-5</v>
      </c>
      <c r="P148" s="18">
        <f t="shared" si="577"/>
        <v>-3.7784193001341237E-5</v>
      </c>
      <c r="Q148" s="18">
        <f t="shared" si="577"/>
        <v>-1.4504343889066185E-5</v>
      </c>
      <c r="R148" s="18">
        <f t="shared" si="577"/>
        <v>-4.9449895454487097E-5</v>
      </c>
      <c r="S148" s="18">
        <f t="shared" si="577"/>
        <v>3.8638847599039456E-5</v>
      </c>
      <c r="T148" s="18">
        <f t="shared" si="577"/>
        <v>-4.5127047172141427E-5</v>
      </c>
      <c r="U148" s="18">
        <f t="shared" si="577"/>
        <v>3.3153603679050412E-5</v>
      </c>
      <c r="V148" s="18">
        <f t="shared" si="577"/>
        <v>-4.9989091228401459E-5</v>
      </c>
      <c r="W148" s="18">
        <f t="shared" si="577"/>
        <v>1.5660032233612198E-5</v>
      </c>
      <c r="X148" s="18">
        <f t="shared" si="577"/>
        <v>-2.4066574758768201E-5</v>
      </c>
      <c r="Y148" s="18">
        <f t="shared" si="577"/>
        <v>-4.3966041212153128E-5</v>
      </c>
      <c r="Z148" s="18">
        <f t="shared" si="577"/>
        <v>4.78219454980591E-5</v>
      </c>
      <c r="AA148" s="18">
        <f t="shared" si="577"/>
        <v>-3.7487113107323612E-5</v>
      </c>
      <c r="AB148" s="18">
        <f t="shared" si="577"/>
        <v>-1.8890186141535698E-5</v>
      </c>
      <c r="AC148" s="18">
        <f t="shared" si="577"/>
        <v>-4.9196284942446037E-5</v>
      </c>
      <c r="AD148" s="18">
        <f t="shared" si="577"/>
        <v>-3.0300069613458208E-5</v>
      </c>
      <c r="AE148" s="18">
        <f t="shared" si="577"/>
        <v>-4.3966041212153128E-5</v>
      </c>
      <c r="AF148" s="18">
        <f t="shared" si="577"/>
        <v>5.0596130504750766E-6</v>
      </c>
      <c r="AG148" s="18">
        <f t="shared" si="577"/>
        <v>-4.171786394827753E-5</v>
      </c>
      <c r="AH148" s="18">
        <f t="shared" si="577"/>
        <v>2.0305253275705231E-5</v>
      </c>
      <c r="AI148" s="18">
        <f t="shared" si="577"/>
        <v>2.9288233352574217E-5</v>
      </c>
      <c r="AJ148" s="18">
        <f t="shared" si="577"/>
        <v>-2.5785576499063512E-5</v>
      </c>
      <c r="AK148" s="18">
        <f t="shared" ref="AK148:BG148" si="578" xml:space="preserve"> -0.00005 * SIN( (AK120-AK115-2 * AK124 ) * Deg2Rad )</f>
        <v>-6.6832697808585366E-6</v>
      </c>
      <c r="AL148" s="18">
        <f t="shared" si="578"/>
        <v>-3.3277836198247696E-6</v>
      </c>
      <c r="AM148" s="18">
        <f t="shared" si="578"/>
        <v>1.2445386739959419E-5</v>
      </c>
      <c r="AN148" s="18">
        <f t="shared" si="578"/>
        <v>4.4332935098148079E-5</v>
      </c>
      <c r="AO148" s="18">
        <f t="shared" si="578"/>
        <v>4.5089809068039303E-6</v>
      </c>
      <c r="AP148" s="18">
        <f t="shared" si="578"/>
        <v>2.4572817794027803E-5</v>
      </c>
      <c r="AQ148" s="18">
        <f t="shared" si="578"/>
        <v>2.4572817794027803E-5</v>
      </c>
      <c r="AR148" s="18">
        <f t="shared" si="578"/>
        <v>4.987416593212926E-5</v>
      </c>
      <c r="AS148" s="18">
        <f t="shared" si="578"/>
        <v>4.987416593212926E-5</v>
      </c>
      <c r="AT148" s="18">
        <f t="shared" si="578"/>
        <v>4.987416593212926E-5</v>
      </c>
      <c r="AU148" s="18">
        <f t="shared" si="578"/>
        <v>-2.1514175163893408E-5</v>
      </c>
      <c r="AV148" s="18">
        <f t="shared" si="578"/>
        <v>2.1671423193103238E-5</v>
      </c>
      <c r="AW148" s="18">
        <f t="shared" si="578"/>
        <v>4.7940300604416513E-5</v>
      </c>
      <c r="AX148" s="18">
        <f t="shared" si="578"/>
        <v>-4.134028778350763E-5</v>
      </c>
      <c r="AY148" s="18">
        <f t="shared" si="578"/>
        <v>1.8166470201341938E-5</v>
      </c>
      <c r="AZ148" s="18">
        <f t="shared" si="578"/>
        <v>1.8166470201341938E-5</v>
      </c>
      <c r="BA148" s="18">
        <f t="shared" si="578"/>
        <v>-3.4306547143661758E-5</v>
      </c>
      <c r="BB148" s="18">
        <f t="shared" si="578"/>
        <v>-3.4306547143661758E-5</v>
      </c>
      <c r="BC148" s="18">
        <f t="shared" si="578"/>
        <v>-3.4306547143661758E-5</v>
      </c>
      <c r="BD148" s="18">
        <f t="shared" si="578"/>
        <v>-3.4306547143661758E-5</v>
      </c>
      <c r="BE148" s="18">
        <f t="shared" si="578"/>
        <v>-3.4306547143661758E-5</v>
      </c>
      <c r="BF148" s="18">
        <f t="shared" si="578"/>
        <v>-3.4306547143661758E-5</v>
      </c>
      <c r="BG148" s="18">
        <f t="shared" si="578"/>
        <v>-4.3966041212153128E-5</v>
      </c>
    </row>
    <row r="149" spans="2:59" x14ac:dyDescent="0.25">
      <c r="C149" t="s">
        <v>81</v>
      </c>
      <c r="E149" s="18">
        <f t="shared" ref="E149:AJ149" si="579" xml:space="preserve"> 0.00004 * SIN( (2 * E120+2 * E124 ) * Deg2Rad )</f>
        <v>3.9402958821578002E-5</v>
      </c>
      <c r="F149" s="18">
        <f t="shared" si="579"/>
        <v>2.1358406024855465E-5</v>
      </c>
      <c r="G149" s="18">
        <f t="shared" si="579"/>
        <v>2.16647598348507E-5</v>
      </c>
      <c r="H149" s="18">
        <f t="shared" si="579"/>
        <v>3.5609973155142215E-5</v>
      </c>
      <c r="I149" s="18">
        <f t="shared" si="579"/>
        <v>-2.7374745473158348E-5</v>
      </c>
      <c r="J149" s="18">
        <f t="shared" si="579"/>
        <v>1.2567394575874377E-5</v>
      </c>
      <c r="K149" s="18">
        <f t="shared" si="579"/>
        <v>-3.1739443832791282E-5</v>
      </c>
      <c r="L149" s="18">
        <f t="shared" si="579"/>
        <v>3.9034668382206026E-5</v>
      </c>
      <c r="M149" s="18">
        <f t="shared" si="579"/>
        <v>-2.4133731599192222E-5</v>
      </c>
      <c r="N149" s="18">
        <f t="shared" si="579"/>
        <v>-2.8953607319750227E-5</v>
      </c>
      <c r="O149" s="18">
        <f t="shared" si="579"/>
        <v>-3.8645028884593576E-5</v>
      </c>
      <c r="P149" s="18">
        <f t="shared" si="579"/>
        <v>1.5974369392489144E-5</v>
      </c>
      <c r="Q149" s="18">
        <f t="shared" si="579"/>
        <v>-1.6783758596763306E-5</v>
      </c>
      <c r="R149" s="18">
        <f t="shared" si="579"/>
        <v>-2.6877496022649977E-5</v>
      </c>
      <c r="S149" s="18">
        <f t="shared" si="579"/>
        <v>-3.9916800555404969E-5</v>
      </c>
      <c r="T149" s="18">
        <f t="shared" si="579"/>
        <v>-3.6318717445532996E-5</v>
      </c>
      <c r="U149" s="18">
        <f t="shared" si="579"/>
        <v>3.7347808148684251E-5</v>
      </c>
      <c r="V149" s="18">
        <f t="shared" si="579"/>
        <v>-5.6492651277295517E-6</v>
      </c>
      <c r="W149" s="18">
        <f t="shared" si="579"/>
        <v>-3.6031373399266721E-5</v>
      </c>
      <c r="X149" s="18">
        <f t="shared" si="579"/>
        <v>3.9370197798519619E-5</v>
      </c>
      <c r="Y149" s="18">
        <f t="shared" si="579"/>
        <v>3.927770164537665E-5</v>
      </c>
      <c r="Z149" s="18">
        <f t="shared" si="579"/>
        <v>-3.7310561970021218E-5</v>
      </c>
      <c r="AA149" s="18">
        <f t="shared" si="579"/>
        <v>2.16647598348507E-5</v>
      </c>
      <c r="AB149" s="18">
        <f t="shared" si="579"/>
        <v>2.1230873206689798E-5</v>
      </c>
      <c r="AC149" s="18">
        <f t="shared" si="579"/>
        <v>3.6641089804212701E-5</v>
      </c>
      <c r="AD149" s="18">
        <f t="shared" si="579"/>
        <v>-2.0862497252902805E-5</v>
      </c>
      <c r="AE149" s="18">
        <f t="shared" si="579"/>
        <v>3.927770164537665E-5</v>
      </c>
      <c r="AF149" s="18">
        <f t="shared" si="579"/>
        <v>-3.8815242304976546E-5</v>
      </c>
      <c r="AG149" s="18">
        <f t="shared" si="579"/>
        <v>3.3933028103755483E-5</v>
      </c>
      <c r="AH149" s="18">
        <f t="shared" si="579"/>
        <v>-2.6487778083521301E-5</v>
      </c>
      <c r="AI149" s="18">
        <f t="shared" si="579"/>
        <v>-8.8579166776661929E-6</v>
      </c>
      <c r="AJ149" s="18">
        <f t="shared" si="579"/>
        <v>3.1149817841428419E-5</v>
      </c>
      <c r="AK149" s="18">
        <f t="shared" ref="AK149:BG149" si="580" xml:space="preserve"> 0.00004 * SIN( (2 * AK120+2 * AK124 ) * Deg2Rad )</f>
        <v>-3.6656732487923644E-5</v>
      </c>
      <c r="AL149" s="18">
        <f t="shared" si="580"/>
        <v>4.7702829438607474E-7</v>
      </c>
      <c r="AM149" s="18">
        <f t="shared" si="580"/>
        <v>-1.5784565739325426E-5</v>
      </c>
      <c r="AN149" s="18">
        <f t="shared" si="580"/>
        <v>8.1241712290265839E-6</v>
      </c>
      <c r="AO149" s="18">
        <f t="shared" si="580"/>
        <v>3.9994916560495494E-5</v>
      </c>
      <c r="AP149" s="18">
        <f t="shared" si="580"/>
        <v>3.9536042701957275E-5</v>
      </c>
      <c r="AQ149" s="18">
        <f t="shared" si="580"/>
        <v>3.9536042701957275E-5</v>
      </c>
      <c r="AR149" s="18">
        <f t="shared" si="580"/>
        <v>-2.1024788630243087E-5</v>
      </c>
      <c r="AS149" s="18">
        <f t="shared" si="580"/>
        <v>-2.1024788630243087E-5</v>
      </c>
      <c r="AT149" s="18">
        <f t="shared" si="580"/>
        <v>-2.1024788630243087E-5</v>
      </c>
      <c r="AU149" s="18">
        <f t="shared" si="580"/>
        <v>-3.3137698432897906E-5</v>
      </c>
      <c r="AV149" s="18">
        <f t="shared" si="580"/>
        <v>-2.4262501970202916E-6</v>
      </c>
      <c r="AW149" s="18">
        <f t="shared" si="580"/>
        <v>-3.9264935291147829E-5</v>
      </c>
      <c r="AX149" s="18">
        <f t="shared" si="580"/>
        <v>2.4592009588867855E-5</v>
      </c>
      <c r="AY149" s="18">
        <f t="shared" si="580"/>
        <v>-2.3122933589794407E-5</v>
      </c>
      <c r="AZ149" s="18">
        <f t="shared" si="580"/>
        <v>-2.3122933589794407E-5</v>
      </c>
      <c r="BA149" s="18">
        <f t="shared" si="580"/>
        <v>3.9075825376009124E-5</v>
      </c>
      <c r="BB149" s="18">
        <f t="shared" si="580"/>
        <v>3.9075825376009124E-5</v>
      </c>
      <c r="BC149" s="18">
        <f t="shared" si="580"/>
        <v>3.9075825376009124E-5</v>
      </c>
      <c r="BD149" s="18">
        <f t="shared" si="580"/>
        <v>3.9075825376009124E-5</v>
      </c>
      <c r="BE149" s="18">
        <f t="shared" si="580"/>
        <v>3.9075825376009124E-5</v>
      </c>
      <c r="BF149" s="18">
        <f t="shared" si="580"/>
        <v>3.9075825376009124E-5</v>
      </c>
      <c r="BG149" s="18">
        <f t="shared" si="580"/>
        <v>3.927770164537665E-5</v>
      </c>
    </row>
    <row r="150" spans="2:59" x14ac:dyDescent="0.25">
      <c r="C150" t="s">
        <v>82</v>
      </c>
      <c r="E150" s="18">
        <f t="shared" ref="E150:AJ150" si="581" xml:space="preserve"> -0.00004 * SIN( (E120+E115+2 * E124 ) * Deg2Rad )</f>
        <v>3.8666701952515332E-5</v>
      </c>
      <c r="F150" s="18">
        <f t="shared" si="581"/>
        <v>-3.9049592220585314E-5</v>
      </c>
      <c r="G150" s="18">
        <f t="shared" si="581"/>
        <v>-3.8707464882105779E-5</v>
      </c>
      <c r="H150" s="18">
        <f t="shared" si="581"/>
        <v>-2.0334276780198979E-5</v>
      </c>
      <c r="I150" s="18">
        <f t="shared" si="581"/>
        <v>2.701208918415914E-5</v>
      </c>
      <c r="J150" s="18">
        <f t="shared" si="581"/>
        <v>-3.9765593880430445E-5</v>
      </c>
      <c r="K150" s="18">
        <f t="shared" si="581"/>
        <v>-1.6490932717266131E-6</v>
      </c>
      <c r="L150" s="18">
        <f t="shared" si="581"/>
        <v>-2.5147665290979562E-5</v>
      </c>
      <c r="M150" s="18">
        <f t="shared" si="581"/>
        <v>3.8269814030093389E-5</v>
      </c>
      <c r="N150" s="18">
        <f t="shared" si="581"/>
        <v>3.0727585111249205E-5</v>
      </c>
      <c r="O150" s="18">
        <f t="shared" si="581"/>
        <v>3.4064014553557562E-5</v>
      </c>
      <c r="P150" s="18">
        <f t="shared" si="581"/>
        <v>2.4001707537348794E-5</v>
      </c>
      <c r="Q150" s="18">
        <f t="shared" si="581"/>
        <v>-2.6936664050972668E-5</v>
      </c>
      <c r="R150" s="18">
        <f t="shared" si="581"/>
        <v>-1.4598737740144858E-5</v>
      </c>
      <c r="S150" s="18">
        <f t="shared" si="581"/>
        <v>-1.3065567768975988E-5</v>
      </c>
      <c r="T150" s="18">
        <f t="shared" si="581"/>
        <v>-2.0166671719160424E-5</v>
      </c>
      <c r="U150" s="18">
        <f t="shared" si="581"/>
        <v>1.2038560185168402E-7</v>
      </c>
      <c r="V150" s="18">
        <f t="shared" si="581"/>
        <v>3.9865069730780773E-5</v>
      </c>
      <c r="W150" s="18">
        <f t="shared" si="581"/>
        <v>2.0761381698856719E-5</v>
      </c>
      <c r="X150" s="18">
        <f t="shared" si="581"/>
        <v>2.5492597300460268E-5</v>
      </c>
      <c r="Y150" s="18">
        <f t="shared" si="581"/>
        <v>2.4575660483868052E-5</v>
      </c>
      <c r="Z150" s="18">
        <f t="shared" si="581"/>
        <v>5.6771632446260731E-6</v>
      </c>
      <c r="AA150" s="18">
        <f t="shared" si="581"/>
        <v>-3.8707464882105779E-5</v>
      </c>
      <c r="AB150" s="18">
        <f t="shared" si="581"/>
        <v>-8.0635631464832832E-6</v>
      </c>
      <c r="AC150" s="18">
        <f t="shared" si="581"/>
        <v>8.0445739039333918E-8</v>
      </c>
      <c r="AD150" s="18">
        <f t="shared" si="581"/>
        <v>-9.3873170604673432E-6</v>
      </c>
      <c r="AE150" s="18">
        <f t="shared" si="581"/>
        <v>2.4575660483868052E-5</v>
      </c>
      <c r="AF150" s="18">
        <f t="shared" si="581"/>
        <v>-3.7515137150761115E-5</v>
      </c>
      <c r="AG150" s="18">
        <f t="shared" si="581"/>
        <v>1.1809427966311545E-5</v>
      </c>
      <c r="AH150" s="18">
        <f t="shared" si="581"/>
        <v>-2.1140933987929193E-5</v>
      </c>
      <c r="AI150" s="18">
        <f t="shared" si="581"/>
        <v>-3.892255769205377E-5</v>
      </c>
      <c r="AJ150" s="18">
        <f t="shared" si="581"/>
        <v>3.7339525748836728E-5</v>
      </c>
      <c r="AK150" s="18">
        <f t="shared" ref="AK150:BG150" si="582" xml:space="preserve"> -0.00004 * SIN( (AK120+AK115+2 * AK124 ) * Deg2Rad )</f>
        <v>-3.5967969463932299E-5</v>
      </c>
      <c r="AL150" s="18">
        <f t="shared" si="582"/>
        <v>-3.249391287784683E-5</v>
      </c>
      <c r="AM150" s="18">
        <f t="shared" si="582"/>
        <v>-2.9824008536661074E-5</v>
      </c>
      <c r="AN150" s="18">
        <f t="shared" si="582"/>
        <v>-3.992979926189599E-5</v>
      </c>
      <c r="AO150" s="18">
        <f t="shared" si="582"/>
        <v>2.2238098463769554E-5</v>
      </c>
      <c r="AP150" s="18">
        <f t="shared" si="582"/>
        <v>-1.0077475248113262E-5</v>
      </c>
      <c r="AQ150" s="18">
        <f t="shared" si="582"/>
        <v>-1.0077475248113262E-5</v>
      </c>
      <c r="AR150" s="18">
        <f t="shared" si="582"/>
        <v>-3.0254490060376291E-5</v>
      </c>
      <c r="AS150" s="18">
        <f t="shared" si="582"/>
        <v>-3.0254490060376291E-5</v>
      </c>
      <c r="AT150" s="18">
        <f t="shared" si="582"/>
        <v>-3.0254490060376291E-5</v>
      </c>
      <c r="AU150" s="18">
        <f t="shared" si="582"/>
        <v>-9.6638194058713637E-6</v>
      </c>
      <c r="AV150" s="18">
        <f t="shared" si="582"/>
        <v>1.817859190553214E-5</v>
      </c>
      <c r="AW150" s="18">
        <f t="shared" si="582"/>
        <v>3.0150329287975902E-5</v>
      </c>
      <c r="AX150" s="18">
        <f t="shared" si="582"/>
        <v>3.9649974747859996E-5</v>
      </c>
      <c r="AY150" s="18">
        <f t="shared" si="582"/>
        <v>3.6852509870113617E-5</v>
      </c>
      <c r="AZ150" s="18">
        <f t="shared" si="582"/>
        <v>3.6852509870113617E-5</v>
      </c>
      <c r="BA150" s="18">
        <f t="shared" si="582"/>
        <v>-2.3597508726238846E-6</v>
      </c>
      <c r="BB150" s="18">
        <f t="shared" si="582"/>
        <v>-2.3597508726238846E-6</v>
      </c>
      <c r="BC150" s="18">
        <f t="shared" si="582"/>
        <v>-2.3597508726238846E-6</v>
      </c>
      <c r="BD150" s="18">
        <f t="shared" si="582"/>
        <v>-2.3597508726238846E-6</v>
      </c>
      <c r="BE150" s="18">
        <f t="shared" si="582"/>
        <v>-2.3597508726238846E-6</v>
      </c>
      <c r="BF150" s="18">
        <f t="shared" si="582"/>
        <v>-2.3597508726238846E-6</v>
      </c>
      <c r="BG150" s="18">
        <f t="shared" si="582"/>
        <v>2.4575660483868052E-5</v>
      </c>
    </row>
    <row r="151" spans="2:59" x14ac:dyDescent="0.25">
      <c r="C151" t="s">
        <v>83</v>
      </c>
      <c r="E151" s="18">
        <f t="shared" ref="E151:AJ151" si="583" xml:space="preserve"> 0.00004 * SIN( (E120-2 * E115 ) * Deg2Rad )</f>
        <v>-3.9973471053864472E-5</v>
      </c>
      <c r="F151" s="18">
        <f t="shared" si="583"/>
        <v>-2.9997248751343567E-5</v>
      </c>
      <c r="G151" s="18">
        <f t="shared" si="583"/>
        <v>-3.9575058949944379E-5</v>
      </c>
      <c r="H151" s="18">
        <f t="shared" si="583"/>
        <v>-3.1909927996680953E-5</v>
      </c>
      <c r="I151" s="18">
        <f t="shared" si="583"/>
        <v>3.5107192302456187E-5</v>
      </c>
      <c r="J151" s="18">
        <f t="shared" si="583"/>
        <v>-3.9316750183836283E-5</v>
      </c>
      <c r="K151" s="18">
        <f t="shared" si="583"/>
        <v>2.1573394053284416E-5</v>
      </c>
      <c r="L151" s="18">
        <f t="shared" si="583"/>
        <v>-3.0940104118940837E-5</v>
      </c>
      <c r="M151" s="18">
        <f t="shared" si="583"/>
        <v>1.9680738927836472E-5</v>
      </c>
      <c r="N151" s="18">
        <f t="shared" si="583"/>
        <v>-1.9666113048339096E-5</v>
      </c>
      <c r="O151" s="18">
        <f t="shared" si="583"/>
        <v>-3.9998025556671002E-5</v>
      </c>
      <c r="P151" s="18">
        <f t="shared" si="583"/>
        <v>-3.6335639909857677E-5</v>
      </c>
      <c r="Q151" s="18">
        <f t="shared" si="583"/>
        <v>2.6879792713671094E-5</v>
      </c>
      <c r="R151" s="18">
        <f t="shared" si="583"/>
        <v>6.8270096499604064E-6</v>
      </c>
      <c r="S151" s="18">
        <f t="shared" si="583"/>
        <v>1.6541942554078952E-5</v>
      </c>
      <c r="T151" s="18">
        <f t="shared" si="583"/>
        <v>3.406514489630108E-5</v>
      </c>
      <c r="U151" s="18">
        <f t="shared" si="583"/>
        <v>1.4181361250846028E-5</v>
      </c>
      <c r="V151" s="18">
        <f t="shared" si="583"/>
        <v>-2.7005616540558043E-6</v>
      </c>
      <c r="W151" s="18">
        <f t="shared" si="583"/>
        <v>-2.3408275426942541E-5</v>
      </c>
      <c r="X151" s="18">
        <f t="shared" si="583"/>
        <v>3.6022456250548703E-5</v>
      </c>
      <c r="Y151" s="18">
        <f t="shared" si="583"/>
        <v>3.9892519036265794E-5</v>
      </c>
      <c r="Z151" s="18">
        <f t="shared" si="583"/>
        <v>-3.5907011563164963E-5</v>
      </c>
      <c r="AA151" s="18">
        <f t="shared" si="583"/>
        <v>-3.9575058949944379E-5</v>
      </c>
      <c r="AB151" s="18">
        <f t="shared" si="583"/>
        <v>1.6232234502280034E-5</v>
      </c>
      <c r="AC151" s="18">
        <f t="shared" si="583"/>
        <v>3.9940114180236887E-5</v>
      </c>
      <c r="AD151" s="18">
        <f t="shared" si="583"/>
        <v>-3.6116315930361141E-5</v>
      </c>
      <c r="AE151" s="18">
        <f t="shared" si="583"/>
        <v>3.9892519036265794E-5</v>
      </c>
      <c r="AF151" s="18">
        <f t="shared" si="583"/>
        <v>-2.3858972968459155E-5</v>
      </c>
      <c r="AG151" s="18">
        <f t="shared" si="583"/>
        <v>-3.921010669205478E-5</v>
      </c>
      <c r="AH151" s="18">
        <f t="shared" si="583"/>
        <v>-1.9563701255223814E-5</v>
      </c>
      <c r="AI151" s="18">
        <f t="shared" si="583"/>
        <v>2.1100881057751778E-5</v>
      </c>
      <c r="AJ151" s="18">
        <f t="shared" si="583"/>
        <v>3.2624879182774574E-5</v>
      </c>
      <c r="AK151" s="18">
        <f t="shared" ref="AK151:BG151" si="584" xml:space="preserve"> 0.00004 * SIN( (AK120-2 * AK115 ) * Deg2Rad )</f>
        <v>3.570684368402029E-5</v>
      </c>
      <c r="AL151" s="18">
        <f t="shared" si="584"/>
        <v>2.7606832604164399E-5</v>
      </c>
      <c r="AM151" s="18">
        <f t="shared" si="584"/>
        <v>-3.6775425353486455E-5</v>
      </c>
      <c r="AN151" s="18">
        <f t="shared" si="584"/>
        <v>-8.2214659605146633E-7</v>
      </c>
      <c r="AO151" s="18">
        <f t="shared" si="584"/>
        <v>-4.4026857800830277E-6</v>
      </c>
      <c r="AP151" s="18">
        <f t="shared" si="584"/>
        <v>2.9936073361855734E-6</v>
      </c>
      <c r="AQ151" s="18">
        <f t="shared" si="584"/>
        <v>2.9936073361855734E-6</v>
      </c>
      <c r="AR151" s="18">
        <f t="shared" si="584"/>
        <v>2.3897064511796108E-5</v>
      </c>
      <c r="AS151" s="18">
        <f t="shared" si="584"/>
        <v>2.3897064511796108E-5</v>
      </c>
      <c r="AT151" s="18">
        <f t="shared" si="584"/>
        <v>2.3897064511796108E-5</v>
      </c>
      <c r="AU151" s="18">
        <f t="shared" si="584"/>
        <v>2.7830085430240928E-5</v>
      </c>
      <c r="AV151" s="18">
        <f t="shared" si="584"/>
        <v>2.6879875495675056E-5</v>
      </c>
      <c r="AW151" s="18">
        <f t="shared" si="584"/>
        <v>2.726012000686336E-5</v>
      </c>
      <c r="AX151" s="18">
        <f t="shared" si="584"/>
        <v>3.9085409534931882E-5</v>
      </c>
      <c r="AY151" s="18">
        <f t="shared" si="584"/>
        <v>3.7363092984838458E-5</v>
      </c>
      <c r="AZ151" s="18">
        <f t="shared" si="584"/>
        <v>3.7363092984838458E-5</v>
      </c>
      <c r="BA151" s="18">
        <f t="shared" si="584"/>
        <v>3.9200691546261781E-5</v>
      </c>
      <c r="BB151" s="18">
        <f t="shared" si="584"/>
        <v>3.9200691546261781E-5</v>
      </c>
      <c r="BC151" s="18">
        <f t="shared" si="584"/>
        <v>3.9200691546261781E-5</v>
      </c>
      <c r="BD151" s="18">
        <f t="shared" si="584"/>
        <v>3.9200691546261781E-5</v>
      </c>
      <c r="BE151" s="18">
        <f t="shared" si="584"/>
        <v>3.9200691546261781E-5</v>
      </c>
      <c r="BF151" s="18">
        <f t="shared" si="584"/>
        <v>3.9200691546261781E-5</v>
      </c>
      <c r="BG151" s="18">
        <f t="shared" si="584"/>
        <v>3.9892519036265794E-5</v>
      </c>
    </row>
    <row r="152" spans="2:59" x14ac:dyDescent="0.25">
      <c r="C152" t="s">
        <v>84</v>
      </c>
      <c r="E152" s="18">
        <f t="shared" ref="E152:AJ152" si="585" xml:space="preserve"> 0.00003 * SIN( (E120+E115-2 * E124 ) * Deg2Rad )</f>
        <v>-2.9682929810373127E-5</v>
      </c>
      <c r="F152" s="18">
        <f t="shared" si="585"/>
        <v>1.618749020445019E-6</v>
      </c>
      <c r="G152" s="18">
        <f t="shared" si="585"/>
        <v>1.4502403617587594E-5</v>
      </c>
      <c r="H152" s="18">
        <f t="shared" si="585"/>
        <v>-2.2334935875516491E-5</v>
      </c>
      <c r="I152" s="18">
        <f t="shared" si="585"/>
        <v>2.9701752990727631E-5</v>
      </c>
      <c r="J152" s="18">
        <f t="shared" si="585"/>
        <v>2.740471594527688E-5</v>
      </c>
      <c r="K152" s="18">
        <f t="shared" si="585"/>
        <v>1.0780971996643804E-5</v>
      </c>
      <c r="L152" s="18">
        <f t="shared" si="585"/>
        <v>-5.7408874899401034E-6</v>
      </c>
      <c r="M152" s="18">
        <f t="shared" si="585"/>
        <v>4.6649868187147591E-6</v>
      </c>
      <c r="N152" s="18">
        <f t="shared" si="585"/>
        <v>-2.1098352498165521E-5</v>
      </c>
      <c r="O152" s="18">
        <f t="shared" si="585"/>
        <v>1.8779262394731147E-5</v>
      </c>
      <c r="P152" s="18">
        <f t="shared" si="585"/>
        <v>-2.5855462877699398E-5</v>
      </c>
      <c r="Q152" s="18">
        <f t="shared" si="585"/>
        <v>2.0707425883747007E-5</v>
      </c>
      <c r="R152" s="18">
        <f t="shared" si="585"/>
        <v>1.8150705276605412E-5</v>
      </c>
      <c r="S152" s="18">
        <f t="shared" si="585"/>
        <v>-1.453953243367158E-5</v>
      </c>
      <c r="T152" s="18">
        <f t="shared" si="585"/>
        <v>-5.0709744833253937E-6</v>
      </c>
      <c r="U152" s="18">
        <f t="shared" si="585"/>
        <v>1.9926874641783602E-5</v>
      </c>
      <c r="V152" s="18">
        <f t="shared" si="585"/>
        <v>-2.999964733963136E-5</v>
      </c>
      <c r="W152" s="18">
        <f t="shared" si="585"/>
        <v>2.9431670916501053E-5</v>
      </c>
      <c r="X152" s="18">
        <f t="shared" si="585"/>
        <v>1.9630073662824406E-5</v>
      </c>
      <c r="Y152" s="18">
        <f t="shared" si="585"/>
        <v>6.4481302736799101E-6</v>
      </c>
      <c r="Z152" s="18">
        <f t="shared" si="585"/>
        <v>-2.9479732097929486E-5</v>
      </c>
      <c r="AA152" s="18">
        <f t="shared" si="585"/>
        <v>1.4502403617587594E-5</v>
      </c>
      <c r="AB152" s="18">
        <f t="shared" si="585"/>
        <v>7.8504515529406784E-6</v>
      </c>
      <c r="AC152" s="18">
        <f t="shared" si="585"/>
        <v>1.3327947748229917E-5</v>
      </c>
      <c r="AD152" s="18">
        <f t="shared" si="585"/>
        <v>9.4499155753998459E-7</v>
      </c>
      <c r="AE152" s="18">
        <f t="shared" si="585"/>
        <v>6.4481302736799101E-6</v>
      </c>
      <c r="AF152" s="18">
        <f t="shared" si="585"/>
        <v>-5.4569838985089485E-6</v>
      </c>
      <c r="AG152" s="18">
        <f t="shared" si="585"/>
        <v>1.2337809849269649E-6</v>
      </c>
      <c r="AH152" s="18">
        <f t="shared" si="585"/>
        <v>2.2733331846955663E-5</v>
      </c>
      <c r="AI152" s="18">
        <f t="shared" si="585"/>
        <v>2.2043183667284973E-5</v>
      </c>
      <c r="AJ152" s="18">
        <f t="shared" si="585"/>
        <v>-2.0296253761445681E-5</v>
      </c>
      <c r="AK152" s="18">
        <f t="shared" ref="AK152:BG152" si="586" xml:space="preserve"> 0.00003 * SIN( (AK120+AK115-2 * AK124 ) * Deg2Rad )</f>
        <v>-1.0094199124877286E-5</v>
      </c>
      <c r="AL152" s="18">
        <f t="shared" si="586"/>
        <v>5.5990043195920923E-6</v>
      </c>
      <c r="AM152" s="18">
        <f t="shared" si="586"/>
        <v>2.8067471810703185E-5</v>
      </c>
      <c r="AN152" s="18">
        <f t="shared" si="586"/>
        <v>2.2351962987699534E-5</v>
      </c>
      <c r="AO152" s="18">
        <f t="shared" si="586"/>
        <v>2.9963977291834601E-5</v>
      </c>
      <c r="AP152" s="18">
        <f t="shared" si="586"/>
        <v>1.6148301799264912E-5</v>
      </c>
      <c r="AQ152" s="18">
        <f t="shared" si="586"/>
        <v>1.6148301799264912E-5</v>
      </c>
      <c r="AR152" s="18">
        <f t="shared" si="586"/>
        <v>1.8873553624821721E-5</v>
      </c>
      <c r="AS152" s="18">
        <f t="shared" si="586"/>
        <v>1.8873553624821721E-5</v>
      </c>
      <c r="AT152" s="18">
        <f t="shared" si="586"/>
        <v>1.8873553624821721E-5</v>
      </c>
      <c r="AU152" s="18">
        <f t="shared" si="586"/>
        <v>2.9248760629019735E-5</v>
      </c>
      <c r="AV152" s="18">
        <f t="shared" si="586"/>
        <v>-1.1608993168886548E-5</v>
      </c>
      <c r="AW152" s="18">
        <f t="shared" si="586"/>
        <v>-2.9986117272888209E-5</v>
      </c>
      <c r="AX152" s="18">
        <f t="shared" si="586"/>
        <v>-2.5934878957075908E-5</v>
      </c>
      <c r="AY152" s="18">
        <f t="shared" si="586"/>
        <v>2.1362186520562843E-5</v>
      </c>
      <c r="AZ152" s="18">
        <f t="shared" si="586"/>
        <v>2.1362186520562843E-5</v>
      </c>
      <c r="BA152" s="18">
        <f t="shared" si="586"/>
        <v>2.358300034249714E-5</v>
      </c>
      <c r="BB152" s="18">
        <f t="shared" si="586"/>
        <v>2.358300034249714E-5</v>
      </c>
      <c r="BC152" s="18">
        <f t="shared" si="586"/>
        <v>2.358300034249714E-5</v>
      </c>
      <c r="BD152" s="18">
        <f t="shared" si="586"/>
        <v>2.358300034249714E-5</v>
      </c>
      <c r="BE152" s="18">
        <f t="shared" si="586"/>
        <v>2.358300034249714E-5</v>
      </c>
      <c r="BF152" s="18">
        <f t="shared" si="586"/>
        <v>2.358300034249714E-5</v>
      </c>
      <c r="BG152" s="18">
        <f t="shared" si="586"/>
        <v>6.4481302736799101E-6</v>
      </c>
    </row>
    <row r="153" spans="2:59" x14ac:dyDescent="0.25">
      <c r="C153" t="s">
        <v>85</v>
      </c>
      <c r="E153" s="18">
        <f t="shared" ref="E153:AJ153" si="587" xml:space="preserve"> 0.00003 * SIN( (3 * E115 ) * Deg2Rad )</f>
        <v>4.9511056196481327E-6</v>
      </c>
      <c r="F153" s="18">
        <f t="shared" si="587"/>
        <v>-2.9409335444945718E-5</v>
      </c>
      <c r="G153" s="18">
        <f t="shared" si="587"/>
        <v>1.4767792782477426E-5</v>
      </c>
      <c r="H153" s="18">
        <f t="shared" si="587"/>
        <v>2.6413421040240036E-5</v>
      </c>
      <c r="I153" s="18">
        <f t="shared" si="587"/>
        <v>2.9637336281297751E-5</v>
      </c>
      <c r="J153" s="18">
        <f t="shared" si="587"/>
        <v>2.354633122571939E-6</v>
      </c>
      <c r="K153" s="18">
        <f t="shared" si="587"/>
        <v>2.7555636540386952E-5</v>
      </c>
      <c r="L153" s="18">
        <f t="shared" si="587"/>
        <v>1.7932451381896165E-5</v>
      </c>
      <c r="M153" s="18">
        <f t="shared" si="587"/>
        <v>1.0019388029182643E-5</v>
      </c>
      <c r="N153" s="18">
        <f t="shared" si="587"/>
        <v>2.9218137761443129E-5</v>
      </c>
      <c r="O153" s="18">
        <f t="shared" si="587"/>
        <v>2.2294590628115972E-5</v>
      </c>
      <c r="P153" s="18">
        <f t="shared" si="587"/>
        <v>8.8137328719875416E-6</v>
      </c>
      <c r="Q153" s="18">
        <f t="shared" si="587"/>
        <v>4.0278995265065377E-7</v>
      </c>
      <c r="R153" s="18">
        <f t="shared" si="587"/>
        <v>2.9983251438859887E-5</v>
      </c>
      <c r="S153" s="18">
        <f t="shared" si="587"/>
        <v>-1.4722685694188862E-5</v>
      </c>
      <c r="T153" s="18">
        <f t="shared" si="587"/>
        <v>2.7943407020183582E-5</v>
      </c>
      <c r="U153" s="18">
        <f t="shared" si="587"/>
        <v>2.9999919248835379E-5</v>
      </c>
      <c r="V153" s="18">
        <f t="shared" si="587"/>
        <v>-2.9991316509169674E-5</v>
      </c>
      <c r="W153" s="18">
        <f t="shared" si="587"/>
        <v>4.5353013896778828E-7</v>
      </c>
      <c r="X153" s="18">
        <f t="shared" si="587"/>
        <v>7.4924183863345941E-6</v>
      </c>
      <c r="Y153" s="18">
        <f t="shared" si="587"/>
        <v>1.0730808732100686E-5</v>
      </c>
      <c r="Z153" s="18">
        <f t="shared" si="587"/>
        <v>4.9159730987572327E-6</v>
      </c>
      <c r="AA153" s="18">
        <f t="shared" si="587"/>
        <v>1.4767792782477426E-5</v>
      </c>
      <c r="AB153" s="18">
        <f t="shared" si="587"/>
        <v>-5.4885587074594905E-6</v>
      </c>
      <c r="AC153" s="18">
        <f t="shared" si="587"/>
        <v>-2.9544694245048897E-5</v>
      </c>
      <c r="AD153" s="18">
        <f t="shared" si="587"/>
        <v>-1.5603888814682301E-5</v>
      </c>
      <c r="AE153" s="18">
        <f t="shared" si="587"/>
        <v>1.0730808732100686E-5</v>
      </c>
      <c r="AF153" s="18">
        <f t="shared" si="587"/>
        <v>-3.6606957795695225E-6</v>
      </c>
      <c r="AG153" s="18">
        <f t="shared" si="587"/>
        <v>8.5911932392472584E-7</v>
      </c>
      <c r="AH153" s="18">
        <f t="shared" si="587"/>
        <v>-2.3652430698455758E-5</v>
      </c>
      <c r="AI153" s="18">
        <f t="shared" si="587"/>
        <v>-2.8666623768759433E-5</v>
      </c>
      <c r="AJ153" s="18">
        <f t="shared" si="587"/>
        <v>2.8113249007909693E-5</v>
      </c>
      <c r="AK153" s="18">
        <f t="shared" ref="AK153:BG153" si="588" xml:space="preserve"> 0.00003 * SIN( (3 * AK115 ) * Deg2Rad )</f>
        <v>1.9687859850295945E-5</v>
      </c>
      <c r="AL153" s="18">
        <f t="shared" si="588"/>
        <v>2.7843118033139788E-5</v>
      </c>
      <c r="AM153" s="18">
        <f t="shared" si="588"/>
        <v>-2.4392111638226949E-5</v>
      </c>
      <c r="AN153" s="18">
        <f t="shared" si="588"/>
        <v>-2.792451796693266E-5</v>
      </c>
      <c r="AO153" s="18">
        <f t="shared" si="588"/>
        <v>1.6351015703550429E-5</v>
      </c>
      <c r="AP153" s="18">
        <f t="shared" si="588"/>
        <v>2.9899332379611067E-5</v>
      </c>
      <c r="AQ153" s="18">
        <f t="shared" si="588"/>
        <v>2.9899332379611067E-5</v>
      </c>
      <c r="AR153" s="18">
        <f t="shared" si="588"/>
        <v>3.8529711721846399E-6</v>
      </c>
      <c r="AS153" s="18">
        <f t="shared" si="588"/>
        <v>3.8529711721846399E-6</v>
      </c>
      <c r="AT153" s="18">
        <f t="shared" si="588"/>
        <v>3.8529711721846399E-6</v>
      </c>
      <c r="AU153" s="18">
        <f t="shared" si="588"/>
        <v>2.9288636047517509E-5</v>
      </c>
      <c r="AV153" s="18">
        <f t="shared" si="588"/>
        <v>8.9328357531478215E-6</v>
      </c>
      <c r="AW153" s="18">
        <f t="shared" si="588"/>
        <v>1.3791513674950239E-5</v>
      </c>
      <c r="AX153" s="18">
        <f t="shared" si="588"/>
        <v>3.4503011195256404E-6</v>
      </c>
      <c r="AY153" s="18">
        <f t="shared" si="588"/>
        <v>-2.9538491734168843E-5</v>
      </c>
      <c r="AZ153" s="18">
        <f t="shared" si="588"/>
        <v>-2.9538491734168843E-5</v>
      </c>
      <c r="BA153" s="18">
        <f t="shared" si="588"/>
        <v>-6.6193267835940815E-6</v>
      </c>
      <c r="BB153" s="18">
        <f t="shared" si="588"/>
        <v>-6.6193267835940815E-6</v>
      </c>
      <c r="BC153" s="18">
        <f t="shared" si="588"/>
        <v>-6.6193267835940815E-6</v>
      </c>
      <c r="BD153" s="18">
        <f t="shared" si="588"/>
        <v>-6.6193267835940815E-6</v>
      </c>
      <c r="BE153" s="18">
        <f t="shared" si="588"/>
        <v>-6.6193267835940815E-6</v>
      </c>
      <c r="BF153" s="18">
        <f t="shared" si="588"/>
        <v>-6.6193267835940815E-6</v>
      </c>
      <c r="BG153" s="18">
        <f t="shared" si="588"/>
        <v>1.0730808732100686E-5</v>
      </c>
    </row>
    <row r="154" spans="2:59" x14ac:dyDescent="0.25">
      <c r="C154" t="s">
        <v>86</v>
      </c>
      <c r="E154" s="18">
        <f t="shared" ref="E154:AJ154" si="589" xml:space="preserve"> 0.00002 * SIN( (2 * E120-2 * E124 ) * Deg2Rad )</f>
        <v>1.9185377552962967E-5</v>
      </c>
      <c r="F154" s="18">
        <f t="shared" si="589"/>
        <v>1.4933877560729333E-5</v>
      </c>
      <c r="G154" s="18">
        <f t="shared" si="589"/>
        <v>1.9650972575118622E-5</v>
      </c>
      <c r="H154" s="18">
        <f t="shared" si="589"/>
        <v>-5.434130364184614E-6</v>
      </c>
      <c r="I154" s="18">
        <f t="shared" si="589"/>
        <v>-4.3022910964892913E-6</v>
      </c>
      <c r="J154" s="18">
        <f t="shared" si="589"/>
        <v>1.1787721116393226E-5</v>
      </c>
      <c r="K154" s="18">
        <f t="shared" si="589"/>
        <v>1.9400545925143003E-5</v>
      </c>
      <c r="L154" s="18">
        <f t="shared" si="589"/>
        <v>9.2042646565868835E-6</v>
      </c>
      <c r="M154" s="18">
        <f t="shared" si="589"/>
        <v>-9.0894708765647031E-6</v>
      </c>
      <c r="N154" s="18">
        <f t="shared" si="589"/>
        <v>-1.3087290146457635E-5</v>
      </c>
      <c r="O154" s="18">
        <f t="shared" si="589"/>
        <v>1.993341358373097E-5</v>
      </c>
      <c r="P154" s="18">
        <f t="shared" si="589"/>
        <v>3.0935858405132417E-7</v>
      </c>
      <c r="Q154" s="18">
        <f t="shared" si="589"/>
        <v>-8.8073561434761185E-6</v>
      </c>
      <c r="R154" s="18">
        <f t="shared" si="589"/>
        <v>-5.6533262749717339E-6</v>
      </c>
      <c r="S154" s="18">
        <f t="shared" si="589"/>
        <v>-1.4299601394801366E-5</v>
      </c>
      <c r="T154" s="18">
        <f t="shared" si="589"/>
        <v>-1.9297246241837317E-5</v>
      </c>
      <c r="U154" s="18">
        <f t="shared" si="589"/>
        <v>-9.2558911595445757E-6</v>
      </c>
      <c r="V154" s="18">
        <f t="shared" si="589"/>
        <v>-1.2869885564377302E-6</v>
      </c>
      <c r="W154" s="18">
        <f t="shared" si="589"/>
        <v>5.7469337752042029E-6</v>
      </c>
      <c r="X154" s="18">
        <f t="shared" si="589"/>
        <v>-1.9601397997748379E-5</v>
      </c>
      <c r="Y154" s="18">
        <f t="shared" si="589"/>
        <v>-1.6097721055705184E-5</v>
      </c>
      <c r="Z154" s="18">
        <f t="shared" si="589"/>
        <v>-6.3803453252374671E-6</v>
      </c>
      <c r="AA154" s="18">
        <f t="shared" si="589"/>
        <v>1.9650972575118622E-5</v>
      </c>
      <c r="AB154" s="18">
        <f t="shared" si="589"/>
        <v>1.1641776080209721E-5</v>
      </c>
      <c r="AC154" s="18">
        <f t="shared" si="589"/>
        <v>1.9975373820208831E-5</v>
      </c>
      <c r="AD154" s="18">
        <f t="shared" si="589"/>
        <v>1.4582991545299987E-5</v>
      </c>
      <c r="AE154" s="18">
        <f t="shared" si="589"/>
        <v>-1.6097721055705184E-5</v>
      </c>
      <c r="AF154" s="18">
        <f t="shared" si="589"/>
        <v>-8.0712551222042118E-6</v>
      </c>
      <c r="AG154" s="18">
        <f t="shared" si="589"/>
        <v>-1.369485246036384E-5</v>
      </c>
      <c r="AH154" s="18">
        <f t="shared" si="589"/>
        <v>1.68411701414287E-5</v>
      </c>
      <c r="AI154" s="18">
        <f t="shared" si="589"/>
        <v>-1.8650848276421934E-5</v>
      </c>
      <c r="AJ154" s="18">
        <f t="shared" si="589"/>
        <v>8.3683113115724478E-6</v>
      </c>
      <c r="AK154" s="18">
        <f t="shared" ref="AK154:BG154" si="590" xml:space="preserve"> 0.00002 * SIN( (2 * AK120-2 * AK124 ) * Deg2Rad )</f>
        <v>-9.9627580922849552E-6</v>
      </c>
      <c r="AL154" s="18">
        <f t="shared" si="590"/>
        <v>1.8036504534138052E-5</v>
      </c>
      <c r="AM154" s="18">
        <f t="shared" si="590"/>
        <v>-1.3981708121258193E-5</v>
      </c>
      <c r="AN154" s="18">
        <f t="shared" si="590"/>
        <v>1.5356463220971018E-5</v>
      </c>
      <c r="AO154" s="18">
        <f t="shared" si="590"/>
        <v>-1.0563352377213866E-5</v>
      </c>
      <c r="AP154" s="18">
        <f t="shared" si="590"/>
        <v>-1.5668778398157193E-5</v>
      </c>
      <c r="AQ154" s="18">
        <f t="shared" si="590"/>
        <v>-1.5668778398157193E-5</v>
      </c>
      <c r="AR154" s="18">
        <f t="shared" si="590"/>
        <v>-1.3348699184304598E-5</v>
      </c>
      <c r="AS154" s="18">
        <f t="shared" si="590"/>
        <v>-1.3348699184304598E-5</v>
      </c>
      <c r="AT154" s="18">
        <f t="shared" si="590"/>
        <v>-1.3348699184304598E-5</v>
      </c>
      <c r="AU154" s="18">
        <f t="shared" si="590"/>
        <v>1.0872109462767289E-5</v>
      </c>
      <c r="AV154" s="18">
        <f t="shared" si="590"/>
        <v>2.7475786611712083E-7</v>
      </c>
      <c r="AW154" s="18">
        <f t="shared" si="590"/>
        <v>-1.1804424334039097E-5</v>
      </c>
      <c r="AX154" s="18">
        <f t="shared" si="590"/>
        <v>5.2935997429182876E-6</v>
      </c>
      <c r="AY154" s="18">
        <f t="shared" si="590"/>
        <v>-1.0646380140855916E-5</v>
      </c>
      <c r="AZ154" s="18">
        <f t="shared" si="590"/>
        <v>-1.0646380140855916E-5</v>
      </c>
      <c r="BA154" s="18">
        <f t="shared" si="590"/>
        <v>-7.6392021437074575E-6</v>
      </c>
      <c r="BB154" s="18">
        <f t="shared" si="590"/>
        <v>-7.6392021437074575E-6</v>
      </c>
      <c r="BC154" s="18">
        <f t="shared" si="590"/>
        <v>-7.6392021437074575E-6</v>
      </c>
      <c r="BD154" s="18">
        <f t="shared" si="590"/>
        <v>-7.6392021437074575E-6</v>
      </c>
      <c r="BE154" s="18">
        <f t="shared" si="590"/>
        <v>-7.6392021437074575E-6</v>
      </c>
      <c r="BF154" s="18">
        <f t="shared" si="590"/>
        <v>-7.6392021437074575E-6</v>
      </c>
      <c r="BG154" s="18">
        <f t="shared" si="590"/>
        <v>-1.6097721055705184E-5</v>
      </c>
    </row>
    <row r="155" spans="2:59" x14ac:dyDescent="0.25">
      <c r="C155" t="s">
        <v>87</v>
      </c>
      <c r="E155" s="18">
        <f t="shared" ref="E155:AJ155" si="591" xml:space="preserve"> 0.00002 * SIN( (E120-E115+2 * E124 ) * Deg2Rad )</f>
        <v>7.3293758711867978E-6</v>
      </c>
      <c r="F155" s="18">
        <f t="shared" si="591"/>
        <v>-1.9926230404745168E-5</v>
      </c>
      <c r="G155" s="18">
        <f t="shared" si="591"/>
        <v>1.9922231382028876E-5</v>
      </c>
      <c r="H155" s="18">
        <f t="shared" si="591"/>
        <v>1.8986904809666536E-5</v>
      </c>
      <c r="I155" s="18">
        <f t="shared" si="591"/>
        <v>7.9646435677924367E-6</v>
      </c>
      <c r="J155" s="18">
        <f t="shared" si="591"/>
        <v>1.9968721756300301E-5</v>
      </c>
      <c r="K155" s="18">
        <f t="shared" si="591"/>
        <v>1.4588143129307319E-5</v>
      </c>
      <c r="L155" s="18">
        <f t="shared" si="591"/>
        <v>1.7887177430447081E-5</v>
      </c>
      <c r="M155" s="18">
        <f t="shared" si="591"/>
        <v>-1.9953532476265327E-5</v>
      </c>
      <c r="N155" s="18">
        <f t="shared" si="591"/>
        <v>3.7301165812878682E-7</v>
      </c>
      <c r="O155" s="18">
        <f t="shared" si="591"/>
        <v>-1.1071989762348653E-5</v>
      </c>
      <c r="P155" s="18">
        <f t="shared" si="591"/>
        <v>1.8992561460870503E-5</v>
      </c>
      <c r="Q155" s="18">
        <f t="shared" si="591"/>
        <v>6.2405809423232334E-6</v>
      </c>
      <c r="R155" s="18">
        <f t="shared" si="591"/>
        <v>-1.2821166791591228E-5</v>
      </c>
      <c r="S155" s="18">
        <f t="shared" si="591"/>
        <v>-1.9772066625939137E-5</v>
      </c>
      <c r="T155" s="18">
        <f t="shared" si="591"/>
        <v>1.9362801810630486E-5</v>
      </c>
      <c r="U155" s="18">
        <f t="shared" si="591"/>
        <v>2.9256637958890737E-8</v>
      </c>
      <c r="V155" s="18">
        <f t="shared" si="591"/>
        <v>1.9903643353187079E-5</v>
      </c>
      <c r="W155" s="18">
        <f t="shared" si="591"/>
        <v>-9.7906813342525712E-6</v>
      </c>
      <c r="X155" s="18">
        <f t="shared" si="591"/>
        <v>-1.0015055110624099E-5</v>
      </c>
      <c r="Y155" s="18">
        <f t="shared" si="591"/>
        <v>-1.177396720994115E-5</v>
      </c>
      <c r="Z155" s="18">
        <f t="shared" si="591"/>
        <v>-4.9897058868376633E-6</v>
      </c>
      <c r="AA155" s="18">
        <f t="shared" si="591"/>
        <v>1.9922231382028876E-5</v>
      </c>
      <c r="AB155" s="18">
        <f t="shared" si="591"/>
        <v>6.3982829655647238E-6</v>
      </c>
      <c r="AC155" s="18">
        <f t="shared" si="591"/>
        <v>1.6019119626955044E-5</v>
      </c>
      <c r="AD155" s="18">
        <f t="shared" si="591"/>
        <v>-1.5905019740916195E-5</v>
      </c>
      <c r="AE155" s="18">
        <f t="shared" si="591"/>
        <v>-1.177396720994115E-5</v>
      </c>
      <c r="AF155" s="18">
        <f t="shared" si="591"/>
        <v>1.9260512747803352E-5</v>
      </c>
      <c r="AG155" s="18">
        <f t="shared" si="591"/>
        <v>-1.3313547895539091E-5</v>
      </c>
      <c r="AH155" s="18">
        <f t="shared" si="591"/>
        <v>-1.6813982630161704E-5</v>
      </c>
      <c r="AI155" s="18">
        <f t="shared" si="591"/>
        <v>-1.9989032051141571E-5</v>
      </c>
      <c r="AJ155" s="18">
        <f t="shared" si="591"/>
        <v>1.6157280738718251E-6</v>
      </c>
      <c r="AK155" s="18">
        <f t="shared" ref="AK155:BG155" si="592" xml:space="preserve"> 0.00002 * SIN( (AK120-AK115+2 * AK124 ) * Deg2Rad )</f>
        <v>1.9994058618606217E-5</v>
      </c>
      <c r="AL155" s="18">
        <f t="shared" si="592"/>
        <v>-1.8658884838324474E-5</v>
      </c>
      <c r="AM155" s="18">
        <f t="shared" si="592"/>
        <v>-1.1621062394482435E-5</v>
      </c>
      <c r="AN155" s="18">
        <f t="shared" si="592"/>
        <v>-1.9639398569558914E-5</v>
      </c>
      <c r="AO155" s="18">
        <f t="shared" si="592"/>
        <v>1.8007237065362768E-5</v>
      </c>
      <c r="AP155" s="18">
        <f t="shared" si="592"/>
        <v>-6.0880474690644271E-6</v>
      </c>
      <c r="AQ155" s="18">
        <f t="shared" si="592"/>
        <v>-6.0880474690644271E-6</v>
      </c>
      <c r="AR155" s="18">
        <f t="shared" si="592"/>
        <v>-1.9386747279366313E-5</v>
      </c>
      <c r="AS155" s="18">
        <f t="shared" si="592"/>
        <v>-1.9386747279366313E-5</v>
      </c>
      <c r="AT155" s="18">
        <f t="shared" si="592"/>
        <v>-1.9386747279366313E-5</v>
      </c>
      <c r="AU155" s="18">
        <f t="shared" si="592"/>
        <v>1.8220294353357398E-5</v>
      </c>
      <c r="AV155" s="18">
        <f t="shared" si="592"/>
        <v>-7.3042648496172308E-6</v>
      </c>
      <c r="AW155" s="18">
        <f t="shared" si="592"/>
        <v>-1.0202177220868163E-5</v>
      </c>
      <c r="AX155" s="18">
        <f t="shared" si="592"/>
        <v>1.0946160693881243E-5</v>
      </c>
      <c r="AY155" s="18">
        <f t="shared" si="592"/>
        <v>-1.4428586124739037E-5</v>
      </c>
      <c r="AZ155" s="18">
        <f t="shared" si="592"/>
        <v>-1.4428586124739037E-5</v>
      </c>
      <c r="BA155" s="18">
        <f t="shared" si="592"/>
        <v>4.1172433022857905E-6</v>
      </c>
      <c r="BB155" s="18">
        <f t="shared" si="592"/>
        <v>4.1172433022857905E-6</v>
      </c>
      <c r="BC155" s="18">
        <f t="shared" si="592"/>
        <v>4.1172433022857905E-6</v>
      </c>
      <c r="BD155" s="18">
        <f t="shared" si="592"/>
        <v>4.1172433022857905E-6</v>
      </c>
      <c r="BE155" s="18">
        <f t="shared" si="592"/>
        <v>4.1172433022857905E-6</v>
      </c>
      <c r="BF155" s="18">
        <f t="shared" si="592"/>
        <v>4.1172433022857905E-6</v>
      </c>
      <c r="BG155" s="18">
        <f t="shared" si="592"/>
        <v>-1.177396720994115E-5</v>
      </c>
    </row>
    <row r="156" spans="2:59" x14ac:dyDescent="0.25">
      <c r="C156" t="s">
        <v>88</v>
      </c>
      <c r="E156" s="18">
        <f t="shared" ref="E156:AJ156" si="593" xml:space="preserve"> -0.00002 * SIN( (3 * E120+E115 ) * Deg2Rad )</f>
        <v>-5.4944250522641552E-7</v>
      </c>
      <c r="F156" s="18">
        <f t="shared" si="593"/>
        <v>-9.7512001686109688E-6</v>
      </c>
      <c r="G156" s="18">
        <f t="shared" si="593"/>
        <v>1.3552005353251388E-6</v>
      </c>
      <c r="H156" s="18">
        <f t="shared" si="593"/>
        <v>5.1050700680002574E-6</v>
      </c>
      <c r="I156" s="18">
        <f t="shared" si="593"/>
        <v>-1.636296876459133E-5</v>
      </c>
      <c r="J156" s="18">
        <f t="shared" si="593"/>
        <v>1.4788075730370352E-5</v>
      </c>
      <c r="K156" s="18">
        <f t="shared" si="593"/>
        <v>1.9183689913496449E-5</v>
      </c>
      <c r="L156" s="18">
        <f t="shared" si="593"/>
        <v>-1.8320894086209668E-5</v>
      </c>
      <c r="M156" s="18">
        <f t="shared" si="593"/>
        <v>-1.4400244692017556E-5</v>
      </c>
      <c r="N156" s="18">
        <f t="shared" si="593"/>
        <v>-1.999655751589287E-5</v>
      </c>
      <c r="O156" s="18">
        <f t="shared" si="593"/>
        <v>-1.1837590750159806E-5</v>
      </c>
      <c r="P156" s="18">
        <f t="shared" si="593"/>
        <v>1.1751941077564822E-5</v>
      </c>
      <c r="Q156" s="18">
        <f t="shared" si="593"/>
        <v>-1.8603057971441922E-5</v>
      </c>
      <c r="R156" s="18">
        <f t="shared" si="593"/>
        <v>-1.7383290239724615E-6</v>
      </c>
      <c r="S156" s="18">
        <f t="shared" si="593"/>
        <v>1.8082617615468351E-5</v>
      </c>
      <c r="T156" s="18">
        <f t="shared" si="593"/>
        <v>1.931468052392742E-5</v>
      </c>
      <c r="U156" s="18">
        <f t="shared" si="593"/>
        <v>-9.2024903937901417E-6</v>
      </c>
      <c r="V156" s="18">
        <f t="shared" si="593"/>
        <v>1.9785602843570468E-5</v>
      </c>
      <c r="W156" s="18">
        <f t="shared" si="593"/>
        <v>-5.0306918743599161E-6</v>
      </c>
      <c r="X156" s="18">
        <f t="shared" si="593"/>
        <v>-1.2572815191888548E-5</v>
      </c>
      <c r="Y156" s="18">
        <f t="shared" si="593"/>
        <v>1.9993082644772485E-5</v>
      </c>
      <c r="Z156" s="18">
        <f t="shared" si="593"/>
        <v>3.6254933766968718E-6</v>
      </c>
      <c r="AA156" s="18">
        <f t="shared" si="593"/>
        <v>1.3552005353251388E-6</v>
      </c>
      <c r="AB156" s="18">
        <f t="shared" si="593"/>
        <v>1.4681115852197348E-5</v>
      </c>
      <c r="AC156" s="18">
        <f t="shared" si="593"/>
        <v>-1.9977328859178681E-5</v>
      </c>
      <c r="AD156" s="18">
        <f t="shared" si="593"/>
        <v>1.0963591695553244E-5</v>
      </c>
      <c r="AE156" s="18">
        <f t="shared" si="593"/>
        <v>1.9993082644772485E-5</v>
      </c>
      <c r="AF156" s="18">
        <f t="shared" si="593"/>
        <v>1.9962709639563444E-5</v>
      </c>
      <c r="AG156" s="18">
        <f t="shared" si="593"/>
        <v>-1.7387663730511966E-5</v>
      </c>
      <c r="AH156" s="18">
        <f t="shared" si="593"/>
        <v>-1.9998349353924303E-5</v>
      </c>
      <c r="AI156" s="18">
        <f t="shared" si="593"/>
        <v>-1.1326378546752553E-5</v>
      </c>
      <c r="AJ156" s="18">
        <f t="shared" si="593"/>
        <v>-1.9957864101571115E-5</v>
      </c>
      <c r="AK156" s="18">
        <f t="shared" ref="AK156:BG156" si="594" xml:space="preserve"> -0.00002 * SIN( (3 * AK120+AK115 ) * Deg2Rad )</f>
        <v>-1.9952973211162539E-5</v>
      </c>
      <c r="AL156" s="18">
        <f t="shared" si="594"/>
        <v>-3.4980807407717241E-6</v>
      </c>
      <c r="AM156" s="18">
        <f t="shared" si="594"/>
        <v>1.9979972024491502E-5</v>
      </c>
      <c r="AN156" s="18">
        <f t="shared" si="594"/>
        <v>-1.1881346271260001E-5</v>
      </c>
      <c r="AO156" s="18">
        <f t="shared" si="594"/>
        <v>6.612236351068893E-7</v>
      </c>
      <c r="AP156" s="18">
        <f t="shared" si="594"/>
        <v>1.829477926945316E-5</v>
      </c>
      <c r="AQ156" s="18">
        <f t="shared" si="594"/>
        <v>1.829477926945316E-5</v>
      </c>
      <c r="AR156" s="18">
        <f t="shared" si="594"/>
        <v>2.5326851870945086E-6</v>
      </c>
      <c r="AS156" s="18">
        <f t="shared" si="594"/>
        <v>2.5326851870945086E-6</v>
      </c>
      <c r="AT156" s="18">
        <f t="shared" si="594"/>
        <v>2.5326851870945086E-6</v>
      </c>
      <c r="AU156" s="18">
        <f t="shared" si="594"/>
        <v>-1.4605664796311054E-5</v>
      </c>
      <c r="AV156" s="18">
        <f t="shared" si="594"/>
        <v>8.8436935944747298E-6</v>
      </c>
      <c r="AW156" s="18">
        <f t="shared" si="594"/>
        <v>4.4120001792018676E-6</v>
      </c>
      <c r="AX156" s="18">
        <f t="shared" si="594"/>
        <v>-1.9816724004758789E-5</v>
      </c>
      <c r="AY156" s="18">
        <f t="shared" si="594"/>
        <v>-1.9738183211880054E-5</v>
      </c>
      <c r="AZ156" s="18">
        <f t="shared" si="594"/>
        <v>-1.9738183211880054E-5</v>
      </c>
      <c r="BA156" s="18">
        <f t="shared" si="594"/>
        <v>8.7163132122194789E-6</v>
      </c>
      <c r="BB156" s="18">
        <f t="shared" si="594"/>
        <v>8.7163132122194789E-6</v>
      </c>
      <c r="BC156" s="18">
        <f t="shared" si="594"/>
        <v>8.7163132122194789E-6</v>
      </c>
      <c r="BD156" s="18">
        <f t="shared" si="594"/>
        <v>8.7163132122194789E-6</v>
      </c>
      <c r="BE156" s="18">
        <f t="shared" si="594"/>
        <v>8.7163132122194789E-6</v>
      </c>
      <c r="BF156" s="18">
        <f t="shared" si="594"/>
        <v>8.7163132122194789E-6</v>
      </c>
      <c r="BG156" s="18">
        <f t="shared" si="594"/>
        <v>1.9993082644772485E-5</v>
      </c>
    </row>
    <row r="157" spans="2:59" x14ac:dyDescent="0.25">
      <c r="B157">
        <v>351</v>
      </c>
      <c r="C157" s="8" t="s">
        <v>10</v>
      </c>
      <c r="D157"/>
    </row>
    <row r="158" spans="2:59" x14ac:dyDescent="0.25">
      <c r="C158" t="s">
        <v>11</v>
      </c>
      <c r="D158" s="7" t="s">
        <v>425</v>
      </c>
      <c r="E158" s="18">
        <f xml:space="preserve"> 299.77 + 0.107408 * E106 - 0.009173 * E108^2</f>
        <v>243.7282436914999</v>
      </c>
      <c r="F158" s="18">
        <f t="shared" ref="F158:X158" si="595" xml:space="preserve"> 299.77 + 0.107408 * F106 - 0.009173 * F108^2</f>
        <v>-1917.0749229927937</v>
      </c>
      <c r="G158" s="18">
        <f t="shared" si="595"/>
        <v>299.79685199962523</v>
      </c>
      <c r="H158" s="18">
        <f t="shared" si="595"/>
        <v>298.50795517214732</v>
      </c>
      <c r="I158" s="18">
        <f t="shared" si="595"/>
        <v>282.6114189761725</v>
      </c>
      <c r="J158" s="18">
        <f t="shared" si="595"/>
        <v>283.14846840522341</v>
      </c>
      <c r="K158" s="18">
        <f t="shared" si="595"/>
        <v>283.90033710221252</v>
      </c>
      <c r="L158" s="18">
        <f t="shared" si="595"/>
        <v>284.43738581171743</v>
      </c>
      <c r="M158" s="18">
        <f t="shared" si="595"/>
        <v>166.92398448322416</v>
      </c>
      <c r="N158" s="18">
        <f t="shared" si="595"/>
        <v>-231.69725343714552</v>
      </c>
      <c r="O158" s="18">
        <f t="shared" si="595"/>
        <v>-230.30017924408463</v>
      </c>
      <c r="P158" s="18">
        <f t="shared" si="595"/>
        <v>-1246.0776494345541</v>
      </c>
      <c r="Q158" s="18">
        <f t="shared" si="595"/>
        <v>-2523.2562235951896</v>
      </c>
      <c r="R158" s="18">
        <f t="shared" si="595"/>
        <v>-2523.3639463396075</v>
      </c>
      <c r="S158" s="18">
        <f t="shared" si="595"/>
        <v>-3693.1852366228009</v>
      </c>
      <c r="T158" s="18">
        <f t="shared" si="595"/>
        <v>-3693.5087953896541</v>
      </c>
      <c r="U158" s="18">
        <f t="shared" si="595"/>
        <v>-3694.3716192955967</v>
      </c>
      <c r="V158" s="18">
        <f t="shared" si="595"/>
        <v>-8658.2176956825588</v>
      </c>
      <c r="W158" s="18">
        <f t="shared" si="595"/>
        <v>282.93364866958041</v>
      </c>
      <c r="X158" s="18">
        <f t="shared" si="595"/>
        <v>289.59303816858892</v>
      </c>
      <c r="Y158" s="18">
        <f xml:space="preserve"> 299.77 + 0.107408 * Y106 - 0.009173 * Y108^2</f>
        <v>269.39990861708276</v>
      </c>
      <c r="Z158" s="18">
        <f t="shared" ref="Z158:AE158" si="596" xml:space="preserve"> 299.77 + 0.107408 * Z106 - 0.009173 * Z108^2</f>
        <v>358.22502787224005</v>
      </c>
      <c r="AA158" s="18">
        <f t="shared" si="596"/>
        <v>299.79685199962523</v>
      </c>
      <c r="AB158" s="18">
        <f t="shared" si="596"/>
        <v>239.32424907271809</v>
      </c>
      <c r="AC158" s="18">
        <f t="shared" si="596"/>
        <v>271.76295631384704</v>
      </c>
      <c r="AD158" s="18">
        <f t="shared" si="596"/>
        <v>284.22256636389278</v>
      </c>
      <c r="AE158" s="18">
        <f t="shared" si="596"/>
        <v>269.39990861708276</v>
      </c>
      <c r="AF158" s="18">
        <f t="shared" ref="AF158:BG158" si="597" xml:space="preserve"> 299.77 + 0.107408 * AF106 - 0.009173 * AF108^2</f>
        <v>290.45231087509575</v>
      </c>
      <c r="AG158" s="18">
        <f t="shared" si="597"/>
        <v>290.23749277042361</v>
      </c>
      <c r="AH158" s="18">
        <f t="shared" si="597"/>
        <v>288.08930908536729</v>
      </c>
      <c r="AI158" s="18">
        <f t="shared" si="597"/>
        <v>289.48562902630965</v>
      </c>
      <c r="AJ158" s="18">
        <f t="shared" si="597"/>
        <v>290.98935592690839</v>
      </c>
      <c r="AK158" s="18">
        <f t="shared" si="597"/>
        <v>57.991067911856987</v>
      </c>
      <c r="AL158" s="18">
        <f t="shared" si="597"/>
        <v>287.44485304444055</v>
      </c>
      <c r="AM158" s="18">
        <f t="shared" si="597"/>
        <v>-1531.8536510256934</v>
      </c>
      <c r="AN158" s="18">
        <f t="shared" si="597"/>
        <v>300.11907593666496</v>
      </c>
      <c r="AO158" s="18">
        <f t="shared" si="597"/>
        <v>-2359.4238103497155</v>
      </c>
      <c r="AP158" s="18">
        <f t="shared" si="597"/>
        <v>329.9780256898822</v>
      </c>
      <c r="AQ158" s="18">
        <f t="shared" si="597"/>
        <v>329.9780256898822</v>
      </c>
      <c r="AR158" s="18">
        <f t="shared" si="597"/>
        <v>330.08543031101402</v>
      </c>
      <c r="AS158" s="18">
        <f t="shared" si="597"/>
        <v>330.08543031101402</v>
      </c>
      <c r="AT158" s="18">
        <f t="shared" si="597"/>
        <v>330.08543031101402</v>
      </c>
      <c r="AU158" s="18">
        <f t="shared" si="597"/>
        <v>264.45897194950049</v>
      </c>
      <c r="AV158" s="18">
        <f t="shared" si="597"/>
        <v>296.68201504375202</v>
      </c>
      <c r="AW158" s="18">
        <f t="shared" si="597"/>
        <v>213.43694635962686</v>
      </c>
      <c r="AX158" s="18">
        <f t="shared" si="597"/>
        <v>243.08375793332272</v>
      </c>
      <c r="AY158" s="18">
        <f t="shared" si="597"/>
        <v>330.19283492015342</v>
      </c>
      <c r="AZ158" s="18">
        <f t="shared" si="597"/>
        <v>330.19283492015342</v>
      </c>
      <c r="BA158" s="18">
        <f t="shared" si="597"/>
        <v>330.30023951730044</v>
      </c>
      <c r="BB158" s="18">
        <f t="shared" si="597"/>
        <v>330.30023951730044</v>
      </c>
      <c r="BC158" s="18">
        <f t="shared" si="597"/>
        <v>330.30023951730044</v>
      </c>
      <c r="BD158" s="18">
        <f t="shared" si="597"/>
        <v>330.30023951730044</v>
      </c>
      <c r="BE158" s="18">
        <f t="shared" si="597"/>
        <v>330.30023951730044</v>
      </c>
      <c r="BF158" s="18">
        <f t="shared" si="597"/>
        <v>330.30023951730044</v>
      </c>
      <c r="BG158" s="18">
        <f t="shared" si="597"/>
        <v>269.39990861708276</v>
      </c>
    </row>
    <row r="159" spans="2:59" x14ac:dyDescent="0.25">
      <c r="C159" t="s">
        <v>12</v>
      </c>
      <c r="D159" s="7" t="s">
        <v>426</v>
      </c>
      <c r="E159" s="18">
        <f xml:space="preserve"> 251.88 + 0.016321 * E106</f>
        <v>243.36451825</v>
      </c>
      <c r="F159" s="18">
        <f t="shared" ref="F159:X159" si="598" xml:space="preserve"> 251.88 + 0.016321 * F106</f>
        <v>-84.589655749999963</v>
      </c>
      <c r="G159" s="18">
        <f t="shared" si="598"/>
        <v>251.88408024999998</v>
      </c>
      <c r="H159" s="18">
        <f t="shared" si="598"/>
        <v>251.68822825000001</v>
      </c>
      <c r="I159" s="18">
        <f t="shared" si="598"/>
        <v>249.27272024999999</v>
      </c>
      <c r="J159" s="18">
        <f t="shared" si="598"/>
        <v>249.35432524999999</v>
      </c>
      <c r="K159" s="18">
        <f t="shared" si="598"/>
        <v>249.46857224999999</v>
      </c>
      <c r="L159" s="18">
        <f t="shared" si="598"/>
        <v>249.55017724999999</v>
      </c>
      <c r="M159" s="18">
        <f t="shared" si="598"/>
        <v>231.69500324999998</v>
      </c>
      <c r="N159" s="18">
        <f t="shared" si="598"/>
        <v>171.14409325</v>
      </c>
      <c r="O159" s="18">
        <f t="shared" si="598"/>
        <v>171.35626625</v>
      </c>
      <c r="P159" s="18">
        <f t="shared" si="598"/>
        <v>17.171779250000014</v>
      </c>
      <c r="Q159" s="18">
        <f t="shared" si="598"/>
        <v>-176.46056474999995</v>
      </c>
      <c r="R159" s="18">
        <f t="shared" si="598"/>
        <v>-176.47688574999995</v>
      </c>
      <c r="S159" s="18">
        <f t="shared" si="598"/>
        <v>-353.60869874999992</v>
      </c>
      <c r="T159" s="18">
        <f t="shared" si="598"/>
        <v>-353.65766174999999</v>
      </c>
      <c r="U159" s="18">
        <f t="shared" si="598"/>
        <v>-353.78822974999991</v>
      </c>
      <c r="V159" s="18">
        <f t="shared" si="598"/>
        <v>-1103.0363767499998</v>
      </c>
      <c r="W159" s="18">
        <f t="shared" si="598"/>
        <v>249.32168325000001</v>
      </c>
      <c r="X159" s="18">
        <f t="shared" si="598"/>
        <v>250.33358525</v>
      </c>
      <c r="Y159" s="18">
        <f xml:space="preserve"> 251.88 + 0.016321 * Y106</f>
        <v>247.26523724999998</v>
      </c>
      <c r="Z159" s="18">
        <f t="shared" ref="Z159:AE159" si="599" xml:space="preserve"> 251.88 + 0.016321 * Z106</f>
        <v>260.76270425000001</v>
      </c>
      <c r="AA159" s="18">
        <f t="shared" si="599"/>
        <v>251.88408024999998</v>
      </c>
      <c r="AB159" s="18">
        <f t="shared" si="599"/>
        <v>242.69535725</v>
      </c>
      <c r="AC159" s="18">
        <f t="shared" si="599"/>
        <v>247.62429925000001</v>
      </c>
      <c r="AD159" s="18">
        <f t="shared" si="599"/>
        <v>249.51753525000001</v>
      </c>
      <c r="AE159" s="18">
        <f t="shared" si="599"/>
        <v>247.26523724999998</v>
      </c>
      <c r="AF159" s="18">
        <f t="shared" ref="AF159:BG159" si="600" xml:space="preserve"> 251.88 + 0.016321 * AF106</f>
        <v>250.46415325000001</v>
      </c>
      <c r="AG159" s="18">
        <f t="shared" si="600"/>
        <v>250.43151125</v>
      </c>
      <c r="AH159" s="18">
        <f t="shared" si="600"/>
        <v>250.10509124999999</v>
      </c>
      <c r="AI159" s="18">
        <f t="shared" si="600"/>
        <v>250.31726424999999</v>
      </c>
      <c r="AJ159" s="18">
        <f t="shared" si="600"/>
        <v>250.54575825000001</v>
      </c>
      <c r="AK159" s="18">
        <f t="shared" si="600"/>
        <v>215.14550925</v>
      </c>
      <c r="AL159" s="18">
        <f t="shared" si="600"/>
        <v>250.00716524999999</v>
      </c>
      <c r="AM159" s="18">
        <f t="shared" si="600"/>
        <v>-26.176796749999994</v>
      </c>
      <c r="AN159" s="18">
        <f t="shared" si="600"/>
        <v>251.93304325</v>
      </c>
      <c r="AO159" s="18">
        <f t="shared" si="600"/>
        <v>-151.63632374999997</v>
      </c>
      <c r="AP159" s="18">
        <f t="shared" si="600"/>
        <v>256.47028124999997</v>
      </c>
      <c r="AQ159" s="18">
        <f t="shared" si="600"/>
        <v>256.47028124999997</v>
      </c>
      <c r="AR159" s="18">
        <f t="shared" si="600"/>
        <v>256.48660224999998</v>
      </c>
      <c r="AS159" s="18">
        <f t="shared" si="600"/>
        <v>256.48660224999998</v>
      </c>
      <c r="AT159" s="18">
        <f t="shared" si="600"/>
        <v>256.48660224999998</v>
      </c>
      <c r="AU159" s="18">
        <f t="shared" si="600"/>
        <v>246.51447124999999</v>
      </c>
      <c r="AV159" s="18">
        <f t="shared" si="600"/>
        <v>251.41077124999998</v>
      </c>
      <c r="AW159" s="18">
        <f t="shared" si="600"/>
        <v>238.76199624999998</v>
      </c>
      <c r="AX159" s="18">
        <f t="shared" si="600"/>
        <v>243.26659225</v>
      </c>
      <c r="AY159" s="18">
        <f t="shared" si="600"/>
        <v>256.50292324999998</v>
      </c>
      <c r="AZ159" s="18">
        <f t="shared" si="600"/>
        <v>256.50292324999998</v>
      </c>
      <c r="BA159" s="18">
        <f t="shared" si="600"/>
        <v>256.51924424999999</v>
      </c>
      <c r="BB159" s="18">
        <f t="shared" si="600"/>
        <v>256.51924424999999</v>
      </c>
      <c r="BC159" s="18">
        <f t="shared" si="600"/>
        <v>256.51924424999999</v>
      </c>
      <c r="BD159" s="18">
        <f t="shared" si="600"/>
        <v>256.51924424999999</v>
      </c>
      <c r="BE159" s="18">
        <f t="shared" si="600"/>
        <v>256.51924424999999</v>
      </c>
      <c r="BF159" s="18">
        <f t="shared" si="600"/>
        <v>256.51924424999999</v>
      </c>
      <c r="BG159" s="18">
        <f t="shared" si="600"/>
        <v>247.26523724999998</v>
      </c>
    </row>
    <row r="160" spans="2:59" x14ac:dyDescent="0.25">
      <c r="C160" t="s">
        <v>13</v>
      </c>
      <c r="D160" s="7" t="s">
        <v>427</v>
      </c>
      <c r="E160" s="18">
        <f xml:space="preserve"> 251.83 + 26.651886 * E106</f>
        <v>-13653.791520500001</v>
      </c>
      <c r="F160" s="18">
        <f t="shared" ref="F160:X160" si="601" xml:space="preserve"> 251.83 + 26.651886 * F106</f>
        <v>-549196.78880450001</v>
      </c>
      <c r="G160" s="18">
        <f t="shared" si="601"/>
        <v>258.49297150000001</v>
      </c>
      <c r="H160" s="18">
        <f t="shared" si="601"/>
        <v>-61.329660500000017</v>
      </c>
      <c r="I160" s="18">
        <f t="shared" si="601"/>
        <v>-4005.8087885000004</v>
      </c>
      <c r="J160" s="18">
        <f t="shared" si="601"/>
        <v>-3872.5493585000004</v>
      </c>
      <c r="K160" s="18">
        <f t="shared" si="601"/>
        <v>-3685.9861565000001</v>
      </c>
      <c r="L160" s="18">
        <f t="shared" si="601"/>
        <v>-3552.7267265</v>
      </c>
      <c r="M160" s="18">
        <f t="shared" si="601"/>
        <v>-32709.890010499999</v>
      </c>
      <c r="N160" s="18">
        <f t="shared" si="601"/>
        <v>-131588.38707050003</v>
      </c>
      <c r="O160" s="18">
        <f t="shared" si="601"/>
        <v>-131241.91255250003</v>
      </c>
      <c r="P160" s="18">
        <f t="shared" si="601"/>
        <v>-383022.27959450003</v>
      </c>
      <c r="Q160" s="18">
        <f t="shared" si="601"/>
        <v>-699220.25509850006</v>
      </c>
      <c r="R160" s="18">
        <f t="shared" si="601"/>
        <v>-699246.90698450012</v>
      </c>
      <c r="S160" s="18">
        <f t="shared" si="601"/>
        <v>-988499.82574250014</v>
      </c>
      <c r="T160" s="18">
        <f t="shared" si="601"/>
        <v>-988579.7814005001</v>
      </c>
      <c r="U160" s="18">
        <f t="shared" si="601"/>
        <v>-988792.99648850004</v>
      </c>
      <c r="V160" s="18">
        <f t="shared" si="601"/>
        <v>-2212301.1270905002</v>
      </c>
      <c r="W160" s="18">
        <f t="shared" si="601"/>
        <v>-3925.8531305000006</v>
      </c>
      <c r="X160" s="18">
        <f t="shared" si="601"/>
        <v>-2273.4361985</v>
      </c>
      <c r="Y160" s="18">
        <f xml:space="preserve"> 251.83 + 26.651886 * Y106</f>
        <v>-7283.9907665000001</v>
      </c>
      <c r="Z160" s="18">
        <f t="shared" ref="Z160:AE160" si="602" xml:space="preserve"> 251.83 + 26.651886 * Z106</f>
        <v>14757.1189555</v>
      </c>
      <c r="AA160" s="18">
        <f t="shared" si="602"/>
        <v>258.49297150000001</v>
      </c>
      <c r="AB160" s="18">
        <f t="shared" si="602"/>
        <v>-14746.518846500001</v>
      </c>
      <c r="AC160" s="18">
        <f t="shared" si="602"/>
        <v>-6697.6492745000005</v>
      </c>
      <c r="AD160" s="18">
        <f t="shared" si="602"/>
        <v>-3606.0304985000002</v>
      </c>
      <c r="AE160" s="18">
        <f t="shared" si="602"/>
        <v>-7283.9907665000001</v>
      </c>
      <c r="AF160" s="18">
        <f t="shared" ref="AF160:BG160" si="603" xml:space="preserve"> 251.83 + 26.651886 * AF106</f>
        <v>-2060.2211105000001</v>
      </c>
      <c r="AG160" s="18">
        <f t="shared" si="603"/>
        <v>-2113.5248825000003</v>
      </c>
      <c r="AH160" s="18">
        <f t="shared" si="603"/>
        <v>-2646.5626025000001</v>
      </c>
      <c r="AI160" s="18">
        <f t="shared" si="603"/>
        <v>-2300.0880845000002</v>
      </c>
      <c r="AJ160" s="18">
        <f t="shared" si="603"/>
        <v>-1926.9616805000001</v>
      </c>
      <c r="AK160" s="18">
        <f t="shared" si="603"/>
        <v>-59734.9024145</v>
      </c>
      <c r="AL160" s="18">
        <f t="shared" si="603"/>
        <v>-2806.4739185000003</v>
      </c>
      <c r="AM160" s="18">
        <f t="shared" si="603"/>
        <v>-453809.68881050003</v>
      </c>
      <c r="AN160" s="18">
        <f t="shared" si="603"/>
        <v>338.44862950000004</v>
      </c>
      <c r="AO160" s="18">
        <f t="shared" si="603"/>
        <v>-658682.73649250006</v>
      </c>
      <c r="AP160" s="18">
        <f t="shared" si="603"/>
        <v>7747.6729375000004</v>
      </c>
      <c r="AQ160" s="18">
        <f t="shared" si="603"/>
        <v>7747.6729375000004</v>
      </c>
      <c r="AR160" s="18">
        <f t="shared" si="603"/>
        <v>7774.3248235000001</v>
      </c>
      <c r="AS160" s="18">
        <f t="shared" si="603"/>
        <v>7774.3248235000001</v>
      </c>
      <c r="AT160" s="18">
        <f t="shared" si="603"/>
        <v>7774.3248235000001</v>
      </c>
      <c r="AU160" s="18">
        <f t="shared" si="603"/>
        <v>-8509.9775225000012</v>
      </c>
      <c r="AV160" s="18">
        <f t="shared" si="603"/>
        <v>-514.4117225</v>
      </c>
      <c r="AW160" s="18">
        <f t="shared" si="603"/>
        <v>-21169.623372499998</v>
      </c>
      <c r="AX160" s="18">
        <f t="shared" si="603"/>
        <v>-13813.702836500001</v>
      </c>
      <c r="AY160" s="18">
        <f t="shared" si="603"/>
        <v>7800.9767095000007</v>
      </c>
      <c r="AZ160" s="18">
        <f t="shared" si="603"/>
        <v>7800.9767095000007</v>
      </c>
      <c r="BA160" s="18">
        <f t="shared" si="603"/>
        <v>7827.6285955000003</v>
      </c>
      <c r="BB160" s="18">
        <f t="shared" si="603"/>
        <v>7827.6285955000003</v>
      </c>
      <c r="BC160" s="18">
        <f t="shared" si="603"/>
        <v>7827.6285955000003</v>
      </c>
      <c r="BD160" s="18">
        <f t="shared" si="603"/>
        <v>7827.6285955000003</v>
      </c>
      <c r="BE160" s="18">
        <f t="shared" si="603"/>
        <v>7827.6285955000003</v>
      </c>
      <c r="BF160" s="18">
        <f t="shared" si="603"/>
        <v>7827.6285955000003</v>
      </c>
      <c r="BG160" s="18">
        <f t="shared" si="603"/>
        <v>-7283.9907665000001</v>
      </c>
    </row>
    <row r="161" spans="2:59" x14ac:dyDescent="0.25">
      <c r="C161" t="s">
        <v>14</v>
      </c>
      <c r="D161" s="7" t="s">
        <v>428</v>
      </c>
      <c r="E161" s="18">
        <f xml:space="preserve"> 349.42 + 36.412478 * E106</f>
        <v>-18648.7903965</v>
      </c>
      <c r="F161" s="18">
        <f t="shared" ref="F161:X161" si="604" xml:space="preserve"> 349.42 + 36.412478 * F106</f>
        <v>-750321.12332849996</v>
      </c>
      <c r="G161" s="18">
        <f t="shared" si="604"/>
        <v>358.52311950000001</v>
      </c>
      <c r="H161" s="18">
        <f t="shared" si="604"/>
        <v>-78.426616499999966</v>
      </c>
      <c r="I161" s="18">
        <f t="shared" si="604"/>
        <v>-5467.4733605000001</v>
      </c>
      <c r="J161" s="18">
        <f t="shared" si="604"/>
        <v>-5285.4109705000001</v>
      </c>
      <c r="K161" s="18">
        <f t="shared" si="604"/>
        <v>-5030.5236244999996</v>
      </c>
      <c r="L161" s="18">
        <f t="shared" si="604"/>
        <v>-4848.4612344999996</v>
      </c>
      <c r="M161" s="18">
        <f t="shared" si="604"/>
        <v>-44683.712166500001</v>
      </c>
      <c r="N161" s="18">
        <f t="shared" si="604"/>
        <v>-179774.00554649998</v>
      </c>
      <c r="O161" s="18">
        <f t="shared" si="604"/>
        <v>-179300.64333249998</v>
      </c>
      <c r="P161" s="18">
        <f t="shared" si="604"/>
        <v>-523289.32299850002</v>
      </c>
      <c r="Q161" s="18">
        <f t="shared" si="604"/>
        <v>-955286.96199049999</v>
      </c>
      <c r="R161" s="18">
        <f t="shared" si="604"/>
        <v>-955323.37446849991</v>
      </c>
      <c r="S161" s="18">
        <f t="shared" si="604"/>
        <v>-1350507.9982025002</v>
      </c>
      <c r="T161" s="18">
        <f t="shared" si="604"/>
        <v>-1350617.2356365002</v>
      </c>
      <c r="U161" s="18">
        <f t="shared" si="604"/>
        <v>-1350908.5354605</v>
      </c>
      <c r="V161" s="18">
        <f t="shared" si="604"/>
        <v>-3022496.1630064999</v>
      </c>
      <c r="W161" s="18">
        <f t="shared" si="604"/>
        <v>-5358.2359264999996</v>
      </c>
      <c r="X161" s="18">
        <f t="shared" si="604"/>
        <v>-3100.6622904999999</v>
      </c>
      <c r="Y161" s="18">
        <f xml:space="preserve"> 349.42 + 36.412478 * Y106</f>
        <v>-9946.2081545000001</v>
      </c>
      <c r="Z161" s="18">
        <f t="shared" ref="Z161:AE161" si="605" xml:space="preserve"> 349.42 + 36.412478 * Z106</f>
        <v>20166.911151499997</v>
      </c>
      <c r="AA161" s="18">
        <f t="shared" si="605"/>
        <v>358.52311950000001</v>
      </c>
      <c r="AB161" s="18">
        <f t="shared" si="605"/>
        <v>-20141.701994500003</v>
      </c>
      <c r="AC161" s="18">
        <f t="shared" si="605"/>
        <v>-9145.1336384999995</v>
      </c>
      <c r="AD161" s="18">
        <f t="shared" si="605"/>
        <v>-4921.2861905</v>
      </c>
      <c r="AE161" s="18">
        <f t="shared" si="605"/>
        <v>-9946.2081545000001</v>
      </c>
      <c r="AF161" s="18">
        <f t="shared" ref="AF161:BG161" si="606" xml:space="preserve"> 349.42 + 36.412478 * AF106</f>
        <v>-2809.3624664999998</v>
      </c>
      <c r="AG161" s="18">
        <f t="shared" si="606"/>
        <v>-2882.1874225000001</v>
      </c>
      <c r="AH161" s="18">
        <f t="shared" si="606"/>
        <v>-3610.4369824999999</v>
      </c>
      <c r="AI161" s="18">
        <f t="shared" si="606"/>
        <v>-3137.0747685000001</v>
      </c>
      <c r="AJ161" s="18">
        <f t="shared" si="606"/>
        <v>-2627.3000765000002</v>
      </c>
      <c r="AK161" s="18">
        <f t="shared" si="606"/>
        <v>-81605.964858499996</v>
      </c>
      <c r="AL161" s="18">
        <f t="shared" si="606"/>
        <v>-3828.9118504999997</v>
      </c>
      <c r="AM161" s="18">
        <f t="shared" si="606"/>
        <v>-620000.86456649995</v>
      </c>
      <c r="AN161" s="18">
        <f t="shared" si="606"/>
        <v>467.76055350000001</v>
      </c>
      <c r="AO161" s="18">
        <f t="shared" si="606"/>
        <v>-899903.58295249997</v>
      </c>
      <c r="AP161" s="18">
        <f t="shared" si="606"/>
        <v>10590.429437500001</v>
      </c>
      <c r="AQ161" s="18">
        <f t="shared" si="606"/>
        <v>10590.429437500001</v>
      </c>
      <c r="AR161" s="18">
        <f t="shared" si="606"/>
        <v>10626.841915499999</v>
      </c>
      <c r="AS161" s="18">
        <f t="shared" si="606"/>
        <v>10626.841915499999</v>
      </c>
      <c r="AT161" s="18">
        <f t="shared" si="606"/>
        <v>10626.841915499999</v>
      </c>
      <c r="AU161" s="18">
        <f t="shared" si="606"/>
        <v>-11621.1821425</v>
      </c>
      <c r="AV161" s="18">
        <f t="shared" si="606"/>
        <v>-697.43874249999999</v>
      </c>
      <c r="AW161" s="18">
        <f t="shared" si="606"/>
        <v>-28917.1091925</v>
      </c>
      <c r="AX161" s="18">
        <f t="shared" si="606"/>
        <v>-18867.265264500002</v>
      </c>
      <c r="AY161" s="18">
        <f t="shared" si="606"/>
        <v>10663.254393499999</v>
      </c>
      <c r="AZ161" s="18">
        <f t="shared" si="606"/>
        <v>10663.254393499999</v>
      </c>
      <c r="BA161" s="18">
        <f t="shared" si="606"/>
        <v>10699.6668715</v>
      </c>
      <c r="BB161" s="18">
        <f t="shared" si="606"/>
        <v>10699.6668715</v>
      </c>
      <c r="BC161" s="18">
        <f t="shared" si="606"/>
        <v>10699.6668715</v>
      </c>
      <c r="BD161" s="18">
        <f t="shared" si="606"/>
        <v>10699.6668715</v>
      </c>
      <c r="BE161" s="18">
        <f t="shared" si="606"/>
        <v>10699.6668715</v>
      </c>
      <c r="BF161" s="18">
        <f t="shared" si="606"/>
        <v>10699.6668715</v>
      </c>
      <c r="BG161" s="18">
        <f t="shared" si="606"/>
        <v>-9946.2081545000001</v>
      </c>
    </row>
    <row r="162" spans="2:59" x14ac:dyDescent="0.25">
      <c r="C162" t="s">
        <v>15</v>
      </c>
      <c r="D162" s="7" t="s">
        <v>429</v>
      </c>
      <c r="E162" s="18">
        <f xml:space="preserve"> 84.66 + 18.206239 * E106</f>
        <v>-9414.4451982499995</v>
      </c>
      <c r="F162" s="18">
        <f t="shared" ref="F162:X162" si="607" xml:space="preserve"> 84.66 + 18.206239 * F106</f>
        <v>-375250.61166425003</v>
      </c>
      <c r="G162" s="18">
        <f t="shared" si="607"/>
        <v>89.211559749999992</v>
      </c>
      <c r="H162" s="18">
        <f t="shared" si="607"/>
        <v>-129.26330824999999</v>
      </c>
      <c r="I162" s="18">
        <f t="shared" si="607"/>
        <v>-2823.7866802500002</v>
      </c>
      <c r="J162" s="18">
        <f t="shared" si="607"/>
        <v>-2732.7554852500002</v>
      </c>
      <c r="K162" s="18">
        <f t="shared" si="607"/>
        <v>-2605.31181225</v>
      </c>
      <c r="L162" s="18">
        <f t="shared" si="607"/>
        <v>-2514.28061725</v>
      </c>
      <c r="M162" s="18">
        <f t="shared" si="607"/>
        <v>-22431.90608325</v>
      </c>
      <c r="N162" s="18">
        <f t="shared" si="607"/>
        <v>-89977.05277324999</v>
      </c>
      <c r="O162" s="18">
        <f t="shared" si="607"/>
        <v>-89740.371666249994</v>
      </c>
      <c r="P162" s="18">
        <f t="shared" si="607"/>
        <v>-261734.71149925</v>
      </c>
      <c r="Q162" s="18">
        <f t="shared" si="607"/>
        <v>-477733.53099525004</v>
      </c>
      <c r="R162" s="18">
        <f t="shared" si="607"/>
        <v>-477751.73723425</v>
      </c>
      <c r="S162" s="18">
        <f t="shared" si="607"/>
        <v>-675344.04910125001</v>
      </c>
      <c r="T162" s="18">
        <f t="shared" si="607"/>
        <v>-675398.66781825002</v>
      </c>
      <c r="U162" s="18">
        <f t="shared" si="607"/>
        <v>-675544.31773024995</v>
      </c>
      <c r="V162" s="18">
        <f t="shared" si="607"/>
        <v>-1511338.13150325</v>
      </c>
      <c r="W162" s="18">
        <f t="shared" si="607"/>
        <v>-2769.16796325</v>
      </c>
      <c r="X162" s="18">
        <f t="shared" si="607"/>
        <v>-1640.3811452499999</v>
      </c>
      <c r="Y162" s="18">
        <f xml:space="preserve"> 84.66 + 18.206239 * Y106</f>
        <v>-5063.1540772500002</v>
      </c>
      <c r="Z162" s="18">
        <f t="shared" ref="Z162:AE162" si="608" xml:space="preserve"> 84.66 + 18.206239 * Z106</f>
        <v>9993.4055757499991</v>
      </c>
      <c r="AA162" s="18">
        <f t="shared" si="608"/>
        <v>89.211559749999992</v>
      </c>
      <c r="AB162" s="18">
        <f t="shared" si="608"/>
        <v>-10160.900997250001</v>
      </c>
      <c r="AC162" s="18">
        <f t="shared" si="608"/>
        <v>-4662.6168192499999</v>
      </c>
      <c r="AD162" s="18">
        <f t="shared" si="608"/>
        <v>-2550.6930952500002</v>
      </c>
      <c r="AE162" s="18">
        <f t="shared" si="608"/>
        <v>-5063.1540772500002</v>
      </c>
      <c r="AF162" s="18">
        <f t="shared" ref="AF162:BG162" si="609" xml:space="preserve"> 84.66 + 18.206239 * AF106</f>
        <v>-1494.7312332499998</v>
      </c>
      <c r="AG162" s="18">
        <f t="shared" si="609"/>
        <v>-1531.14371125</v>
      </c>
      <c r="AH162" s="18">
        <f t="shared" si="609"/>
        <v>-1895.2684912499999</v>
      </c>
      <c r="AI162" s="18">
        <f t="shared" si="609"/>
        <v>-1658.58738425</v>
      </c>
      <c r="AJ162" s="18">
        <f t="shared" si="609"/>
        <v>-1403.70003825</v>
      </c>
      <c r="AK162" s="18">
        <f t="shared" si="609"/>
        <v>-40893.032429249994</v>
      </c>
      <c r="AL162" s="18">
        <f t="shared" si="609"/>
        <v>-2004.5059252499998</v>
      </c>
      <c r="AM162" s="18">
        <f t="shared" si="609"/>
        <v>-310090.48228325002</v>
      </c>
      <c r="AN162" s="18">
        <f t="shared" si="609"/>
        <v>143.83027675</v>
      </c>
      <c r="AO162" s="18">
        <f t="shared" si="609"/>
        <v>-450041.84147625003</v>
      </c>
      <c r="AP162" s="18">
        <f t="shared" si="609"/>
        <v>5205.1647187500002</v>
      </c>
      <c r="AQ162" s="18">
        <f t="shared" si="609"/>
        <v>5205.1647187500002</v>
      </c>
      <c r="AR162" s="18">
        <f t="shared" si="609"/>
        <v>5223.3709577499994</v>
      </c>
      <c r="AS162" s="18">
        <f t="shared" si="609"/>
        <v>5223.3709577499994</v>
      </c>
      <c r="AT162" s="18">
        <f t="shared" si="609"/>
        <v>5223.3709577499994</v>
      </c>
      <c r="AU162" s="18">
        <f t="shared" si="609"/>
        <v>-5900.6410712500001</v>
      </c>
      <c r="AV162" s="18">
        <f t="shared" si="609"/>
        <v>-438.76937125000006</v>
      </c>
      <c r="AW162" s="18">
        <f t="shared" si="609"/>
        <v>-14548.604596249999</v>
      </c>
      <c r="AX162" s="18">
        <f t="shared" si="609"/>
        <v>-9523.6826322500001</v>
      </c>
      <c r="AY162" s="18">
        <f t="shared" si="609"/>
        <v>5241.5771967499995</v>
      </c>
      <c r="AZ162" s="18">
        <f t="shared" si="609"/>
        <v>5241.5771967499995</v>
      </c>
      <c r="BA162" s="18">
        <f t="shared" si="609"/>
        <v>5259.7834357499996</v>
      </c>
      <c r="BB162" s="18">
        <f t="shared" si="609"/>
        <v>5259.7834357499996</v>
      </c>
      <c r="BC162" s="18">
        <f t="shared" si="609"/>
        <v>5259.7834357499996</v>
      </c>
      <c r="BD162" s="18">
        <f t="shared" si="609"/>
        <v>5259.7834357499996</v>
      </c>
      <c r="BE162" s="18">
        <f t="shared" si="609"/>
        <v>5259.7834357499996</v>
      </c>
      <c r="BF162" s="18">
        <f t="shared" si="609"/>
        <v>5259.7834357499996</v>
      </c>
      <c r="BG162" s="18">
        <f t="shared" si="609"/>
        <v>-5063.1540772500002</v>
      </c>
    </row>
    <row r="163" spans="2:59" x14ac:dyDescent="0.25">
      <c r="C163" t="s">
        <v>16</v>
      </c>
      <c r="D163" s="7" t="s">
        <v>430</v>
      </c>
      <c r="E163" s="18">
        <f xml:space="preserve"> 141.74 + 53.303771 * E106</f>
        <v>-27669.502519249996</v>
      </c>
      <c r="F163" s="18">
        <f t="shared" ref="F163:X163" si="610" xml:space="preserve"> 141.74 + 53.303771 * F106</f>
        <v>-1098755.47699325</v>
      </c>
      <c r="G163" s="18">
        <f t="shared" si="610"/>
        <v>155.06594275</v>
      </c>
      <c r="H163" s="18">
        <f t="shared" si="610"/>
        <v>-484.57930924999994</v>
      </c>
      <c r="I163" s="18">
        <f t="shared" si="610"/>
        <v>-8373.5374172499996</v>
      </c>
      <c r="J163" s="18">
        <f t="shared" si="610"/>
        <v>-8107.0185622499994</v>
      </c>
      <c r="K163" s="18">
        <f t="shared" si="610"/>
        <v>-7733.8921652500003</v>
      </c>
      <c r="L163" s="18">
        <f t="shared" si="610"/>
        <v>-7467.37331025</v>
      </c>
      <c r="M163" s="18">
        <f t="shared" si="610"/>
        <v>-65781.698784249995</v>
      </c>
      <c r="N163" s="18">
        <f t="shared" si="610"/>
        <v>-263538.68919424998</v>
      </c>
      <c r="O163" s="18">
        <f t="shared" si="610"/>
        <v>-262845.74017125001</v>
      </c>
      <c r="P163" s="18">
        <f t="shared" si="610"/>
        <v>-766406.46480824996</v>
      </c>
      <c r="Q163" s="18">
        <f t="shared" si="610"/>
        <v>-1398802.40395225</v>
      </c>
      <c r="R163" s="18">
        <f t="shared" si="610"/>
        <v>-1398855.7077232499</v>
      </c>
      <c r="S163" s="18">
        <f t="shared" si="610"/>
        <v>-1977361.53438625</v>
      </c>
      <c r="T163" s="18">
        <f t="shared" si="610"/>
        <v>-1977521.4456992499</v>
      </c>
      <c r="U163" s="18">
        <f t="shared" si="610"/>
        <v>-1977947.8758672499</v>
      </c>
      <c r="V163" s="18">
        <f t="shared" si="610"/>
        <v>-4424964.0911642499</v>
      </c>
      <c r="W163" s="18">
        <f t="shared" si="610"/>
        <v>-8213.6261042499991</v>
      </c>
      <c r="X163" s="18">
        <f t="shared" si="610"/>
        <v>-4908.7923022499999</v>
      </c>
      <c r="Y163" s="18">
        <f xml:space="preserve"> 141.74 + 53.303771 * Y106</f>
        <v>-14929.901250249999</v>
      </c>
      <c r="Z163" s="18">
        <f t="shared" ref="Z163:AE163" si="611" xml:space="preserve"> 141.74 + 53.303771 * Z106</f>
        <v>29152.317366750001</v>
      </c>
      <c r="AA163" s="18">
        <f t="shared" si="611"/>
        <v>155.06594275</v>
      </c>
      <c r="AB163" s="18">
        <f t="shared" si="611"/>
        <v>-29854.957130249997</v>
      </c>
      <c r="AC163" s="18">
        <f t="shared" si="611"/>
        <v>-13757.21828825</v>
      </c>
      <c r="AD163" s="18">
        <f t="shared" si="611"/>
        <v>-7573.9808522499998</v>
      </c>
      <c r="AE163" s="18">
        <f t="shared" si="611"/>
        <v>-14929.901250249999</v>
      </c>
      <c r="AF163" s="18">
        <f t="shared" ref="AF163:BG163" si="612" xml:space="preserve"> 141.74 + 53.303771 * AF106</f>
        <v>-4482.3621342500001</v>
      </c>
      <c r="AG163" s="18">
        <f t="shared" si="612"/>
        <v>-4588.9696762499998</v>
      </c>
      <c r="AH163" s="18">
        <f t="shared" si="612"/>
        <v>-5655.0450962499999</v>
      </c>
      <c r="AI163" s="18">
        <f t="shared" si="612"/>
        <v>-4962.0960732499998</v>
      </c>
      <c r="AJ163" s="18">
        <f t="shared" si="612"/>
        <v>-4215.8432792499998</v>
      </c>
      <c r="AK163" s="18">
        <f t="shared" si="612"/>
        <v>-119831.72257824999</v>
      </c>
      <c r="AL163" s="18">
        <f t="shared" si="612"/>
        <v>-5974.86772225</v>
      </c>
      <c r="AM163" s="18">
        <f t="shared" si="612"/>
        <v>-907981.28058424999</v>
      </c>
      <c r="AN163" s="18">
        <f t="shared" si="612"/>
        <v>314.97725575000004</v>
      </c>
      <c r="AO163" s="18">
        <f t="shared" si="612"/>
        <v>-1317727.36826125</v>
      </c>
      <c r="AP163" s="18">
        <f t="shared" si="612"/>
        <v>15133.425593749998</v>
      </c>
      <c r="AQ163" s="18">
        <f t="shared" si="612"/>
        <v>15133.425593749998</v>
      </c>
      <c r="AR163" s="18">
        <f t="shared" si="612"/>
        <v>15186.729364749999</v>
      </c>
      <c r="AS163" s="18">
        <f t="shared" si="612"/>
        <v>15186.729364749999</v>
      </c>
      <c r="AT163" s="18">
        <f t="shared" si="612"/>
        <v>15186.729364749999</v>
      </c>
      <c r="AU163" s="18">
        <f t="shared" si="612"/>
        <v>-17381.874716249997</v>
      </c>
      <c r="AV163" s="18">
        <f t="shared" si="612"/>
        <v>-1390.7434162499999</v>
      </c>
      <c r="AW163" s="18">
        <f t="shared" si="612"/>
        <v>-42701.165941250001</v>
      </c>
      <c r="AX163" s="18">
        <f t="shared" si="612"/>
        <v>-27989.325145249997</v>
      </c>
      <c r="AY163" s="18">
        <f t="shared" si="612"/>
        <v>15240.03313575</v>
      </c>
      <c r="AZ163" s="18">
        <f t="shared" si="612"/>
        <v>15240.03313575</v>
      </c>
      <c r="BA163" s="18">
        <f t="shared" si="612"/>
        <v>15293.336906749999</v>
      </c>
      <c r="BB163" s="18">
        <f t="shared" si="612"/>
        <v>15293.336906749999</v>
      </c>
      <c r="BC163" s="18">
        <f t="shared" si="612"/>
        <v>15293.336906749999</v>
      </c>
      <c r="BD163" s="18">
        <f t="shared" si="612"/>
        <v>15293.336906749999</v>
      </c>
      <c r="BE163" s="18">
        <f t="shared" si="612"/>
        <v>15293.336906749999</v>
      </c>
      <c r="BF163" s="18">
        <f t="shared" si="612"/>
        <v>15293.336906749999</v>
      </c>
      <c r="BG163" s="18">
        <f t="shared" si="612"/>
        <v>-14929.901250249999</v>
      </c>
    </row>
    <row r="164" spans="2:59" x14ac:dyDescent="0.25">
      <c r="C164" t="s">
        <v>17</v>
      </c>
      <c r="D164" s="7" t="s">
        <v>431</v>
      </c>
      <c r="E164" s="18">
        <f xml:space="preserve"> 207.14 + 2.453732 * E106</f>
        <v>-1073.0946709999998</v>
      </c>
      <c r="F164" s="18">
        <f t="shared" ref="F164:X164" si="613" xml:space="preserve"> 207.14 + 2.453732 * F106</f>
        <v>-50378.385479000004</v>
      </c>
      <c r="G164" s="18">
        <f t="shared" si="613"/>
        <v>207.75343299999997</v>
      </c>
      <c r="H164" s="18">
        <f t="shared" si="613"/>
        <v>178.30864899999997</v>
      </c>
      <c r="I164" s="18">
        <f t="shared" si="613"/>
        <v>-184.84368700000005</v>
      </c>
      <c r="J164" s="18">
        <f t="shared" si="613"/>
        <v>-172.57502700000003</v>
      </c>
      <c r="K164" s="18">
        <f t="shared" si="613"/>
        <v>-155.39890300000002</v>
      </c>
      <c r="L164" s="18">
        <f t="shared" si="613"/>
        <v>-143.13024300000001</v>
      </c>
      <c r="M164" s="18">
        <f t="shared" si="613"/>
        <v>-2827.5130510000004</v>
      </c>
      <c r="N164" s="18">
        <f t="shared" si="613"/>
        <v>-11930.858771000001</v>
      </c>
      <c r="O164" s="18">
        <f t="shared" si="613"/>
        <v>-11898.960255</v>
      </c>
      <c r="P164" s="18">
        <f t="shared" si="613"/>
        <v>-35079.366459000004</v>
      </c>
      <c r="Q164" s="18">
        <f t="shared" si="613"/>
        <v>-64190.442907000004</v>
      </c>
      <c r="R164" s="18">
        <f t="shared" si="613"/>
        <v>-64192.896638999999</v>
      </c>
      <c r="S164" s="18">
        <f t="shared" si="613"/>
        <v>-90823.250035000005</v>
      </c>
      <c r="T164" s="18">
        <f t="shared" si="613"/>
        <v>-90830.611231000003</v>
      </c>
      <c r="U164" s="18">
        <f t="shared" si="613"/>
        <v>-90850.241087000002</v>
      </c>
      <c r="V164" s="18">
        <f t="shared" si="613"/>
        <v>-203493.71601099998</v>
      </c>
      <c r="W164" s="18">
        <f t="shared" si="613"/>
        <v>-177.48249100000004</v>
      </c>
      <c r="X164" s="18">
        <f t="shared" si="613"/>
        <v>-25.351107000000013</v>
      </c>
      <c r="Y164" s="18">
        <f xml:space="preserve"> 207.14 + 2.453732 * Y106</f>
        <v>-486.65272300000004</v>
      </c>
      <c r="Z164" s="18">
        <f t="shared" ref="Z164:AE164" si="614" xml:space="preserve"> 207.14 + 2.453732 * Z106</f>
        <v>1542.5836410000002</v>
      </c>
      <c r="AA164" s="18">
        <f t="shared" si="614"/>
        <v>207.75343299999997</v>
      </c>
      <c r="AB164" s="18">
        <f t="shared" si="614"/>
        <v>-1173.6976829999999</v>
      </c>
      <c r="AC164" s="18">
        <f t="shared" si="614"/>
        <v>-432.67061899999999</v>
      </c>
      <c r="AD164" s="18">
        <f t="shared" si="614"/>
        <v>-148.03770700000001</v>
      </c>
      <c r="AE164" s="18">
        <f t="shared" si="614"/>
        <v>-486.65272300000004</v>
      </c>
      <c r="AF164" s="18">
        <f t="shared" ref="AF164:BG164" si="615" xml:space="preserve"> 207.14 + 2.453732 * AF106</f>
        <v>-5.7212510000000236</v>
      </c>
      <c r="AG164" s="18">
        <f t="shared" si="615"/>
        <v>-10.628715000000028</v>
      </c>
      <c r="AH164" s="18">
        <f t="shared" si="615"/>
        <v>-59.703355000000045</v>
      </c>
      <c r="AI164" s="18">
        <f t="shared" si="615"/>
        <v>-27.804839000000015</v>
      </c>
      <c r="AJ164" s="18">
        <f t="shared" si="615"/>
        <v>6.5474089999999876</v>
      </c>
      <c r="AK164" s="18">
        <f t="shared" si="615"/>
        <v>-5315.597299</v>
      </c>
      <c r="AL164" s="18">
        <f t="shared" si="615"/>
        <v>-74.425747000000001</v>
      </c>
      <c r="AM164" s="18">
        <f t="shared" si="615"/>
        <v>-41596.478650999998</v>
      </c>
      <c r="AN164" s="18">
        <f t="shared" si="615"/>
        <v>215.11462899999998</v>
      </c>
      <c r="AO164" s="18">
        <f t="shared" si="615"/>
        <v>-60458.316534999998</v>
      </c>
      <c r="AP164" s="18">
        <f t="shared" si="615"/>
        <v>897.25212499999998</v>
      </c>
      <c r="AQ164" s="18">
        <f t="shared" si="615"/>
        <v>897.25212499999998</v>
      </c>
      <c r="AR164" s="18">
        <f t="shared" si="615"/>
        <v>899.70585700000004</v>
      </c>
      <c r="AS164" s="18">
        <f t="shared" si="615"/>
        <v>899.70585700000004</v>
      </c>
      <c r="AT164" s="18">
        <f t="shared" si="615"/>
        <v>899.70585700000004</v>
      </c>
      <c r="AU164" s="18">
        <f t="shared" si="615"/>
        <v>-599.52439500000003</v>
      </c>
      <c r="AV164" s="18">
        <f t="shared" si="615"/>
        <v>136.59520499999996</v>
      </c>
      <c r="AW164" s="18">
        <f t="shared" si="615"/>
        <v>-1765.0470949999999</v>
      </c>
      <c r="AX164" s="18">
        <f t="shared" si="615"/>
        <v>-1087.817063</v>
      </c>
      <c r="AY164" s="18">
        <f t="shared" si="615"/>
        <v>902.15958899999998</v>
      </c>
      <c r="AZ164" s="18">
        <f t="shared" si="615"/>
        <v>902.15958899999998</v>
      </c>
      <c r="BA164" s="18">
        <f t="shared" si="615"/>
        <v>904.61332100000004</v>
      </c>
      <c r="BB164" s="18">
        <f t="shared" si="615"/>
        <v>904.61332100000004</v>
      </c>
      <c r="BC164" s="18">
        <f t="shared" si="615"/>
        <v>904.61332100000004</v>
      </c>
      <c r="BD164" s="18">
        <f t="shared" si="615"/>
        <v>904.61332100000004</v>
      </c>
      <c r="BE164" s="18">
        <f t="shared" si="615"/>
        <v>904.61332100000004</v>
      </c>
      <c r="BF164" s="18">
        <f t="shared" si="615"/>
        <v>904.61332100000004</v>
      </c>
      <c r="BG164" s="18">
        <f t="shared" si="615"/>
        <v>-486.65272300000004</v>
      </c>
    </row>
    <row r="165" spans="2:59" x14ac:dyDescent="0.25">
      <c r="C165" t="s">
        <v>18</v>
      </c>
      <c r="D165" s="7" t="s">
        <v>432</v>
      </c>
      <c r="E165" s="18">
        <f xml:space="preserve"> 154.84 + 7.30686 * E106</f>
        <v>-3657.5142049999999</v>
      </c>
      <c r="F165" s="18">
        <f t="shared" ref="F165:X165" si="616" xml:space="preserve"> 154.84 + 7.30686 * F106</f>
        <v>-150481.559045</v>
      </c>
      <c r="G165" s="18">
        <f t="shared" si="616"/>
        <v>156.66671500000001</v>
      </c>
      <c r="H165" s="18">
        <f t="shared" si="616"/>
        <v>68.984395000000006</v>
      </c>
      <c r="I165" s="18">
        <f t="shared" si="616"/>
        <v>-1012.4308850000001</v>
      </c>
      <c r="J165" s="18">
        <f t="shared" si="616"/>
        <v>-975.89658500000007</v>
      </c>
      <c r="K165" s="18">
        <f t="shared" si="616"/>
        <v>-924.74856499999999</v>
      </c>
      <c r="L165" s="18">
        <f t="shared" si="616"/>
        <v>-888.21426499999995</v>
      </c>
      <c r="M165" s="18">
        <f t="shared" si="616"/>
        <v>-8881.9191050000009</v>
      </c>
      <c r="N165" s="18">
        <f t="shared" si="616"/>
        <v>-35990.369705000005</v>
      </c>
      <c r="O165" s="18">
        <f t="shared" si="616"/>
        <v>-35895.380525000008</v>
      </c>
      <c r="P165" s="18">
        <f t="shared" si="616"/>
        <v>-104923.28694500001</v>
      </c>
      <c r="Q165" s="18">
        <f t="shared" si="616"/>
        <v>-191611.87398500001</v>
      </c>
      <c r="R165" s="18">
        <f t="shared" si="616"/>
        <v>-191619.18084500002</v>
      </c>
      <c r="S165" s="18">
        <f t="shared" si="616"/>
        <v>-270920.53242499998</v>
      </c>
      <c r="T165" s="18">
        <f t="shared" si="616"/>
        <v>-270942.45300499996</v>
      </c>
      <c r="U165" s="18">
        <f t="shared" si="616"/>
        <v>-271000.90788499999</v>
      </c>
      <c r="V165" s="18">
        <f t="shared" si="616"/>
        <v>-606436.92990500003</v>
      </c>
      <c r="W165" s="18">
        <f t="shared" si="616"/>
        <v>-990.51030500000013</v>
      </c>
      <c r="X165" s="18">
        <f t="shared" si="616"/>
        <v>-537.48498500000005</v>
      </c>
      <c r="Y165" s="18">
        <f xml:space="preserve"> 154.84 + 7.30686 * Y106</f>
        <v>-1911.1746650000002</v>
      </c>
      <c r="Z165" s="18">
        <f t="shared" ref="Z165:AE165" si="617" xml:space="preserve"> 154.84 + 7.30686 * Z106</f>
        <v>4131.5985550000005</v>
      </c>
      <c r="AA165" s="18">
        <f t="shared" si="617"/>
        <v>156.66671500000001</v>
      </c>
      <c r="AB165" s="18">
        <f t="shared" si="617"/>
        <v>-3957.0954650000003</v>
      </c>
      <c r="AC165" s="18">
        <f t="shared" si="617"/>
        <v>-1750.4237450000003</v>
      </c>
      <c r="AD165" s="18">
        <f t="shared" si="617"/>
        <v>-902.82798500000001</v>
      </c>
      <c r="AE165" s="18">
        <f t="shared" si="617"/>
        <v>-1911.1746650000002</v>
      </c>
      <c r="AF165" s="18">
        <f t="shared" ref="AF165:BG165" si="618" xml:space="preserve"> 154.84 + 7.30686 * AF106</f>
        <v>-479.03010500000005</v>
      </c>
      <c r="AG165" s="18">
        <f t="shared" si="618"/>
        <v>-493.64382499999999</v>
      </c>
      <c r="AH165" s="18">
        <f t="shared" si="618"/>
        <v>-639.781025</v>
      </c>
      <c r="AI165" s="18">
        <f t="shared" si="618"/>
        <v>-544.79184499999997</v>
      </c>
      <c r="AJ165" s="18">
        <f t="shared" si="618"/>
        <v>-442.49580500000002</v>
      </c>
      <c r="AK165" s="18">
        <f t="shared" si="618"/>
        <v>-16291.075144999999</v>
      </c>
      <c r="AL165" s="18">
        <f t="shared" si="618"/>
        <v>-683.62218500000006</v>
      </c>
      <c r="AM165" s="18">
        <f t="shared" si="618"/>
        <v>-124330.30710500001</v>
      </c>
      <c r="AN165" s="18">
        <f t="shared" si="618"/>
        <v>178.58729500000001</v>
      </c>
      <c r="AO165" s="18">
        <f t="shared" si="618"/>
        <v>-180498.13992500002</v>
      </c>
      <c r="AP165" s="18">
        <f t="shared" si="618"/>
        <v>2209.8943750000003</v>
      </c>
      <c r="AQ165" s="18">
        <f t="shared" si="618"/>
        <v>2209.8943750000003</v>
      </c>
      <c r="AR165" s="18">
        <f t="shared" si="618"/>
        <v>2217.2012350000005</v>
      </c>
      <c r="AS165" s="18">
        <f t="shared" si="618"/>
        <v>2217.2012350000005</v>
      </c>
      <c r="AT165" s="18">
        <f t="shared" si="618"/>
        <v>2217.2012350000005</v>
      </c>
      <c r="AU165" s="18">
        <f t="shared" si="618"/>
        <v>-2247.2902250000002</v>
      </c>
      <c r="AV165" s="18">
        <f t="shared" si="618"/>
        <v>-55.232225</v>
      </c>
      <c r="AW165" s="18">
        <f t="shared" si="618"/>
        <v>-5718.0487250000006</v>
      </c>
      <c r="AX165" s="18">
        <f t="shared" si="618"/>
        <v>-3701.3553649999999</v>
      </c>
      <c r="AY165" s="18">
        <f t="shared" si="618"/>
        <v>2224.5080950000001</v>
      </c>
      <c r="AZ165" s="18">
        <f t="shared" si="618"/>
        <v>2224.5080950000001</v>
      </c>
      <c r="BA165" s="18">
        <f t="shared" si="618"/>
        <v>2231.8149550000003</v>
      </c>
      <c r="BB165" s="18">
        <f t="shared" si="618"/>
        <v>2231.8149550000003</v>
      </c>
      <c r="BC165" s="18">
        <f t="shared" si="618"/>
        <v>2231.8149550000003</v>
      </c>
      <c r="BD165" s="18">
        <f t="shared" si="618"/>
        <v>2231.8149550000003</v>
      </c>
      <c r="BE165" s="18">
        <f t="shared" si="618"/>
        <v>2231.8149550000003</v>
      </c>
      <c r="BF165" s="18">
        <f t="shared" si="618"/>
        <v>2231.8149550000003</v>
      </c>
      <c r="BG165" s="18">
        <f t="shared" si="618"/>
        <v>-1911.1746650000002</v>
      </c>
    </row>
    <row r="166" spans="2:59" x14ac:dyDescent="0.25">
      <c r="C166" t="s">
        <v>19</v>
      </c>
      <c r="D166" s="7" t="s">
        <v>433</v>
      </c>
      <c r="E166" s="18">
        <f xml:space="preserve"> 34.52 + 27.261239 * E106</f>
        <v>-14189.03144825</v>
      </c>
      <c r="F166" s="18">
        <f t="shared" ref="F166:X166" si="619" xml:space="preserve"> 34.52 + 27.261239 * F106</f>
        <v>-561976.36791425</v>
      </c>
      <c r="G166" s="18">
        <f t="shared" si="619"/>
        <v>41.33530975</v>
      </c>
      <c r="H166" s="18">
        <f t="shared" si="619"/>
        <v>-285.79955825000002</v>
      </c>
      <c r="I166" s="18">
        <f t="shared" si="619"/>
        <v>-4320.4629302499998</v>
      </c>
      <c r="J166" s="18">
        <f t="shared" si="619"/>
        <v>-4184.1567352499997</v>
      </c>
      <c r="K166" s="18">
        <f t="shared" si="619"/>
        <v>-3993.3280622500001</v>
      </c>
      <c r="L166" s="18">
        <f t="shared" si="619"/>
        <v>-3857.02186725</v>
      </c>
      <c r="M166" s="18">
        <f t="shared" si="619"/>
        <v>-33680.817333250001</v>
      </c>
      <c r="N166" s="18">
        <f t="shared" si="619"/>
        <v>-134820.01402325</v>
      </c>
      <c r="O166" s="18">
        <f t="shared" si="619"/>
        <v>-134465.61791625002</v>
      </c>
      <c r="P166" s="18">
        <f t="shared" si="619"/>
        <v>-392002.54274924996</v>
      </c>
      <c r="Q166" s="18">
        <f t="shared" si="619"/>
        <v>-715429.88224524993</v>
      </c>
      <c r="R166" s="18">
        <f t="shared" si="619"/>
        <v>-715457.14348424994</v>
      </c>
      <c r="S166" s="18">
        <f t="shared" si="619"/>
        <v>-1011323.3703512499</v>
      </c>
      <c r="T166" s="18">
        <f t="shared" si="619"/>
        <v>-1011405.15406825</v>
      </c>
      <c r="U166" s="18">
        <f t="shared" si="619"/>
        <v>-1011623.24398025</v>
      </c>
      <c r="V166" s="18">
        <f t="shared" si="619"/>
        <v>-2263104.9427532498</v>
      </c>
      <c r="W166" s="18">
        <f t="shared" si="619"/>
        <v>-4238.6792132499995</v>
      </c>
      <c r="X166" s="18">
        <f t="shared" si="619"/>
        <v>-2548.4823952500001</v>
      </c>
      <c r="Y166" s="18">
        <f xml:space="preserve"> 34.52 + 27.261239 * Y106</f>
        <v>-7673.5953272499992</v>
      </c>
      <c r="Z166" s="18">
        <f t="shared" ref="Z166:AE166" si="620" xml:space="preserve"> 34.52 + 27.261239 * Z106</f>
        <v>14871.44932575</v>
      </c>
      <c r="AA166" s="18">
        <f t="shared" si="620"/>
        <v>41.33530975</v>
      </c>
      <c r="AB166" s="18">
        <f t="shared" si="620"/>
        <v>-15306.74224725</v>
      </c>
      <c r="AC166" s="18">
        <f t="shared" si="620"/>
        <v>-7073.8480692499998</v>
      </c>
      <c r="AD166" s="18">
        <f t="shared" si="620"/>
        <v>-3911.5443452499999</v>
      </c>
      <c r="AE166" s="18">
        <f t="shared" si="620"/>
        <v>-7673.5953272499992</v>
      </c>
      <c r="AF166" s="18">
        <f t="shared" ref="AF166:BG166" si="621" xml:space="preserve"> 34.52 + 27.261239 * AF106</f>
        <v>-2330.3924832500002</v>
      </c>
      <c r="AG166" s="18">
        <f t="shared" si="621"/>
        <v>-2384.91496125</v>
      </c>
      <c r="AH166" s="18">
        <f t="shared" si="621"/>
        <v>-2930.13974125</v>
      </c>
      <c r="AI166" s="18">
        <f t="shared" si="621"/>
        <v>-2575.74363425</v>
      </c>
      <c r="AJ166" s="18">
        <f t="shared" si="621"/>
        <v>-2194.0862882500001</v>
      </c>
      <c r="AK166" s="18">
        <f t="shared" si="621"/>
        <v>-61323.713679250002</v>
      </c>
      <c r="AL166" s="18">
        <f t="shared" si="621"/>
        <v>-3093.7071752500001</v>
      </c>
      <c r="AM166" s="18">
        <f t="shared" si="621"/>
        <v>-464408.39353324997</v>
      </c>
      <c r="AN166" s="18">
        <f t="shared" si="621"/>
        <v>123.11902674999999</v>
      </c>
      <c r="AO166" s="18">
        <f t="shared" si="621"/>
        <v>-673965.53772625001</v>
      </c>
      <c r="AP166" s="18">
        <f t="shared" si="621"/>
        <v>7701.7434687499999</v>
      </c>
      <c r="AQ166" s="18">
        <f t="shared" si="621"/>
        <v>7701.7434687499999</v>
      </c>
      <c r="AR166" s="18">
        <f t="shared" si="621"/>
        <v>7729.0047077500003</v>
      </c>
      <c r="AS166" s="18">
        <f t="shared" si="621"/>
        <v>7729.0047077500003</v>
      </c>
      <c r="AT166" s="18">
        <f t="shared" si="621"/>
        <v>7729.0047077500003</v>
      </c>
      <c r="AU166" s="18">
        <f t="shared" si="621"/>
        <v>-8927.6123212499988</v>
      </c>
      <c r="AV166" s="18">
        <f t="shared" si="621"/>
        <v>-749.24062125</v>
      </c>
      <c r="AW166" s="18">
        <f t="shared" si="621"/>
        <v>-21876.700846249998</v>
      </c>
      <c r="AX166" s="18">
        <f t="shared" si="621"/>
        <v>-14352.59888225</v>
      </c>
      <c r="AY166" s="18">
        <f t="shared" si="621"/>
        <v>7756.2659467500007</v>
      </c>
      <c r="AZ166" s="18">
        <f t="shared" si="621"/>
        <v>7756.2659467500007</v>
      </c>
      <c r="BA166" s="18">
        <f t="shared" si="621"/>
        <v>7783.5271857500002</v>
      </c>
      <c r="BB166" s="18">
        <f t="shared" si="621"/>
        <v>7783.5271857500002</v>
      </c>
      <c r="BC166" s="18">
        <f t="shared" si="621"/>
        <v>7783.5271857500002</v>
      </c>
      <c r="BD166" s="18">
        <f t="shared" si="621"/>
        <v>7783.5271857500002</v>
      </c>
      <c r="BE166" s="18">
        <f t="shared" si="621"/>
        <v>7783.5271857500002</v>
      </c>
      <c r="BF166" s="18">
        <f t="shared" si="621"/>
        <v>7783.5271857500002</v>
      </c>
      <c r="BG166" s="18">
        <f t="shared" si="621"/>
        <v>-7673.5953272499992</v>
      </c>
    </row>
    <row r="167" spans="2:59" x14ac:dyDescent="0.25">
      <c r="C167" t="s">
        <v>20</v>
      </c>
      <c r="D167" s="7" t="s">
        <v>434</v>
      </c>
      <c r="E167" s="18">
        <f xml:space="preserve"> 207.19 + 0.121824 * E106</f>
        <v>143.62832800000001</v>
      </c>
      <c r="F167" s="18">
        <f t="shared" ref="F167:X167" si="622" xml:space="preserve"> 207.19 + 0.121824 * F106</f>
        <v>-2304.303128</v>
      </c>
      <c r="G167" s="18">
        <f t="shared" si="622"/>
        <v>207.22045599999998</v>
      </c>
      <c r="H167" s="18">
        <f t="shared" si="622"/>
        <v>205.758568</v>
      </c>
      <c r="I167" s="18">
        <f t="shared" si="622"/>
        <v>187.72861599999999</v>
      </c>
      <c r="J167" s="18">
        <f t="shared" si="622"/>
        <v>188.33773600000001</v>
      </c>
      <c r="K167" s="18">
        <f t="shared" si="622"/>
        <v>189.190504</v>
      </c>
      <c r="L167" s="18">
        <f t="shared" si="622"/>
        <v>189.79962399999999</v>
      </c>
      <c r="M167" s="18">
        <f t="shared" si="622"/>
        <v>56.524168000000003</v>
      </c>
      <c r="N167" s="18">
        <f t="shared" si="622"/>
        <v>-395.44287200000002</v>
      </c>
      <c r="O167" s="18">
        <f t="shared" si="622"/>
        <v>-393.85916000000003</v>
      </c>
      <c r="P167" s="18">
        <f t="shared" si="622"/>
        <v>-1544.7304879999999</v>
      </c>
      <c r="Q167" s="18">
        <f t="shared" si="622"/>
        <v>-2990.050424</v>
      </c>
      <c r="R167" s="18">
        <f t="shared" si="622"/>
        <v>-2990.1722479999999</v>
      </c>
      <c r="S167" s="18">
        <f t="shared" si="622"/>
        <v>-4312.3281200000001</v>
      </c>
      <c r="T167" s="18">
        <f t="shared" si="622"/>
        <v>-4312.6935920000005</v>
      </c>
      <c r="U167" s="18">
        <f t="shared" si="622"/>
        <v>-4313.6681840000001</v>
      </c>
      <c r="V167" s="18">
        <f t="shared" si="622"/>
        <v>-9906.2425519999997</v>
      </c>
      <c r="W167" s="18">
        <f t="shared" si="622"/>
        <v>188.094088</v>
      </c>
      <c r="X167" s="18">
        <f t="shared" si="622"/>
        <v>195.647176</v>
      </c>
      <c r="Y167" s="18">
        <f xml:space="preserve"> 207.19 + 0.121824 * Y106</f>
        <v>172.74426399999999</v>
      </c>
      <c r="Z167" s="18">
        <f t="shared" ref="Z167:AE167" si="623" xml:space="preserve"> 207.19 + 0.121824 * Z106</f>
        <v>273.49271199999998</v>
      </c>
      <c r="AA167" s="18">
        <f t="shared" si="623"/>
        <v>207.22045599999998</v>
      </c>
      <c r="AB167" s="18">
        <f t="shared" si="623"/>
        <v>138.633544</v>
      </c>
      <c r="AC167" s="18">
        <f t="shared" si="623"/>
        <v>175.42439200000001</v>
      </c>
      <c r="AD167" s="18">
        <f t="shared" si="623"/>
        <v>189.55597599999999</v>
      </c>
      <c r="AE167" s="18">
        <f t="shared" si="623"/>
        <v>172.74426399999999</v>
      </c>
      <c r="AF167" s="18">
        <f t="shared" ref="AF167:BG167" si="624" xml:space="preserve"> 207.19 + 0.121824 * AF106</f>
        <v>196.621768</v>
      </c>
      <c r="AG167" s="18">
        <f t="shared" si="624"/>
        <v>196.37812</v>
      </c>
      <c r="AH167" s="18">
        <f t="shared" si="624"/>
        <v>193.94164000000001</v>
      </c>
      <c r="AI167" s="18">
        <f t="shared" si="624"/>
        <v>195.525352</v>
      </c>
      <c r="AJ167" s="18">
        <f t="shared" si="624"/>
        <v>197.23088799999999</v>
      </c>
      <c r="AK167" s="18">
        <f t="shared" si="624"/>
        <v>-67.005368000000033</v>
      </c>
      <c r="AL167" s="18">
        <f t="shared" si="624"/>
        <v>193.21069599999998</v>
      </c>
      <c r="AM167" s="18">
        <f t="shared" si="624"/>
        <v>-1868.295032</v>
      </c>
      <c r="AN167" s="18">
        <f t="shared" si="624"/>
        <v>207.585928</v>
      </c>
      <c r="AO167" s="18">
        <f t="shared" si="624"/>
        <v>-2804.75612</v>
      </c>
      <c r="AP167" s="18">
        <f t="shared" si="624"/>
        <v>241.453</v>
      </c>
      <c r="AQ167" s="18">
        <f t="shared" si="624"/>
        <v>241.453</v>
      </c>
      <c r="AR167" s="18">
        <f t="shared" si="624"/>
        <v>241.57482400000001</v>
      </c>
      <c r="AS167" s="18">
        <f t="shared" si="624"/>
        <v>241.57482400000001</v>
      </c>
      <c r="AT167" s="18">
        <f t="shared" si="624"/>
        <v>241.57482400000001</v>
      </c>
      <c r="AU167" s="18">
        <f t="shared" si="624"/>
        <v>167.14035999999999</v>
      </c>
      <c r="AV167" s="18">
        <f t="shared" si="624"/>
        <v>203.68755999999999</v>
      </c>
      <c r="AW167" s="18">
        <f t="shared" si="624"/>
        <v>109.27396</v>
      </c>
      <c r="AX167" s="18">
        <f t="shared" si="624"/>
        <v>142.89738399999999</v>
      </c>
      <c r="AY167" s="18">
        <f t="shared" si="624"/>
        <v>241.69664799999998</v>
      </c>
      <c r="AZ167" s="18">
        <f t="shared" si="624"/>
        <v>241.69664799999998</v>
      </c>
      <c r="BA167" s="18">
        <f t="shared" si="624"/>
        <v>241.81847199999999</v>
      </c>
      <c r="BB167" s="18">
        <f t="shared" si="624"/>
        <v>241.81847199999999</v>
      </c>
      <c r="BC167" s="18">
        <f t="shared" si="624"/>
        <v>241.81847199999999</v>
      </c>
      <c r="BD167" s="18">
        <f t="shared" si="624"/>
        <v>241.81847199999999</v>
      </c>
      <c r="BE167" s="18">
        <f t="shared" si="624"/>
        <v>241.81847199999999</v>
      </c>
      <c r="BF167" s="18">
        <f t="shared" si="624"/>
        <v>241.81847199999999</v>
      </c>
      <c r="BG167" s="18">
        <f t="shared" si="624"/>
        <v>172.74426399999999</v>
      </c>
    </row>
    <row r="168" spans="2:59" x14ac:dyDescent="0.25">
      <c r="C168" t="s">
        <v>21</v>
      </c>
      <c r="D168" s="7" t="s">
        <v>435</v>
      </c>
      <c r="E168" s="18">
        <f xml:space="preserve"> 291.34 + 1.844379 * E106</f>
        <v>-670.96474325000008</v>
      </c>
      <c r="F168" s="18">
        <f t="shared" ref="F168:X168" si="625" xml:space="preserve"> 291.34 + 1.844379 * F106</f>
        <v>-37731.916369250001</v>
      </c>
      <c r="G168" s="18">
        <f t="shared" si="625"/>
        <v>291.80109474999995</v>
      </c>
      <c r="H168" s="18">
        <f t="shared" si="625"/>
        <v>269.66854674999996</v>
      </c>
      <c r="I168" s="18">
        <f t="shared" si="625"/>
        <v>-3.2995452500000511</v>
      </c>
      <c r="J168" s="18">
        <f t="shared" si="625"/>
        <v>5.9223497499999667</v>
      </c>
      <c r="K168" s="18">
        <f t="shared" si="625"/>
        <v>18.833002749999991</v>
      </c>
      <c r="L168" s="18">
        <f t="shared" si="625"/>
        <v>28.054897749999952</v>
      </c>
      <c r="M168" s="18">
        <f t="shared" si="625"/>
        <v>-1989.69572825</v>
      </c>
      <c r="N168" s="18">
        <f t="shared" si="625"/>
        <v>-8832.3418182499991</v>
      </c>
      <c r="O168" s="18">
        <f t="shared" si="625"/>
        <v>-8808.3648912499993</v>
      </c>
      <c r="P168" s="18">
        <f t="shared" si="625"/>
        <v>-26232.213304249999</v>
      </c>
      <c r="Q168" s="18">
        <f t="shared" si="625"/>
        <v>-48113.92576025</v>
      </c>
      <c r="R168" s="18">
        <f t="shared" si="625"/>
        <v>-48115.770139250002</v>
      </c>
      <c r="S168" s="18">
        <f t="shared" si="625"/>
        <v>-68132.815426250003</v>
      </c>
      <c r="T168" s="18">
        <f t="shared" si="625"/>
        <v>-68138.348563250009</v>
      </c>
      <c r="U168" s="18">
        <f t="shared" si="625"/>
        <v>-68153.10359525001</v>
      </c>
      <c r="V168" s="18">
        <f t="shared" si="625"/>
        <v>-152823.01034825001</v>
      </c>
      <c r="W168" s="18">
        <f t="shared" si="625"/>
        <v>2.2335917499999596</v>
      </c>
      <c r="X168" s="18">
        <f t="shared" si="625"/>
        <v>116.58508974999998</v>
      </c>
      <c r="Y168" s="18">
        <f xml:space="preserve"> 291.34 + 1.844379 * Y106</f>
        <v>-230.15816224999998</v>
      </c>
      <c r="Z168" s="18">
        <f t="shared" ref="Z168:AE168" si="626" xml:space="preserve"> 291.34 + 1.844379 * Z106</f>
        <v>1295.1432707500001</v>
      </c>
      <c r="AA168" s="18">
        <f t="shared" si="626"/>
        <v>291.80109474999995</v>
      </c>
      <c r="AB168" s="18">
        <f t="shared" si="626"/>
        <v>-746.58428225000011</v>
      </c>
      <c r="AC168" s="18">
        <f t="shared" si="626"/>
        <v>-189.58182425000001</v>
      </c>
      <c r="AD168" s="18">
        <f t="shared" si="626"/>
        <v>24.366139750000002</v>
      </c>
      <c r="AE168" s="18">
        <f t="shared" si="626"/>
        <v>-230.15816224999998</v>
      </c>
      <c r="AF168" s="18">
        <f t="shared" ref="AF168:BG168" si="627" xml:space="preserve"> 291.34 + 1.844379 * AF106</f>
        <v>131.34012174999998</v>
      </c>
      <c r="AG168" s="18">
        <f t="shared" si="627"/>
        <v>127.65136374999997</v>
      </c>
      <c r="AH168" s="18">
        <f t="shared" si="627"/>
        <v>90.763783749999988</v>
      </c>
      <c r="AI168" s="18">
        <f t="shared" si="627"/>
        <v>114.74071074999998</v>
      </c>
      <c r="AJ168" s="18">
        <f t="shared" si="627"/>
        <v>140.56201674999997</v>
      </c>
      <c r="AK168" s="18">
        <f t="shared" si="627"/>
        <v>-3859.8960342499995</v>
      </c>
      <c r="AL168" s="18">
        <f t="shared" si="627"/>
        <v>79.697509749999966</v>
      </c>
      <c r="AM168" s="18">
        <f t="shared" si="627"/>
        <v>-31130.883928250001</v>
      </c>
      <c r="AN168" s="18">
        <f t="shared" si="627"/>
        <v>297.33423174999996</v>
      </c>
      <c r="AO168" s="18">
        <f t="shared" si="627"/>
        <v>-45308.625301250002</v>
      </c>
      <c r="AP168" s="18">
        <f t="shared" si="627"/>
        <v>810.07159374999992</v>
      </c>
      <c r="AQ168" s="18">
        <f t="shared" si="627"/>
        <v>810.07159374999992</v>
      </c>
      <c r="AR168" s="18">
        <f t="shared" si="627"/>
        <v>811.91597275000004</v>
      </c>
      <c r="AS168" s="18">
        <f t="shared" si="627"/>
        <v>811.91597275000004</v>
      </c>
      <c r="AT168" s="18">
        <f t="shared" si="627"/>
        <v>811.91597275000004</v>
      </c>
      <c r="AU168" s="18">
        <f t="shared" si="627"/>
        <v>-314.99959625000002</v>
      </c>
      <c r="AV168" s="18">
        <f t="shared" si="627"/>
        <v>238.31410374999996</v>
      </c>
      <c r="AW168" s="18">
        <f t="shared" si="627"/>
        <v>-1191.0796212500002</v>
      </c>
      <c r="AX168" s="18">
        <f t="shared" si="627"/>
        <v>-682.0310172500001</v>
      </c>
      <c r="AY168" s="18">
        <f t="shared" si="627"/>
        <v>813.76035174999993</v>
      </c>
      <c r="AZ168" s="18">
        <f t="shared" si="627"/>
        <v>813.76035174999993</v>
      </c>
      <c r="BA168" s="18">
        <f t="shared" si="627"/>
        <v>815.60473075000004</v>
      </c>
      <c r="BB168" s="18">
        <f t="shared" si="627"/>
        <v>815.60473075000004</v>
      </c>
      <c r="BC168" s="18">
        <f t="shared" si="627"/>
        <v>815.60473075000004</v>
      </c>
      <c r="BD168" s="18">
        <f t="shared" si="627"/>
        <v>815.60473075000004</v>
      </c>
      <c r="BE168" s="18">
        <f t="shared" si="627"/>
        <v>815.60473075000004</v>
      </c>
      <c r="BF168" s="18">
        <f t="shared" si="627"/>
        <v>815.60473075000004</v>
      </c>
      <c r="BG168" s="18">
        <f t="shared" si="627"/>
        <v>-230.15816224999998</v>
      </c>
    </row>
    <row r="169" spans="2:59" x14ac:dyDescent="0.25">
      <c r="C169" t="s">
        <v>22</v>
      </c>
      <c r="D169" s="7" t="s">
        <v>436</v>
      </c>
      <c r="E169" s="18">
        <f xml:space="preserve"> 161.72 + 24.198154 * E106</f>
        <v>-12463.666849499999</v>
      </c>
      <c r="F169" s="18">
        <f t="shared" ref="F169:X169" si="628" xml:space="preserve"> 161.72 + 24.198154 * F106</f>
        <v>-498701.3733255</v>
      </c>
      <c r="G169" s="18">
        <f t="shared" si="628"/>
        <v>167.76953850000001</v>
      </c>
      <c r="H169" s="18">
        <f t="shared" si="628"/>
        <v>-122.60830949999999</v>
      </c>
      <c r="I169" s="18">
        <f t="shared" si="628"/>
        <v>-3703.9351015000002</v>
      </c>
      <c r="J169" s="18">
        <f t="shared" si="628"/>
        <v>-3582.9443314999999</v>
      </c>
      <c r="K169" s="18">
        <f t="shared" si="628"/>
        <v>-3413.5572535000001</v>
      </c>
      <c r="L169" s="18">
        <f t="shared" si="628"/>
        <v>-3292.5664835000002</v>
      </c>
      <c r="M169" s="18">
        <f t="shared" si="628"/>
        <v>-29765.346959499999</v>
      </c>
      <c r="N169" s="18">
        <f t="shared" si="628"/>
        <v>-119540.49829949999</v>
      </c>
      <c r="O169" s="18">
        <f t="shared" si="628"/>
        <v>-119225.92229749999</v>
      </c>
      <c r="P169" s="18">
        <f t="shared" si="628"/>
        <v>-347825.88313550001</v>
      </c>
      <c r="Q169" s="18">
        <f t="shared" si="628"/>
        <v>-634912.78219149995</v>
      </c>
      <c r="R169" s="18">
        <f t="shared" si="628"/>
        <v>-634936.98034550005</v>
      </c>
      <c r="S169" s="18">
        <f t="shared" si="628"/>
        <v>-897559.54570749996</v>
      </c>
      <c r="T169" s="18">
        <f t="shared" si="628"/>
        <v>-897632.14016950002</v>
      </c>
      <c r="U169" s="18">
        <f t="shared" si="628"/>
        <v>-897825.72540150001</v>
      </c>
      <c r="V169" s="18">
        <f t="shared" si="628"/>
        <v>-2008690.3810794998</v>
      </c>
      <c r="W169" s="18">
        <f t="shared" si="628"/>
        <v>-3631.3406395000002</v>
      </c>
      <c r="X169" s="18">
        <f t="shared" si="628"/>
        <v>-2131.0550914999999</v>
      </c>
      <c r="Y169" s="18">
        <f xml:space="preserve"> 161.72 + 24.198154 * Y106</f>
        <v>-6680.3080434999993</v>
      </c>
      <c r="Z169" s="18">
        <f t="shared" ref="Z169:AE169" si="629" xml:space="preserve"> 161.72 + 24.198154 * Z106</f>
        <v>13331.565314499998</v>
      </c>
      <c r="AA169" s="18">
        <f t="shared" si="629"/>
        <v>167.76953850000001</v>
      </c>
      <c r="AB169" s="18">
        <f t="shared" si="629"/>
        <v>-13455.7911635</v>
      </c>
      <c r="AC169" s="18">
        <f t="shared" si="629"/>
        <v>-6147.9486554999994</v>
      </c>
      <c r="AD169" s="18">
        <f t="shared" si="629"/>
        <v>-3340.9627915000001</v>
      </c>
      <c r="AE169" s="18">
        <f t="shared" si="629"/>
        <v>-6680.3080434999993</v>
      </c>
      <c r="AF169" s="18">
        <f t="shared" ref="AF169:BG169" si="630" xml:space="preserve"> 161.72 + 24.198154 * AF106</f>
        <v>-1937.4698594999998</v>
      </c>
      <c r="AG169" s="18">
        <f t="shared" si="630"/>
        <v>-1985.8661675000001</v>
      </c>
      <c r="AH169" s="18">
        <f t="shared" si="630"/>
        <v>-2469.8292475000003</v>
      </c>
      <c r="AI169" s="18">
        <f t="shared" si="630"/>
        <v>-2155.2532455</v>
      </c>
      <c r="AJ169" s="18">
        <f t="shared" si="630"/>
        <v>-1816.4790894999999</v>
      </c>
      <c r="AK169" s="18">
        <f t="shared" si="630"/>
        <v>-54302.275115499993</v>
      </c>
      <c r="AL169" s="18">
        <f t="shared" si="630"/>
        <v>-2615.0181714999999</v>
      </c>
      <c r="AM169" s="18">
        <f t="shared" si="630"/>
        <v>-412096.18015949999</v>
      </c>
      <c r="AN169" s="18">
        <f t="shared" si="630"/>
        <v>240.36400049999997</v>
      </c>
      <c r="AO169" s="18">
        <f t="shared" si="630"/>
        <v>-598107.38995750004</v>
      </c>
      <c r="AP169" s="18">
        <f t="shared" si="630"/>
        <v>6967.4508125000002</v>
      </c>
      <c r="AQ169" s="18">
        <f t="shared" si="630"/>
        <v>6967.4508125000002</v>
      </c>
      <c r="AR169" s="18">
        <f t="shared" si="630"/>
        <v>6991.6489664999999</v>
      </c>
      <c r="AS169" s="18">
        <f t="shared" si="630"/>
        <v>6991.6489664999999</v>
      </c>
      <c r="AT169" s="18">
        <f t="shared" si="630"/>
        <v>6991.6489664999999</v>
      </c>
      <c r="AU169" s="18">
        <f t="shared" si="630"/>
        <v>-7793.4231274999993</v>
      </c>
      <c r="AV169" s="18">
        <f t="shared" si="630"/>
        <v>-533.97692749999999</v>
      </c>
      <c r="AW169" s="18">
        <f t="shared" si="630"/>
        <v>-19287.546277499998</v>
      </c>
      <c r="AX169" s="18">
        <f t="shared" si="630"/>
        <v>-12608.855773499999</v>
      </c>
      <c r="AY169" s="18">
        <f t="shared" si="630"/>
        <v>7015.8471204999996</v>
      </c>
      <c r="AZ169" s="18">
        <f t="shared" si="630"/>
        <v>7015.8471204999996</v>
      </c>
      <c r="BA169" s="18">
        <f t="shared" si="630"/>
        <v>7040.0452745000002</v>
      </c>
      <c r="BB169" s="18">
        <f t="shared" si="630"/>
        <v>7040.0452745000002</v>
      </c>
      <c r="BC169" s="18">
        <f t="shared" si="630"/>
        <v>7040.0452745000002</v>
      </c>
      <c r="BD169" s="18">
        <f t="shared" si="630"/>
        <v>7040.0452745000002</v>
      </c>
      <c r="BE169" s="18">
        <f t="shared" si="630"/>
        <v>7040.0452745000002</v>
      </c>
      <c r="BF169" s="18">
        <f t="shared" si="630"/>
        <v>7040.0452745000002</v>
      </c>
      <c r="BG169" s="18">
        <f t="shared" si="630"/>
        <v>-6680.3080434999993</v>
      </c>
    </row>
    <row r="170" spans="2:59" x14ac:dyDescent="0.25">
      <c r="C170" t="s">
        <v>23</v>
      </c>
      <c r="D170" s="7" t="s">
        <v>437</v>
      </c>
      <c r="E170" s="18">
        <f xml:space="preserve"> 239.56 + 25.513099 * E106</f>
        <v>-13071.899403250001</v>
      </c>
      <c r="F170" s="18">
        <f t="shared" ref="F170:X170" si="631" xml:space="preserve"> 239.56 + 25.513099 * F106</f>
        <v>-525732.11070924997</v>
      </c>
      <c r="G170" s="18">
        <f t="shared" si="631"/>
        <v>245.93827475000001</v>
      </c>
      <c r="H170" s="18">
        <f t="shared" si="631"/>
        <v>-60.218913250000014</v>
      </c>
      <c r="I170" s="18">
        <f t="shared" si="631"/>
        <v>-3836.1575652500001</v>
      </c>
      <c r="J170" s="18">
        <f t="shared" si="631"/>
        <v>-3708.5920702500002</v>
      </c>
      <c r="K170" s="18">
        <f t="shared" si="631"/>
        <v>-3530.0003772499999</v>
      </c>
      <c r="L170" s="18">
        <f t="shared" si="631"/>
        <v>-3402.4348822500001</v>
      </c>
      <c r="M170" s="18">
        <f t="shared" si="631"/>
        <v>-31313.765188249999</v>
      </c>
      <c r="N170" s="18">
        <f t="shared" si="631"/>
        <v>-125967.36247825</v>
      </c>
      <c r="O170" s="18">
        <f t="shared" si="631"/>
        <v>-125635.69219125001</v>
      </c>
      <c r="P170" s="18">
        <f t="shared" si="631"/>
        <v>-366657.93844425003</v>
      </c>
      <c r="Q170" s="18">
        <f t="shared" si="631"/>
        <v>-669345.34498025</v>
      </c>
      <c r="R170" s="18">
        <f t="shared" si="631"/>
        <v>-669370.85807924997</v>
      </c>
      <c r="S170" s="18">
        <f t="shared" si="631"/>
        <v>-946264.52152624994</v>
      </c>
      <c r="T170" s="18">
        <f t="shared" si="631"/>
        <v>-946341.06082324998</v>
      </c>
      <c r="U170" s="18">
        <f t="shared" si="631"/>
        <v>-946545.16561525001</v>
      </c>
      <c r="V170" s="18">
        <f t="shared" si="631"/>
        <v>-2117775.0014082501</v>
      </c>
      <c r="W170" s="18">
        <f t="shared" si="631"/>
        <v>-3759.6182682500003</v>
      </c>
      <c r="X170" s="18">
        <f t="shared" si="631"/>
        <v>-2177.80613025</v>
      </c>
      <c r="Y170" s="18">
        <f xml:space="preserve"> 239.56 + 25.513099 * Y106</f>
        <v>-6974.2687422499994</v>
      </c>
      <c r="Z170" s="18">
        <f t="shared" ref="Z170:AE170" si="632" xml:space="preserve"> 239.56 + 25.513099 * Z106</f>
        <v>14125.064130749999</v>
      </c>
      <c r="AA170" s="18">
        <f t="shared" si="632"/>
        <v>245.93827475000001</v>
      </c>
      <c r="AB170" s="18">
        <f t="shared" si="632"/>
        <v>-14117.936462250002</v>
      </c>
      <c r="AC170" s="18">
        <f t="shared" si="632"/>
        <v>-6412.9805642499996</v>
      </c>
      <c r="AD170" s="18">
        <f t="shared" si="632"/>
        <v>-3453.4610802500001</v>
      </c>
      <c r="AE170" s="18">
        <f t="shared" si="632"/>
        <v>-6974.2687422499994</v>
      </c>
      <c r="AF170" s="18">
        <f t="shared" ref="AF170:BG170" si="633" xml:space="preserve"> 239.56 + 25.513099 * AF106</f>
        <v>-1973.7013382499999</v>
      </c>
      <c r="AG170" s="18">
        <f t="shared" si="633"/>
        <v>-2024.72753625</v>
      </c>
      <c r="AH170" s="18">
        <f t="shared" si="633"/>
        <v>-2534.9895162500002</v>
      </c>
      <c r="AI170" s="18">
        <f t="shared" si="633"/>
        <v>-2203.3192292500003</v>
      </c>
      <c r="AJ170" s="18">
        <f t="shared" si="633"/>
        <v>-1846.1358432500001</v>
      </c>
      <c r="AK170" s="18">
        <f t="shared" si="633"/>
        <v>-57184.047574250006</v>
      </c>
      <c r="AL170" s="18">
        <f t="shared" si="633"/>
        <v>-2688.0681102500002</v>
      </c>
      <c r="AM170" s="18">
        <f t="shared" si="633"/>
        <v>-434420.72938825004</v>
      </c>
      <c r="AN170" s="18">
        <f t="shared" si="633"/>
        <v>322.47757175000004</v>
      </c>
      <c r="AO170" s="18">
        <f t="shared" si="633"/>
        <v>-630539.92140124994</v>
      </c>
      <c r="AP170" s="18">
        <f t="shared" si="633"/>
        <v>7415.1190937500005</v>
      </c>
      <c r="AQ170" s="18">
        <f t="shared" si="633"/>
        <v>7415.1190937500005</v>
      </c>
      <c r="AR170" s="18">
        <f t="shared" si="633"/>
        <v>7440.6321927500003</v>
      </c>
      <c r="AS170" s="18">
        <f t="shared" si="633"/>
        <v>7440.6321927500003</v>
      </c>
      <c r="AT170" s="18">
        <f t="shared" si="633"/>
        <v>7440.6321927500003</v>
      </c>
      <c r="AU170" s="18">
        <f t="shared" si="633"/>
        <v>-8147.8712962500003</v>
      </c>
      <c r="AV170" s="18">
        <f t="shared" si="633"/>
        <v>-493.94159625000003</v>
      </c>
      <c r="AW170" s="18">
        <f t="shared" si="633"/>
        <v>-20266.593321249999</v>
      </c>
      <c r="AX170" s="18">
        <f t="shared" si="633"/>
        <v>-13224.97799725</v>
      </c>
      <c r="AY170" s="18">
        <f t="shared" si="633"/>
        <v>7466.1452917500001</v>
      </c>
      <c r="AZ170" s="18">
        <f t="shared" si="633"/>
        <v>7466.1452917500001</v>
      </c>
      <c r="BA170" s="18">
        <f t="shared" si="633"/>
        <v>7491.6583907500008</v>
      </c>
      <c r="BB170" s="18">
        <f t="shared" si="633"/>
        <v>7491.6583907500008</v>
      </c>
      <c r="BC170" s="18">
        <f t="shared" si="633"/>
        <v>7491.6583907500008</v>
      </c>
      <c r="BD170" s="18">
        <f t="shared" si="633"/>
        <v>7491.6583907500008</v>
      </c>
      <c r="BE170" s="18">
        <f t="shared" si="633"/>
        <v>7491.6583907500008</v>
      </c>
      <c r="BF170" s="18">
        <f t="shared" si="633"/>
        <v>7491.6583907500008</v>
      </c>
      <c r="BG170" s="18">
        <f t="shared" si="633"/>
        <v>-6974.2687422499994</v>
      </c>
    </row>
    <row r="171" spans="2:59" x14ac:dyDescent="0.25">
      <c r="B171" s="8"/>
      <c r="C171" t="s">
        <v>24</v>
      </c>
      <c r="D171" s="86" t="s">
        <v>438</v>
      </c>
      <c r="E171" s="87">
        <f xml:space="preserve"> 331.55 + 3.592518 * E106</f>
        <v>-1542.8462665000002</v>
      </c>
      <c r="F171" s="87">
        <f t="shared" ref="F171:X171" si="634" xml:space="preserve"> 331.55 + 3.592518 * F106</f>
        <v>-73730.902958499995</v>
      </c>
      <c r="G171" s="87">
        <f t="shared" si="634"/>
        <v>332.44812949999999</v>
      </c>
      <c r="H171" s="87">
        <f t="shared" si="634"/>
        <v>289.33791350000001</v>
      </c>
      <c r="I171" s="87">
        <f t="shared" si="634"/>
        <v>-242.35475049999997</v>
      </c>
      <c r="J171" s="87">
        <f t="shared" si="634"/>
        <v>-224.39216049999999</v>
      </c>
      <c r="K171" s="87">
        <f t="shared" si="634"/>
        <v>-199.24453450000004</v>
      </c>
      <c r="L171" s="87">
        <f t="shared" si="634"/>
        <v>-181.28194449999995</v>
      </c>
      <c r="M171" s="87">
        <f t="shared" si="634"/>
        <v>-4111.4966365</v>
      </c>
      <c r="N171" s="87">
        <f t="shared" si="634"/>
        <v>-17439.7384165</v>
      </c>
      <c r="O171" s="87">
        <f t="shared" si="634"/>
        <v>-17393.035682500002</v>
      </c>
      <c r="P171" s="87">
        <f t="shared" si="634"/>
        <v>-51331.553228500001</v>
      </c>
      <c r="Q171" s="87">
        <f t="shared" si="634"/>
        <v>-93953.186780499993</v>
      </c>
      <c r="R171" s="87">
        <f t="shared" si="634"/>
        <v>-93956.779298499998</v>
      </c>
      <c r="S171" s="87">
        <f t="shared" si="634"/>
        <v>-132946.3771525</v>
      </c>
      <c r="T171" s="87">
        <f t="shared" si="634"/>
        <v>-132957.1547065</v>
      </c>
      <c r="U171" s="87">
        <f t="shared" si="634"/>
        <v>-132985.89485050002</v>
      </c>
      <c r="V171" s="87">
        <f t="shared" si="634"/>
        <v>-297907.61867650005</v>
      </c>
      <c r="W171" s="87">
        <f t="shared" si="634"/>
        <v>-231.57719649999996</v>
      </c>
      <c r="X171" s="87">
        <f t="shared" si="634"/>
        <v>-8.8410804999999755</v>
      </c>
      <c r="Y171" s="87">
        <f xml:space="preserve"> 331.55 + 3.592518 * Y106</f>
        <v>-684.23446450000006</v>
      </c>
      <c r="Z171" s="87">
        <f t="shared" ref="Z171:AE171" si="635" xml:space="preserve"> 331.55 + 3.592518 * Z106</f>
        <v>2286.7779215</v>
      </c>
      <c r="AA171" s="87">
        <f t="shared" si="635"/>
        <v>332.44812949999999</v>
      </c>
      <c r="AB171" s="87">
        <f t="shared" si="635"/>
        <v>-1690.1395045000002</v>
      </c>
      <c r="AC171" s="87">
        <f t="shared" si="635"/>
        <v>-605.19906850000007</v>
      </c>
      <c r="AD171" s="87">
        <f t="shared" si="635"/>
        <v>-188.46698050000003</v>
      </c>
      <c r="AE171" s="87">
        <f t="shared" si="635"/>
        <v>-684.23446450000006</v>
      </c>
      <c r="AF171" s="87">
        <f t="shared" ref="AF171:BG171" si="636" xml:space="preserve"> 331.55 + 3.592518 * AF106</f>
        <v>19.899063500000011</v>
      </c>
      <c r="AG171" s="87">
        <f t="shared" si="636"/>
        <v>12.714027499999986</v>
      </c>
      <c r="AH171" s="87">
        <f t="shared" si="636"/>
        <v>-59.13633249999998</v>
      </c>
      <c r="AI171" s="87">
        <f t="shared" si="636"/>
        <v>-12.433598500000016</v>
      </c>
      <c r="AJ171" s="87">
        <f t="shared" si="636"/>
        <v>37.861653499999989</v>
      </c>
      <c r="AK171" s="87">
        <f t="shared" si="636"/>
        <v>-7754.3098884999999</v>
      </c>
      <c r="AL171" s="87">
        <f t="shared" si="636"/>
        <v>-80.691440499999999</v>
      </c>
      <c r="AM171" s="87">
        <f t="shared" si="636"/>
        <v>-60873.281036499997</v>
      </c>
      <c r="AN171" s="87">
        <f t="shared" si="636"/>
        <v>343.2256835</v>
      </c>
      <c r="AO171" s="87">
        <f t="shared" si="636"/>
        <v>-88488.966902500004</v>
      </c>
      <c r="AP171" s="87">
        <f t="shared" si="636"/>
        <v>1341.9456875000001</v>
      </c>
      <c r="AQ171" s="87">
        <f t="shared" si="636"/>
        <v>1341.9456875000001</v>
      </c>
      <c r="AR171" s="87">
        <f t="shared" si="636"/>
        <v>1345.5382055</v>
      </c>
      <c r="AS171" s="87">
        <f t="shared" si="636"/>
        <v>1345.5382055</v>
      </c>
      <c r="AT171" s="87">
        <f t="shared" si="636"/>
        <v>1345.5382055</v>
      </c>
      <c r="AU171" s="87">
        <f t="shared" si="636"/>
        <v>-849.49029250000012</v>
      </c>
      <c r="AV171" s="87">
        <f t="shared" si="636"/>
        <v>228.2651075</v>
      </c>
      <c r="AW171" s="87">
        <f t="shared" si="636"/>
        <v>-2555.9363424999997</v>
      </c>
      <c r="AX171" s="87">
        <f t="shared" si="636"/>
        <v>-1564.4013745000002</v>
      </c>
      <c r="AY171" s="87">
        <f t="shared" si="636"/>
        <v>1349.1307234999999</v>
      </c>
      <c r="AZ171" s="87">
        <f t="shared" si="636"/>
        <v>1349.1307234999999</v>
      </c>
      <c r="BA171" s="87">
        <f t="shared" si="636"/>
        <v>1352.7232415000001</v>
      </c>
      <c r="BB171" s="87">
        <f t="shared" si="636"/>
        <v>1352.7232415000001</v>
      </c>
      <c r="BC171" s="87">
        <f t="shared" si="636"/>
        <v>1352.7232415000001</v>
      </c>
      <c r="BD171" s="87">
        <f t="shared" si="636"/>
        <v>1352.7232415000001</v>
      </c>
      <c r="BE171" s="87">
        <f t="shared" si="636"/>
        <v>1352.7232415000001</v>
      </c>
      <c r="BF171" s="87">
        <f t="shared" si="636"/>
        <v>1352.7232415000001</v>
      </c>
      <c r="BG171" s="87">
        <f t="shared" si="636"/>
        <v>-684.23446450000006</v>
      </c>
    </row>
    <row r="172" spans="2:59" x14ac:dyDescent="0.25">
      <c r="B172">
        <v>352</v>
      </c>
      <c r="C172" t="s">
        <v>157</v>
      </c>
      <c r="D172"/>
    </row>
    <row r="173" spans="2:59" x14ac:dyDescent="0.25">
      <c r="C173" t="s">
        <v>143</v>
      </c>
      <c r="D173" s="7" t="s">
        <v>425</v>
      </c>
      <c r="E173" s="18">
        <f t="shared" ref="E173:AJ173" si="637">0.000325 * SIN( E158  * Deg2Rad )</f>
        <v>-2.9142903769307143E-4</v>
      </c>
      <c r="F173" s="18">
        <f t="shared" si="637"/>
        <v>-2.8938393268481809E-4</v>
      </c>
      <c r="G173" s="18">
        <f t="shared" si="637"/>
        <v>-2.8203264611771075E-4</v>
      </c>
      <c r="H173" s="18">
        <f t="shared" si="637"/>
        <v>-2.8559402741545653E-4</v>
      </c>
      <c r="I173" s="18">
        <f t="shared" si="637"/>
        <v>-3.17158811737969E-4</v>
      </c>
      <c r="J173" s="18">
        <f t="shared" si="637"/>
        <v>-3.1647976325346639E-4</v>
      </c>
      <c r="K173" s="18">
        <f t="shared" si="637"/>
        <v>-3.1548239715500491E-4</v>
      </c>
      <c r="L173" s="18">
        <f t="shared" si="637"/>
        <v>-3.1473672211323751E-4</v>
      </c>
      <c r="M173" s="18">
        <f t="shared" si="637"/>
        <v>7.3529161310239126E-5</v>
      </c>
      <c r="N173" s="18">
        <f t="shared" si="637"/>
        <v>2.5504266435492765E-4</v>
      </c>
      <c r="O173" s="18">
        <f t="shared" si="637"/>
        <v>2.5005550484330432E-4</v>
      </c>
      <c r="P173" s="18">
        <f t="shared" si="637"/>
        <v>-7.8197174871006656E-5</v>
      </c>
      <c r="Q173" s="18">
        <f t="shared" si="637"/>
        <v>-1.8460401295620919E-5</v>
      </c>
      <c r="R173" s="18">
        <f t="shared" si="637"/>
        <v>-1.907041967735438E-5</v>
      </c>
      <c r="S173" s="18">
        <f t="shared" si="637"/>
        <v>-3.2449791222496314E-4</v>
      </c>
      <c r="T173" s="18">
        <f t="shared" si="637"/>
        <v>-3.2439075993714048E-4</v>
      </c>
      <c r="U173" s="18">
        <f t="shared" si="637"/>
        <v>-3.2405445528971624E-4</v>
      </c>
      <c r="V173" s="18">
        <f t="shared" si="637"/>
        <v>-1.0160419766484568E-4</v>
      </c>
      <c r="W173" s="18">
        <f t="shared" si="637"/>
        <v>-3.1675472262127763E-4</v>
      </c>
      <c r="X173" s="18">
        <f t="shared" si="637"/>
        <v>-3.0618191678965389E-4</v>
      </c>
      <c r="Y173" s="18">
        <f t="shared" si="637"/>
        <v>-3.2498217461529572E-4</v>
      </c>
      <c r="Z173" s="18">
        <f t="shared" si="637"/>
        <v>-1.0066599680669663E-5</v>
      </c>
      <c r="AA173" s="18">
        <f t="shared" si="637"/>
        <v>-2.8203264611771075E-4</v>
      </c>
      <c r="AB173" s="18">
        <f t="shared" si="637"/>
        <v>-2.7952218765259446E-4</v>
      </c>
      <c r="AC173" s="18">
        <f t="shared" si="637"/>
        <v>-3.2484616436902273E-4</v>
      </c>
      <c r="AD173" s="18">
        <f t="shared" si="637"/>
        <v>-3.1503831404133896E-4</v>
      </c>
      <c r="AE173" s="18">
        <f t="shared" si="637"/>
        <v>-3.2498217461529572E-4</v>
      </c>
      <c r="AF173" s="18">
        <f t="shared" si="637"/>
        <v>-3.0451308993912642E-4</v>
      </c>
      <c r="AG173" s="18">
        <f t="shared" si="637"/>
        <v>-3.0493673218768896E-4</v>
      </c>
      <c r="AH173" s="18">
        <f t="shared" si="637"/>
        <v>-3.0893644753123933E-4</v>
      </c>
      <c r="AI173" s="18">
        <f t="shared" si="637"/>
        <v>-3.0638568582245807E-4</v>
      </c>
      <c r="AJ173" s="18">
        <f t="shared" si="637"/>
        <v>-3.0343527041030532E-4</v>
      </c>
      <c r="AK173" s="18">
        <f t="shared" ref="AK173:BG173" si="638">0.000325 * SIN( AK158  * Deg2Rad )</f>
        <v>2.7558877919102773E-4</v>
      </c>
      <c r="AL173" s="18">
        <f t="shared" si="638"/>
        <v>-3.100519295431588E-4</v>
      </c>
      <c r="AM173" s="18">
        <f t="shared" si="638"/>
        <v>-3.2482993060314999E-4</v>
      </c>
      <c r="AN173" s="18">
        <f t="shared" si="638"/>
        <v>-2.8111993022417723E-4</v>
      </c>
      <c r="AO173" s="18">
        <f t="shared" si="638"/>
        <v>1.0807975011798827E-4</v>
      </c>
      <c r="AP173" s="18">
        <f t="shared" si="638"/>
        <v>-1.6260793406006212E-4</v>
      </c>
      <c r="AQ173" s="18">
        <f t="shared" si="638"/>
        <v>-1.6260793406006212E-4</v>
      </c>
      <c r="AR173" s="18">
        <f t="shared" si="638"/>
        <v>-1.620801539434922E-4</v>
      </c>
      <c r="AS173" s="18">
        <f t="shared" si="638"/>
        <v>-1.620801539434922E-4</v>
      </c>
      <c r="AT173" s="18">
        <f t="shared" si="638"/>
        <v>-1.620801539434922E-4</v>
      </c>
      <c r="AU173" s="18">
        <f t="shared" si="638"/>
        <v>-3.2348137590153687E-4</v>
      </c>
      <c r="AV173" s="18">
        <f t="shared" si="638"/>
        <v>-2.9039152482113857E-4</v>
      </c>
      <c r="AW173" s="18">
        <f t="shared" si="638"/>
        <v>-1.7908116370314673E-4</v>
      </c>
      <c r="AX173" s="18">
        <f t="shared" si="638"/>
        <v>-2.8979250257617841E-4</v>
      </c>
      <c r="AY173" s="18">
        <f t="shared" si="638"/>
        <v>-1.615518043378793E-4</v>
      </c>
      <c r="AZ173" s="18">
        <f t="shared" si="638"/>
        <v>-1.615518043378793E-4</v>
      </c>
      <c r="BA173" s="18">
        <f t="shared" si="638"/>
        <v>-1.6102288710002826E-4</v>
      </c>
      <c r="BB173" s="18">
        <f t="shared" si="638"/>
        <v>-1.6102288710002826E-4</v>
      </c>
      <c r="BC173" s="18">
        <f t="shared" si="638"/>
        <v>-1.6102288710002826E-4</v>
      </c>
      <c r="BD173" s="18">
        <f t="shared" si="638"/>
        <v>-1.6102288710002826E-4</v>
      </c>
      <c r="BE173" s="18">
        <f t="shared" si="638"/>
        <v>-1.6102288710002826E-4</v>
      </c>
      <c r="BF173" s="18">
        <f t="shared" si="638"/>
        <v>-1.6102288710002826E-4</v>
      </c>
      <c r="BG173" s="18">
        <f t="shared" si="638"/>
        <v>-3.2498217461529572E-4</v>
      </c>
    </row>
    <row r="174" spans="2:59" x14ac:dyDescent="0.25">
      <c r="C174" t="s">
        <v>144</v>
      </c>
      <c r="D174" s="7" t="s">
        <v>426</v>
      </c>
      <c r="E174" s="18">
        <f t="shared" ref="E174:AJ174" si="639">0.000165 * SIN( E159  * Deg2Rad )</f>
        <v>-1.4748966872105623E-4</v>
      </c>
      <c r="F174" s="18">
        <f t="shared" si="639"/>
        <v>-1.6426491806144117E-4</v>
      </c>
      <c r="G174" s="18">
        <f t="shared" si="639"/>
        <v>-1.5682084652093853E-4</v>
      </c>
      <c r="H174" s="18">
        <f t="shared" si="639"/>
        <v>-1.5664455609555974E-4</v>
      </c>
      <c r="I174" s="18">
        <f t="shared" si="639"/>
        <v>-1.5432047859525945E-4</v>
      </c>
      <c r="J174" s="18">
        <f t="shared" si="639"/>
        <v>-1.5440349524416434E-4</v>
      </c>
      <c r="K174" s="18">
        <f t="shared" si="639"/>
        <v>-1.5451919231046751E-4</v>
      </c>
      <c r="L174" s="18">
        <f t="shared" si="639"/>
        <v>-1.5460145695685992E-4</v>
      </c>
      <c r="M174" s="18">
        <f t="shared" si="639"/>
        <v>-1.2947918226886168E-4</v>
      </c>
      <c r="N174" s="18">
        <f t="shared" si="639"/>
        <v>2.5401755597794148E-5</v>
      </c>
      <c r="O174" s="18">
        <f t="shared" si="639"/>
        <v>2.4797852559093499E-5</v>
      </c>
      <c r="P174" s="18">
        <f t="shared" si="639"/>
        <v>4.8714186940330621E-5</v>
      </c>
      <c r="Q174" s="18">
        <f t="shared" si="639"/>
        <v>-1.0186360173479221E-5</v>
      </c>
      <c r="R174" s="18">
        <f t="shared" si="639"/>
        <v>-1.0139448307499065E-5</v>
      </c>
      <c r="S174" s="18">
        <f t="shared" si="639"/>
        <v>1.8367479117872623E-5</v>
      </c>
      <c r="T174" s="18">
        <f t="shared" si="639"/>
        <v>1.8227345469964126E-5</v>
      </c>
      <c r="U174" s="18">
        <f t="shared" si="639"/>
        <v>1.7853590943669731E-5</v>
      </c>
      <c r="V174" s="18">
        <f t="shared" si="639"/>
        <v>-6.4567053005804424E-5</v>
      </c>
      <c r="W174" s="18">
        <f t="shared" si="639"/>
        <v>-1.5437032616122615E-4</v>
      </c>
      <c r="X174" s="18">
        <f t="shared" si="639"/>
        <v>-1.5537521657796508E-4</v>
      </c>
      <c r="Y174" s="18">
        <f t="shared" si="639"/>
        <v>-1.5218012387186271E-4</v>
      </c>
      <c r="Z174" s="18">
        <f t="shared" si="639"/>
        <v>-1.6286027734444547E-4</v>
      </c>
      <c r="AA174" s="18">
        <f t="shared" si="639"/>
        <v>-1.5682084652093853E-4</v>
      </c>
      <c r="AB174" s="18">
        <f t="shared" si="639"/>
        <v>-1.4661571068869667E-4</v>
      </c>
      <c r="AC174" s="18">
        <f t="shared" si="639"/>
        <v>-1.5257674791802119E-4</v>
      </c>
      <c r="AD174" s="18">
        <f t="shared" si="639"/>
        <v>-1.545685887232014E-4</v>
      </c>
      <c r="AE174" s="18">
        <f t="shared" si="639"/>
        <v>-1.5218012387186271E-4</v>
      </c>
      <c r="AF174" s="18">
        <f t="shared" si="639"/>
        <v>-1.5550135629933531E-4</v>
      </c>
      <c r="AG174" s="18">
        <f t="shared" si="639"/>
        <v>-1.5546989705003539E-4</v>
      </c>
      <c r="AH174" s="18">
        <f t="shared" si="639"/>
        <v>-1.5515253090320238E-4</v>
      </c>
      <c r="AI174" s="18">
        <f t="shared" si="639"/>
        <v>-1.553593923654537E-4</v>
      </c>
      <c r="AJ174" s="18">
        <f t="shared" si="639"/>
        <v>-1.5557978358940203E-4</v>
      </c>
      <c r="AK174" s="18">
        <f t="shared" ref="AK174:BG174" si="640">0.000165 * SIN( AK159  * Deg2Rad )</f>
        <v>-9.4983061084785879E-5</v>
      </c>
      <c r="AL174" s="18">
        <f t="shared" si="640"/>
        <v>-1.5505633861090582E-4</v>
      </c>
      <c r="AM174" s="18">
        <f t="shared" si="640"/>
        <v>-7.2788504429082524E-5</v>
      </c>
      <c r="AN174" s="18">
        <f t="shared" si="640"/>
        <v>-1.5686463289883438E-4</v>
      </c>
      <c r="AO174" s="18">
        <f t="shared" si="640"/>
        <v>-7.8385963189185232E-5</v>
      </c>
      <c r="AP174" s="18">
        <f t="shared" si="640"/>
        <v>-1.6042103612960487E-4</v>
      </c>
      <c r="AQ174" s="18">
        <f t="shared" si="640"/>
        <v>-1.6042103612960487E-4</v>
      </c>
      <c r="AR174" s="18">
        <f t="shared" si="640"/>
        <v>-1.6043202551517684E-4</v>
      </c>
      <c r="AS174" s="18">
        <f t="shared" si="640"/>
        <v>-1.6043202551517684E-4</v>
      </c>
      <c r="AT174" s="18">
        <f t="shared" si="640"/>
        <v>-1.6043202551517684E-4</v>
      </c>
      <c r="AU174" s="18">
        <f t="shared" si="640"/>
        <v>-1.5133152499877841E-4</v>
      </c>
      <c r="AV174" s="18">
        <f t="shared" si="640"/>
        <v>-1.5639167867839888E-4</v>
      </c>
      <c r="AW174" s="18">
        <f t="shared" si="640"/>
        <v>-1.410783774835114E-4</v>
      </c>
      <c r="AX174" s="18">
        <f t="shared" si="640"/>
        <v>-1.4736302620050898E-4</v>
      </c>
      <c r="AY174" s="18">
        <f t="shared" si="640"/>
        <v>-1.6044300188289686E-4</v>
      </c>
      <c r="AZ174" s="18">
        <f t="shared" si="640"/>
        <v>-1.6044300188289686E-4</v>
      </c>
      <c r="BA174" s="18">
        <f t="shared" si="640"/>
        <v>-1.6045396523187426E-4</v>
      </c>
      <c r="BB174" s="18">
        <f t="shared" si="640"/>
        <v>-1.6045396523187426E-4</v>
      </c>
      <c r="BC174" s="18">
        <f t="shared" si="640"/>
        <v>-1.6045396523187426E-4</v>
      </c>
      <c r="BD174" s="18">
        <f t="shared" si="640"/>
        <v>-1.6045396523187426E-4</v>
      </c>
      <c r="BE174" s="18">
        <f t="shared" si="640"/>
        <v>-1.6045396523187426E-4</v>
      </c>
      <c r="BF174" s="18">
        <f t="shared" si="640"/>
        <v>-1.6045396523187426E-4</v>
      </c>
      <c r="BG174" s="18">
        <f t="shared" si="640"/>
        <v>-1.5218012387186271E-4</v>
      </c>
    </row>
    <row r="175" spans="2:59" x14ac:dyDescent="0.25">
      <c r="C175" t="s">
        <v>145</v>
      </c>
      <c r="D175" s="7" t="s">
        <v>427</v>
      </c>
      <c r="E175" s="18">
        <f t="shared" ref="E175:AJ175" si="641">0.000164 * SIN( E160  * Deg2Rad )</f>
        <v>7.2428736612747217E-5</v>
      </c>
      <c r="F175" s="18">
        <f t="shared" si="641"/>
        <v>4.7370536177611711E-5</v>
      </c>
      <c r="G175" s="18">
        <f t="shared" si="641"/>
        <v>-1.6070363947322572E-4</v>
      </c>
      <c r="H175" s="18">
        <f t="shared" si="641"/>
        <v>-1.4389272179403441E-4</v>
      </c>
      <c r="I175" s="18">
        <f t="shared" si="641"/>
        <v>-1.1759087593012775E-4</v>
      </c>
      <c r="J175" s="18">
        <f t="shared" si="641"/>
        <v>1.6383768496136655E-4</v>
      </c>
      <c r="K175" s="18">
        <f t="shared" si="641"/>
        <v>-1.6359773538077293E-4</v>
      </c>
      <c r="L175" s="18">
        <f t="shared" si="641"/>
        <v>1.2047410105579062E-4</v>
      </c>
      <c r="M175" s="18">
        <f t="shared" si="641"/>
        <v>1.2583342417609304E-4</v>
      </c>
      <c r="N175" s="18">
        <f t="shared" si="641"/>
        <v>2.3921004466172702E-5</v>
      </c>
      <c r="O175" s="18">
        <f t="shared" si="641"/>
        <v>6.1203331587847203E-5</v>
      </c>
      <c r="P175" s="18">
        <f t="shared" si="641"/>
        <v>4.9917061383249019E-5</v>
      </c>
      <c r="Q175" s="18">
        <f t="shared" si="641"/>
        <v>-1.6138007693091479E-4</v>
      </c>
      <c r="R175" s="18">
        <f t="shared" si="641"/>
        <v>-1.311362794079777E-4</v>
      </c>
      <c r="S175" s="18">
        <f t="shared" si="641"/>
        <v>1.4227690106618271E-4</v>
      </c>
      <c r="T175" s="18">
        <f t="shared" si="641"/>
        <v>-5.5502925296785866E-5</v>
      </c>
      <c r="U175" s="18">
        <f t="shared" si="641"/>
        <v>1.3097017449465161E-4</v>
      </c>
      <c r="V175" s="18">
        <f t="shared" si="641"/>
        <v>-1.6091705032545594E-4</v>
      </c>
      <c r="W175" s="18">
        <f t="shared" si="641"/>
        <v>9.2055853962105685E-5</v>
      </c>
      <c r="X175" s="18">
        <f t="shared" si="641"/>
        <v>-1.5047057912507045E-4</v>
      </c>
      <c r="Y175" s="18">
        <f t="shared" si="641"/>
        <v>-1.6309882609620466E-4</v>
      </c>
      <c r="Z175" s="18">
        <f t="shared" si="641"/>
        <v>-8.2430541180769416E-6</v>
      </c>
      <c r="AA175" s="18">
        <f t="shared" si="641"/>
        <v>-1.6070363947322572E-4</v>
      </c>
      <c r="AB175" s="18">
        <f t="shared" si="641"/>
        <v>3.8232583018974389E-5</v>
      </c>
      <c r="AC175" s="18">
        <f t="shared" si="641"/>
        <v>1.0017551468749539E-4</v>
      </c>
      <c r="AD175" s="18">
        <f t="shared" si="641"/>
        <v>-1.7229484396333097E-5</v>
      </c>
      <c r="AE175" s="18">
        <f t="shared" si="641"/>
        <v>-1.6309882609620466E-4</v>
      </c>
      <c r="AF175" s="18">
        <f t="shared" si="641"/>
        <v>1.6161716936352805E-4</v>
      </c>
      <c r="AG175" s="18">
        <f t="shared" si="641"/>
        <v>1.1891235951983953E-4</v>
      </c>
      <c r="AH175" s="18">
        <f t="shared" si="641"/>
        <v>-1.3172586039048717E-4</v>
      </c>
      <c r="AI175" s="18">
        <f t="shared" si="641"/>
        <v>-1.0522390239955728E-4</v>
      </c>
      <c r="AJ175" s="18">
        <f t="shared" si="641"/>
        <v>-1.3104220349024695E-4</v>
      </c>
      <c r="AK175" s="18">
        <f t="shared" ref="AK175:BG175" si="642">0.000164 * SIN( AK160  * Deg2Rad )</f>
        <v>6.9562446773959729E-5</v>
      </c>
      <c r="AL175" s="18">
        <f t="shared" si="642"/>
        <v>1.5726762314142E-4</v>
      </c>
      <c r="AM175" s="18">
        <f t="shared" si="642"/>
        <v>8.1227399410518683E-5</v>
      </c>
      <c r="AN175" s="18">
        <f t="shared" si="642"/>
        <v>-6.0242985452098338E-5</v>
      </c>
      <c r="AO175" s="18">
        <f t="shared" si="642"/>
        <v>1.4578110434686729E-4</v>
      </c>
      <c r="AP175" s="18">
        <f t="shared" si="642"/>
        <v>-2.1896968344872629E-5</v>
      </c>
      <c r="AQ175" s="18">
        <f t="shared" si="642"/>
        <v>-2.1896968344872629E-5</v>
      </c>
      <c r="AR175" s="18">
        <f t="shared" si="642"/>
        <v>-9.2476960357053159E-5</v>
      </c>
      <c r="AS175" s="18">
        <f t="shared" si="642"/>
        <v>-9.2476960357053159E-5</v>
      </c>
      <c r="AT175" s="18">
        <f t="shared" si="642"/>
        <v>-9.2476960357053159E-5</v>
      </c>
      <c r="AU175" s="18">
        <f t="shared" si="642"/>
        <v>1.2558992317713736E-4</v>
      </c>
      <c r="AV175" s="18">
        <f t="shared" si="642"/>
        <v>-7.08318014301154E-5</v>
      </c>
      <c r="AW175" s="18">
        <f t="shared" si="642"/>
        <v>1.5447496767943011E-4</v>
      </c>
      <c r="AX175" s="18">
        <f t="shared" si="642"/>
        <v>-1.1856100249069434E-4</v>
      </c>
      <c r="AY175" s="18">
        <f t="shared" si="642"/>
        <v>-1.4340530012810394E-4</v>
      </c>
      <c r="AZ175" s="18">
        <f t="shared" si="642"/>
        <v>-1.4340530012810394E-4</v>
      </c>
      <c r="BA175" s="18">
        <f t="shared" si="642"/>
        <v>-1.6385955125294328E-4</v>
      </c>
      <c r="BB175" s="18">
        <f t="shared" si="642"/>
        <v>-1.6385955125294328E-4</v>
      </c>
      <c r="BC175" s="18">
        <f t="shared" si="642"/>
        <v>-1.6385955125294328E-4</v>
      </c>
      <c r="BD175" s="18">
        <f t="shared" si="642"/>
        <v>-1.6385955125294328E-4</v>
      </c>
      <c r="BE175" s="18">
        <f t="shared" si="642"/>
        <v>-1.6385955125294328E-4</v>
      </c>
      <c r="BF175" s="18">
        <f t="shared" si="642"/>
        <v>-1.6385955125294328E-4</v>
      </c>
      <c r="BG175" s="18">
        <f t="shared" si="642"/>
        <v>-1.6309882609620466E-4</v>
      </c>
    </row>
    <row r="176" spans="2:59" x14ac:dyDescent="0.25">
      <c r="C176" t="s">
        <v>146</v>
      </c>
      <c r="D176" s="7" t="s">
        <v>428</v>
      </c>
      <c r="E176" s="18">
        <f t="shared" ref="E176:AJ176" si="643">0.000126 * SIN( E161  * Deg2Rad )</f>
        <v>1.1928461109256967E-4</v>
      </c>
      <c r="F176" s="18">
        <f t="shared" si="643"/>
        <v>-1.2449086972852555E-4</v>
      </c>
      <c r="G176" s="18">
        <f t="shared" si="643"/>
        <v>-3.2474702061393267E-6</v>
      </c>
      <c r="H176" s="18">
        <f t="shared" si="643"/>
        <v>-1.2343823777301766E-4</v>
      </c>
      <c r="I176" s="18">
        <f t="shared" si="643"/>
        <v>-1.1638638964877952E-4</v>
      </c>
      <c r="J176" s="18">
        <f t="shared" si="643"/>
        <v>1.1457379057611543E-4</v>
      </c>
      <c r="K176" s="18">
        <f t="shared" si="643"/>
        <v>2.0744756087152502E-5</v>
      </c>
      <c r="L176" s="18">
        <f t="shared" si="643"/>
        <v>-2.5203892352899329E-5</v>
      </c>
      <c r="M176" s="18">
        <f t="shared" si="643"/>
        <v>-8.707052520276556E-5</v>
      </c>
      <c r="N176" s="18">
        <f t="shared" si="643"/>
        <v>-9.0628341398596595E-5</v>
      </c>
      <c r="O176" s="18">
        <f t="shared" si="643"/>
        <v>-4.4421235068518335E-5</v>
      </c>
      <c r="P176" s="18">
        <f t="shared" si="643"/>
        <v>6.1706290026270112E-5</v>
      </c>
      <c r="Q176" s="18">
        <f t="shared" si="643"/>
        <v>5.7128313594945583E-5</v>
      </c>
      <c r="R176" s="18">
        <f t="shared" si="643"/>
        <v>1.1263828246121394E-4</v>
      </c>
      <c r="S176" s="18">
        <f t="shared" si="643"/>
        <v>-6.6773179517354357E-5</v>
      </c>
      <c r="T176" s="18">
        <f t="shared" si="643"/>
        <v>1.2288615735577072E-4</v>
      </c>
      <c r="U176" s="18">
        <f t="shared" si="643"/>
        <v>1.8701107381079773E-5</v>
      </c>
      <c r="V176" s="18">
        <f t="shared" si="643"/>
        <v>1.1309044881791852E-4</v>
      </c>
      <c r="W176" s="18">
        <f t="shared" si="643"/>
        <v>8.3924177295801363E-5</v>
      </c>
      <c r="X176" s="18">
        <f t="shared" si="643"/>
        <v>8.2101510890046989E-5</v>
      </c>
      <c r="Y176" s="18">
        <f t="shared" si="643"/>
        <v>9.0954199802811744E-5</v>
      </c>
      <c r="Z176" s="18">
        <f t="shared" si="643"/>
        <v>1.516158722081525E-5</v>
      </c>
      <c r="AA176" s="18">
        <f t="shared" si="643"/>
        <v>-3.2474702061393267E-6</v>
      </c>
      <c r="AB176" s="18">
        <f t="shared" si="643"/>
        <v>3.9558885119994859E-5</v>
      </c>
      <c r="AC176" s="18">
        <f t="shared" si="643"/>
        <v>-7.2029696959608744E-5</v>
      </c>
      <c r="AD176" s="18">
        <f t="shared" si="643"/>
        <v>1.1050582966480974E-4</v>
      </c>
      <c r="AE176" s="18">
        <f t="shared" si="643"/>
        <v>9.0954199802811744E-5</v>
      </c>
      <c r="AF176" s="18">
        <f t="shared" si="643"/>
        <v>1.1887344613743423E-4</v>
      </c>
      <c r="AG176" s="18">
        <f t="shared" si="643"/>
        <v>-4.8092248488546325E-6</v>
      </c>
      <c r="AH176" s="18">
        <f t="shared" si="643"/>
        <v>-2.2825400211065859E-5</v>
      </c>
      <c r="AI176" s="18">
        <f t="shared" si="643"/>
        <v>1.2280751108766059E-4</v>
      </c>
      <c r="AJ176" s="18">
        <f t="shared" si="643"/>
        <v>-1.2029981070919012E-4</v>
      </c>
      <c r="AK176" s="18">
        <f t="shared" ref="AK176:BG176" si="644">0.000126 * SIN( AK161  * Deg2Rad )</f>
        <v>1.150752733275338E-4</v>
      </c>
      <c r="AL176" s="18">
        <f t="shared" si="644"/>
        <v>9.4966116999295409E-5</v>
      </c>
      <c r="AM176" s="18">
        <f t="shared" si="644"/>
        <v>-1.2440179181372681E-4</v>
      </c>
      <c r="AN176" s="18">
        <f t="shared" si="644"/>
        <v>1.199947933194395E-4</v>
      </c>
      <c r="AO176" s="18">
        <f t="shared" si="644"/>
        <v>1.2521057336727139E-4</v>
      </c>
      <c r="AP176" s="18">
        <f t="shared" si="644"/>
        <v>6.2180378968262171E-5</v>
      </c>
      <c r="AQ176" s="18">
        <f t="shared" si="644"/>
        <v>6.2180378968262171E-5</v>
      </c>
      <c r="AR176" s="18">
        <f t="shared" si="644"/>
        <v>-1.5010424586725935E-5</v>
      </c>
      <c r="AS176" s="18">
        <f t="shared" si="644"/>
        <v>-1.5010424586725935E-5</v>
      </c>
      <c r="AT176" s="18">
        <f t="shared" si="644"/>
        <v>-1.5010424586725935E-5</v>
      </c>
      <c r="AU176" s="18">
        <f t="shared" si="644"/>
        <v>-1.2360797128832152E-4</v>
      </c>
      <c r="AV176" s="18">
        <f t="shared" si="644"/>
        <v>4.8342542812703042E-5</v>
      </c>
      <c r="AW176" s="18">
        <f t="shared" si="644"/>
        <v>-1.1215760293159978E-4</v>
      </c>
      <c r="AX176" s="18">
        <f t="shared" si="644"/>
        <v>-6.8134548649158666E-5</v>
      </c>
      <c r="AY176" s="18">
        <f t="shared" si="644"/>
        <v>-8.634009391003554E-5</v>
      </c>
      <c r="AZ176" s="18">
        <f t="shared" si="644"/>
        <v>-8.634009391003554E-5</v>
      </c>
      <c r="BA176" s="18">
        <f t="shared" si="644"/>
        <v>-1.2395646771269566E-4</v>
      </c>
      <c r="BB176" s="18">
        <f t="shared" si="644"/>
        <v>-1.2395646771269566E-4</v>
      </c>
      <c r="BC176" s="18">
        <f t="shared" si="644"/>
        <v>-1.2395646771269566E-4</v>
      </c>
      <c r="BD176" s="18">
        <f t="shared" si="644"/>
        <v>-1.2395646771269566E-4</v>
      </c>
      <c r="BE176" s="18">
        <f t="shared" si="644"/>
        <v>-1.2395646771269566E-4</v>
      </c>
      <c r="BF176" s="18">
        <f t="shared" si="644"/>
        <v>-1.2395646771269566E-4</v>
      </c>
      <c r="BG176" s="18">
        <f t="shared" si="644"/>
        <v>9.0954199802811744E-5</v>
      </c>
    </row>
    <row r="177" spans="2:59" x14ac:dyDescent="0.25">
      <c r="C177" t="s">
        <v>147</v>
      </c>
      <c r="D177" s="7" t="s">
        <v>429</v>
      </c>
      <c r="E177" s="18">
        <f t="shared" ref="E177:AJ177" si="645">0.00011 * SIN( E162  * Deg2Rad )</f>
        <v>-8.9491569258119187E-5</v>
      </c>
      <c r="F177" s="18">
        <f t="shared" si="645"/>
        <v>-8.3505268799506505E-5</v>
      </c>
      <c r="G177" s="18">
        <f t="shared" si="645"/>
        <v>1.0998958526688343E-4</v>
      </c>
      <c r="H177" s="18">
        <f t="shared" si="645"/>
        <v>-8.5167022926514887E-5</v>
      </c>
      <c r="I177" s="18">
        <f t="shared" si="645"/>
        <v>9.1422514788355166E-5</v>
      </c>
      <c r="J177" s="18">
        <f t="shared" si="645"/>
        <v>5.9516048495697723E-5</v>
      </c>
      <c r="K177" s="18">
        <f t="shared" si="645"/>
        <v>-1.0963196841281392E-4</v>
      </c>
      <c r="L177" s="18">
        <f t="shared" si="645"/>
        <v>1.0962200061397593E-5</v>
      </c>
      <c r="M177" s="18">
        <f t="shared" si="645"/>
        <v>-1.0205763122872934E-4</v>
      </c>
      <c r="N177" s="18">
        <f t="shared" si="645"/>
        <v>4.2887142787772028E-5</v>
      </c>
      <c r="O177" s="18">
        <f t="shared" si="645"/>
        <v>-1.0820266824092123E-4</v>
      </c>
      <c r="P177" s="18">
        <f t="shared" si="645"/>
        <v>-2.7934727688097687E-5</v>
      </c>
      <c r="Q177" s="18">
        <f t="shared" si="645"/>
        <v>-2.5736848699688373E-5</v>
      </c>
      <c r="R177" s="18">
        <f t="shared" si="645"/>
        <v>-5.7862689324196644E-5</v>
      </c>
      <c r="S177" s="18">
        <f t="shared" si="645"/>
        <v>3.0229482152708111E-5</v>
      </c>
      <c r="T177" s="18">
        <f t="shared" si="645"/>
        <v>-6.8728462828867391E-5</v>
      </c>
      <c r="U177" s="18">
        <f t="shared" si="645"/>
        <v>8.2816033747318706E-6</v>
      </c>
      <c r="V177" s="18">
        <f t="shared" si="645"/>
        <v>-9.3418832474769937E-5</v>
      </c>
      <c r="W177" s="18">
        <f t="shared" si="645"/>
        <v>1.0280896706974279E-4</v>
      </c>
      <c r="X177" s="18">
        <f t="shared" si="645"/>
        <v>3.8308994907755532E-5</v>
      </c>
      <c r="Y177" s="18">
        <f t="shared" si="645"/>
        <v>-4.3252560255150986E-5</v>
      </c>
      <c r="Z177" s="18">
        <f t="shared" si="645"/>
        <v>-1.0980574569641942E-4</v>
      </c>
      <c r="AA177" s="18">
        <f t="shared" si="645"/>
        <v>1.0998958526688343E-4</v>
      </c>
      <c r="AB177" s="18">
        <f t="shared" si="645"/>
        <v>-1.0861582153282465E-4</v>
      </c>
      <c r="AC177" s="18">
        <f t="shared" si="645"/>
        <v>3.2863672698557523E-5</v>
      </c>
      <c r="AD177" s="18">
        <f t="shared" si="645"/>
        <v>-5.6148322216022329E-5</v>
      </c>
      <c r="AE177" s="18">
        <f t="shared" si="645"/>
        <v>-4.3252560255150986E-5</v>
      </c>
      <c r="AF177" s="18">
        <f t="shared" si="645"/>
        <v>-8.9809771954435305E-5</v>
      </c>
      <c r="AG177" s="18">
        <f t="shared" si="645"/>
        <v>-1.0997808528687768E-4</v>
      </c>
      <c r="AH177" s="18">
        <f t="shared" si="645"/>
        <v>-1.0953528796160747E-4</v>
      </c>
      <c r="AI177" s="18">
        <f t="shared" si="645"/>
        <v>6.860782515701432E-5</v>
      </c>
      <c r="AJ177" s="18">
        <f t="shared" si="645"/>
        <v>6.5121390484775213E-5</v>
      </c>
      <c r="AK177" s="18">
        <f t="shared" ref="AK177:BG177" si="646">0.00011 * SIN( AK162  * Deg2Rad )</f>
        <v>5.9962499622634923E-5</v>
      </c>
      <c r="AL177" s="18">
        <f t="shared" si="646"/>
        <v>4.5626607861334679E-5</v>
      </c>
      <c r="AM177" s="18">
        <f t="shared" si="646"/>
        <v>-8.3666742359757686E-5</v>
      </c>
      <c r="AN177" s="18">
        <f t="shared" si="646"/>
        <v>6.4919708036721179E-5</v>
      </c>
      <c r="AO177" s="18">
        <f t="shared" si="646"/>
        <v>-7.3377913784338574E-5</v>
      </c>
      <c r="AP177" s="18">
        <f t="shared" si="646"/>
        <v>2.8164515956642147E-5</v>
      </c>
      <c r="AQ177" s="18">
        <f t="shared" si="646"/>
        <v>2.8164515956642147E-5</v>
      </c>
      <c r="AR177" s="18">
        <f t="shared" si="646"/>
        <v>-6.4680412824758074E-6</v>
      </c>
      <c r="AS177" s="18">
        <f t="shared" si="646"/>
        <v>-6.4680412824758074E-6</v>
      </c>
      <c r="AT177" s="18">
        <f t="shared" si="646"/>
        <v>-6.4680412824758074E-6</v>
      </c>
      <c r="AU177" s="18">
        <f t="shared" si="646"/>
        <v>-6.9759407596354001E-5</v>
      </c>
      <c r="AV177" s="18">
        <f t="shared" si="646"/>
        <v>-1.0789363011264921E-4</v>
      </c>
      <c r="AW177" s="18">
        <f t="shared" si="646"/>
        <v>-5.7303527443690371E-5</v>
      </c>
      <c r="AX177" s="18">
        <f t="shared" si="646"/>
        <v>-3.0905340008998803E-5</v>
      </c>
      <c r="AY177" s="18">
        <f t="shared" si="646"/>
        <v>-4.0452992814196074E-5</v>
      </c>
      <c r="AZ177" s="18">
        <f t="shared" si="646"/>
        <v>-4.0452992814196074E-5</v>
      </c>
      <c r="BA177" s="18">
        <f t="shared" si="646"/>
        <v>-7.0387631757647852E-5</v>
      </c>
      <c r="BB177" s="18">
        <f t="shared" si="646"/>
        <v>-7.0387631757647852E-5</v>
      </c>
      <c r="BC177" s="18">
        <f t="shared" si="646"/>
        <v>-7.0387631757647852E-5</v>
      </c>
      <c r="BD177" s="18">
        <f t="shared" si="646"/>
        <v>-7.0387631757647852E-5</v>
      </c>
      <c r="BE177" s="18">
        <f t="shared" si="646"/>
        <v>-7.0387631757647852E-5</v>
      </c>
      <c r="BF177" s="18">
        <f t="shared" si="646"/>
        <v>-7.0387631757647852E-5</v>
      </c>
      <c r="BG177" s="18">
        <f t="shared" si="646"/>
        <v>-4.3252560255150986E-5</v>
      </c>
    </row>
    <row r="178" spans="2:59" x14ac:dyDescent="0.25">
      <c r="C178" t="s">
        <v>148</v>
      </c>
      <c r="D178" s="7" t="s">
        <v>430</v>
      </c>
      <c r="E178" s="18">
        <f t="shared" ref="E178:AJ178" si="647">0.000062 * SIN( E163  * Deg2Rad )</f>
        <v>4.7838990116783502E-5</v>
      </c>
      <c r="F178" s="18">
        <f t="shared" si="647"/>
        <v>-3.5983312376902778E-5</v>
      </c>
      <c r="G178" s="18">
        <f t="shared" si="647"/>
        <v>2.6137643553686738E-5</v>
      </c>
      <c r="H178" s="18">
        <f t="shared" si="647"/>
        <v>-5.1047165284925572E-5</v>
      </c>
      <c r="I178" s="18">
        <f t="shared" si="647"/>
        <v>-6.1881872489762525E-5</v>
      </c>
      <c r="J178" s="18">
        <f t="shared" si="647"/>
        <v>7.5758354616048926E-6</v>
      </c>
      <c r="K178" s="18">
        <f t="shared" si="647"/>
        <v>-6.59680237360901E-6</v>
      </c>
      <c r="L178" s="18">
        <f t="shared" si="647"/>
        <v>6.1934858474752582E-5</v>
      </c>
      <c r="M178" s="18">
        <f t="shared" si="647"/>
        <v>6.1350408998049526E-5</v>
      </c>
      <c r="N178" s="18">
        <f t="shared" si="647"/>
        <v>-1.9866929383453384E-5</v>
      </c>
      <c r="O178" s="18">
        <f t="shared" si="647"/>
        <v>-4.4403298327261998E-5</v>
      </c>
      <c r="P178" s="18">
        <f t="shared" si="647"/>
        <v>3.4251841953748075E-5</v>
      </c>
      <c r="Q178" s="18">
        <f t="shared" si="647"/>
        <v>2.3630317326178649E-5</v>
      </c>
      <c r="R178" s="18">
        <f t="shared" si="647"/>
        <v>6.0081039061233966E-5</v>
      </c>
      <c r="S178" s="18">
        <f t="shared" si="647"/>
        <v>5.4504406011728834E-5</v>
      </c>
      <c r="T178" s="18">
        <f t="shared" si="647"/>
        <v>-4.1038416607282224E-5</v>
      </c>
      <c r="U178" s="18">
        <f t="shared" si="647"/>
        <v>-5.9006874163340195E-5</v>
      </c>
      <c r="V178" s="18">
        <f t="shared" si="647"/>
        <v>2.5307760451221077E-5</v>
      </c>
      <c r="W178" s="18">
        <f t="shared" si="647"/>
        <v>5.6803174470525597E-5</v>
      </c>
      <c r="X178" s="18">
        <f t="shared" si="647"/>
        <v>4.6644237200728917E-5</v>
      </c>
      <c r="Y178" s="18">
        <f t="shared" si="647"/>
        <v>-1.0871405080077356E-5</v>
      </c>
      <c r="Z178" s="18">
        <f t="shared" si="647"/>
        <v>-8.2885199320154992E-6</v>
      </c>
      <c r="AA178" s="18">
        <f t="shared" si="647"/>
        <v>2.6137643553686738E-5</v>
      </c>
      <c r="AB178" s="18">
        <f t="shared" si="647"/>
        <v>2.6244368085285858E-5</v>
      </c>
      <c r="AC178" s="18">
        <f t="shared" si="647"/>
        <v>-6.046364128546182E-5</v>
      </c>
      <c r="AD178" s="18">
        <f t="shared" si="647"/>
        <v>-1.497905229887429E-5</v>
      </c>
      <c r="AE178" s="18">
        <f t="shared" si="647"/>
        <v>-1.0871405080077356E-5</v>
      </c>
      <c r="AF178" s="18">
        <f t="shared" si="647"/>
        <v>-1.8785985816751026E-5</v>
      </c>
      <c r="AG178" s="18">
        <f t="shared" si="647"/>
        <v>6.1989975744038375E-5</v>
      </c>
      <c r="AH178" s="18">
        <f t="shared" si="647"/>
        <v>5.9900012747563204E-5</v>
      </c>
      <c r="AI178" s="18">
        <f t="shared" si="647"/>
        <v>6.0623451237883842E-5</v>
      </c>
      <c r="AJ178" s="18">
        <f t="shared" si="647"/>
        <v>6.0117082941249328E-5</v>
      </c>
      <c r="AK178" s="18">
        <f t="shared" ref="AK178:BG178" si="648">0.000062 * SIN( AK163  * Deg2Rad )</f>
        <v>4.6275310788080187E-5</v>
      </c>
      <c r="AL178" s="18">
        <f t="shared" si="648"/>
        <v>3.5444392354291873E-5</v>
      </c>
      <c r="AM178" s="18">
        <f t="shared" si="648"/>
        <v>-5.4372969597401297E-5</v>
      </c>
      <c r="AN178" s="18">
        <f t="shared" si="648"/>
        <v>-4.3858020041421531E-5</v>
      </c>
      <c r="AO178" s="18">
        <f t="shared" si="648"/>
        <v>-4.9274559015305064E-5</v>
      </c>
      <c r="AP178" s="18">
        <f t="shared" si="648"/>
        <v>1.4395309710119572E-5</v>
      </c>
      <c r="AQ178" s="18">
        <f t="shared" si="648"/>
        <v>1.4395309710119572E-5</v>
      </c>
      <c r="AR178" s="18">
        <f t="shared" si="648"/>
        <v>5.6956236906199188E-5</v>
      </c>
      <c r="AS178" s="18">
        <f t="shared" si="648"/>
        <v>5.6956236906199188E-5</v>
      </c>
      <c r="AT178" s="18">
        <f t="shared" si="648"/>
        <v>5.6956236906199188E-5</v>
      </c>
      <c r="AU178" s="18">
        <f t="shared" si="648"/>
        <v>-6.0673192843600274E-5</v>
      </c>
      <c r="AV178" s="18">
        <f t="shared" si="648"/>
        <v>4.6973679180046905E-5</v>
      </c>
      <c r="AW178" s="18">
        <f t="shared" si="648"/>
        <v>4.0811008976258531E-5</v>
      </c>
      <c r="AX178" s="18">
        <f t="shared" si="648"/>
        <v>6.1995699370533632E-5</v>
      </c>
      <c r="AY178" s="18">
        <f t="shared" si="648"/>
        <v>5.3675637890306098E-5</v>
      </c>
      <c r="AZ178" s="18">
        <f t="shared" si="648"/>
        <v>5.3675637890306098E-5</v>
      </c>
      <c r="BA178" s="18">
        <f t="shared" si="648"/>
        <v>7.1939199987940999E-6</v>
      </c>
      <c r="BB178" s="18">
        <f t="shared" si="648"/>
        <v>7.1939199987940999E-6</v>
      </c>
      <c r="BC178" s="18">
        <f t="shared" si="648"/>
        <v>7.1939199987940999E-6</v>
      </c>
      <c r="BD178" s="18">
        <f t="shared" si="648"/>
        <v>7.1939199987940999E-6</v>
      </c>
      <c r="BE178" s="18">
        <f t="shared" si="648"/>
        <v>7.1939199987940999E-6</v>
      </c>
      <c r="BF178" s="18">
        <f t="shared" si="648"/>
        <v>7.1939199987940999E-6</v>
      </c>
      <c r="BG178" s="18">
        <f t="shared" si="648"/>
        <v>-1.0871405080077356E-5</v>
      </c>
    </row>
    <row r="179" spans="2:59" x14ac:dyDescent="0.25">
      <c r="C179" t="s">
        <v>149</v>
      </c>
      <c r="D179" s="7" t="s">
        <v>431</v>
      </c>
      <c r="E179" s="18">
        <f t="shared" ref="E179:AJ179" si="649">0.00006 * SIN( E164  * Deg2Rad )</f>
        <v>7.2137503968762686E-6</v>
      </c>
      <c r="F179" s="18">
        <f t="shared" si="649"/>
        <v>2.2101610963483612E-5</v>
      </c>
      <c r="G179" s="18">
        <f t="shared" si="649"/>
        <v>-2.7940052725749497E-5</v>
      </c>
      <c r="H179" s="18">
        <f t="shared" si="649"/>
        <v>1.770921399680687E-6</v>
      </c>
      <c r="I179" s="18">
        <f t="shared" si="649"/>
        <v>5.0662576075855388E-6</v>
      </c>
      <c r="J179" s="18">
        <f t="shared" si="649"/>
        <v>-7.7536689112742459E-6</v>
      </c>
      <c r="K179" s="18">
        <f t="shared" si="649"/>
        <v>-2.4977892039406055E-5</v>
      </c>
      <c r="L179" s="18">
        <f t="shared" si="649"/>
        <v>-3.5999882172704764E-5</v>
      </c>
      <c r="M179" s="18">
        <f t="shared" si="649"/>
        <v>4.7592879255272507E-5</v>
      </c>
      <c r="N179" s="18">
        <f t="shared" si="649"/>
        <v>-4.6535543001424885E-5</v>
      </c>
      <c r="O179" s="18">
        <f t="shared" si="649"/>
        <v>-1.9494731268176638E-5</v>
      </c>
      <c r="P179" s="18">
        <f t="shared" si="649"/>
        <v>-2.1143373489985498E-5</v>
      </c>
      <c r="Q179" s="18">
        <f t="shared" si="649"/>
        <v>-5.622124152608894E-5</v>
      </c>
      <c r="R179" s="18">
        <f t="shared" si="649"/>
        <v>-5.5272493811554909E-5</v>
      </c>
      <c r="S179" s="18">
        <f t="shared" si="649"/>
        <v>-5.8402747106981485E-5</v>
      </c>
      <c r="T179" s="18">
        <f t="shared" si="649"/>
        <v>-5.6159433029116541E-5</v>
      </c>
      <c r="U179" s="18">
        <f t="shared" si="649"/>
        <v>-4.5799978341988578E-5</v>
      </c>
      <c r="V179" s="18">
        <f t="shared" si="649"/>
        <v>-5.9873852765987146E-5</v>
      </c>
      <c r="W179" s="18">
        <f t="shared" si="649"/>
        <v>-2.6354810501361505E-6</v>
      </c>
      <c r="X179" s="18">
        <f t="shared" si="649"/>
        <v>-2.5689847303362161E-5</v>
      </c>
      <c r="Y179" s="18">
        <f t="shared" si="649"/>
        <v>-4.8136109714584397E-5</v>
      </c>
      <c r="Z179" s="18">
        <f t="shared" si="649"/>
        <v>5.8558740364266358E-5</v>
      </c>
      <c r="AA179" s="18">
        <f t="shared" si="649"/>
        <v>-2.7940052725749497E-5</v>
      </c>
      <c r="AB179" s="18">
        <f t="shared" si="649"/>
        <v>-5.9875093625773087E-5</v>
      </c>
      <c r="AC179" s="18">
        <f t="shared" si="649"/>
        <v>-5.7276490894424243E-5</v>
      </c>
      <c r="AD179" s="18">
        <f t="shared" si="649"/>
        <v>-3.1761662368847247E-5</v>
      </c>
      <c r="AE179" s="18">
        <f t="shared" si="649"/>
        <v>-4.8136109714584397E-5</v>
      </c>
      <c r="AF179" s="18">
        <f t="shared" si="649"/>
        <v>-5.9813285360561269E-6</v>
      </c>
      <c r="AG179" s="18">
        <f t="shared" si="649"/>
        <v>-1.1066636788312388E-5</v>
      </c>
      <c r="AH179" s="18">
        <f t="shared" si="649"/>
        <v>-5.1805505528602713E-5</v>
      </c>
      <c r="AI179" s="18">
        <f t="shared" si="649"/>
        <v>-2.7987680836446914E-5</v>
      </c>
      <c r="AJ179" s="18">
        <f t="shared" si="649"/>
        <v>6.8415179485343702E-6</v>
      </c>
      <c r="AK179" s="18">
        <f t="shared" ref="AK179:BG179" si="650">0.00006 * SIN( AK164  * Deg2Rad )</f>
        <v>5.9713919943896264E-5</v>
      </c>
      <c r="AL179" s="18">
        <f t="shared" si="650"/>
        <v>-5.7796998841514003E-5</v>
      </c>
      <c r="AM179" s="18">
        <f t="shared" si="650"/>
        <v>1.7019483530798298E-5</v>
      </c>
      <c r="AN179" s="18">
        <f t="shared" si="650"/>
        <v>-3.4512847604038684E-5</v>
      </c>
      <c r="AO179" s="18">
        <f t="shared" si="650"/>
        <v>2.2168716200008359E-5</v>
      </c>
      <c r="AP179" s="18">
        <f t="shared" si="650"/>
        <v>2.8764649771846352E-6</v>
      </c>
      <c r="AQ179" s="18">
        <f t="shared" si="650"/>
        <v>2.8764649771846352E-6</v>
      </c>
      <c r="AR179" s="18">
        <f t="shared" si="650"/>
        <v>3.0802447627267575E-7</v>
      </c>
      <c r="AS179" s="18">
        <f t="shared" si="650"/>
        <v>3.0802447627267575E-7</v>
      </c>
      <c r="AT179" s="18">
        <f t="shared" si="650"/>
        <v>3.0802447627267575E-7</v>
      </c>
      <c r="AU179" s="18">
        <f t="shared" si="650"/>
        <v>5.1710710710193487E-5</v>
      </c>
      <c r="AV179" s="18">
        <f t="shared" si="650"/>
        <v>4.1228898862196723E-5</v>
      </c>
      <c r="AW179" s="18">
        <f t="shared" si="650"/>
        <v>3.4374175808943223E-5</v>
      </c>
      <c r="AX179" s="18">
        <f t="shared" si="650"/>
        <v>-8.1606369958653584E-6</v>
      </c>
      <c r="AY179" s="18">
        <f t="shared" si="650"/>
        <v>-2.2609808677540565E-6</v>
      </c>
      <c r="AZ179" s="18">
        <f t="shared" si="650"/>
        <v>-2.2609808677540565E-6</v>
      </c>
      <c r="BA179" s="18">
        <f t="shared" si="650"/>
        <v>-4.8258401143943769E-6</v>
      </c>
      <c r="BB179" s="18">
        <f t="shared" si="650"/>
        <v>-4.8258401143943769E-6</v>
      </c>
      <c r="BC179" s="18">
        <f t="shared" si="650"/>
        <v>-4.8258401143943769E-6</v>
      </c>
      <c r="BD179" s="18">
        <f t="shared" si="650"/>
        <v>-4.8258401143943769E-6</v>
      </c>
      <c r="BE179" s="18">
        <f t="shared" si="650"/>
        <v>-4.8258401143943769E-6</v>
      </c>
      <c r="BF179" s="18">
        <f t="shared" si="650"/>
        <v>-4.8258401143943769E-6</v>
      </c>
      <c r="BG179" s="18">
        <f t="shared" si="650"/>
        <v>-4.8136109714584397E-5</v>
      </c>
    </row>
    <row r="180" spans="2:59" x14ac:dyDescent="0.25">
      <c r="C180" t="s">
        <v>150</v>
      </c>
      <c r="D180" s="7" t="s">
        <v>432</v>
      </c>
      <c r="E180" s="18">
        <f t="shared" ref="E180:AJ180" si="651">0.000056 * SIN( E165  * Deg2Rad )</f>
        <v>-4.7237379244743074E-5</v>
      </c>
      <c r="F180" s="18">
        <f t="shared" si="651"/>
        <v>-1.5235982017696123E-6</v>
      </c>
      <c r="G180" s="18">
        <f t="shared" si="651"/>
        <v>2.218042352143095E-5</v>
      </c>
      <c r="H180" s="18">
        <f t="shared" si="651"/>
        <v>5.2275036087040498E-5</v>
      </c>
      <c r="I180" s="18">
        <f t="shared" si="651"/>
        <v>5.1763067173545933E-5</v>
      </c>
      <c r="J180" s="18">
        <f t="shared" si="651"/>
        <v>5.4312019629164502E-5</v>
      </c>
      <c r="K180" s="18">
        <f t="shared" si="651"/>
        <v>2.3443671581633924E-5</v>
      </c>
      <c r="L180" s="18">
        <f t="shared" si="651"/>
        <v>-1.1438130799225332E-5</v>
      </c>
      <c r="M180" s="18">
        <f t="shared" si="651"/>
        <v>4.940789692181868E-5</v>
      </c>
      <c r="N180" s="18">
        <f t="shared" si="651"/>
        <v>9.3682437137071887E-6</v>
      </c>
      <c r="O180" s="18">
        <f t="shared" si="651"/>
        <v>5.4186912387062473E-5</v>
      </c>
      <c r="P180" s="18">
        <f t="shared" si="651"/>
        <v>-1.6104410272280698E-5</v>
      </c>
      <c r="Q180" s="18">
        <f t="shared" si="651"/>
        <v>-5.5970049348700779E-5</v>
      </c>
      <c r="R180" s="18">
        <f t="shared" si="651"/>
        <v>-5.5282621018041025E-5</v>
      </c>
      <c r="S180" s="18">
        <f t="shared" si="651"/>
        <v>1.9641294931718415E-5</v>
      </c>
      <c r="T180" s="18">
        <f t="shared" si="651"/>
        <v>3.779917414943601E-5</v>
      </c>
      <c r="U180" s="18">
        <f t="shared" si="651"/>
        <v>5.4988230092995204E-5</v>
      </c>
      <c r="V180" s="18">
        <f t="shared" si="651"/>
        <v>1.6307287020819697E-5</v>
      </c>
      <c r="W180" s="18">
        <f t="shared" si="651"/>
        <v>5.5997778892682962E-5</v>
      </c>
      <c r="X180" s="18">
        <f t="shared" si="651"/>
        <v>-2.4573470671421714E-6</v>
      </c>
      <c r="Y180" s="18">
        <f t="shared" si="651"/>
        <v>-5.2219082323296112E-5</v>
      </c>
      <c r="Z180" s="18">
        <f t="shared" si="651"/>
        <v>8.1820467664205741E-6</v>
      </c>
      <c r="AA180" s="18">
        <f t="shared" si="651"/>
        <v>2.218042352143095E-5</v>
      </c>
      <c r="AB180" s="18">
        <f t="shared" si="651"/>
        <v>2.8376313972149346E-6</v>
      </c>
      <c r="AC180" s="18">
        <f t="shared" si="651"/>
        <v>4.2631099998667406E-5</v>
      </c>
      <c r="AD180" s="18">
        <f t="shared" si="651"/>
        <v>2.7629062284139145E-6</v>
      </c>
      <c r="AE180" s="18">
        <f t="shared" si="651"/>
        <v>-5.2219082323296112E-5</v>
      </c>
      <c r="AF180" s="18">
        <f t="shared" si="651"/>
        <v>-4.89644317252072E-5</v>
      </c>
      <c r="AG180" s="18">
        <f t="shared" si="651"/>
        <v>-4.0524073306044883E-5</v>
      </c>
      <c r="AH180" s="18">
        <f t="shared" si="651"/>
        <v>5.5185995971865759E-5</v>
      </c>
      <c r="AI180" s="18">
        <f t="shared" si="651"/>
        <v>4.6780165634532558E-6</v>
      </c>
      <c r="AJ180" s="18">
        <f t="shared" si="651"/>
        <v>-5.5520376914091935E-5</v>
      </c>
      <c r="AK180" s="18">
        <f t="shared" ref="AK180:BG180" si="652">0.000056 * SIN( AK165  * Deg2Rad )</f>
        <v>-5.5990140971955081E-5</v>
      </c>
      <c r="AL180" s="18">
        <f t="shared" si="652"/>
        <v>3.3214002427595171E-5</v>
      </c>
      <c r="AM180" s="18">
        <f t="shared" si="652"/>
        <v>-4.2704934621949789E-5</v>
      </c>
      <c r="AN180" s="18">
        <f t="shared" si="652"/>
        <v>1.3806159045704075E-6</v>
      </c>
      <c r="AO180" s="18">
        <f t="shared" si="652"/>
        <v>-3.7369569450727486E-5</v>
      </c>
      <c r="AP180" s="18">
        <f t="shared" si="652"/>
        <v>4.2832056990396383E-5</v>
      </c>
      <c r="AQ180" s="18">
        <f t="shared" si="652"/>
        <v>4.2832056990396383E-5</v>
      </c>
      <c r="AR180" s="18">
        <f t="shared" si="652"/>
        <v>4.7072383664396218E-5</v>
      </c>
      <c r="AS180" s="18">
        <f t="shared" si="652"/>
        <v>4.7072383664396218E-5</v>
      </c>
      <c r="AT180" s="18">
        <f t="shared" si="652"/>
        <v>4.7072383664396218E-5</v>
      </c>
      <c r="AU180" s="18">
        <f t="shared" si="652"/>
        <v>-5.593738213195629E-5</v>
      </c>
      <c r="AV180" s="18">
        <f t="shared" si="652"/>
        <v>-4.6002323752758148E-5</v>
      </c>
      <c r="AW180" s="18">
        <f t="shared" si="652"/>
        <v>3.7435909584603847E-5</v>
      </c>
      <c r="AX180" s="18">
        <f t="shared" si="652"/>
        <v>-5.4903792030986823E-5</v>
      </c>
      <c r="AY180" s="18">
        <f t="shared" si="652"/>
        <v>5.0548181591295072E-5</v>
      </c>
      <c r="AZ180" s="18">
        <f t="shared" si="652"/>
        <v>5.0548181591295072E-5</v>
      </c>
      <c r="BA180" s="18">
        <f t="shared" si="652"/>
        <v>5.3202998405027486E-5</v>
      </c>
      <c r="BB180" s="18">
        <f t="shared" si="652"/>
        <v>5.3202998405027486E-5</v>
      </c>
      <c r="BC180" s="18">
        <f t="shared" si="652"/>
        <v>5.3202998405027486E-5</v>
      </c>
      <c r="BD180" s="18">
        <f t="shared" si="652"/>
        <v>5.3202998405027486E-5</v>
      </c>
      <c r="BE180" s="18">
        <f t="shared" si="652"/>
        <v>5.3202998405027486E-5</v>
      </c>
      <c r="BF180" s="18">
        <f t="shared" si="652"/>
        <v>5.3202998405027486E-5</v>
      </c>
      <c r="BG180" s="18">
        <f t="shared" si="652"/>
        <v>-5.2219082323296112E-5</v>
      </c>
    </row>
    <row r="181" spans="2:59" x14ac:dyDescent="0.25">
      <c r="C181" t="s">
        <v>151</v>
      </c>
      <c r="D181" s="7" t="s">
        <v>433</v>
      </c>
      <c r="E181" s="18">
        <f t="shared" ref="E181:AJ181" si="653">0.000047 * SIN( E166  * Deg2Rad )</f>
        <v>-2.4184673403155406E-5</v>
      </c>
      <c r="F181" s="18">
        <f t="shared" si="653"/>
        <v>-1.3244797159027897E-5</v>
      </c>
      <c r="G181" s="18">
        <f t="shared" si="653"/>
        <v>3.1041832684233641E-5</v>
      </c>
      <c r="H181" s="18">
        <f t="shared" si="653"/>
        <v>4.5224344360622617E-5</v>
      </c>
      <c r="I181" s="18">
        <f t="shared" si="653"/>
        <v>-3.7973975061548874E-7</v>
      </c>
      <c r="J181" s="18">
        <f t="shared" si="653"/>
        <v>3.2741307136763339E-5</v>
      </c>
      <c r="K181" s="18">
        <f t="shared" si="653"/>
        <v>-2.5823309298729417E-5</v>
      </c>
      <c r="L181" s="18">
        <f t="shared" si="653"/>
        <v>4.579942483855786E-5</v>
      </c>
      <c r="M181" s="18">
        <f t="shared" si="653"/>
        <v>1.6703318332328134E-5</v>
      </c>
      <c r="N181" s="18">
        <f t="shared" si="653"/>
        <v>1.150333843822471E-8</v>
      </c>
      <c r="O181" s="18">
        <f t="shared" si="653"/>
        <v>4.6010227072986324E-6</v>
      </c>
      <c r="P181" s="18">
        <f t="shared" si="653"/>
        <v>2.8583958353068521E-5</v>
      </c>
      <c r="Q181" s="18">
        <f t="shared" si="653"/>
        <v>-4.4198497239436413E-5</v>
      </c>
      <c r="R181" s="18">
        <f t="shared" si="653"/>
        <v>-3.1967741577569223E-5</v>
      </c>
      <c r="S181" s="18">
        <f t="shared" si="653"/>
        <v>-4.6685718344729787E-5</v>
      </c>
      <c r="T181" s="18">
        <f t="shared" si="653"/>
        <v>-1.2042374764496604E-5</v>
      </c>
      <c r="U181" s="18">
        <f t="shared" si="653"/>
        <v>-1.8548424129464689E-5</v>
      </c>
      <c r="V181" s="18">
        <f t="shared" si="653"/>
        <v>-2.699654624669508E-5</v>
      </c>
      <c r="W181" s="18">
        <f t="shared" si="653"/>
        <v>4.6461788841726052E-5</v>
      </c>
      <c r="X181" s="18">
        <f t="shared" si="653"/>
        <v>-2.2413769447334871E-5</v>
      </c>
      <c r="Y181" s="18">
        <f t="shared" si="653"/>
        <v>-4.3070582715668008E-5</v>
      </c>
      <c r="Z181" s="18">
        <f t="shared" si="653"/>
        <v>4.3744843433225585E-5</v>
      </c>
      <c r="AA181" s="18">
        <f t="shared" si="653"/>
        <v>3.1041832684233641E-5</v>
      </c>
      <c r="AB181" s="18">
        <f t="shared" si="653"/>
        <v>5.5179420942909251E-6</v>
      </c>
      <c r="AC181" s="18">
        <f t="shared" si="653"/>
        <v>3.795040974865421E-5</v>
      </c>
      <c r="AD181" s="18">
        <f t="shared" si="653"/>
        <v>3.5176804459145684E-5</v>
      </c>
      <c r="AE181" s="18">
        <f t="shared" si="653"/>
        <v>-4.3070582715668008E-5</v>
      </c>
      <c r="AF181" s="18">
        <f t="shared" si="653"/>
        <v>-7.844210705109227E-6</v>
      </c>
      <c r="AG181" s="18">
        <f t="shared" si="653"/>
        <v>3.3184655992866194E-5</v>
      </c>
      <c r="AH181" s="18">
        <f t="shared" si="653"/>
        <v>-3.6077664677130257E-5</v>
      </c>
      <c r="AI181" s="18">
        <f t="shared" si="653"/>
        <v>-3.8846779083505669E-5</v>
      </c>
      <c r="AJ181" s="18">
        <f t="shared" si="653"/>
        <v>-2.6340718121683211E-5</v>
      </c>
      <c r="AK181" s="18">
        <f t="shared" ref="AK181:BG181" si="654">0.000047 * SIN( AK166  * Deg2Rad )</f>
        <v>-3.9095616631160688E-5</v>
      </c>
      <c r="AL181" s="18">
        <f t="shared" si="654"/>
        <v>2.6082584677372596E-5</v>
      </c>
      <c r="AM181" s="18">
        <f t="shared" si="654"/>
        <v>-6.8606545000519061E-6</v>
      </c>
      <c r="AN181" s="18">
        <f t="shared" si="654"/>
        <v>3.9364254096564588E-5</v>
      </c>
      <c r="AO181" s="18">
        <f t="shared" si="654"/>
        <v>-3.3544454896185461E-5</v>
      </c>
      <c r="AP181" s="18">
        <f t="shared" si="654"/>
        <v>2.910162285457878E-5</v>
      </c>
      <c r="AQ181" s="18">
        <f t="shared" si="654"/>
        <v>2.910162285457878E-5</v>
      </c>
      <c r="AR181" s="18">
        <f t="shared" si="654"/>
        <v>8.9642319147034101E-6</v>
      </c>
      <c r="AS181" s="18">
        <f t="shared" si="654"/>
        <v>8.9642319147034101E-6</v>
      </c>
      <c r="AT181" s="18">
        <f t="shared" si="654"/>
        <v>8.9642319147034101E-6</v>
      </c>
      <c r="AU181" s="18">
        <f t="shared" si="654"/>
        <v>4.4796904243529944E-5</v>
      </c>
      <c r="AV181" s="18">
        <f t="shared" si="654"/>
        <v>-2.2958485553004812E-5</v>
      </c>
      <c r="AW181" s="18">
        <f t="shared" si="654"/>
        <v>4.667893953238769E-5</v>
      </c>
      <c r="AX181" s="18">
        <f t="shared" si="654"/>
        <v>3.4597183712664453E-5</v>
      </c>
      <c r="AY181" s="18">
        <f t="shared" si="654"/>
        <v>-1.3164521749006812E-5</v>
      </c>
      <c r="AZ181" s="18">
        <f t="shared" si="654"/>
        <v>-1.3164521749006812E-5</v>
      </c>
      <c r="BA181" s="18">
        <f t="shared" si="654"/>
        <v>-3.2368837698751856E-5</v>
      </c>
      <c r="BB181" s="18">
        <f t="shared" si="654"/>
        <v>-3.2368837698751856E-5</v>
      </c>
      <c r="BC181" s="18">
        <f t="shared" si="654"/>
        <v>-3.2368837698751856E-5</v>
      </c>
      <c r="BD181" s="18">
        <f t="shared" si="654"/>
        <v>-3.2368837698751856E-5</v>
      </c>
      <c r="BE181" s="18">
        <f t="shared" si="654"/>
        <v>-3.2368837698751856E-5</v>
      </c>
      <c r="BF181" s="18">
        <f t="shared" si="654"/>
        <v>-3.2368837698751856E-5</v>
      </c>
      <c r="BG181" s="18">
        <f t="shared" si="654"/>
        <v>-4.3070582715668008E-5</v>
      </c>
    </row>
    <row r="182" spans="2:59" x14ac:dyDescent="0.25">
      <c r="C182" t="s">
        <v>152</v>
      </c>
      <c r="D182" s="7" t="s">
        <v>434</v>
      </c>
      <c r="E182" s="18">
        <f t="shared" ref="E182:AJ182" si="655">0.000042 * SIN( E167  * Deg2Rad )</f>
        <v>2.4906876162734834E-5</v>
      </c>
      <c r="F182" s="18">
        <f t="shared" si="655"/>
        <v>-2.4506868778579671E-5</v>
      </c>
      <c r="G182" s="18">
        <f t="shared" si="655"/>
        <v>-1.9211448538868536E-5</v>
      </c>
      <c r="H182" s="18">
        <f t="shared" si="655"/>
        <v>-1.8252357597188596E-5</v>
      </c>
      <c r="I182" s="18">
        <f t="shared" si="655"/>
        <v>-5.6482065664037551E-6</v>
      </c>
      <c r="J182" s="18">
        <f t="shared" si="655"/>
        <v>-6.0903313209117497E-6</v>
      </c>
      <c r="K182" s="18">
        <f t="shared" si="655"/>
        <v>-6.7081384028787827E-6</v>
      </c>
      <c r="L182" s="18">
        <f t="shared" si="655"/>
        <v>-7.1485273643339232E-6</v>
      </c>
      <c r="M182" s="18">
        <f t="shared" si="655"/>
        <v>3.5032979564661833E-5</v>
      </c>
      <c r="N182" s="18">
        <f t="shared" si="655"/>
        <v>-2.4355419297387832E-5</v>
      </c>
      <c r="O182" s="18">
        <f t="shared" si="655"/>
        <v>-2.3400440315205266E-5</v>
      </c>
      <c r="P182" s="18">
        <f t="shared" si="655"/>
        <v>-4.0619568661753522E-5</v>
      </c>
      <c r="Q182" s="18">
        <f t="shared" si="655"/>
        <v>-3.945443279507659E-5</v>
      </c>
      <c r="R182" s="18">
        <f t="shared" si="655"/>
        <v>-3.942372682931494E-5</v>
      </c>
      <c r="S182" s="18">
        <f t="shared" si="655"/>
        <v>5.6069919376823695E-6</v>
      </c>
      <c r="T182" s="18">
        <f t="shared" si="655"/>
        <v>5.3413727628949355E-6</v>
      </c>
      <c r="U182" s="18">
        <f t="shared" si="655"/>
        <v>4.6320218554767542E-6</v>
      </c>
      <c r="V182" s="18">
        <f t="shared" si="655"/>
        <v>4.5669814864392387E-6</v>
      </c>
      <c r="W182" s="18">
        <f t="shared" si="655"/>
        <v>-5.9135612222342831E-6</v>
      </c>
      <c r="X182" s="18">
        <f t="shared" si="655"/>
        <v>-1.1327936542389066E-5</v>
      </c>
      <c r="Y182" s="18">
        <f t="shared" si="655"/>
        <v>5.3045277678953327E-6</v>
      </c>
      <c r="Z182" s="18">
        <f t="shared" si="655"/>
        <v>-4.1921987339258244E-5</v>
      </c>
      <c r="AA182" s="18">
        <f t="shared" si="655"/>
        <v>-1.9211448538868536E-5</v>
      </c>
      <c r="AB182" s="18">
        <f t="shared" si="655"/>
        <v>2.7756649076323027E-5</v>
      </c>
      <c r="AC182" s="18">
        <f t="shared" si="655"/>
        <v>3.3505318417676038E-6</v>
      </c>
      <c r="AD182" s="18">
        <f t="shared" si="655"/>
        <v>-6.9724659458797591E-6</v>
      </c>
      <c r="AE182" s="18">
        <f t="shared" si="655"/>
        <v>5.3045277678953327E-6</v>
      </c>
      <c r="AF182" s="18">
        <f t="shared" si="655"/>
        <v>-1.2014202304673426E-5</v>
      </c>
      <c r="AG182" s="18">
        <f t="shared" si="655"/>
        <v>-1.1842954003610948E-5</v>
      </c>
      <c r="AH182" s="18">
        <f t="shared" si="655"/>
        <v>-1.0119204989390304E-5</v>
      </c>
      <c r="AI182" s="18">
        <f t="shared" si="655"/>
        <v>-1.1241918791407959E-5</v>
      </c>
      <c r="AJ182" s="18">
        <f t="shared" si="655"/>
        <v>-1.2441365791429986E-5</v>
      </c>
      <c r="AK182" s="18">
        <f t="shared" ref="AK182:BG182" si="656">0.000042 * SIN( AK167  * Deg2Rad )</f>
        <v>-3.8662741182588276E-5</v>
      </c>
      <c r="AL182" s="18">
        <f t="shared" si="656"/>
        <v>-9.5983697983321557E-6</v>
      </c>
      <c r="AM182" s="18">
        <f t="shared" si="656"/>
        <v>-3.9022221338324432E-5</v>
      </c>
      <c r="AN182" s="18">
        <f t="shared" si="656"/>
        <v>-1.9449291419393194E-5</v>
      </c>
      <c r="AO182" s="18">
        <f t="shared" si="656"/>
        <v>4.0614787008877733E-5</v>
      </c>
      <c r="AP182" s="18">
        <f t="shared" si="656"/>
        <v>-3.6893866860106816E-5</v>
      </c>
      <c r="AQ182" s="18">
        <f t="shared" si="656"/>
        <v>-3.6893866860106816E-5</v>
      </c>
      <c r="AR182" s="18">
        <f t="shared" si="656"/>
        <v>-3.6936458862655772E-5</v>
      </c>
      <c r="AS182" s="18">
        <f t="shared" si="656"/>
        <v>-3.6936458862655772E-5</v>
      </c>
      <c r="AT182" s="18">
        <f t="shared" si="656"/>
        <v>-3.6936458862655772E-5</v>
      </c>
      <c r="AU182" s="18">
        <f t="shared" si="656"/>
        <v>9.34766382411802E-6</v>
      </c>
      <c r="AV182" s="18">
        <f t="shared" si="656"/>
        <v>-1.6873456297927749E-5</v>
      </c>
      <c r="AW182" s="18">
        <f t="shared" si="656"/>
        <v>3.9645944835875341E-5</v>
      </c>
      <c r="AX182" s="18">
        <f t="shared" si="656"/>
        <v>2.5336264928292987E-5</v>
      </c>
      <c r="AY182" s="18">
        <f t="shared" si="656"/>
        <v>-3.6978883880943809E-5</v>
      </c>
      <c r="AZ182" s="18">
        <f t="shared" si="656"/>
        <v>-3.6978883880943809E-5</v>
      </c>
      <c r="BA182" s="18">
        <f t="shared" si="656"/>
        <v>-3.7021141723173714E-5</v>
      </c>
      <c r="BB182" s="18">
        <f t="shared" si="656"/>
        <v>-3.7021141723173714E-5</v>
      </c>
      <c r="BC182" s="18">
        <f t="shared" si="656"/>
        <v>-3.7021141723173714E-5</v>
      </c>
      <c r="BD182" s="18">
        <f t="shared" si="656"/>
        <v>-3.7021141723173714E-5</v>
      </c>
      <c r="BE182" s="18">
        <f t="shared" si="656"/>
        <v>-3.7021141723173714E-5</v>
      </c>
      <c r="BF182" s="18">
        <f t="shared" si="656"/>
        <v>-3.7021141723173714E-5</v>
      </c>
      <c r="BG182" s="18">
        <f t="shared" si="656"/>
        <v>5.3045277678953327E-6</v>
      </c>
    </row>
    <row r="183" spans="2:59" x14ac:dyDescent="0.25">
      <c r="C183" t="s">
        <v>153</v>
      </c>
      <c r="D183" s="7" t="s">
        <v>435</v>
      </c>
      <c r="E183" s="18">
        <f t="shared" ref="E183:AJ183" si="657">0.00004 * SIN( E168  * Deg2Rad )</f>
        <v>3.0204525634166263E-5</v>
      </c>
      <c r="F183" s="18">
        <f t="shared" si="657"/>
        <v>3.7109186177135395E-5</v>
      </c>
      <c r="G183" s="18">
        <f t="shared" si="657"/>
        <v>-3.713914923956689E-5</v>
      </c>
      <c r="H183" s="18">
        <f t="shared" si="657"/>
        <v>-3.9999330688814135E-5</v>
      </c>
      <c r="I183" s="18">
        <f t="shared" si="657"/>
        <v>-2.3022441293516877E-6</v>
      </c>
      <c r="J183" s="18">
        <f t="shared" si="657"/>
        <v>4.1272215749482989E-6</v>
      </c>
      <c r="K183" s="18">
        <f t="shared" si="657"/>
        <v>1.2912436720315452E-5</v>
      </c>
      <c r="L183" s="18">
        <f t="shared" si="657"/>
        <v>1.8812693611799153E-5</v>
      </c>
      <c r="M183" s="18">
        <f t="shared" si="657"/>
        <v>6.7366355555233058E-6</v>
      </c>
      <c r="N183" s="18">
        <f t="shared" si="657"/>
        <v>8.5497376784892032E-6</v>
      </c>
      <c r="O183" s="18">
        <f t="shared" si="657"/>
        <v>-8.0671252441916106E-6</v>
      </c>
      <c r="P183" s="18">
        <f t="shared" si="657"/>
        <v>2.962594403211536E-5</v>
      </c>
      <c r="Q183" s="18">
        <f t="shared" si="657"/>
        <v>3.2330188224071905E-5</v>
      </c>
      <c r="R183" s="18">
        <f t="shared" si="657"/>
        <v>3.3071500874646408E-5</v>
      </c>
      <c r="S183" s="18">
        <f t="shared" si="657"/>
        <v>-3.9951717955362124E-5</v>
      </c>
      <c r="T183" s="18">
        <f t="shared" si="657"/>
        <v>-3.9576123158852659E-5</v>
      </c>
      <c r="U183" s="18">
        <f t="shared" si="657"/>
        <v>-3.6791875070748855E-5</v>
      </c>
      <c r="V183" s="18">
        <f t="shared" si="657"/>
        <v>2.100652756061582E-6</v>
      </c>
      <c r="W183" s="18">
        <f t="shared" si="657"/>
        <v>1.5589462781257395E-6</v>
      </c>
      <c r="X183" s="18">
        <f t="shared" si="657"/>
        <v>3.5770829129276939E-5</v>
      </c>
      <c r="Y183" s="18">
        <f t="shared" si="657"/>
        <v>3.0712636262151323E-5</v>
      </c>
      <c r="Z183" s="18">
        <f t="shared" si="657"/>
        <v>-2.3024918745146179E-5</v>
      </c>
      <c r="AA183" s="18">
        <f t="shared" si="657"/>
        <v>-3.713914923956689E-5</v>
      </c>
      <c r="AB183" s="18">
        <f t="shared" si="657"/>
        <v>-1.7900551232072528E-5</v>
      </c>
      <c r="AC183" s="18">
        <f t="shared" si="657"/>
        <v>6.6582381631726911E-6</v>
      </c>
      <c r="AD183" s="18">
        <f t="shared" si="657"/>
        <v>1.6502646736041513E-5</v>
      </c>
      <c r="AE183" s="18">
        <f t="shared" si="657"/>
        <v>3.0712636262151323E-5</v>
      </c>
      <c r="AF183" s="18">
        <f t="shared" si="657"/>
        <v>3.0032071151869715E-5</v>
      </c>
      <c r="AG183" s="18">
        <f t="shared" si="657"/>
        <v>3.1669694013338549E-5</v>
      </c>
      <c r="AH183" s="18">
        <f t="shared" si="657"/>
        <v>3.9996445986051063E-5</v>
      </c>
      <c r="AI183" s="18">
        <f t="shared" si="657"/>
        <v>3.6328441534167567E-5</v>
      </c>
      <c r="AJ183" s="18">
        <f t="shared" si="657"/>
        <v>2.5409705763994576E-5</v>
      </c>
      <c r="AK183" s="18">
        <f t="shared" ref="AK183:BG183" si="658">0.00004 * SIN( AK168  * Deg2Rad )</f>
        <v>3.9379641581559842E-5</v>
      </c>
      <c r="AL183" s="18">
        <f t="shared" si="658"/>
        <v>3.9355090628501548E-5</v>
      </c>
      <c r="AM183" s="18">
        <f t="shared" si="658"/>
        <v>-6.3374014197284363E-6</v>
      </c>
      <c r="AN183" s="18">
        <f t="shared" si="658"/>
        <v>-3.5533722032111631E-5</v>
      </c>
      <c r="AO183" s="18">
        <f t="shared" si="658"/>
        <v>3.1249795886578022E-5</v>
      </c>
      <c r="AP183" s="18">
        <f t="shared" si="658"/>
        <v>3.9999968772666886E-5</v>
      </c>
      <c r="AQ183" s="18">
        <f t="shared" si="658"/>
        <v>3.9999968772666886E-5</v>
      </c>
      <c r="AR183" s="18">
        <f t="shared" si="658"/>
        <v>3.9977637368046254E-5</v>
      </c>
      <c r="AS183" s="18">
        <f t="shared" si="658"/>
        <v>3.9977637368046254E-5</v>
      </c>
      <c r="AT183" s="18">
        <f t="shared" si="658"/>
        <v>3.9977637368046254E-5</v>
      </c>
      <c r="AU183" s="18">
        <f t="shared" si="658"/>
        <v>2.8284470559424782E-5</v>
      </c>
      <c r="AV183" s="18">
        <f t="shared" si="658"/>
        <v>-3.403761728421042E-5</v>
      </c>
      <c r="AW183" s="18">
        <f t="shared" si="658"/>
        <v>-3.7323260725526382E-5</v>
      </c>
      <c r="AX183" s="18">
        <f t="shared" si="658"/>
        <v>2.4609391721553887E-5</v>
      </c>
      <c r="AY183" s="18">
        <f t="shared" si="658"/>
        <v>3.9913883617213499E-5</v>
      </c>
      <c r="AZ183" s="18">
        <f t="shared" si="658"/>
        <v>3.9913883617213499E-5</v>
      </c>
      <c r="BA183" s="18">
        <f t="shared" si="658"/>
        <v>3.9808773577847703E-5</v>
      </c>
      <c r="BB183" s="18">
        <f t="shared" si="658"/>
        <v>3.9808773577847703E-5</v>
      </c>
      <c r="BC183" s="18">
        <f t="shared" si="658"/>
        <v>3.9808773577847703E-5</v>
      </c>
      <c r="BD183" s="18">
        <f t="shared" si="658"/>
        <v>3.9808773577847703E-5</v>
      </c>
      <c r="BE183" s="18">
        <f t="shared" si="658"/>
        <v>3.9808773577847703E-5</v>
      </c>
      <c r="BF183" s="18">
        <f t="shared" si="658"/>
        <v>3.9808773577847703E-5</v>
      </c>
      <c r="BG183" s="18">
        <f t="shared" si="658"/>
        <v>3.0712636262151323E-5</v>
      </c>
    </row>
    <row r="184" spans="2:59" x14ac:dyDescent="0.25">
      <c r="C184" t="s">
        <v>154</v>
      </c>
      <c r="D184" s="7" t="s">
        <v>436</v>
      </c>
      <c r="E184" s="18">
        <f t="shared" ref="E184:AJ184" si="659">0.000037 * SIN( E169  * Deg2Rad )</f>
        <v>2.5547167898015364E-5</v>
      </c>
      <c r="F184" s="18">
        <f t="shared" si="659"/>
        <v>-3.6273434304514135E-5</v>
      </c>
      <c r="G184" s="18">
        <f t="shared" si="659"/>
        <v>7.8382432853210339E-6</v>
      </c>
      <c r="H184" s="18">
        <f t="shared" si="659"/>
        <v>-3.1167847295361831E-5</v>
      </c>
      <c r="I184" s="18">
        <f t="shared" si="659"/>
        <v>-3.591105769509038E-5</v>
      </c>
      <c r="J184" s="18">
        <f t="shared" si="659"/>
        <v>1.0852126305247223E-5</v>
      </c>
      <c r="K184" s="18">
        <f t="shared" si="659"/>
        <v>-4.1517817931075233E-6</v>
      </c>
      <c r="L184" s="18">
        <f t="shared" si="659"/>
        <v>-2.9380189881905328E-5</v>
      </c>
      <c r="M184" s="18">
        <f t="shared" si="659"/>
        <v>3.3627463146819536E-5</v>
      </c>
      <c r="N184" s="18">
        <f t="shared" si="659"/>
        <v>-1.2956644508376765E-5</v>
      </c>
      <c r="O184" s="18">
        <f t="shared" si="659"/>
        <v>-3.3780741589885276E-5</v>
      </c>
      <c r="P184" s="18">
        <f t="shared" si="659"/>
        <v>-3.3770416123184471E-5</v>
      </c>
      <c r="Q184" s="18">
        <f t="shared" si="659"/>
        <v>2.9464652516034116E-5</v>
      </c>
      <c r="R184" s="18">
        <f t="shared" si="659"/>
        <v>3.6048835124669049E-5</v>
      </c>
      <c r="S184" s="18">
        <f t="shared" si="659"/>
        <v>-3.638579897900819E-5</v>
      </c>
      <c r="T184" s="18">
        <f t="shared" si="659"/>
        <v>-1.7290473701317567E-5</v>
      </c>
      <c r="U184" s="18">
        <f t="shared" si="659"/>
        <v>9.1230672529041113E-6</v>
      </c>
      <c r="V184" s="18">
        <f t="shared" si="659"/>
        <v>3.4852025196086961E-5</v>
      </c>
      <c r="W184" s="18">
        <f t="shared" si="659"/>
        <v>-1.9244626586598935E-5</v>
      </c>
      <c r="X184" s="18">
        <f t="shared" si="659"/>
        <v>1.7906831720168429E-5</v>
      </c>
      <c r="Y184" s="18">
        <f t="shared" si="659"/>
        <v>1.2841490625987441E-5</v>
      </c>
      <c r="Z184" s="18">
        <f t="shared" si="659"/>
        <v>7.4179402942004093E-6</v>
      </c>
      <c r="AA184" s="18">
        <f t="shared" si="659"/>
        <v>7.8382432853210339E-6</v>
      </c>
      <c r="AB184" s="18">
        <f t="shared" si="659"/>
        <v>-2.5799199450788149E-5</v>
      </c>
      <c r="AC184" s="18">
        <f t="shared" si="659"/>
        <v>-1.734116510787503E-5</v>
      </c>
      <c r="AD184" s="18">
        <f t="shared" si="659"/>
        <v>-3.6324782925372442E-5</v>
      </c>
      <c r="AE184" s="18">
        <f t="shared" si="659"/>
        <v>1.2841490625987441E-5</v>
      </c>
      <c r="AF184" s="18">
        <f t="shared" si="659"/>
        <v>-2.5011184504202608E-5</v>
      </c>
      <c r="AG184" s="18">
        <f t="shared" si="659"/>
        <v>3.7815908573663059E-6</v>
      </c>
      <c r="AH184" s="18">
        <f t="shared" si="659"/>
        <v>2.8414396782659994E-5</v>
      </c>
      <c r="AI184" s="18">
        <f t="shared" si="659"/>
        <v>3.0618150187849049E-6</v>
      </c>
      <c r="AJ184" s="18">
        <f t="shared" si="659"/>
        <v>-1.0495619716859715E-5</v>
      </c>
      <c r="AK184" s="18">
        <f t="shared" ref="AK184:BG184" si="660">0.000037 * SIN( AK169  * Deg2Rad )</f>
        <v>3.1283271765980276E-5</v>
      </c>
      <c r="AL184" s="18">
        <f t="shared" si="660"/>
        <v>-3.6858179234157957E-5</v>
      </c>
      <c r="AM184" s="18">
        <f t="shared" si="660"/>
        <v>3.5928910007764997E-5</v>
      </c>
      <c r="AN184" s="18">
        <f t="shared" si="660"/>
        <v>-3.2159823147118293E-5</v>
      </c>
      <c r="AO184" s="18">
        <f t="shared" si="660"/>
        <v>-1.9939982180564825E-5</v>
      </c>
      <c r="AP184" s="18">
        <f t="shared" si="660"/>
        <v>2.9373399409607799E-5</v>
      </c>
      <c r="AQ184" s="18">
        <f t="shared" si="660"/>
        <v>2.9373399409607799E-5</v>
      </c>
      <c r="AR184" s="18">
        <f t="shared" si="660"/>
        <v>1.757027378115704E-5</v>
      </c>
      <c r="AS184" s="18">
        <f t="shared" si="660"/>
        <v>1.757027378115704E-5</v>
      </c>
      <c r="AT184" s="18">
        <f t="shared" si="660"/>
        <v>1.757027378115704E-5</v>
      </c>
      <c r="AU184" s="18">
        <f t="shared" si="660"/>
        <v>2.971314883279248E-5</v>
      </c>
      <c r="AV184" s="18">
        <f t="shared" si="660"/>
        <v>-3.882370775907339E-6</v>
      </c>
      <c r="AW184" s="18">
        <f t="shared" si="660"/>
        <v>1.7111201171602694E-5</v>
      </c>
      <c r="AX184" s="18">
        <f t="shared" si="660"/>
        <v>-5.6960662319742026E-6</v>
      </c>
      <c r="AY184" s="18">
        <f t="shared" si="660"/>
        <v>2.6794650075666097E-6</v>
      </c>
      <c r="AZ184" s="18">
        <f t="shared" si="660"/>
        <v>2.6794650075666097E-6</v>
      </c>
      <c r="BA184" s="18">
        <f t="shared" si="660"/>
        <v>-1.2682215139168628E-5</v>
      </c>
      <c r="BB184" s="18">
        <f t="shared" si="660"/>
        <v>-1.2682215139168628E-5</v>
      </c>
      <c r="BC184" s="18">
        <f t="shared" si="660"/>
        <v>-1.2682215139168628E-5</v>
      </c>
      <c r="BD184" s="18">
        <f t="shared" si="660"/>
        <v>-1.2682215139168628E-5</v>
      </c>
      <c r="BE184" s="18">
        <f t="shared" si="660"/>
        <v>-1.2682215139168628E-5</v>
      </c>
      <c r="BF184" s="18">
        <f t="shared" si="660"/>
        <v>-1.2682215139168628E-5</v>
      </c>
      <c r="BG184" s="18">
        <f t="shared" si="660"/>
        <v>1.2841490625987441E-5</v>
      </c>
    </row>
    <row r="185" spans="2:59" x14ac:dyDescent="0.25">
      <c r="C185" t="s">
        <v>155</v>
      </c>
      <c r="D185" s="7" t="s">
        <v>437</v>
      </c>
      <c r="E185" s="18">
        <f t="shared" ref="E185:AJ185" si="661">0.000035 * SIN( E170  * Deg2Rad )</f>
        <v>-3.2474404851365785E-5</v>
      </c>
      <c r="F185" s="18">
        <f t="shared" si="661"/>
        <v>-2.5964768110921473E-5</v>
      </c>
      <c r="G185" s="18">
        <f t="shared" si="661"/>
        <v>-3.1958736131586326E-5</v>
      </c>
      <c r="H185" s="18">
        <f t="shared" si="661"/>
        <v>-3.0377530975379381E-5</v>
      </c>
      <c r="I185" s="18">
        <f t="shared" si="661"/>
        <v>2.9070028202196903E-5</v>
      </c>
      <c r="J185" s="18">
        <f t="shared" si="661"/>
        <v>-3.3173439074277332E-5</v>
      </c>
      <c r="K185" s="18">
        <f t="shared" si="661"/>
        <v>3.288916290862429E-5</v>
      </c>
      <c r="L185" s="18">
        <f t="shared" si="661"/>
        <v>-1.0562633292100973E-5</v>
      </c>
      <c r="M185" s="18">
        <f t="shared" si="661"/>
        <v>3.8011176572345056E-6</v>
      </c>
      <c r="N185" s="18">
        <f t="shared" si="661"/>
        <v>1.8876283056555642E-5</v>
      </c>
      <c r="O185" s="18">
        <f t="shared" si="661"/>
        <v>2.6290120812865202E-6</v>
      </c>
      <c r="P185" s="18">
        <f t="shared" si="661"/>
        <v>-1.2590610340165932E-6</v>
      </c>
      <c r="Q185" s="18">
        <f t="shared" si="661"/>
        <v>-3.375224883783317E-5</v>
      </c>
      <c r="R185" s="18">
        <f t="shared" si="661"/>
        <v>-2.6471630894719372E-5</v>
      </c>
      <c r="S185" s="18">
        <f t="shared" si="661"/>
        <v>2.7591772581693461E-6</v>
      </c>
      <c r="T185" s="18">
        <f t="shared" si="661"/>
        <v>3.4574884734073463E-5</v>
      </c>
      <c r="U185" s="18">
        <f t="shared" si="661"/>
        <v>-3.3781078363123398E-5</v>
      </c>
      <c r="V185" s="18">
        <f t="shared" si="661"/>
        <v>3.380762655922262E-5</v>
      </c>
      <c r="W185" s="18">
        <f t="shared" si="661"/>
        <v>-1.2189561495233292E-5</v>
      </c>
      <c r="X185" s="18">
        <f t="shared" si="661"/>
        <v>-1.0702901105314193E-5</v>
      </c>
      <c r="Y185" s="18">
        <f t="shared" si="661"/>
        <v>-2.5062577683379314E-5</v>
      </c>
      <c r="Z185" s="18">
        <f t="shared" si="661"/>
        <v>3.4870206939296255E-5</v>
      </c>
      <c r="AA185" s="18">
        <f t="shared" si="661"/>
        <v>-3.1958736131586326E-5</v>
      </c>
      <c r="AB185" s="18">
        <f t="shared" si="661"/>
        <v>-3.4227075299880449E-5</v>
      </c>
      <c r="AC185" s="18">
        <f t="shared" si="661"/>
        <v>3.222230702091776E-5</v>
      </c>
      <c r="AD185" s="18">
        <f t="shared" si="661"/>
        <v>1.9297964626760002E-5</v>
      </c>
      <c r="AE185" s="18">
        <f t="shared" si="661"/>
        <v>-2.5062577683379314E-5</v>
      </c>
      <c r="AF185" s="18">
        <f t="shared" si="661"/>
        <v>-3.8398883335950366E-6</v>
      </c>
      <c r="AG185" s="18">
        <f t="shared" si="661"/>
        <v>2.4630768068566501E-5</v>
      </c>
      <c r="AH185" s="18">
        <f t="shared" si="661"/>
        <v>-9.0524804849460495E-6</v>
      </c>
      <c r="AI185" s="18">
        <f t="shared" si="661"/>
        <v>-2.4012189768873924E-5</v>
      </c>
      <c r="AJ185" s="18">
        <f t="shared" si="661"/>
        <v>-2.5234466280225066E-5</v>
      </c>
      <c r="AK185" s="18">
        <f t="shared" ref="AK185:BG185" si="662">0.000035 * SIN( AK170  * Deg2Rad )</f>
        <v>2.9000054079027135E-5</v>
      </c>
      <c r="AL185" s="18">
        <f t="shared" si="662"/>
        <v>-7.2362070574831755E-6</v>
      </c>
      <c r="AM185" s="18">
        <f t="shared" si="662"/>
        <v>3.454284668444564E-5</v>
      </c>
      <c r="AN185" s="18">
        <f t="shared" si="662"/>
        <v>-2.1317517829754668E-5</v>
      </c>
      <c r="AO185" s="18">
        <f t="shared" si="662"/>
        <v>-4.8013229123977087E-8</v>
      </c>
      <c r="AP185" s="18">
        <f t="shared" si="662"/>
        <v>-2.0134725363359601E-5</v>
      </c>
      <c r="AQ185" s="18">
        <f t="shared" si="662"/>
        <v>-2.0134725363359601E-5</v>
      </c>
      <c r="AR185" s="18">
        <f t="shared" si="662"/>
        <v>-3.0502132409836083E-5</v>
      </c>
      <c r="AS185" s="18">
        <f t="shared" si="662"/>
        <v>-3.0502132409836083E-5</v>
      </c>
      <c r="AT185" s="18">
        <f t="shared" si="662"/>
        <v>-3.0502132409836083E-5</v>
      </c>
      <c r="AU185" s="18">
        <f t="shared" si="662"/>
        <v>2.5957395832968781E-5</v>
      </c>
      <c r="AV185" s="18">
        <f t="shared" si="662"/>
        <v>-2.5201663129643754E-5</v>
      </c>
      <c r="AW185" s="18">
        <f t="shared" si="662"/>
        <v>-3.354245543443526E-5</v>
      </c>
      <c r="AX185" s="18">
        <f t="shared" si="662"/>
        <v>3.48656404267965E-5</v>
      </c>
      <c r="AY185" s="18">
        <f t="shared" si="662"/>
        <v>-3.4920820638700268E-5</v>
      </c>
      <c r="AZ185" s="18">
        <f t="shared" si="662"/>
        <v>-3.4920820638700268E-5</v>
      </c>
      <c r="BA185" s="18">
        <f t="shared" si="662"/>
        <v>-3.2529029519147014E-5</v>
      </c>
      <c r="BB185" s="18">
        <f t="shared" si="662"/>
        <v>-3.2529029519147014E-5</v>
      </c>
      <c r="BC185" s="18">
        <f t="shared" si="662"/>
        <v>-3.2529029519147014E-5</v>
      </c>
      <c r="BD185" s="18">
        <f t="shared" si="662"/>
        <v>-3.2529029519147014E-5</v>
      </c>
      <c r="BE185" s="18">
        <f t="shared" si="662"/>
        <v>-3.2529029519147014E-5</v>
      </c>
      <c r="BF185" s="18">
        <f t="shared" si="662"/>
        <v>-3.2529029519147014E-5</v>
      </c>
      <c r="BG185" s="18">
        <f t="shared" si="662"/>
        <v>-2.5062577683379314E-5</v>
      </c>
    </row>
    <row r="186" spans="2:59" x14ac:dyDescent="0.25">
      <c r="C186" t="s">
        <v>156</v>
      </c>
      <c r="D186" s="86" t="s">
        <v>438</v>
      </c>
      <c r="E186" s="87">
        <f t="shared" ref="E186:AJ186" si="663">0.000023 * SIN( E171  * Deg2Rad )</f>
        <v>-2.2424313113597239E-5</v>
      </c>
      <c r="F186" s="87">
        <f t="shared" si="663"/>
        <v>2.1486279212264834E-5</v>
      </c>
      <c r="G186" s="87">
        <f t="shared" si="663"/>
        <v>-1.0638683225259494E-5</v>
      </c>
      <c r="H186" s="87">
        <f t="shared" si="663"/>
        <v>-2.1702386885589066E-5</v>
      </c>
      <c r="I186" s="87">
        <f t="shared" si="663"/>
        <v>2.0374260512342867E-5</v>
      </c>
      <c r="J186" s="87">
        <f t="shared" si="663"/>
        <v>1.6090008252096123E-5</v>
      </c>
      <c r="K186" s="87">
        <f t="shared" si="663"/>
        <v>7.5808134824907632E-6</v>
      </c>
      <c r="L186" s="87">
        <f t="shared" si="663"/>
        <v>5.145625697062211E-7</v>
      </c>
      <c r="M186" s="87">
        <f t="shared" si="663"/>
        <v>-1.0975838041914527E-5</v>
      </c>
      <c r="N186" s="87">
        <f t="shared" si="663"/>
        <v>-7.9650546599552873E-6</v>
      </c>
      <c r="O186" s="87">
        <f t="shared" si="663"/>
        <v>-2.1166010740776965E-5</v>
      </c>
      <c r="P186" s="87">
        <f t="shared" si="663"/>
        <v>1.203568040903479E-5</v>
      </c>
      <c r="Q186" s="87">
        <f t="shared" si="663"/>
        <v>2.7285605163638366E-6</v>
      </c>
      <c r="R186" s="87">
        <f t="shared" si="663"/>
        <v>1.2921916881400563E-6</v>
      </c>
      <c r="S186" s="87">
        <f t="shared" si="663"/>
        <v>-2.2066809175761388E-5</v>
      </c>
      <c r="T186" s="87">
        <f t="shared" si="663"/>
        <v>-2.0464881136575493E-5</v>
      </c>
      <c r="U186" s="87">
        <f t="shared" si="663"/>
        <v>-1.2896408540984091E-5</v>
      </c>
      <c r="V186" s="87">
        <f t="shared" si="663"/>
        <v>3.0493281827029795E-6</v>
      </c>
      <c r="W186" s="87">
        <f t="shared" si="663"/>
        <v>1.801926215919651E-5</v>
      </c>
      <c r="X186" s="87">
        <f t="shared" si="663"/>
        <v>-3.5349699752738522E-6</v>
      </c>
      <c r="Y186" s="87">
        <f t="shared" si="663"/>
        <v>1.3442803074540696E-5</v>
      </c>
      <c r="Z186" s="87">
        <f t="shared" si="663"/>
        <v>1.8422129237376766E-5</v>
      </c>
      <c r="AA186" s="87">
        <f t="shared" si="663"/>
        <v>-1.0638683225259494E-5</v>
      </c>
      <c r="AB186" s="87">
        <f t="shared" si="663"/>
        <v>2.1632019560958443E-5</v>
      </c>
      <c r="AC186" s="87">
        <f t="shared" si="663"/>
        <v>2.0878725158591828E-5</v>
      </c>
      <c r="AD186" s="87">
        <f t="shared" si="663"/>
        <v>3.3865066087193367E-6</v>
      </c>
      <c r="AE186" s="87">
        <f t="shared" si="663"/>
        <v>1.3442803074540696E-5</v>
      </c>
      <c r="AF186" s="87">
        <f t="shared" si="663"/>
        <v>7.8283761664547513E-6</v>
      </c>
      <c r="AG186" s="87">
        <f t="shared" si="663"/>
        <v>5.0619557829493044E-6</v>
      </c>
      <c r="AH186" s="87">
        <f t="shared" si="663"/>
        <v>-1.9742978759805671E-5</v>
      </c>
      <c r="AI186" s="87">
        <f t="shared" si="663"/>
        <v>-4.952084349201429E-6</v>
      </c>
      <c r="AJ186" s="87">
        <f t="shared" si="663"/>
        <v>1.4116409853214569E-5</v>
      </c>
      <c r="AK186" s="87">
        <f t="shared" ref="AK186:BG186" si="664">0.000023 * SIN( AK171  * Deg2Rad )</f>
        <v>5.6848237143054659E-6</v>
      </c>
      <c r="AL186" s="87">
        <f t="shared" si="664"/>
        <v>-2.2697125952779483E-5</v>
      </c>
      <c r="AM186" s="87">
        <f t="shared" si="664"/>
        <v>-1.2621161591721198E-5</v>
      </c>
      <c r="AN186" s="87">
        <f t="shared" si="664"/>
        <v>-6.6378606812120094E-6</v>
      </c>
      <c r="AO186" s="87">
        <f t="shared" si="664"/>
        <v>2.1751249169877726E-5</v>
      </c>
      <c r="AP186" s="87">
        <f t="shared" si="664"/>
        <v>-2.2773121035998505E-5</v>
      </c>
      <c r="AQ186" s="87">
        <f t="shared" si="664"/>
        <v>-2.2773121035998505E-5</v>
      </c>
      <c r="AR186" s="87">
        <f t="shared" si="664"/>
        <v>-2.2930296879510076E-5</v>
      </c>
      <c r="AS186" s="87">
        <f t="shared" si="664"/>
        <v>-2.2930296879510076E-5</v>
      </c>
      <c r="AT186" s="87">
        <f t="shared" si="664"/>
        <v>-2.2930296879510076E-5</v>
      </c>
      <c r="AU186" s="87">
        <f t="shared" si="664"/>
        <v>-1.7749843858393152E-5</v>
      </c>
      <c r="AV186" s="87">
        <f t="shared" si="664"/>
        <v>-1.7163357295329026E-5</v>
      </c>
      <c r="AW186" s="87">
        <f t="shared" si="664"/>
        <v>-1.3498379038338663E-5</v>
      </c>
      <c r="AX186" s="87">
        <f t="shared" si="664"/>
        <v>-1.8977298728936514E-5</v>
      </c>
      <c r="AY186" s="87">
        <f t="shared" si="664"/>
        <v>-2.2997352962321876E-5</v>
      </c>
      <c r="AZ186" s="87">
        <f t="shared" si="664"/>
        <v>-2.2997352962321876E-5</v>
      </c>
      <c r="BA186" s="87">
        <f t="shared" si="664"/>
        <v>-2.2974025743226036E-5</v>
      </c>
      <c r="BB186" s="87">
        <f t="shared" si="664"/>
        <v>-2.2974025743226036E-5</v>
      </c>
      <c r="BC186" s="87">
        <f t="shared" si="664"/>
        <v>-2.2974025743226036E-5</v>
      </c>
      <c r="BD186" s="87">
        <f t="shared" si="664"/>
        <v>-2.2974025743226036E-5</v>
      </c>
      <c r="BE186" s="87">
        <f t="shared" si="664"/>
        <v>-2.2974025743226036E-5</v>
      </c>
      <c r="BF186" s="87">
        <f t="shared" si="664"/>
        <v>-2.2974025743226036E-5</v>
      </c>
      <c r="BG186" s="87">
        <f t="shared" si="664"/>
        <v>1.3442803074540696E-5</v>
      </c>
    </row>
    <row r="187" spans="2:59" x14ac:dyDescent="0.25">
      <c r="B187" s="6"/>
      <c r="C187" s="8" t="s">
        <v>467</v>
      </c>
      <c r="D187"/>
    </row>
    <row r="188" spans="2:59" x14ac:dyDescent="0.25">
      <c r="B188" s="35"/>
      <c r="C188" s="35" t="s">
        <v>471</v>
      </c>
      <c r="D188" s="86" t="s">
        <v>468</v>
      </c>
      <c r="E188" s="111">
        <f>SUM(E173:E186)</f>
        <v>-3.2730638837121521E-4</v>
      </c>
      <c r="F188" s="111">
        <f t="shared" ref="F188:X188" si="665">SUM(F173:F186)</f>
        <v>-6.7107415567551113E-4</v>
      </c>
      <c r="G188" s="111">
        <f t="shared" si="665"/>
        <v>-5.325049438674891E-4</v>
      </c>
      <c r="H188" s="111">
        <f t="shared" si="665"/>
        <v>-8.880128828844978E-4</v>
      </c>
      <c r="I188" s="111">
        <f t="shared" si="665"/>
        <v>-6.1388354825933308E-4</v>
      </c>
      <c r="J188" s="111">
        <f t="shared" si="665"/>
        <v>-5.4274655411089945E-5</v>
      </c>
      <c r="K188" s="111">
        <f t="shared" si="665"/>
        <v>-7.1391837638657329E-4</v>
      </c>
      <c r="L188" s="111">
        <f t="shared" si="665"/>
        <v>-3.3057359432126301E-4</v>
      </c>
      <c r="M188" s="111">
        <f t="shared" si="665"/>
        <v>1.2403210817576909E-4</v>
      </c>
      <c r="N188" s="111">
        <f t="shared" si="665"/>
        <v>1.8175040274466203E-4</v>
      </c>
      <c r="O188" s="111">
        <f t="shared" si="665"/>
        <v>9.4537385370955246E-5</v>
      </c>
      <c r="P188" s="111">
        <f t="shared" si="665"/>
        <v>4.5806230957491387E-5</v>
      </c>
      <c r="Q188" s="111">
        <f t="shared" si="665"/>
        <v>-3.0007812466924515E-4</v>
      </c>
      <c r="R188" s="111">
        <f t="shared" si="665"/>
        <v>-1.8349520163832379E-4</v>
      </c>
      <c r="S188" s="111">
        <f t="shared" si="665"/>
        <v>-3.2137815082809804E-4</v>
      </c>
      <c r="T188" s="111">
        <f t="shared" si="665"/>
        <v>-4.1636491598829564E-4</v>
      </c>
      <c r="U188" s="111">
        <f t="shared" si="665"/>
        <v>-2.8632929850385704E-4</v>
      </c>
      <c r="V188" s="111">
        <f t="shared" si="665"/>
        <v>-2.7429542201308553E-4</v>
      </c>
      <c r="W188" s="111">
        <f t="shared" si="665"/>
        <v>-5.3478330166799722E-5</v>
      </c>
      <c r="X188" s="111">
        <f t="shared" si="665"/>
        <v>-4.6742208008552897E-4</v>
      </c>
      <c r="Y188" s="111">
        <f>SUM(Y173:Y186)</f>
        <v>-7.0961778482213269E-4</v>
      </c>
      <c r="Z188" s="111">
        <f t="shared" ref="Z188:AE188" si="666">SUM(Z173:Z186)</f>
        <v>-1.778536086004302E-4</v>
      </c>
      <c r="AA188" s="111">
        <f t="shared" si="666"/>
        <v>-5.325049438674891E-4</v>
      </c>
      <c r="AB188" s="111">
        <f t="shared" si="666"/>
        <v>-5.1077556112958766E-4</v>
      </c>
      <c r="AC188" s="111">
        <f t="shared" si="666"/>
        <v>-4.0780340721658932E-4</v>
      </c>
      <c r="AD188" s="111">
        <f t="shared" si="666"/>
        <v>-4.4539001459197931E-4</v>
      </c>
      <c r="AE188" s="111">
        <f t="shared" si="666"/>
        <v>-7.0961778482213269E-4</v>
      </c>
      <c r="AF188" s="111">
        <f t="shared" ref="AF188:BG188" si="667">SUM(AF173:AF186)</f>
        <v>-3.5391438729920501E-4</v>
      </c>
      <c r="AG188" s="111">
        <f t="shared" si="667"/>
        <v>-3.5939660349246E-4</v>
      </c>
      <c r="AH188" s="111">
        <f t="shared" si="667"/>
        <v>-6.7147650994933716E-4</v>
      </c>
      <c r="AI188" s="111">
        <f t="shared" si="667"/>
        <v>-3.7790257281794049E-4</v>
      </c>
      <c r="AJ188" s="111">
        <f t="shared" si="667"/>
        <v>-6.6878350803166659E-4</v>
      </c>
      <c r="AK188" s="111">
        <f t="shared" si="667"/>
        <v>5.027944609175154E-4</v>
      </c>
      <c r="AL188" s="111">
        <f t="shared" si="667"/>
        <v>-1.6733873094852011E-4</v>
      </c>
      <c r="AM188" s="111">
        <f t="shared" si="667"/>
        <v>-5.9888767264136653E-4</v>
      </c>
      <c r="AN188" s="111">
        <f t="shared" si="667"/>
        <v>-4.6603725997286429E-4</v>
      </c>
      <c r="AO188" s="111">
        <f t="shared" si="667"/>
        <v>2.0291552035203817E-4</v>
      </c>
      <c r="AP188" s="111">
        <f t="shared" si="667"/>
        <v>-1.7580393415454613E-4</v>
      </c>
      <c r="AQ188" s="111">
        <f t="shared" si="667"/>
        <v>-1.7580393415454613E-4</v>
      </c>
      <c r="AR188" s="111">
        <f t="shared" si="667"/>
        <v>-3.5598770572615112E-4</v>
      </c>
      <c r="AS188" s="111">
        <f t="shared" si="667"/>
        <v>-3.5598770572615112E-4</v>
      </c>
      <c r="AT188" s="111">
        <f t="shared" si="667"/>
        <v>-3.5598770572615112E-4</v>
      </c>
      <c r="AU188" s="111">
        <f t="shared" si="667"/>
        <v>-4.8714048143877584E-4</v>
      </c>
      <c r="AV188" s="111">
        <f t="shared" si="667"/>
        <v>-6.5508278827613661E-4</v>
      </c>
      <c r="AW188" s="111">
        <f t="shared" si="667"/>
        <v>-2.0345261917114712E-4</v>
      </c>
      <c r="AX188" s="111">
        <f t="shared" si="667"/>
        <v>-5.6109003375346073E-4</v>
      </c>
      <c r="AY188" s="111">
        <f t="shared" si="667"/>
        <v>-5.5569858506545721E-4</v>
      </c>
      <c r="AZ188" s="111">
        <f t="shared" si="667"/>
        <v>-5.5569858506545721E-4</v>
      </c>
      <c r="BA188" s="111">
        <f t="shared" si="667"/>
        <v>-7.2187590101138158E-4</v>
      </c>
      <c r="BB188" s="111">
        <f t="shared" si="667"/>
        <v>-7.2187590101138158E-4</v>
      </c>
      <c r="BC188" s="111">
        <f t="shared" si="667"/>
        <v>-7.2187590101138158E-4</v>
      </c>
      <c r="BD188" s="111">
        <f t="shared" si="667"/>
        <v>-7.2187590101138158E-4</v>
      </c>
      <c r="BE188" s="111">
        <f t="shared" si="667"/>
        <v>-7.2187590101138158E-4</v>
      </c>
      <c r="BF188" s="111">
        <f t="shared" si="667"/>
        <v>-7.2187590101138158E-4</v>
      </c>
      <c r="BG188" s="111">
        <f t="shared" si="667"/>
        <v>-7.0961778482213269E-4</v>
      </c>
    </row>
    <row r="189" spans="2:59" x14ac:dyDescent="0.25">
      <c r="B189">
        <v>352</v>
      </c>
      <c r="C189" s="8" t="s">
        <v>25</v>
      </c>
      <c r="D189"/>
    </row>
    <row r="190" spans="2:59" x14ac:dyDescent="0.25">
      <c r="C190" s="6" t="s">
        <v>26</v>
      </c>
      <c r="D190"/>
    </row>
    <row r="191" spans="2:59" x14ac:dyDescent="0.25">
      <c r="C191" s="6" t="s">
        <v>27</v>
      </c>
      <c r="D191"/>
    </row>
    <row r="192" spans="2:59" x14ac:dyDescent="0.25">
      <c r="B192" s="35"/>
      <c r="C192" s="96" t="s">
        <v>28</v>
      </c>
      <c r="D192" s="86" t="s">
        <v>472</v>
      </c>
      <c r="E192" s="94">
        <f t="shared" ref="E192:AJ192" si="668">0.00306-0.00038*E111*COS(E115* Deg2Rad)+0.00026*COS(E120* Deg2Rad)-0.00002*COS((E120-E115)* Deg2Rad)+0.00002*COS((E120+E115)* Deg2Rad)+0.00002*COS((2*E125)* Deg2Rad)</f>
        <v>2.6867939465399786E-3</v>
      </c>
      <c r="F192" s="94">
        <f t="shared" si="668"/>
        <v>2.8508004269499074E-3</v>
      </c>
      <c r="G192" s="94">
        <f t="shared" si="668"/>
        <v>2.7953673708750381E-3</v>
      </c>
      <c r="H192" s="94">
        <f t="shared" si="668"/>
        <v>2.9461287578427943E-3</v>
      </c>
      <c r="I192" s="94">
        <f t="shared" si="668"/>
        <v>2.575527201739862E-3</v>
      </c>
      <c r="J192" s="94">
        <f t="shared" si="668"/>
        <v>3.3996018495591764E-3</v>
      </c>
      <c r="K192" s="94">
        <f t="shared" si="668"/>
        <v>2.7554506118167869E-3</v>
      </c>
      <c r="L192" s="94">
        <f t="shared" si="668"/>
        <v>3.2200513645285521E-3</v>
      </c>
      <c r="M192" s="94">
        <f t="shared" si="668"/>
        <v>2.8595717769852222E-3</v>
      </c>
      <c r="N192" s="94">
        <f t="shared" si="668"/>
        <v>2.9289652181107542E-3</v>
      </c>
      <c r="O192" s="94">
        <f t="shared" si="668"/>
        <v>3.0415131762711622E-3</v>
      </c>
      <c r="P192" s="94">
        <f t="shared" si="668"/>
        <v>3.052524113698993E-3</v>
      </c>
      <c r="Q192" s="94">
        <f t="shared" si="668"/>
        <v>2.8153367106014435E-3</v>
      </c>
      <c r="R192" s="94">
        <f t="shared" si="668"/>
        <v>2.5607959591199803E-3</v>
      </c>
      <c r="S192" s="94">
        <f t="shared" si="668"/>
        <v>3.2149401697127294E-3</v>
      </c>
      <c r="T192" s="94">
        <f t="shared" si="668"/>
        <v>3.5233655960130697E-3</v>
      </c>
      <c r="U192" s="94">
        <f t="shared" si="668"/>
        <v>2.809556135548372E-3</v>
      </c>
      <c r="V192" s="94">
        <f t="shared" si="668"/>
        <v>2.8217308441644212E-3</v>
      </c>
      <c r="W192" s="94">
        <f t="shared" si="668"/>
        <v>3.0220195677618093E-3</v>
      </c>
      <c r="X192" s="94">
        <f t="shared" si="668"/>
        <v>3.5329955531526519E-3</v>
      </c>
      <c r="Y192" s="94">
        <f t="shared" si="668"/>
        <v>2.5877325220945387E-3</v>
      </c>
      <c r="Z192" s="94">
        <f t="shared" si="668"/>
        <v>2.8361138429218841E-3</v>
      </c>
      <c r="AA192" s="94">
        <f t="shared" si="668"/>
        <v>2.7953673708750381E-3</v>
      </c>
      <c r="AB192" s="94">
        <f t="shared" si="668"/>
        <v>3.1716886701354217E-3</v>
      </c>
      <c r="AC192" s="94">
        <f t="shared" si="668"/>
        <v>2.9509610948716082E-3</v>
      </c>
      <c r="AD192" s="94">
        <f t="shared" si="668"/>
        <v>2.9335543622734887E-3</v>
      </c>
      <c r="AE192" s="94">
        <f t="shared" si="668"/>
        <v>2.5877325220945387E-3</v>
      </c>
      <c r="AF192" s="94">
        <f t="shared" si="668"/>
        <v>2.4434611563779324E-3</v>
      </c>
      <c r="AG192" s="94">
        <f t="shared" si="668"/>
        <v>2.6374732412638847E-3</v>
      </c>
      <c r="AH192" s="94">
        <f t="shared" si="668"/>
        <v>3.2464202190287572E-3</v>
      </c>
      <c r="AI192" s="94">
        <f t="shared" si="668"/>
        <v>3.3730669562945658E-3</v>
      </c>
      <c r="AJ192" s="94">
        <f t="shared" si="668"/>
        <v>3.5984893697749579E-3</v>
      </c>
      <c r="AK192" s="94">
        <f t="shared" ref="AK192:BG192" si="669">0.00306-0.00038*AK111*COS(AK115* Deg2Rad)+0.00026*COS(AK120* Deg2Rad)-0.00002*COS((AK120-AK115)* Deg2Rad)+0.00002*COS((AK120+AK115)* Deg2Rad)+0.00002*COS((2*AK125)* Deg2Rad)</f>
        <v>2.4877443252296549E-3</v>
      </c>
      <c r="AL192" s="94">
        <f t="shared" si="669"/>
        <v>2.8724402436227691E-3</v>
      </c>
      <c r="AM192" s="94">
        <f t="shared" si="669"/>
        <v>3.5892630044729967E-3</v>
      </c>
      <c r="AN192" s="94">
        <f t="shared" si="669"/>
        <v>3.366149961526059E-3</v>
      </c>
      <c r="AO192" s="94">
        <f t="shared" si="669"/>
        <v>2.882470001754654E-3</v>
      </c>
      <c r="AP192" s="94">
        <f t="shared" si="669"/>
        <v>3.3150284505130186E-3</v>
      </c>
      <c r="AQ192" s="94">
        <f t="shared" si="669"/>
        <v>3.3150284505130186E-3</v>
      </c>
      <c r="AR192" s="94">
        <f t="shared" si="669"/>
        <v>3.1223851983656565E-3</v>
      </c>
      <c r="AS192" s="94">
        <f t="shared" si="669"/>
        <v>3.1223851983656565E-3</v>
      </c>
      <c r="AT192" s="94">
        <f t="shared" si="669"/>
        <v>3.1223851983656565E-3</v>
      </c>
      <c r="AU192" s="94">
        <f t="shared" si="669"/>
        <v>3.3966922165800132E-3</v>
      </c>
      <c r="AV192" s="94">
        <f t="shared" si="669"/>
        <v>3.1564216232356701E-3</v>
      </c>
      <c r="AW192" s="94">
        <f t="shared" si="669"/>
        <v>2.7852447898859718E-3</v>
      </c>
      <c r="AX192" s="94">
        <f t="shared" si="669"/>
        <v>3.5039083399380131E-3</v>
      </c>
      <c r="AY192" s="94">
        <f t="shared" si="669"/>
        <v>2.9333611928641173E-3</v>
      </c>
      <c r="AZ192" s="94">
        <f t="shared" si="669"/>
        <v>2.9333611928641173E-3</v>
      </c>
      <c r="BA192" s="94">
        <f t="shared" si="669"/>
        <v>2.782118461828549E-3</v>
      </c>
      <c r="BB192" s="94">
        <f t="shared" si="669"/>
        <v>2.782118461828549E-3</v>
      </c>
      <c r="BC192" s="94">
        <f t="shared" si="669"/>
        <v>2.782118461828549E-3</v>
      </c>
      <c r="BD192" s="94">
        <f t="shared" si="669"/>
        <v>2.782118461828549E-3</v>
      </c>
      <c r="BE192" s="94">
        <f t="shared" si="669"/>
        <v>2.782118461828549E-3</v>
      </c>
      <c r="BF192" s="94">
        <f t="shared" si="669"/>
        <v>2.782118461828549E-3</v>
      </c>
      <c r="BG192" s="94">
        <f t="shared" si="669"/>
        <v>2.5877325220945387E-3</v>
      </c>
    </row>
    <row r="193" spans="1:59" x14ac:dyDescent="0.25">
      <c r="C193" s="51" t="s">
        <v>474</v>
      </c>
      <c r="D193"/>
    </row>
    <row r="194" spans="1:59" x14ac:dyDescent="0.25">
      <c r="B194">
        <v>353</v>
      </c>
      <c r="C194" s="6" t="s">
        <v>475</v>
      </c>
      <c r="D194" s="7" t="s">
        <v>476</v>
      </c>
      <c r="E194" s="128">
        <f>E110+E131+E188+E192</f>
        <v>2436141.9502422446</v>
      </c>
      <c r="F194" s="128">
        <f t="shared" ref="F194:X194" si="670">F110+F131+F188+F192</f>
        <v>1842754.6717725303</v>
      </c>
      <c r="G194" s="128">
        <f t="shared" si="670"/>
        <v>2451558.066086384</v>
      </c>
      <c r="H194" s="128">
        <f t="shared" si="670"/>
        <v>2451203.3029799154</v>
      </c>
      <c r="I194" s="128">
        <f t="shared" si="670"/>
        <v>2446832.181776708</v>
      </c>
      <c r="J194" s="128">
        <f t="shared" si="670"/>
        <v>2446980.8576631625</v>
      </c>
      <c r="K194" s="128">
        <f t="shared" si="670"/>
        <v>2447186.4128478747</v>
      </c>
      <c r="L194" s="128">
        <f t="shared" si="670"/>
        <v>2447334.9332529511</v>
      </c>
      <c r="M194" s="128">
        <f t="shared" si="670"/>
        <v>2415027.736075304</v>
      </c>
      <c r="N194" s="128">
        <f t="shared" si="670"/>
        <v>2305469.5027732421</v>
      </c>
      <c r="O194" s="128">
        <f t="shared" si="670"/>
        <v>2305853.6903875195</v>
      </c>
      <c r="P194" s="128">
        <f t="shared" si="670"/>
        <v>2026878.331849877</v>
      </c>
      <c r="Q194" s="128">
        <f t="shared" si="670"/>
        <v>1676528.0260707869</v>
      </c>
      <c r="R194" s="128">
        <f t="shared" si="670"/>
        <v>1676498.327966701</v>
      </c>
      <c r="S194" s="128">
        <f t="shared" si="670"/>
        <v>1356001.6455793949</v>
      </c>
      <c r="T194" s="128">
        <f t="shared" si="670"/>
        <v>1355913.3696384167</v>
      </c>
      <c r="U194" s="128">
        <f t="shared" si="670"/>
        <v>1355677.5097611358</v>
      </c>
      <c r="V194" s="128">
        <f t="shared" si="670"/>
        <v>17.524230721479249</v>
      </c>
      <c r="W194" s="128">
        <f t="shared" si="670"/>
        <v>2446921.6016075113</v>
      </c>
      <c r="X194" s="128">
        <f t="shared" si="670"/>
        <v>2448752.1559672132</v>
      </c>
      <c r="Y194" s="128">
        <f>Y110+Y131+Y188+Y192</f>
        <v>2443200.6186999064</v>
      </c>
      <c r="Z194" s="128">
        <f t="shared" ref="Z194:AE194" si="671">Z110+Z131+Z188+Z192</f>
        <v>2467622.66887049</v>
      </c>
      <c r="AA194" s="128">
        <f t="shared" si="671"/>
        <v>2451558.066086384</v>
      </c>
      <c r="AB194" s="128">
        <f t="shared" si="671"/>
        <v>2434931.5651679947</v>
      </c>
      <c r="AC194" s="128">
        <f t="shared" si="671"/>
        <v>2443849.5241192202</v>
      </c>
      <c r="AD194" s="128">
        <f t="shared" si="671"/>
        <v>2447275.4394387612</v>
      </c>
      <c r="AE194" s="128">
        <f t="shared" si="671"/>
        <v>2443200.6186999064</v>
      </c>
      <c r="AF194" s="128">
        <f t="shared" ref="AF194:BG194" si="672">AF110+AF131+AF188+AF192</f>
        <v>2448988.6522914562</v>
      </c>
      <c r="AG194" s="128">
        <f t="shared" si="672"/>
        <v>2448928.8835027586</v>
      </c>
      <c r="AH194" s="128">
        <f t="shared" si="672"/>
        <v>2448338.7526344517</v>
      </c>
      <c r="AI194" s="128">
        <f t="shared" si="672"/>
        <v>2448722.9215622605</v>
      </c>
      <c r="AJ194" s="128">
        <f t="shared" si="672"/>
        <v>2449136.2655870314</v>
      </c>
      <c r="AK194" s="128">
        <f t="shared" si="672"/>
        <v>2385083.7866165084</v>
      </c>
      <c r="AL194" s="128">
        <f t="shared" si="672"/>
        <v>2448161.5877823518</v>
      </c>
      <c r="AM194" s="128">
        <f t="shared" si="672"/>
        <v>1948444.5906828544</v>
      </c>
      <c r="AN194" s="128">
        <f t="shared" si="672"/>
        <v>2451646.0635595978</v>
      </c>
      <c r="AO194" s="128">
        <f t="shared" si="672"/>
        <v>1721444.0022024051</v>
      </c>
      <c r="AP194" s="128">
        <f t="shared" si="672"/>
        <v>2459855.5105717247</v>
      </c>
      <c r="AQ194" s="128">
        <f t="shared" si="672"/>
        <v>2459855.5105717247</v>
      </c>
      <c r="AR194" s="128">
        <f t="shared" si="672"/>
        <v>2459884.7765238062</v>
      </c>
      <c r="AS194" s="128">
        <f t="shared" si="672"/>
        <v>2459884.7765238062</v>
      </c>
      <c r="AT194" s="128">
        <f t="shared" si="672"/>
        <v>2459884.7765238062</v>
      </c>
      <c r="AU194" s="128">
        <f t="shared" si="672"/>
        <v>2441841.3829253619</v>
      </c>
      <c r="AV194" s="128">
        <f t="shared" si="672"/>
        <v>2450701.564044978</v>
      </c>
      <c r="AW194" s="128">
        <f t="shared" si="672"/>
        <v>2427814.3716513216</v>
      </c>
      <c r="AX194" s="128">
        <f t="shared" si="672"/>
        <v>2435965.6041979934</v>
      </c>
      <c r="AY194" s="128">
        <f t="shared" si="672"/>
        <v>2459914.1094806185</v>
      </c>
      <c r="AZ194" s="128">
        <f t="shared" si="672"/>
        <v>2459914.1094806185</v>
      </c>
      <c r="BA194" s="128">
        <f t="shared" si="672"/>
        <v>2459943.5568008916</v>
      </c>
      <c r="BB194" s="128">
        <f t="shared" si="672"/>
        <v>2459943.5568008916</v>
      </c>
      <c r="BC194" s="128">
        <f t="shared" si="672"/>
        <v>2459943.5568008916</v>
      </c>
      <c r="BD194" s="128">
        <f t="shared" si="672"/>
        <v>2459943.5568008916</v>
      </c>
      <c r="BE194" s="128">
        <f t="shared" si="672"/>
        <v>2459943.5568008916</v>
      </c>
      <c r="BF194" s="128">
        <f t="shared" si="672"/>
        <v>2459943.5568008916</v>
      </c>
      <c r="BG194" s="128">
        <f t="shared" si="672"/>
        <v>2443200.6186999064</v>
      </c>
    </row>
    <row r="195" spans="1:59" ht="15.75" thickBot="1" x14ac:dyDescent="0.3">
      <c r="A195" s="46"/>
      <c r="B195" s="115"/>
      <c r="C195" s="109" t="str">
        <f>'07JD'!C115</f>
        <v>DATE OF FIRST QUARTER MOON</v>
      </c>
      <c r="D195" s="114"/>
      <c r="E195" s="110">
        <f>'07JD'!E115</f>
        <v>21123.450242244639</v>
      </c>
      <c r="F195" s="110" t="str">
        <f>'07JD'!F115</f>
        <v>333-3-10 4:7:21.21</v>
      </c>
      <c r="G195" s="110">
        <f>'07JD'!G115</f>
        <v>36539.566086384002</v>
      </c>
      <c r="H195" s="110">
        <f>'07JD'!H115</f>
        <v>36184.802979915403</v>
      </c>
      <c r="I195" s="110">
        <f>'07JD'!I115</f>
        <v>31813.681776707992</v>
      </c>
      <c r="J195" s="110">
        <f>'07JD'!J115</f>
        <v>31962.357663162518</v>
      </c>
      <c r="K195" s="110">
        <f>'07JD'!K115</f>
        <v>32167.912847874686</v>
      </c>
      <c r="L195" s="110">
        <f>'07JD'!L115</f>
        <v>32316.43325295113</v>
      </c>
      <c r="M195" s="110">
        <f>'07JD'!M115</f>
        <v>8.2360753039829433</v>
      </c>
      <c r="N195" s="110" t="str">
        <f>'07JD'!N115</f>
        <v>1600-1-23 0:3:59.59</v>
      </c>
      <c r="O195" s="110" t="str">
        <f>'07JD'!O115</f>
        <v>1601-2-10 4:34:9.94</v>
      </c>
      <c r="P195" s="110" t="str">
        <f>'07JD'!P115</f>
        <v>837-4-16 19:57:51.51</v>
      </c>
      <c r="Q195" s="110" t="str">
        <f>'07JD'!Q115</f>
        <v>-122-1-31 12:37:32.32</v>
      </c>
      <c r="R195" s="110" t="str">
        <f>'07JD'!R115</f>
        <v>-122-1-1 19:52:16.16</v>
      </c>
      <c r="S195" s="110" t="str">
        <f>'07JD'!S115</f>
        <v>-1000-7-13 3:29:38.38</v>
      </c>
      <c r="T195" s="110" t="str">
        <f>'07JD'!T115</f>
        <v>-1000-4-15 20:52:16.16</v>
      </c>
      <c r="U195" s="110" t="str">
        <f>'07JD'!U115</f>
        <v>-1001-8-24 0:14:3.33</v>
      </c>
      <c r="V195" s="110" t="str">
        <f>'07JD'!V115</f>
        <v>-4712-1-19 0:34:53.53</v>
      </c>
      <c r="W195" s="110">
        <f>'07JD'!W115</f>
        <v>31903.101607511286</v>
      </c>
      <c r="X195" s="110">
        <f>'07JD'!X115</f>
        <v>33733.655967213213</v>
      </c>
      <c r="Y195" s="110">
        <f>'07JD'!Y115</f>
        <v>28182.118699906394</v>
      </c>
      <c r="Z195" s="110">
        <f>'07JD'!Z115</f>
        <v>52604.168870490044</v>
      </c>
      <c r="AA195" s="110">
        <f>'07JD'!AA115</f>
        <v>36539.566086384002</v>
      </c>
      <c r="AB195" s="110">
        <f>'07JD'!AB115</f>
        <v>19913.065167994704</v>
      </c>
      <c r="AC195" s="110">
        <f>'07JD'!AC115</f>
        <v>28831.024119220208</v>
      </c>
      <c r="AD195" s="110">
        <f>'07JD'!AD115</f>
        <v>32256.939438761212</v>
      </c>
      <c r="AE195" s="110">
        <f>'07JD'!AE115</f>
        <v>28182.118699906394</v>
      </c>
      <c r="AF195" s="110">
        <f>'07JD'!AF115</f>
        <v>33970.152291456237</v>
      </c>
      <c r="AG195" s="110">
        <f>'07JD'!AG115</f>
        <v>33910.383502758574</v>
      </c>
      <c r="AH195" s="110">
        <f>'07JD'!AH115</f>
        <v>33320.252634451725</v>
      </c>
      <c r="AI195" s="110">
        <f>'07JD'!AI115</f>
        <v>33704.421562260482</v>
      </c>
      <c r="AJ195" s="110">
        <f>'07JD'!AJ115</f>
        <v>34117.765587031376</v>
      </c>
      <c r="AK195" s="110" t="str">
        <f>'07JD'!AK115</f>
        <v>1818-1-14 6:52:43.43</v>
      </c>
      <c r="AL195" s="110">
        <f>'07JD'!AL115</f>
        <v>33143.087782351766</v>
      </c>
      <c r="AM195" s="110" t="str">
        <f>'07JD'!AM115</f>
        <v>622-7-21 2:10:34.34</v>
      </c>
      <c r="AN195" s="110">
        <f>'07JD'!AN115</f>
        <v>36627.563559597824</v>
      </c>
      <c r="AO195" s="110" t="str">
        <f>'07JD'!AO115</f>
        <v>1-1-21 12:3:10.10</v>
      </c>
      <c r="AP195" s="110">
        <f>'07JD'!AP115</f>
        <v>44837.010571724735</v>
      </c>
      <c r="AQ195" s="110">
        <f>'07JD'!AQ115</f>
        <v>44837.010571724735</v>
      </c>
      <c r="AR195" s="110">
        <f>'07JD'!AR115</f>
        <v>44866.276523806155</v>
      </c>
      <c r="AS195" s="110">
        <f>'07JD'!AS115</f>
        <v>44866.276523806155</v>
      </c>
      <c r="AT195" s="110">
        <f>'07JD'!AT115</f>
        <v>44866.276523806155</v>
      </c>
      <c r="AU195" s="110">
        <f>'07JD'!AU115</f>
        <v>26822.882925361861</v>
      </c>
      <c r="AV195" s="110">
        <f>'07JD'!AV115</f>
        <v>35683.064044978004</v>
      </c>
      <c r="AW195" s="110">
        <f>'07JD'!AW115</f>
        <v>12795.87165132165</v>
      </c>
      <c r="AX195" s="110">
        <f>'07JD'!AX115</f>
        <v>20947.104197993409</v>
      </c>
      <c r="AY195" s="110">
        <f>'07JD'!AY115</f>
        <v>44895.609480618499</v>
      </c>
      <c r="AZ195" s="110">
        <f>'07JD'!AZ115</f>
        <v>44895.609480618499</v>
      </c>
      <c r="BA195" s="110">
        <f>'07JD'!BA115</f>
        <v>44925.056800891645</v>
      </c>
      <c r="BB195" s="110">
        <f>'07JD'!BB115</f>
        <v>44925.056800891645</v>
      </c>
      <c r="BC195" s="110">
        <f>'07JD'!BC115</f>
        <v>44925.056800891645</v>
      </c>
      <c r="BD195" s="110">
        <f>'07JD'!BD115</f>
        <v>44925.056800891645</v>
      </c>
      <c r="BE195" s="110">
        <f>'07JD'!BE115</f>
        <v>44925.056800891645</v>
      </c>
      <c r="BF195" s="110">
        <f>'07JD'!BF115</f>
        <v>44925.056800891645</v>
      </c>
      <c r="BG195" s="110">
        <f>'07JD'!BG115</f>
        <v>28182.118699906394</v>
      </c>
    </row>
    <row r="196" spans="1:59" ht="15.75" thickTop="1" x14ac:dyDescent="0.25">
      <c r="A196" s="101"/>
      <c r="B196" s="101"/>
      <c r="C196" s="100" t="s">
        <v>567</v>
      </c>
      <c r="D196" s="101" t="s">
        <v>567</v>
      </c>
      <c r="E196" s="101" t="str">
        <f>D196</f>
        <v>FULL MOON</v>
      </c>
      <c r="F196" s="101" t="str">
        <f t="shared" ref="F196:X196" si="673">E196</f>
        <v>FULL MOON</v>
      </c>
      <c r="G196" s="101" t="str">
        <f t="shared" si="673"/>
        <v>FULL MOON</v>
      </c>
      <c r="H196" s="101" t="str">
        <f t="shared" si="673"/>
        <v>FULL MOON</v>
      </c>
      <c r="I196" s="101" t="str">
        <f t="shared" si="673"/>
        <v>FULL MOON</v>
      </c>
      <c r="J196" s="101" t="str">
        <f t="shared" si="673"/>
        <v>FULL MOON</v>
      </c>
      <c r="K196" s="101" t="str">
        <f t="shared" si="673"/>
        <v>FULL MOON</v>
      </c>
      <c r="L196" s="101" t="str">
        <f t="shared" si="673"/>
        <v>FULL MOON</v>
      </c>
      <c r="M196" s="101" t="str">
        <f t="shared" si="673"/>
        <v>FULL MOON</v>
      </c>
      <c r="N196" s="101" t="str">
        <f t="shared" si="673"/>
        <v>FULL MOON</v>
      </c>
      <c r="O196" s="101" t="str">
        <f t="shared" si="673"/>
        <v>FULL MOON</v>
      </c>
      <c r="P196" s="101" t="str">
        <f t="shared" si="673"/>
        <v>FULL MOON</v>
      </c>
      <c r="Q196" s="101" t="str">
        <f t="shared" si="673"/>
        <v>FULL MOON</v>
      </c>
      <c r="R196" s="101" t="str">
        <f t="shared" si="673"/>
        <v>FULL MOON</v>
      </c>
      <c r="S196" s="101" t="str">
        <f t="shared" si="673"/>
        <v>FULL MOON</v>
      </c>
      <c r="T196" s="101" t="str">
        <f t="shared" si="673"/>
        <v>FULL MOON</v>
      </c>
      <c r="U196" s="101" t="str">
        <f t="shared" si="673"/>
        <v>FULL MOON</v>
      </c>
      <c r="V196" s="101" t="str">
        <f t="shared" si="673"/>
        <v>FULL MOON</v>
      </c>
      <c r="W196" s="101" t="str">
        <f t="shared" si="673"/>
        <v>FULL MOON</v>
      </c>
      <c r="X196" s="101" t="str">
        <f t="shared" si="673"/>
        <v>FULL MOON</v>
      </c>
      <c r="Y196" s="101" t="str">
        <f>X196</f>
        <v>FULL MOON</v>
      </c>
      <c r="Z196" s="101" t="str">
        <f t="shared" ref="Z196:AE196" si="674">Y196</f>
        <v>FULL MOON</v>
      </c>
      <c r="AA196" s="101" t="str">
        <f t="shared" si="674"/>
        <v>FULL MOON</v>
      </c>
      <c r="AB196" s="101" t="str">
        <f t="shared" si="674"/>
        <v>FULL MOON</v>
      </c>
      <c r="AC196" s="101" t="str">
        <f t="shared" si="674"/>
        <v>FULL MOON</v>
      </c>
      <c r="AD196" s="101" t="str">
        <f t="shared" si="674"/>
        <v>FULL MOON</v>
      </c>
      <c r="AE196" s="101" t="str">
        <f t="shared" si="674"/>
        <v>FULL MOON</v>
      </c>
      <c r="AF196" s="101" t="str">
        <f t="shared" ref="AF196:BG196" si="675">AE196</f>
        <v>FULL MOON</v>
      </c>
      <c r="AG196" s="101" t="str">
        <f t="shared" si="675"/>
        <v>FULL MOON</v>
      </c>
      <c r="AH196" s="101" t="str">
        <f t="shared" si="675"/>
        <v>FULL MOON</v>
      </c>
      <c r="AI196" s="101" t="str">
        <f t="shared" si="675"/>
        <v>FULL MOON</v>
      </c>
      <c r="AJ196" s="101" t="str">
        <f t="shared" si="675"/>
        <v>FULL MOON</v>
      </c>
      <c r="AK196" s="101" t="str">
        <f t="shared" si="675"/>
        <v>FULL MOON</v>
      </c>
      <c r="AL196" s="101" t="str">
        <f t="shared" si="675"/>
        <v>FULL MOON</v>
      </c>
      <c r="AM196" s="101" t="str">
        <f t="shared" si="675"/>
        <v>FULL MOON</v>
      </c>
      <c r="AN196" s="101" t="str">
        <f t="shared" si="675"/>
        <v>FULL MOON</v>
      </c>
      <c r="AO196" s="101" t="str">
        <f t="shared" si="675"/>
        <v>FULL MOON</v>
      </c>
      <c r="AP196" s="101" t="str">
        <f t="shared" si="675"/>
        <v>FULL MOON</v>
      </c>
      <c r="AQ196" s="101" t="str">
        <f t="shared" si="675"/>
        <v>FULL MOON</v>
      </c>
      <c r="AR196" s="101" t="str">
        <f t="shared" si="675"/>
        <v>FULL MOON</v>
      </c>
      <c r="AS196" s="101" t="str">
        <f t="shared" si="675"/>
        <v>FULL MOON</v>
      </c>
      <c r="AT196" s="101" t="str">
        <f t="shared" si="675"/>
        <v>FULL MOON</v>
      </c>
      <c r="AU196" s="101" t="str">
        <f t="shared" si="675"/>
        <v>FULL MOON</v>
      </c>
      <c r="AV196" s="101" t="str">
        <f t="shared" si="675"/>
        <v>FULL MOON</v>
      </c>
      <c r="AW196" s="101" t="str">
        <f t="shared" si="675"/>
        <v>FULL MOON</v>
      </c>
      <c r="AX196" s="101" t="str">
        <f t="shared" si="675"/>
        <v>FULL MOON</v>
      </c>
      <c r="AY196" s="101" t="str">
        <f t="shared" si="675"/>
        <v>FULL MOON</v>
      </c>
      <c r="AZ196" s="101" t="str">
        <f t="shared" si="675"/>
        <v>FULL MOON</v>
      </c>
      <c r="BA196" s="101" t="str">
        <f t="shared" si="675"/>
        <v>FULL MOON</v>
      </c>
      <c r="BB196" s="101" t="str">
        <f t="shared" si="675"/>
        <v>FULL MOON</v>
      </c>
      <c r="BC196" s="101" t="str">
        <f t="shared" si="675"/>
        <v>FULL MOON</v>
      </c>
      <c r="BD196" s="101" t="str">
        <f t="shared" si="675"/>
        <v>FULL MOON</v>
      </c>
      <c r="BE196" s="101" t="str">
        <f t="shared" si="675"/>
        <v>FULL MOON</v>
      </c>
      <c r="BF196" s="101" t="str">
        <f t="shared" si="675"/>
        <v>FULL MOON</v>
      </c>
      <c r="BG196" s="101" t="str">
        <f t="shared" si="675"/>
        <v>FULL MOON</v>
      </c>
    </row>
    <row r="197" spans="1:59" x14ac:dyDescent="0.25">
      <c r="A197">
        <v>49.2</v>
      </c>
      <c r="B197">
        <v>350</v>
      </c>
      <c r="C197" t="s">
        <v>112</v>
      </c>
    </row>
    <row r="198" spans="1:59" x14ac:dyDescent="0.25">
      <c r="C198" t="s">
        <v>113</v>
      </c>
    </row>
    <row r="199" spans="1:59" x14ac:dyDescent="0.25">
      <c r="C199" t="s">
        <v>115</v>
      </c>
    </row>
    <row r="200" spans="1:59" x14ac:dyDescent="0.25">
      <c r="C200" t="s">
        <v>114</v>
      </c>
    </row>
    <row r="201" spans="1:59" x14ac:dyDescent="0.25">
      <c r="C201" t="s">
        <v>119</v>
      </c>
      <c r="D201" s="7" t="s">
        <v>556</v>
      </c>
      <c r="E201" s="102">
        <f>E15</f>
        <v>-522</v>
      </c>
      <c r="F201" s="102">
        <f t="shared" ref="F201:X201" si="676">F15</f>
        <v>-20616</v>
      </c>
      <c r="G201" s="102">
        <f t="shared" si="676"/>
        <v>0</v>
      </c>
      <c r="H201" s="102">
        <f t="shared" si="676"/>
        <v>-12</v>
      </c>
      <c r="I201" s="102">
        <f t="shared" si="676"/>
        <v>-160</v>
      </c>
      <c r="J201" s="102">
        <f t="shared" si="676"/>
        <v>-155</v>
      </c>
      <c r="K201" s="102">
        <f t="shared" si="676"/>
        <v>-148</v>
      </c>
      <c r="L201" s="102">
        <f t="shared" si="676"/>
        <v>-143</v>
      </c>
      <c r="M201" s="102">
        <f t="shared" si="676"/>
        <v>-1237</v>
      </c>
      <c r="N201" s="102">
        <f t="shared" si="676"/>
        <v>-4947</v>
      </c>
      <c r="O201" s="102">
        <f t="shared" si="676"/>
        <v>-4934</v>
      </c>
      <c r="P201" s="102">
        <f t="shared" si="676"/>
        <v>-14381</v>
      </c>
      <c r="Q201" s="102">
        <f t="shared" si="676"/>
        <v>-26245</v>
      </c>
      <c r="R201" s="102">
        <f t="shared" si="676"/>
        <v>-26246</v>
      </c>
      <c r="S201" s="102">
        <f t="shared" si="676"/>
        <v>-37099</v>
      </c>
      <c r="T201" s="102">
        <f t="shared" si="676"/>
        <v>-37102</v>
      </c>
      <c r="U201" s="102">
        <f t="shared" si="676"/>
        <v>-37110</v>
      </c>
      <c r="V201" s="102">
        <f t="shared" si="676"/>
        <v>-83017</v>
      </c>
      <c r="W201" s="102">
        <f t="shared" si="676"/>
        <v>-157</v>
      </c>
      <c r="X201" s="102">
        <f t="shared" si="676"/>
        <v>-95</v>
      </c>
      <c r="Y201" s="102">
        <f>Y15</f>
        <v>-283</v>
      </c>
      <c r="Z201" s="102">
        <f t="shared" ref="Z201:AE201" si="677">Z15</f>
        <v>544</v>
      </c>
      <c r="AA201" s="102">
        <f t="shared" si="677"/>
        <v>0</v>
      </c>
      <c r="AB201" s="102">
        <f t="shared" si="677"/>
        <v>-563</v>
      </c>
      <c r="AC201" s="102">
        <f t="shared" si="677"/>
        <v>-261</v>
      </c>
      <c r="AD201" s="102">
        <f t="shared" si="677"/>
        <v>-145</v>
      </c>
      <c r="AE201" s="102">
        <f t="shared" si="677"/>
        <v>-283</v>
      </c>
      <c r="AF201" s="102">
        <f t="shared" ref="AF201:BG201" si="678">AF15</f>
        <v>-87</v>
      </c>
      <c r="AG201" s="102">
        <f t="shared" si="678"/>
        <v>-89</v>
      </c>
      <c r="AH201" s="102">
        <f t="shared" si="678"/>
        <v>-109</v>
      </c>
      <c r="AI201" s="102">
        <f t="shared" si="678"/>
        <v>-96</v>
      </c>
      <c r="AJ201" s="102">
        <f t="shared" si="678"/>
        <v>-82</v>
      </c>
      <c r="AK201" s="102">
        <f t="shared" si="678"/>
        <v>-2251</v>
      </c>
      <c r="AL201" s="102">
        <f t="shared" si="678"/>
        <v>-115</v>
      </c>
      <c r="AM201" s="102">
        <f t="shared" si="678"/>
        <v>-17037</v>
      </c>
      <c r="AN201" s="102">
        <f t="shared" si="678"/>
        <v>3</v>
      </c>
      <c r="AO201" s="102">
        <f t="shared" si="678"/>
        <v>-24724</v>
      </c>
      <c r="AP201" s="102">
        <f t="shared" si="678"/>
        <v>281</v>
      </c>
      <c r="AQ201" s="102">
        <f t="shared" si="678"/>
        <v>281</v>
      </c>
      <c r="AR201" s="102">
        <f t="shared" si="678"/>
        <v>282</v>
      </c>
      <c r="AS201" s="102">
        <f t="shared" si="678"/>
        <v>282</v>
      </c>
      <c r="AT201" s="102">
        <f t="shared" si="678"/>
        <v>282</v>
      </c>
      <c r="AU201" s="102">
        <f t="shared" si="678"/>
        <v>-329</v>
      </c>
      <c r="AV201" s="102">
        <f t="shared" si="678"/>
        <v>-29</v>
      </c>
      <c r="AW201" s="102">
        <f t="shared" si="678"/>
        <v>-804</v>
      </c>
      <c r="AX201" s="102">
        <f t="shared" si="678"/>
        <v>-528</v>
      </c>
      <c r="AY201" s="102">
        <f t="shared" si="678"/>
        <v>283</v>
      </c>
      <c r="AZ201" s="102">
        <f t="shared" si="678"/>
        <v>283</v>
      </c>
      <c r="BA201" s="102">
        <f t="shared" si="678"/>
        <v>284</v>
      </c>
      <c r="BB201" s="102">
        <f t="shared" si="678"/>
        <v>284</v>
      </c>
      <c r="BC201" s="102">
        <f t="shared" si="678"/>
        <v>284</v>
      </c>
      <c r="BD201" s="102">
        <f t="shared" si="678"/>
        <v>284</v>
      </c>
      <c r="BE201" s="102">
        <f t="shared" si="678"/>
        <v>284</v>
      </c>
      <c r="BF201" s="102">
        <f t="shared" si="678"/>
        <v>284</v>
      </c>
      <c r="BG201" s="102">
        <f t="shared" si="678"/>
        <v>-283</v>
      </c>
    </row>
    <row r="202" spans="1:59" x14ac:dyDescent="0.25">
      <c r="A202" s="35"/>
      <c r="B202" s="35"/>
      <c r="C202" s="35" t="s">
        <v>120</v>
      </c>
      <c r="D202" s="86" t="s">
        <v>373</v>
      </c>
      <c r="E202" s="91">
        <f>E201+0.5</f>
        <v>-521.5</v>
      </c>
      <c r="F202" s="91">
        <f t="shared" ref="F202:X202" si="679">F201+0.5</f>
        <v>-20615.5</v>
      </c>
      <c r="G202" s="91">
        <f t="shared" si="679"/>
        <v>0.5</v>
      </c>
      <c r="H202" s="91">
        <f t="shared" si="679"/>
        <v>-11.5</v>
      </c>
      <c r="I202" s="91">
        <f t="shared" si="679"/>
        <v>-159.5</v>
      </c>
      <c r="J202" s="91">
        <f t="shared" si="679"/>
        <v>-154.5</v>
      </c>
      <c r="K202" s="91">
        <f t="shared" si="679"/>
        <v>-147.5</v>
      </c>
      <c r="L202" s="91">
        <f t="shared" si="679"/>
        <v>-142.5</v>
      </c>
      <c r="M202" s="91">
        <f t="shared" si="679"/>
        <v>-1236.5</v>
      </c>
      <c r="N202" s="91">
        <f t="shared" si="679"/>
        <v>-4946.5</v>
      </c>
      <c r="O202" s="91">
        <f t="shared" si="679"/>
        <v>-4933.5</v>
      </c>
      <c r="P202" s="91">
        <f t="shared" si="679"/>
        <v>-14380.5</v>
      </c>
      <c r="Q202" s="91">
        <f t="shared" si="679"/>
        <v>-26244.5</v>
      </c>
      <c r="R202" s="91">
        <f t="shared" si="679"/>
        <v>-26245.5</v>
      </c>
      <c r="S202" s="91">
        <f t="shared" si="679"/>
        <v>-37098.5</v>
      </c>
      <c r="T202" s="91">
        <f t="shared" si="679"/>
        <v>-37101.5</v>
      </c>
      <c r="U202" s="91">
        <f t="shared" si="679"/>
        <v>-37109.5</v>
      </c>
      <c r="V202" s="91">
        <f t="shared" si="679"/>
        <v>-83016.5</v>
      </c>
      <c r="W202" s="91">
        <f t="shared" si="679"/>
        <v>-156.5</v>
      </c>
      <c r="X202" s="91">
        <f t="shared" si="679"/>
        <v>-94.5</v>
      </c>
      <c r="Y202" s="91">
        <f>Y201+0.5</f>
        <v>-282.5</v>
      </c>
      <c r="Z202" s="91">
        <f t="shared" ref="Z202:AE202" si="680">Z201+0.5</f>
        <v>544.5</v>
      </c>
      <c r="AA202" s="91">
        <f t="shared" si="680"/>
        <v>0.5</v>
      </c>
      <c r="AB202" s="91">
        <f t="shared" si="680"/>
        <v>-562.5</v>
      </c>
      <c r="AC202" s="91">
        <f t="shared" si="680"/>
        <v>-260.5</v>
      </c>
      <c r="AD202" s="91">
        <f t="shared" si="680"/>
        <v>-144.5</v>
      </c>
      <c r="AE202" s="91">
        <f t="shared" si="680"/>
        <v>-282.5</v>
      </c>
      <c r="AF202" s="91">
        <f t="shared" ref="AF202" si="681">AF201+0.5</f>
        <v>-86.5</v>
      </c>
      <c r="AG202" s="91">
        <f t="shared" ref="AG202" si="682">AG201+0.5</f>
        <v>-88.5</v>
      </c>
      <c r="AH202" s="91">
        <f t="shared" ref="AH202" si="683">AH201+0.5</f>
        <v>-108.5</v>
      </c>
      <c r="AI202" s="91">
        <f t="shared" ref="AI202" si="684">AI201+0.5</f>
        <v>-95.5</v>
      </c>
      <c r="AJ202" s="91">
        <f t="shared" ref="AJ202" si="685">AJ201+0.5</f>
        <v>-81.5</v>
      </c>
      <c r="AK202" s="91">
        <f t="shared" ref="AK202" si="686">AK201+0.5</f>
        <v>-2250.5</v>
      </c>
      <c r="AL202" s="91">
        <f t="shared" ref="AL202" si="687">AL201+0.5</f>
        <v>-114.5</v>
      </c>
      <c r="AM202" s="91">
        <f t="shared" ref="AM202" si="688">AM201+0.5</f>
        <v>-17036.5</v>
      </c>
      <c r="AN202" s="91">
        <f t="shared" ref="AN202" si="689">AN201+0.5</f>
        <v>3.5</v>
      </c>
      <c r="AO202" s="91">
        <f t="shared" ref="AO202" si="690">AO201+0.5</f>
        <v>-24723.5</v>
      </c>
      <c r="AP202" s="91">
        <f t="shared" ref="AP202" si="691">AP201+0.5</f>
        <v>281.5</v>
      </c>
      <c r="AQ202" s="91">
        <f t="shared" ref="AQ202" si="692">AQ201+0.5</f>
        <v>281.5</v>
      </c>
      <c r="AR202" s="91">
        <f t="shared" ref="AR202" si="693">AR201+0.5</f>
        <v>282.5</v>
      </c>
      <c r="AS202" s="91">
        <f t="shared" ref="AS202" si="694">AS201+0.5</f>
        <v>282.5</v>
      </c>
      <c r="AT202" s="91">
        <f t="shared" ref="AT202" si="695">AT201+0.5</f>
        <v>282.5</v>
      </c>
      <c r="AU202" s="311">
        <f t="shared" ref="AU202" si="696">AU201+0.5</f>
        <v>-328.5</v>
      </c>
      <c r="AV202" s="91">
        <f t="shared" ref="AV202" si="697">AV201+0.5</f>
        <v>-28.5</v>
      </c>
      <c r="AW202" s="91">
        <f t="shared" ref="AW202" si="698">AW201+0.5</f>
        <v>-803.5</v>
      </c>
      <c r="AX202" s="91">
        <f t="shared" ref="AX202" si="699">AX201+0.5</f>
        <v>-527.5</v>
      </c>
      <c r="AY202" s="91">
        <f t="shared" ref="AY202" si="700">AY201+0.5</f>
        <v>283.5</v>
      </c>
      <c r="AZ202" s="91">
        <f t="shared" ref="AZ202" si="701">AZ201+0.5</f>
        <v>283.5</v>
      </c>
      <c r="BA202" s="91">
        <f t="shared" ref="BA202" si="702">BA201+0.5</f>
        <v>284.5</v>
      </c>
      <c r="BB202" s="91">
        <f t="shared" ref="BB202" si="703">BB201+0.5</f>
        <v>284.5</v>
      </c>
      <c r="BC202" s="91">
        <f t="shared" ref="BC202" si="704">BC201+0.5</f>
        <v>284.5</v>
      </c>
      <c r="BD202" s="91">
        <f t="shared" ref="BD202" si="705">BD201+0.5</f>
        <v>284.5</v>
      </c>
      <c r="BE202" s="91">
        <f t="shared" ref="BE202:BG202" si="706">BE201+0.5</f>
        <v>284.5</v>
      </c>
      <c r="BF202" s="91">
        <f t="shared" si="706"/>
        <v>284.5</v>
      </c>
      <c r="BG202" s="91">
        <f t="shared" si="706"/>
        <v>-282.5</v>
      </c>
    </row>
    <row r="203" spans="1:59" x14ac:dyDescent="0.25">
      <c r="A203">
        <v>49.3</v>
      </c>
      <c r="B203">
        <v>350</v>
      </c>
      <c r="C203" t="s">
        <v>116</v>
      </c>
      <c r="AU203" s="208">
        <v>-328.5</v>
      </c>
      <c r="AV203" s="208">
        <v>-28.5</v>
      </c>
    </row>
    <row r="204" spans="1:59" x14ac:dyDescent="0.25">
      <c r="A204" s="35"/>
      <c r="B204" s="35"/>
      <c r="C204" s="35" t="s">
        <v>117</v>
      </c>
      <c r="D204" s="86" t="s">
        <v>377</v>
      </c>
      <c r="E204" s="93">
        <f>E202/1236.85</f>
        <v>-0.42163560658123461</v>
      </c>
      <c r="F204" s="93">
        <f t="shared" ref="F204:X204" si="707">F202/1236.85</f>
        <v>-16.667744673970166</v>
      </c>
      <c r="G204" s="93">
        <f t="shared" si="707"/>
        <v>4.0425273881230546E-4</v>
      </c>
      <c r="H204" s="93">
        <f t="shared" si="707"/>
        <v>-9.2978129926830268E-3</v>
      </c>
      <c r="I204" s="93">
        <f t="shared" si="707"/>
        <v>-0.12895662368112545</v>
      </c>
      <c r="J204" s="93">
        <f t="shared" si="707"/>
        <v>-0.12491409629300239</v>
      </c>
      <c r="K204" s="93">
        <f t="shared" si="707"/>
        <v>-0.11925455794963012</v>
      </c>
      <c r="L204" s="93">
        <f t="shared" si="707"/>
        <v>-0.11521203056150706</v>
      </c>
      <c r="M204" s="93">
        <f t="shared" si="707"/>
        <v>-0.9997170230828315</v>
      </c>
      <c r="N204" s="93">
        <f t="shared" si="707"/>
        <v>-3.9992723450701382</v>
      </c>
      <c r="O204" s="93">
        <f t="shared" si="707"/>
        <v>-3.9887617738610182</v>
      </c>
      <c r="P204" s="93">
        <f t="shared" si="707"/>
        <v>-11.626713020980718</v>
      </c>
      <c r="Q204" s="93">
        <f t="shared" si="707"/>
        <v>-21.218822007519101</v>
      </c>
      <c r="R204" s="93">
        <f t="shared" si="707"/>
        <v>-21.219630512996726</v>
      </c>
      <c r="S204" s="93">
        <f t="shared" si="707"/>
        <v>-29.99434046165663</v>
      </c>
      <c r="T204" s="93">
        <f t="shared" si="707"/>
        <v>-29.996765978089503</v>
      </c>
      <c r="U204" s="93">
        <f t="shared" si="707"/>
        <v>-30.003234021910501</v>
      </c>
      <c r="V204" s="93">
        <f t="shared" si="707"/>
        <v>-67.119294983223512</v>
      </c>
      <c r="W204" s="93">
        <f t="shared" si="707"/>
        <v>-0.12653110724825162</v>
      </c>
      <c r="X204" s="93">
        <f t="shared" si="707"/>
        <v>-7.6403767635525741E-2</v>
      </c>
      <c r="Y204" s="93">
        <f>Y202/1236.85</f>
        <v>-0.22840279742895259</v>
      </c>
      <c r="Z204" s="93">
        <f t="shared" ref="Z204:AE204" si="708">Z202/1236.85</f>
        <v>0.44023123256660068</v>
      </c>
      <c r="AA204" s="93">
        <f t="shared" si="708"/>
        <v>4.0425273881230546E-4</v>
      </c>
      <c r="AB204" s="93">
        <f t="shared" si="708"/>
        <v>-0.45478433116384365</v>
      </c>
      <c r="AC204" s="93">
        <f t="shared" si="708"/>
        <v>-0.21061567692121116</v>
      </c>
      <c r="AD204" s="93">
        <f t="shared" si="708"/>
        <v>-0.11682904151675629</v>
      </c>
      <c r="AE204" s="93">
        <f t="shared" si="708"/>
        <v>-0.22840279742895259</v>
      </c>
      <c r="AF204" s="93">
        <f t="shared" ref="AF204:BG204" si="709">AF202/1236.85</f>
        <v>-6.9935723814528852E-2</v>
      </c>
      <c r="AG204" s="93">
        <f t="shared" si="709"/>
        <v>-7.1552734769778067E-2</v>
      </c>
      <c r="AH204" s="93">
        <f t="shared" si="709"/>
        <v>-8.7722844322270288E-2</v>
      </c>
      <c r="AI204" s="93">
        <f t="shared" si="709"/>
        <v>-7.7212273113150348E-2</v>
      </c>
      <c r="AJ204" s="93">
        <f t="shared" si="709"/>
        <v>-6.5893196426405801E-2</v>
      </c>
      <c r="AK204" s="93">
        <f t="shared" si="709"/>
        <v>-1.819541577394187</v>
      </c>
      <c r="AL204" s="93">
        <f t="shared" si="709"/>
        <v>-9.2573877188017961E-2</v>
      </c>
      <c r="AM204" s="93">
        <f t="shared" si="709"/>
        <v>-13.774103569551684</v>
      </c>
      <c r="AN204" s="93">
        <f t="shared" si="709"/>
        <v>2.8297691716861382E-3</v>
      </c>
      <c r="AO204" s="93">
        <f t="shared" si="709"/>
        <v>-19.989085176052068</v>
      </c>
      <c r="AP204" s="93">
        <f t="shared" si="709"/>
        <v>0.22759429195132799</v>
      </c>
      <c r="AQ204" s="93">
        <f t="shared" si="709"/>
        <v>0.22759429195132799</v>
      </c>
      <c r="AR204" s="93">
        <f t="shared" si="709"/>
        <v>0.22840279742895259</v>
      </c>
      <c r="AS204" s="93">
        <f t="shared" si="709"/>
        <v>0.22840279742895259</v>
      </c>
      <c r="AT204" s="93">
        <f t="shared" si="709"/>
        <v>0.22840279742895259</v>
      </c>
      <c r="AU204" s="93">
        <f t="shared" si="709"/>
        <v>-0.26559404939968473</v>
      </c>
      <c r="AV204" s="93">
        <f t="shared" si="709"/>
        <v>-2.3042406112301413E-2</v>
      </c>
      <c r="AW204" s="93">
        <f t="shared" si="709"/>
        <v>-0.64963415127137492</v>
      </c>
      <c r="AX204" s="93">
        <f t="shared" si="709"/>
        <v>-0.42648663944698229</v>
      </c>
      <c r="AY204" s="93">
        <f t="shared" si="709"/>
        <v>0.22921130290657721</v>
      </c>
      <c r="AZ204" s="93">
        <f t="shared" si="709"/>
        <v>0.22921130290657721</v>
      </c>
      <c r="BA204" s="93">
        <f t="shared" si="709"/>
        <v>0.23001980838420183</v>
      </c>
      <c r="BB204" s="93">
        <f t="shared" si="709"/>
        <v>0.23001980838420183</v>
      </c>
      <c r="BC204" s="93">
        <f t="shared" si="709"/>
        <v>0.23001980838420183</v>
      </c>
      <c r="BD204" s="93">
        <f t="shared" si="709"/>
        <v>0.23001980838420183</v>
      </c>
      <c r="BE204" s="93">
        <f t="shared" si="709"/>
        <v>0.23001980838420183</v>
      </c>
      <c r="BF204" s="93">
        <f t="shared" si="709"/>
        <v>0.23001980838420183</v>
      </c>
      <c r="BG204" s="93">
        <f t="shared" si="709"/>
        <v>-0.22840279742895259</v>
      </c>
    </row>
    <row r="205" spans="1:59" x14ac:dyDescent="0.25">
      <c r="A205">
        <v>49.1</v>
      </c>
      <c r="B205">
        <v>349</v>
      </c>
      <c r="C205" t="s">
        <v>121</v>
      </c>
    </row>
    <row r="206" spans="1:59" x14ac:dyDescent="0.25">
      <c r="C206" t="s">
        <v>122</v>
      </c>
    </row>
    <row r="207" spans="1:59" x14ac:dyDescent="0.25">
      <c r="C207" t="s">
        <v>123</v>
      </c>
      <c r="AU207" s="321">
        <v>2441849.2991999998</v>
      </c>
      <c r="AV207" s="209">
        <v>2450708.4759</v>
      </c>
    </row>
    <row r="208" spans="1:59" x14ac:dyDescent="0.25">
      <c r="A208" s="35"/>
      <c r="B208" s="35"/>
      <c r="C208" s="35" t="s">
        <v>124</v>
      </c>
      <c r="D208" s="86" t="s">
        <v>381</v>
      </c>
      <c r="E208" s="93">
        <f xml:space="preserve"> 2451550.09766 + 29.530588861 *E202    + 0.00015437* E204^2    - 0.00000015* E204^3   + 0.00000000073* E204^4</f>
        <v>2436149.8955964427</v>
      </c>
      <c r="F208" s="93">
        <f t="shared" ref="F208:X208" si="710" xml:space="preserve"> 2451550.09766 + 29.530588861 *F202    + 0.00015437* F204^2    - 0.00000015* F204^3   + 0.00000000073* F204^4</f>
        <v>1842762.2866330782</v>
      </c>
      <c r="G208" s="93">
        <f t="shared" si="710"/>
        <v>2451564.8629544303</v>
      </c>
      <c r="H208" s="93">
        <f t="shared" si="710"/>
        <v>2451210.4958881121</v>
      </c>
      <c r="I208" s="93">
        <f t="shared" si="710"/>
        <v>2446839.9687392381</v>
      </c>
      <c r="J208" s="93">
        <f t="shared" si="710"/>
        <v>2446987.6216833848</v>
      </c>
      <c r="K208" s="93">
        <f t="shared" si="710"/>
        <v>2447194.3358051986</v>
      </c>
      <c r="L208" s="93">
        <f t="shared" si="710"/>
        <v>2447341.9887493565</v>
      </c>
      <c r="M208" s="93">
        <f t="shared" si="710"/>
        <v>2415035.5246878066</v>
      </c>
      <c r="N208" s="93">
        <f t="shared" si="710"/>
        <v>2305477.0423378665</v>
      </c>
      <c r="O208" s="93">
        <f t="shared" si="710"/>
        <v>2305860.9399800217</v>
      </c>
      <c r="P208" s="93">
        <f t="shared" si="710"/>
        <v>2026885.4856612918</v>
      </c>
      <c r="Q208" s="93">
        <f t="shared" si="710"/>
        <v>1676534.6293817994</v>
      </c>
      <c r="R208" s="93">
        <f t="shared" si="710"/>
        <v>1676505.0987984214</v>
      </c>
      <c r="S208" s="93">
        <f t="shared" si="710"/>
        <v>1356009.6903193388</v>
      </c>
      <c r="T208" s="93">
        <f t="shared" si="710"/>
        <v>1355921.0985763913</v>
      </c>
      <c r="U208" s="93">
        <f t="shared" si="710"/>
        <v>1355684.8539285411</v>
      </c>
      <c r="V208" s="93">
        <f t="shared" si="710"/>
        <v>24.723088834223258</v>
      </c>
      <c r="W208" s="93">
        <f t="shared" si="710"/>
        <v>2446928.560505725</v>
      </c>
      <c r="X208" s="93">
        <f t="shared" si="710"/>
        <v>2448759.4570135367</v>
      </c>
      <c r="Y208" s="93">
        <f xml:space="preserve"> 2451550.09766 + 29.530588861 *Y202    + 0.00015437* Y204^2    - 0.00000015* Y204^3   + 0.00000000073* Y204^4</f>
        <v>2443207.7063148227</v>
      </c>
      <c r="Z208" s="93">
        <f t="shared" ref="Z208:AE208" si="711" xml:space="preserve"> 2451550.09766 + 29.530588861 *Z202    + 0.00015437* Z204^2    - 0.00000015* Z204^3   + 0.00000000073* Z204^4</f>
        <v>2467629.5033247191</v>
      </c>
      <c r="AA208" s="93">
        <f t="shared" si="711"/>
        <v>2451564.8629544303</v>
      </c>
      <c r="AB208" s="93">
        <f t="shared" si="711"/>
        <v>2434939.1414576294</v>
      </c>
      <c r="AC208" s="93">
        <f t="shared" si="711"/>
        <v>2443857.3792685582</v>
      </c>
      <c r="AD208" s="93">
        <f t="shared" si="711"/>
        <v>2447282.927571693</v>
      </c>
      <c r="AE208" s="93">
        <f t="shared" si="711"/>
        <v>2443207.7063148227</v>
      </c>
      <c r="AF208" s="93">
        <f t="shared" ref="AF208:BG208" si="712" xml:space="preserve"> 2451550.09766 + 29.530588861 *AF202    + 0.00015437* AF204^2    - 0.00000015* AF204^3   + 0.00000000073* AF204^4</f>
        <v>2448995.7017242783</v>
      </c>
      <c r="AG208" s="93">
        <f t="shared" si="712"/>
        <v>2448936.6405465915</v>
      </c>
      <c r="AH208" s="93">
        <f t="shared" si="712"/>
        <v>2448346.0287697692</v>
      </c>
      <c r="AI208" s="93">
        <f t="shared" si="712"/>
        <v>2448729.9264246947</v>
      </c>
      <c r="AJ208" s="93">
        <f t="shared" si="712"/>
        <v>2449143.3546684985</v>
      </c>
      <c r="AK208" s="93">
        <f t="shared" si="712"/>
        <v>2385091.5079403087</v>
      </c>
      <c r="AL208" s="93">
        <f t="shared" si="712"/>
        <v>2448168.8452367382</v>
      </c>
      <c r="AM208" s="93">
        <f t="shared" si="712"/>
        <v>1948452.2502358379</v>
      </c>
      <c r="AN208" s="93">
        <f t="shared" si="712"/>
        <v>2451653.4547210149</v>
      </c>
      <c r="AO208" s="93">
        <f t="shared" si="712"/>
        <v>1721450.6469502696</v>
      </c>
      <c r="AP208" s="93">
        <f t="shared" si="712"/>
        <v>2459862.9584323661</v>
      </c>
      <c r="AQ208" s="93">
        <f t="shared" si="712"/>
        <v>2459862.9584323661</v>
      </c>
      <c r="AR208" s="93">
        <f t="shared" si="712"/>
        <v>2459892.4890212836</v>
      </c>
      <c r="AS208" s="93">
        <f t="shared" si="712"/>
        <v>2459892.4890212836</v>
      </c>
      <c r="AT208" s="93">
        <f t="shared" si="712"/>
        <v>2459892.4890212836</v>
      </c>
      <c r="AU208" s="93">
        <f t="shared" si="712"/>
        <v>2441849.2992300536</v>
      </c>
      <c r="AV208" s="93">
        <f t="shared" si="712"/>
        <v>2450708.4758775434</v>
      </c>
      <c r="AW208" s="93">
        <f t="shared" si="712"/>
        <v>2427822.2695753751</v>
      </c>
      <c r="AX208" s="93">
        <f t="shared" si="712"/>
        <v>2435972.7120639128</v>
      </c>
      <c r="AY208" s="93">
        <f t="shared" si="712"/>
        <v>2459922.0196102019</v>
      </c>
      <c r="AZ208" s="93">
        <f t="shared" si="712"/>
        <v>2459922.0196102019</v>
      </c>
      <c r="BA208" s="93">
        <f t="shared" si="712"/>
        <v>2459951.5501991203</v>
      </c>
      <c r="BB208" s="93">
        <f t="shared" si="712"/>
        <v>2459951.5501991203</v>
      </c>
      <c r="BC208" s="93">
        <f t="shared" si="712"/>
        <v>2459951.5501991203</v>
      </c>
      <c r="BD208" s="93">
        <f t="shared" si="712"/>
        <v>2459951.5501991203</v>
      </c>
      <c r="BE208" s="93">
        <f t="shared" si="712"/>
        <v>2459951.5501991203</v>
      </c>
      <c r="BF208" s="93">
        <f t="shared" si="712"/>
        <v>2459951.5501991203</v>
      </c>
      <c r="BG208" s="93">
        <f t="shared" si="712"/>
        <v>2443207.7063148227</v>
      </c>
    </row>
    <row r="209" spans="1:59" x14ac:dyDescent="0.25">
      <c r="A209" s="35">
        <v>47.6</v>
      </c>
      <c r="B209" s="35">
        <v>338</v>
      </c>
      <c r="C209" s="35" t="s">
        <v>125</v>
      </c>
      <c r="D209" s="86" t="s">
        <v>386</v>
      </c>
      <c r="E209" s="93">
        <f xml:space="preserve"> 1 - 0.002516 *E204 - 0.0000074 *E204^2</f>
        <v>1.0010595196394312</v>
      </c>
      <c r="F209" s="93">
        <f t="shared" ref="F209:X209" si="713" xml:space="preserve"> 1 - 0.002516 *F204 - 0.0000074 *F204^2</f>
        <v>1.0398802241270855</v>
      </c>
      <c r="G209" s="93">
        <f t="shared" si="713"/>
        <v>0.99999898289889988</v>
      </c>
      <c r="H209" s="93">
        <f t="shared" si="713"/>
        <v>1.0000233926577646</v>
      </c>
      <c r="I209" s="93">
        <f t="shared" si="713"/>
        <v>1.0003243318045818</v>
      </c>
      <c r="J209" s="93">
        <f t="shared" si="713"/>
        <v>1.0003141684001406</v>
      </c>
      <c r="K209" s="93">
        <f t="shared" si="713"/>
        <v>1.0002999392275942</v>
      </c>
      <c r="L209" s="93">
        <f t="shared" si="713"/>
        <v>1.000289775242684</v>
      </c>
      <c r="M209" s="93">
        <f t="shared" si="713"/>
        <v>1.0025078922175423</v>
      </c>
      <c r="N209" s="93">
        <f t="shared" si="713"/>
        <v>1.0099438122934503</v>
      </c>
      <c r="O209" s="93">
        <f t="shared" si="713"/>
        <v>1.0099179889914185</v>
      </c>
      <c r="P209" s="93">
        <f t="shared" si="713"/>
        <v>1.0282524745888129</v>
      </c>
      <c r="Q209" s="93">
        <f t="shared" si="713"/>
        <v>1.050054791956256</v>
      </c>
      <c r="R209" s="93">
        <f t="shared" si="713"/>
        <v>1.0500565722492998</v>
      </c>
      <c r="S209" s="93">
        <f t="shared" si="713"/>
        <v>1.0688082731995279</v>
      </c>
      <c r="T209" s="93">
        <f t="shared" si="713"/>
        <v>1.0688132990292056</v>
      </c>
      <c r="U209" s="93">
        <f t="shared" si="713"/>
        <v>1.0688267008160028</v>
      </c>
      <c r="V209" s="93">
        <f t="shared" si="713"/>
        <v>1.1355351479608577</v>
      </c>
      <c r="W209" s="93">
        <f t="shared" si="713"/>
        <v>1.0003182337909404</v>
      </c>
      <c r="X209" s="93">
        <f t="shared" si="713"/>
        <v>1.0001921886816068</v>
      </c>
      <c r="Y209" s="93">
        <f xml:space="preserve"> 1 - 0.002516 *Y204 - 0.0000074 *Y204^2</f>
        <v>1.0005742753963309</v>
      </c>
      <c r="Z209" s="93">
        <f t="shared" ref="Z209:AE209" si="714" xml:space="preserve"> 1 - 0.002516 *Z204 - 0.0000074 *Z204^2</f>
        <v>0.99889094407268031</v>
      </c>
      <c r="AA209" s="93">
        <f t="shared" si="714"/>
        <v>0.99999898289889988</v>
      </c>
      <c r="AB209" s="93">
        <f t="shared" si="714"/>
        <v>1.0011427068441778</v>
      </c>
      <c r="AC209" s="93">
        <f t="shared" si="714"/>
        <v>1.0005295807868047</v>
      </c>
      <c r="AD209" s="93">
        <f t="shared" si="714"/>
        <v>1.0002938408656716</v>
      </c>
      <c r="AE209" s="93">
        <f t="shared" si="714"/>
        <v>1.0005742753963309</v>
      </c>
      <c r="AF209" s="93">
        <f t="shared" ref="AF209:BG209" si="715" xml:space="preserve"> 1 - 0.002516 *AF204 - 0.0000074 *AF204^2</f>
        <v>1.0001759220876769</v>
      </c>
      <c r="AG209" s="93">
        <f t="shared" si="715"/>
        <v>1.0001799887942064</v>
      </c>
      <c r="AH209" s="93">
        <f t="shared" si="715"/>
        <v>1.000220653731114</v>
      </c>
      <c r="AI209" s="93">
        <f t="shared" si="715"/>
        <v>1.0001942219623128</v>
      </c>
      <c r="AJ209" s="93">
        <f t="shared" si="715"/>
        <v>1.00016575515205</v>
      </c>
      <c r="AK209" s="93">
        <f t="shared" si="715"/>
        <v>1.0045534671952401</v>
      </c>
      <c r="AL209" s="93">
        <f t="shared" si="715"/>
        <v>1.0002328524575768</v>
      </c>
      <c r="AM209" s="93">
        <f t="shared" si="715"/>
        <v>1.0332516727053209</v>
      </c>
      <c r="AN209" s="93">
        <f t="shared" si="715"/>
        <v>0.9999928802415079</v>
      </c>
      <c r="AO209" s="93">
        <f t="shared" si="715"/>
        <v>1.0473357682092486</v>
      </c>
      <c r="AP209" s="93">
        <f t="shared" si="715"/>
        <v>0.99942698944765362</v>
      </c>
      <c r="AQ209" s="93">
        <f t="shared" si="715"/>
        <v>0.99942698944765362</v>
      </c>
      <c r="AR209" s="93">
        <f t="shared" si="715"/>
        <v>0.99942495251966845</v>
      </c>
      <c r="AS209" s="93">
        <f t="shared" si="715"/>
        <v>0.99942495251966845</v>
      </c>
      <c r="AT209" s="93">
        <f t="shared" si="715"/>
        <v>0.99942495251966845</v>
      </c>
      <c r="AU209" s="93">
        <f t="shared" si="715"/>
        <v>1.0006677126308163</v>
      </c>
      <c r="AV209" s="93">
        <f t="shared" si="715"/>
        <v>1.0000579707647301</v>
      </c>
      <c r="AW209" s="93">
        <f t="shared" si="715"/>
        <v>1.0016313565430732</v>
      </c>
      <c r="AX209" s="93">
        <f t="shared" si="715"/>
        <v>1.0010716943925317</v>
      </c>
      <c r="AY209" s="93">
        <f t="shared" si="715"/>
        <v>0.99942291558200891</v>
      </c>
      <c r="AZ209" s="93">
        <f t="shared" si="715"/>
        <v>0.99942291558200891</v>
      </c>
      <c r="BA209" s="93">
        <f t="shared" si="715"/>
        <v>0.99942087863467466</v>
      </c>
      <c r="BB209" s="93">
        <f t="shared" si="715"/>
        <v>0.99942087863467466</v>
      </c>
      <c r="BC209" s="93">
        <f t="shared" si="715"/>
        <v>0.99942087863467466</v>
      </c>
      <c r="BD209" s="93">
        <f t="shared" si="715"/>
        <v>0.99942087863467466</v>
      </c>
      <c r="BE209" s="93">
        <f t="shared" si="715"/>
        <v>0.99942087863467466</v>
      </c>
      <c r="BF209" s="93">
        <f t="shared" si="715"/>
        <v>0.99942087863467466</v>
      </c>
      <c r="BG209" s="93">
        <f t="shared" si="715"/>
        <v>1.0005742753963309</v>
      </c>
    </row>
    <row r="210" spans="1:59" x14ac:dyDescent="0.25">
      <c r="A210">
        <v>49.4</v>
      </c>
      <c r="B210">
        <v>350</v>
      </c>
      <c r="C210" t="s">
        <v>126</v>
      </c>
    </row>
    <row r="211" spans="1:59" x14ac:dyDescent="0.25">
      <c r="C211" t="s">
        <v>0</v>
      </c>
    </row>
    <row r="212" spans="1:59" x14ac:dyDescent="0.25">
      <c r="C212" t="s">
        <v>127</v>
      </c>
      <c r="D212" s="7" t="s">
        <v>389</v>
      </c>
      <c r="E212" s="15">
        <f xml:space="preserve"> 2.5534 + 29.1053567 *E202   - 0.0000014 *E204^2   - 0.00000011 *E204^3</f>
        <v>-15175.890119290641</v>
      </c>
      <c r="F212" s="15">
        <f t="shared" ref="F212:X212" si="716" xml:space="preserve"> 2.5534 + 29.1053567 *F202   - 0.0000014 *F204^2   - 0.00000011 *F204^3</f>
        <v>-600018.92752843106</v>
      </c>
      <c r="G212" s="15">
        <f t="shared" si="716"/>
        <v>17.106078349999773</v>
      </c>
      <c r="H212" s="15">
        <f t="shared" si="716"/>
        <v>-332.15820205012091</v>
      </c>
      <c r="I212" s="15">
        <f t="shared" si="716"/>
        <v>-4639.7509936730467</v>
      </c>
      <c r="J212" s="15">
        <f t="shared" si="716"/>
        <v>-4494.2242101716311</v>
      </c>
      <c r="K212" s="15">
        <f t="shared" si="716"/>
        <v>-4290.4867132697245</v>
      </c>
      <c r="L212" s="15">
        <f t="shared" si="716"/>
        <v>-4144.9599297684163</v>
      </c>
      <c r="M212" s="15">
        <f t="shared" si="716"/>
        <v>-35986.220160839315</v>
      </c>
      <c r="N212" s="15">
        <f t="shared" si="716"/>
        <v>-143967.09353190567</v>
      </c>
      <c r="O212" s="15">
        <f t="shared" si="716"/>
        <v>-143588.72389474348</v>
      </c>
      <c r="P212" s="15">
        <f t="shared" si="716"/>
        <v>-418547.02864071523</v>
      </c>
      <c r="Q212" s="15">
        <f t="shared" si="716"/>
        <v>-763852.9800925958</v>
      </c>
      <c r="R212" s="15">
        <f t="shared" si="716"/>
        <v>-763882.08544922352</v>
      </c>
      <c r="S212" s="15">
        <f t="shared" si="716"/>
        <v>-1079762.5204261551</v>
      </c>
      <c r="T212" s="15">
        <f t="shared" si="716"/>
        <v>-1079849.8364957387</v>
      </c>
      <c r="U212" s="15">
        <f t="shared" si="716"/>
        <v>-1080082.679347961</v>
      </c>
      <c r="V212" s="15">
        <f t="shared" si="716"/>
        <v>-2416222.2641315851</v>
      </c>
      <c r="W212" s="15">
        <f t="shared" si="716"/>
        <v>-4552.434923572192</v>
      </c>
      <c r="X212" s="15">
        <f t="shared" si="716"/>
        <v>-2747.9028081581241</v>
      </c>
      <c r="Y212" s="15">
        <f xml:space="preserve"> 2.5534 + 29.1053567 *Y202   - 0.0000014 *Y204^2   - 0.00000011 *Y204^3</f>
        <v>-8219.7098678217226</v>
      </c>
      <c r="Z212" s="15">
        <f t="shared" ref="Z212:AE212" si="717" xml:space="preserve"> 2.5534 + 29.1053567 *Z202   - 0.0000014 *Z204^2   - 0.00000011 *Z204^3</f>
        <v>15850.420122869293</v>
      </c>
      <c r="AA212" s="15">
        <f t="shared" si="717"/>
        <v>17.106078349999773</v>
      </c>
      <c r="AB212" s="15">
        <f t="shared" si="717"/>
        <v>-16369.209744029213</v>
      </c>
      <c r="AC212" s="15">
        <f t="shared" si="717"/>
        <v>-7579.3920204110746</v>
      </c>
      <c r="AD212" s="15">
        <f t="shared" si="717"/>
        <v>-4203.1706431689336</v>
      </c>
      <c r="AE212" s="15">
        <f t="shared" si="717"/>
        <v>-8219.7098678217226</v>
      </c>
      <c r="AF212" s="15">
        <f t="shared" ref="AF212:BG212" si="718" xml:space="preserve"> 2.5534 + 29.1053567 *AF202   - 0.0000014 *AF204^2   - 0.00000011 *AF204^3</f>
        <v>-2515.0599545568102</v>
      </c>
      <c r="AG212" s="15">
        <f t="shared" si="718"/>
        <v>-2573.2706679571274</v>
      </c>
      <c r="AH212" s="15">
        <f t="shared" si="718"/>
        <v>-3155.3778019606998</v>
      </c>
      <c r="AI212" s="15">
        <f t="shared" si="718"/>
        <v>-2777.0081648582964</v>
      </c>
      <c r="AJ212" s="15">
        <f t="shared" si="718"/>
        <v>-2369.5331710560476</v>
      </c>
      <c r="AK212" s="15">
        <f t="shared" si="718"/>
        <v>-65499.051857322389</v>
      </c>
      <c r="AL212" s="15">
        <f t="shared" si="718"/>
        <v>-3330.0099421619111</v>
      </c>
      <c r="AM212" s="15">
        <f t="shared" si="718"/>
        <v>-495850.85599770286</v>
      </c>
      <c r="AN212" s="15">
        <f t="shared" si="718"/>
        <v>104.42214844998878</v>
      </c>
      <c r="AO212" s="15">
        <f t="shared" si="718"/>
        <v>-719583.73265327897</v>
      </c>
      <c r="AP212" s="15">
        <f t="shared" si="718"/>
        <v>8195.7113109761849</v>
      </c>
      <c r="AQ212" s="15">
        <f t="shared" si="718"/>
        <v>8195.7113109761849</v>
      </c>
      <c r="AR212" s="15">
        <f t="shared" si="718"/>
        <v>8224.8166676756555</v>
      </c>
      <c r="AS212" s="15">
        <f t="shared" si="718"/>
        <v>8224.8166676756555</v>
      </c>
      <c r="AT212" s="15">
        <f t="shared" si="718"/>
        <v>8224.8166676756555</v>
      </c>
      <c r="AU212" s="15">
        <f t="shared" si="718"/>
        <v>-9558.5562760466946</v>
      </c>
      <c r="AV212" s="15">
        <f t="shared" si="718"/>
        <v>-826.94926595074196</v>
      </c>
      <c r="AW212" s="15">
        <f t="shared" si="718"/>
        <v>-23383.600709010676</v>
      </c>
      <c r="AX212" s="15">
        <f t="shared" si="718"/>
        <v>-15350.522259496114</v>
      </c>
      <c r="AY212" s="15">
        <f t="shared" si="718"/>
        <v>8253.9220243751242</v>
      </c>
      <c r="AZ212" s="15">
        <f t="shared" si="718"/>
        <v>8253.9220243751242</v>
      </c>
      <c r="BA212" s="15">
        <f t="shared" si="718"/>
        <v>8283.0273810745894</v>
      </c>
      <c r="BB212" s="15">
        <f t="shared" si="718"/>
        <v>8283.0273810745894</v>
      </c>
      <c r="BC212" s="15">
        <f t="shared" si="718"/>
        <v>8283.0273810745894</v>
      </c>
      <c r="BD212" s="15">
        <f t="shared" si="718"/>
        <v>8283.0273810745894</v>
      </c>
      <c r="BE212" s="15">
        <f t="shared" si="718"/>
        <v>8283.0273810745894</v>
      </c>
      <c r="BF212" s="15">
        <f t="shared" si="718"/>
        <v>8283.0273810745894</v>
      </c>
      <c r="BG212" s="15">
        <f t="shared" si="718"/>
        <v>-8219.7098678217226</v>
      </c>
    </row>
    <row r="213" spans="1:59" x14ac:dyDescent="0.25">
      <c r="A213" s="35"/>
      <c r="B213" s="35"/>
      <c r="C213" s="35" t="s">
        <v>128</v>
      </c>
      <c r="D213" s="86" t="s">
        <v>391</v>
      </c>
      <c r="E213" s="94">
        <f>MOD(E212,360)</f>
        <v>304.10988070935855</v>
      </c>
      <c r="F213" s="94">
        <f t="shared" ref="F213:X213" si="719">MOD(F212,360)</f>
        <v>101.072471568943</v>
      </c>
      <c r="G213" s="94">
        <f t="shared" si="719"/>
        <v>17.106078349999773</v>
      </c>
      <c r="H213" s="94">
        <f t="shared" si="719"/>
        <v>27.841797949879094</v>
      </c>
      <c r="I213" s="94">
        <f t="shared" si="719"/>
        <v>40.249006326953349</v>
      </c>
      <c r="J213" s="94">
        <f t="shared" si="719"/>
        <v>185.77578982836894</v>
      </c>
      <c r="K213" s="94">
        <f t="shared" si="719"/>
        <v>29.513286730275468</v>
      </c>
      <c r="L213" s="94">
        <f t="shared" si="719"/>
        <v>175.04007023158374</v>
      </c>
      <c r="M213" s="94">
        <f t="shared" si="719"/>
        <v>13.779839160684787</v>
      </c>
      <c r="N213" s="94">
        <f t="shared" si="719"/>
        <v>32.906468094326556</v>
      </c>
      <c r="O213" s="94">
        <f t="shared" si="719"/>
        <v>51.276105256518349</v>
      </c>
      <c r="P213" s="94">
        <f t="shared" si="719"/>
        <v>132.97135928476928</v>
      </c>
      <c r="Q213" s="94">
        <f t="shared" si="719"/>
        <v>67.019907404202968</v>
      </c>
      <c r="R213" s="94">
        <f t="shared" si="719"/>
        <v>37.914550776476972</v>
      </c>
      <c r="S213" s="94">
        <f t="shared" si="719"/>
        <v>237.47957384493202</v>
      </c>
      <c r="T213" s="94">
        <f t="shared" si="719"/>
        <v>150.16350426129065</v>
      </c>
      <c r="U213" s="94">
        <f t="shared" si="719"/>
        <v>277.32065203902312</v>
      </c>
      <c r="V213" s="94">
        <f t="shared" si="719"/>
        <v>97.735868414863944</v>
      </c>
      <c r="W213" s="94">
        <f t="shared" si="719"/>
        <v>127.56507642780798</v>
      </c>
      <c r="X213" s="94">
        <f t="shared" si="719"/>
        <v>132.09719184187588</v>
      </c>
      <c r="Y213" s="94">
        <f>MOD(Y212,360)</f>
        <v>60.290132178277418</v>
      </c>
      <c r="Z213" s="94">
        <f t="shared" ref="Z213:AE213" si="720">MOD(Z212,360)</f>
        <v>10.420122869292754</v>
      </c>
      <c r="AA213" s="94">
        <f t="shared" si="720"/>
        <v>17.106078349999773</v>
      </c>
      <c r="AB213" s="94">
        <f t="shared" si="720"/>
        <v>190.79025597078726</v>
      </c>
      <c r="AC213" s="94">
        <f t="shared" si="720"/>
        <v>340.60797958892545</v>
      </c>
      <c r="AD213" s="94">
        <f t="shared" si="720"/>
        <v>116.82935683106643</v>
      </c>
      <c r="AE213" s="94">
        <f t="shared" si="720"/>
        <v>60.290132178277418</v>
      </c>
      <c r="AF213" s="94">
        <f t="shared" ref="AF213" si="721">MOD(AF212,360)</f>
        <v>4.9400454431897742</v>
      </c>
      <c r="AG213" s="94">
        <f t="shared" ref="AG213" si="722">MOD(AG212,360)</f>
        <v>306.72933204287256</v>
      </c>
      <c r="AH213" s="94">
        <f t="shared" ref="AH213" si="723">MOD(AH212,360)</f>
        <v>84.622198039300201</v>
      </c>
      <c r="AI213" s="94">
        <f t="shared" ref="AI213" si="724">MOD(AI212,360)</f>
        <v>102.99183514170363</v>
      </c>
      <c r="AJ213" s="94">
        <f t="shared" ref="AJ213" si="725">MOD(AJ212,360)</f>
        <v>150.46682894395235</v>
      </c>
      <c r="AK213" s="94">
        <f t="shared" ref="AK213" si="726">MOD(AK212,360)</f>
        <v>20.948142677611031</v>
      </c>
      <c r="AL213" s="94">
        <f t="shared" ref="AL213" si="727">MOD(AL212,360)</f>
        <v>269.99005783808889</v>
      </c>
      <c r="AM213" s="94">
        <f t="shared" ref="AM213" si="728">MOD(AM212,360)</f>
        <v>229.14400229713647</v>
      </c>
      <c r="AN213" s="94">
        <f t="shared" ref="AN213" si="729">MOD(AN212,360)</f>
        <v>104.42214844998878</v>
      </c>
      <c r="AO213" s="94">
        <f t="shared" ref="AO213" si="730">MOD(AO212,360)</f>
        <v>56.267346721026115</v>
      </c>
      <c r="AP213" s="94">
        <f t="shared" ref="AP213" si="731">MOD(AP212,360)</f>
        <v>275.7113109761849</v>
      </c>
      <c r="AQ213" s="94">
        <f t="shared" ref="AQ213" si="732">MOD(AQ212,360)</f>
        <v>275.7113109761849</v>
      </c>
      <c r="AR213" s="94">
        <f t="shared" ref="AR213" si="733">MOD(AR212,360)</f>
        <v>304.81666767565548</v>
      </c>
      <c r="AS213" s="94">
        <f t="shared" ref="AS213" si="734">MOD(AS212,360)</f>
        <v>304.81666767565548</v>
      </c>
      <c r="AT213" s="94">
        <f t="shared" ref="AT213" si="735">MOD(AT212,360)</f>
        <v>304.81666767565548</v>
      </c>
      <c r="AU213" s="94">
        <f t="shared" ref="AU213" si="736">MOD(AU212,360)</f>
        <v>161.44372395330538</v>
      </c>
      <c r="AV213" s="94">
        <f t="shared" ref="AV213" si="737">MOD(AV212,360)</f>
        <v>253.05073404925804</v>
      </c>
      <c r="AW213" s="94">
        <f t="shared" ref="AW213" si="738">MOD(AW212,360)</f>
        <v>16.399290989324072</v>
      </c>
      <c r="AX213" s="94">
        <f t="shared" ref="AX213" si="739">MOD(AX212,360)</f>
        <v>129.4777405038858</v>
      </c>
      <c r="AY213" s="94">
        <f t="shared" ref="AY213" si="740">MOD(AY212,360)</f>
        <v>333.92202437512424</v>
      </c>
      <c r="AZ213" s="94">
        <f t="shared" ref="AZ213" si="741">MOD(AZ212,360)</f>
        <v>333.92202437512424</v>
      </c>
      <c r="BA213" s="94">
        <f t="shared" ref="BA213" si="742">MOD(BA212,360)</f>
        <v>3.027381074589357</v>
      </c>
      <c r="BB213" s="94">
        <f t="shared" ref="BB213" si="743">MOD(BB212,360)</f>
        <v>3.027381074589357</v>
      </c>
      <c r="BC213" s="94">
        <f t="shared" ref="BC213" si="744">MOD(BC212,360)</f>
        <v>3.027381074589357</v>
      </c>
      <c r="BD213" s="94">
        <f t="shared" ref="BD213" si="745">MOD(BD212,360)</f>
        <v>3.027381074589357</v>
      </c>
      <c r="BE213" s="94">
        <f t="shared" ref="BE213:BG213" si="746">MOD(BE212,360)</f>
        <v>3.027381074589357</v>
      </c>
      <c r="BF213" s="94">
        <f t="shared" si="746"/>
        <v>3.027381074589357</v>
      </c>
      <c r="BG213" s="94">
        <f t="shared" si="746"/>
        <v>60.290132178277418</v>
      </c>
    </row>
    <row r="214" spans="1:59" x14ac:dyDescent="0.25">
      <c r="A214">
        <v>49.5</v>
      </c>
      <c r="B214">
        <v>350</v>
      </c>
      <c r="C214" t="s">
        <v>129</v>
      </c>
      <c r="AU214" s="322">
        <v>161.44370000000001</v>
      </c>
      <c r="AV214" s="322">
        <v>253.05070000000001</v>
      </c>
    </row>
    <row r="215" spans="1:59" x14ac:dyDescent="0.25">
      <c r="C215" t="s">
        <v>130</v>
      </c>
    </row>
    <row r="216" spans="1:59" x14ac:dyDescent="0.25">
      <c r="C216" t="s">
        <v>132</v>
      </c>
    </row>
    <row r="217" spans="1:59" x14ac:dyDescent="0.25">
      <c r="C217" t="s">
        <v>133</v>
      </c>
      <c r="D217" s="7" t="s">
        <v>394</v>
      </c>
      <c r="E217" s="13">
        <f xml:space="preserve"> 201.5643 + 385.81693528 *E202    + 0.0107582 *E204^2    + 0.00001238 *E204^3    - 0.000000058 *E204^4</f>
        <v>-201001.96553689375</v>
      </c>
      <c r="F217" s="13">
        <f t="shared" ref="F217:X217" si="747" xml:space="preserve"> 201.5643 + 385.81693528 *F202    + 0.0107582 *F204^2    + 0.00001238 *F204^3    - 0.000000058 *F204^4</f>
        <v>-7953604.5379917612</v>
      </c>
      <c r="G217" s="13">
        <f t="shared" si="747"/>
        <v>394.47276764175814</v>
      </c>
      <c r="H217" s="13">
        <f t="shared" si="747"/>
        <v>-4235.3304547899706</v>
      </c>
      <c r="I217" s="13">
        <f t="shared" si="747"/>
        <v>-61336.236698279732</v>
      </c>
      <c r="J217" s="13">
        <f t="shared" si="747"/>
        <v>-59407.152032918231</v>
      </c>
      <c r="K217" s="13">
        <f t="shared" si="747"/>
        <v>-56706.433500821659</v>
      </c>
      <c r="L217" s="13">
        <f t="shared" si="747"/>
        <v>-54777.34883461662</v>
      </c>
      <c r="M217" s="13">
        <f t="shared" si="747"/>
        <v>-476861.06543403515</v>
      </c>
      <c r="N217" s="13">
        <f t="shared" si="747"/>
        <v>-1908241.7348006654</v>
      </c>
      <c r="O217" s="13">
        <f t="shared" si="747"/>
        <v>-1903226.1155388881</v>
      </c>
      <c r="P217" s="13">
        <f t="shared" si="747"/>
        <v>-5548037.4397132397</v>
      </c>
      <c r="Q217" s="13">
        <f t="shared" si="747"/>
        <v>-10125366.279931258</v>
      </c>
      <c r="R217" s="13">
        <f t="shared" si="747"/>
        <v>-10125752.096512718</v>
      </c>
      <c r="S217" s="13">
        <f t="shared" si="747"/>
        <v>-14313018.71147334</v>
      </c>
      <c r="T217" s="13">
        <f t="shared" si="747"/>
        <v>-14314176.160809997</v>
      </c>
      <c r="U217" s="13">
        <f t="shared" si="747"/>
        <v>-14317262.692373885</v>
      </c>
      <c r="V217" s="13">
        <f t="shared" si="747"/>
        <v>-32028926.498165444</v>
      </c>
      <c r="W217" s="13">
        <f t="shared" si="747"/>
        <v>-60178.785899105009</v>
      </c>
      <c r="X217" s="13">
        <f t="shared" si="747"/>
        <v>-36258.136021164151</v>
      </c>
      <c r="Y217" s="13">
        <f xml:space="preserve"> 201.5643 + 385.81693528 *Y202    + 0.0107582 *Y204^2    + 0.00001238 *Y204^3    - 0.000000058 *Y204^4</f>
        <v>-108791.71935551564</v>
      </c>
      <c r="Z217" s="13">
        <f t="shared" ref="Z217:AE217" si="748" xml:space="preserve"> 201.5643 + 385.81693528 *Z202    + 0.0107582 *Z204^2    + 0.00001238 *Z204^3    - 0.000000058 *Z204^4</f>
        <v>210278.88764599129</v>
      </c>
      <c r="AA217" s="13">
        <f t="shared" si="748"/>
        <v>394.47276764175814</v>
      </c>
      <c r="AB217" s="13">
        <f t="shared" si="748"/>
        <v>-216820.45957106151</v>
      </c>
      <c r="AC217" s="13">
        <f t="shared" si="748"/>
        <v>-100303.74686333317</v>
      </c>
      <c r="AD217" s="13">
        <f t="shared" si="748"/>
        <v>-55548.982701140812</v>
      </c>
      <c r="AE217" s="13">
        <f t="shared" si="748"/>
        <v>-108791.71935551564</v>
      </c>
      <c r="AF217" s="13">
        <f t="shared" ref="AF217:BG217" si="749" xml:space="preserve"> 201.5643 + 385.81693528 *AF202    + 0.0107582 *AF204^2    + 0.00001238 *AF204^3    - 0.000000058 *AF204^4</f>
        <v>-33171.600549105817</v>
      </c>
      <c r="AG217" s="13">
        <f t="shared" si="749"/>
        <v>-33943.234417204774</v>
      </c>
      <c r="AH217" s="13">
        <f t="shared" si="749"/>
        <v>-41659.573095100815</v>
      </c>
      <c r="AI217" s="13">
        <f t="shared" si="749"/>
        <v>-36643.952955108158</v>
      </c>
      <c r="AJ217" s="13">
        <f t="shared" si="749"/>
        <v>-31242.515878612368</v>
      </c>
      <c r="AK217" s="13">
        <f t="shared" si="749"/>
        <v>-868079.41300534084</v>
      </c>
      <c r="AL217" s="13">
        <f t="shared" si="749"/>
        <v>-43974.474697372891</v>
      </c>
      <c r="AM217" s="13">
        <f t="shared" si="749"/>
        <v>-6572766.6469287034</v>
      </c>
      <c r="AN217" s="13">
        <f t="shared" si="749"/>
        <v>1551.9235735661475</v>
      </c>
      <c r="AO217" s="13">
        <f t="shared" si="749"/>
        <v>-9538539.2446484491</v>
      </c>
      <c r="AP217" s="13">
        <f t="shared" si="749"/>
        <v>108809.03213873153</v>
      </c>
      <c r="AQ217" s="13">
        <f t="shared" si="749"/>
        <v>108809.03213873153</v>
      </c>
      <c r="AR217" s="13">
        <f t="shared" si="749"/>
        <v>109194.84907797939</v>
      </c>
      <c r="AS217" s="13">
        <f t="shared" si="749"/>
        <v>109194.84907797939</v>
      </c>
      <c r="AT217" s="13">
        <f t="shared" si="749"/>
        <v>109194.84907797939</v>
      </c>
      <c r="AU217" s="13">
        <f t="shared" si="749"/>
        <v>-126539.29818082666</v>
      </c>
      <c r="AV217" s="13">
        <f t="shared" si="749"/>
        <v>-10794.218349768058</v>
      </c>
      <c r="AW217" s="13">
        <f t="shared" si="749"/>
        <v>-309802.33866066008</v>
      </c>
      <c r="AX217" s="13">
        <f t="shared" si="749"/>
        <v>-203316.8671043441</v>
      </c>
      <c r="AY217" s="13">
        <f t="shared" si="749"/>
        <v>109580.66601724131</v>
      </c>
      <c r="AZ217" s="13">
        <f t="shared" si="749"/>
        <v>109580.66601724131</v>
      </c>
      <c r="BA217" s="13">
        <f t="shared" si="749"/>
        <v>109966.48295651731</v>
      </c>
      <c r="BB217" s="13">
        <f t="shared" si="749"/>
        <v>109966.48295651731</v>
      </c>
      <c r="BC217" s="13">
        <f t="shared" si="749"/>
        <v>109966.48295651731</v>
      </c>
      <c r="BD217" s="13">
        <f t="shared" si="749"/>
        <v>109966.48295651731</v>
      </c>
      <c r="BE217" s="13">
        <f t="shared" si="749"/>
        <v>109966.48295651731</v>
      </c>
      <c r="BF217" s="13">
        <f t="shared" si="749"/>
        <v>109966.48295651731</v>
      </c>
      <c r="BG217" s="13">
        <f t="shared" si="749"/>
        <v>-108791.71935551564</v>
      </c>
    </row>
    <row r="218" spans="1:59" x14ac:dyDescent="0.25">
      <c r="A218" s="35"/>
      <c r="B218" s="35"/>
      <c r="C218" s="35" t="s">
        <v>134</v>
      </c>
      <c r="D218" s="86" t="s">
        <v>391</v>
      </c>
      <c r="E218" s="94">
        <f>MOD(E217,360)</f>
        <v>238.03446310624713</v>
      </c>
      <c r="F218" s="94">
        <f t="shared" ref="F218:X218" si="750">MOD(F217,360)</f>
        <v>235.46200823877007</v>
      </c>
      <c r="G218" s="94">
        <f t="shared" si="750"/>
        <v>34.472767641758139</v>
      </c>
      <c r="H218" s="94">
        <f t="shared" si="750"/>
        <v>84.669545210029355</v>
      </c>
      <c r="I218" s="94">
        <f t="shared" si="750"/>
        <v>223.76330172026792</v>
      </c>
      <c r="J218" s="94">
        <f t="shared" si="750"/>
        <v>352.84796708176873</v>
      </c>
      <c r="K218" s="94">
        <f t="shared" si="750"/>
        <v>173.56649917834147</v>
      </c>
      <c r="L218" s="94">
        <f t="shared" si="750"/>
        <v>302.65116538338043</v>
      </c>
      <c r="M218" s="94">
        <f t="shared" si="750"/>
        <v>138.93456596485339</v>
      </c>
      <c r="N218" s="94">
        <f t="shared" si="750"/>
        <v>118.26519933459349</v>
      </c>
      <c r="O218" s="94">
        <f t="shared" si="750"/>
        <v>93.884461111854762</v>
      </c>
      <c r="P218" s="94">
        <f t="shared" si="750"/>
        <v>282.5602867603302</v>
      </c>
      <c r="Q218" s="94">
        <f t="shared" si="750"/>
        <v>353.72006874158978</v>
      </c>
      <c r="R218" s="94">
        <f t="shared" si="750"/>
        <v>327.90348728187382</v>
      </c>
      <c r="S218" s="94">
        <f t="shared" si="750"/>
        <v>221.2885266598314</v>
      </c>
      <c r="T218" s="94">
        <f t="shared" si="750"/>
        <v>143.83919000253081</v>
      </c>
      <c r="U218" s="94">
        <f t="shared" si="750"/>
        <v>297.3076261151582</v>
      </c>
      <c r="V218" s="94">
        <f t="shared" si="750"/>
        <v>273.50183455646038</v>
      </c>
      <c r="W218" s="94">
        <f t="shared" si="750"/>
        <v>301.21410089499113</v>
      </c>
      <c r="X218" s="94">
        <f t="shared" si="750"/>
        <v>101.86397883584868</v>
      </c>
      <c r="Y218" s="94">
        <f>MOD(Y217,360)</f>
        <v>288.28064448435907</v>
      </c>
      <c r="Z218" s="94">
        <f t="shared" ref="Z218:AE218" si="751">MOD(Z217,360)</f>
        <v>38.887645991286263</v>
      </c>
      <c r="AA218" s="94">
        <f t="shared" si="751"/>
        <v>34.472767641758139</v>
      </c>
      <c r="AB218" s="94">
        <f t="shared" si="751"/>
        <v>259.54042893848964</v>
      </c>
      <c r="AC218" s="94">
        <f t="shared" si="751"/>
        <v>136.25313666682632</v>
      </c>
      <c r="AD218" s="94">
        <f t="shared" si="751"/>
        <v>251.01729885918758</v>
      </c>
      <c r="AE218" s="94">
        <f t="shared" si="751"/>
        <v>288.28064448435907</v>
      </c>
      <c r="AF218" s="94">
        <f t="shared" ref="AF218" si="752">MOD(AF217,360)</f>
        <v>308.39945089418325</v>
      </c>
      <c r="AG218" s="94">
        <f t="shared" ref="AG218" si="753">MOD(AG217,360)</f>
        <v>256.76558279522578</v>
      </c>
      <c r="AH218" s="94">
        <f t="shared" ref="AH218" si="754">MOD(AH217,360)</f>
        <v>100.42690489918459</v>
      </c>
      <c r="AI218" s="94">
        <f t="shared" ref="AI218" si="755">MOD(AI217,360)</f>
        <v>76.047044891842233</v>
      </c>
      <c r="AJ218" s="94">
        <f t="shared" ref="AJ218" si="756">MOD(AJ217,360)</f>
        <v>77.484121387631603</v>
      </c>
      <c r="AK218" s="94">
        <f t="shared" ref="AK218" si="757">MOD(AK217,360)</f>
        <v>240.58699465915561</v>
      </c>
      <c r="AL218" s="94">
        <f t="shared" ref="AL218" si="758">MOD(AL217,360)</f>
        <v>305.52530262710934</v>
      </c>
      <c r="AM218" s="94">
        <f t="shared" ref="AM218" si="759">MOD(AM217,360)</f>
        <v>113.35307129658759</v>
      </c>
      <c r="AN218" s="94">
        <f t="shared" ref="AN218" si="760">MOD(AN217,360)</f>
        <v>111.92357356614752</v>
      </c>
      <c r="AO218" s="94">
        <f t="shared" ref="AO218" si="761">MOD(AO217,360)</f>
        <v>20.755351550877094</v>
      </c>
      <c r="AP218" s="94">
        <f t="shared" ref="AP218" si="762">MOD(AP217,360)</f>
        <v>89.03213873153436</v>
      </c>
      <c r="AQ218" s="94">
        <f t="shared" ref="AQ218" si="763">MOD(AQ217,360)</f>
        <v>89.03213873153436</v>
      </c>
      <c r="AR218" s="94">
        <f t="shared" ref="AR218" si="764">MOD(AR217,360)</f>
        <v>114.84907797939377</v>
      </c>
      <c r="AS218" s="94">
        <f t="shared" ref="AS218" si="765">MOD(AS217,360)</f>
        <v>114.84907797939377</v>
      </c>
      <c r="AT218" s="94">
        <f t="shared" ref="AT218" si="766">MOD(AT217,360)</f>
        <v>114.84907797939377</v>
      </c>
      <c r="AU218" s="94">
        <f t="shared" ref="AU218" si="767">MOD(AU217,360)</f>
        <v>180.70181917333684</v>
      </c>
      <c r="AV218" s="94">
        <f t="shared" ref="AV218" si="768">MOD(AV217,360)</f>
        <v>5.7816502319419669</v>
      </c>
      <c r="AW218" s="94">
        <f t="shared" ref="AW218" si="769">MOD(AW217,360)</f>
        <v>157.66133933991659</v>
      </c>
      <c r="AX218" s="94">
        <f t="shared" ref="AX218" si="770">MOD(AX217,360)</f>
        <v>83.132895655900938</v>
      </c>
      <c r="AY218" s="94">
        <f t="shared" ref="AY218" si="771">MOD(AY217,360)</f>
        <v>140.66601724131033</v>
      </c>
      <c r="AZ218" s="94">
        <f t="shared" ref="AZ218" si="772">MOD(AZ217,360)</f>
        <v>140.66601724131033</v>
      </c>
      <c r="BA218" s="94">
        <f t="shared" ref="BA218" si="773">MOD(BA217,360)</f>
        <v>166.48295651731314</v>
      </c>
      <c r="BB218" s="94">
        <f t="shared" ref="BB218" si="774">MOD(BB217,360)</f>
        <v>166.48295651731314</v>
      </c>
      <c r="BC218" s="94">
        <f t="shared" ref="BC218" si="775">MOD(BC217,360)</f>
        <v>166.48295651731314</v>
      </c>
      <c r="BD218" s="94">
        <f t="shared" ref="BD218" si="776">MOD(BD217,360)</f>
        <v>166.48295651731314</v>
      </c>
      <c r="BE218" s="94">
        <f t="shared" ref="BE218:BG218" si="777">MOD(BE217,360)</f>
        <v>166.48295651731314</v>
      </c>
      <c r="BF218" s="94">
        <f t="shared" si="777"/>
        <v>166.48295651731314</v>
      </c>
      <c r="BG218" s="94">
        <f t="shared" si="777"/>
        <v>288.28064448435907</v>
      </c>
    </row>
    <row r="219" spans="1:59" x14ac:dyDescent="0.25">
      <c r="A219">
        <v>49.6</v>
      </c>
      <c r="B219">
        <v>350</v>
      </c>
      <c r="C219" t="s">
        <v>135</v>
      </c>
      <c r="AU219" s="322">
        <v>180.70179999999999</v>
      </c>
      <c r="AV219" s="322">
        <v>5.7816999999999998</v>
      </c>
    </row>
    <row r="220" spans="1:59" x14ac:dyDescent="0.25">
      <c r="C220" t="s">
        <v>136</v>
      </c>
    </row>
    <row r="221" spans="1:59" x14ac:dyDescent="0.25">
      <c r="C221" t="s">
        <v>131</v>
      </c>
    </row>
    <row r="222" spans="1:59" x14ac:dyDescent="0.25">
      <c r="C222" t="s">
        <v>137</v>
      </c>
      <c r="D222" s="7" t="s">
        <v>398</v>
      </c>
      <c r="E222">
        <f xml:space="preserve"> 160.7108 + 390.67050284 *E202    - 0.0016118 *E204^2    - 0.00000227 *E204^3    + 0.000000011 *E204^4</f>
        <v>-203573.9567174298</v>
      </c>
      <c r="F222">
        <f t="shared" ref="F222:X222" si="778" xml:space="preserve"> 160.7108 + 390.67050284 *F202    - 0.0016118 *F204^2    - 0.00000227 *F204^3    + 0.000000011 *F204^4</f>
        <v>-8053707.4769178778</v>
      </c>
      <c r="G222">
        <f t="shared" si="778"/>
        <v>356.04605141973661</v>
      </c>
      <c r="H222">
        <f t="shared" si="778"/>
        <v>-4331.999982799337</v>
      </c>
      <c r="I222">
        <f t="shared" si="778"/>
        <v>-62151.234429779055</v>
      </c>
      <c r="J222">
        <f t="shared" si="778"/>
        <v>-60197.881913925339</v>
      </c>
      <c r="K222">
        <f t="shared" si="778"/>
        <v>-57463.188391818599</v>
      </c>
      <c r="L222">
        <f t="shared" si="778"/>
        <v>-55509.835876091252</v>
      </c>
      <c r="M222">
        <f t="shared" si="778"/>
        <v>-482903.36757026886</v>
      </c>
      <c r="N222">
        <f t="shared" si="778"/>
        <v>-1932290.9571294636</v>
      </c>
      <c r="O222">
        <f t="shared" si="778"/>
        <v>-1927212.24045839</v>
      </c>
      <c r="P222">
        <f t="shared" si="778"/>
        <v>-5617876.6694056988</v>
      </c>
      <c r="Q222">
        <f t="shared" si="778"/>
        <v>-10252792.002762277</v>
      </c>
      <c r="R222">
        <f t="shared" si="778"/>
        <v>-10253182.6733176</v>
      </c>
      <c r="S222">
        <f t="shared" si="778"/>
        <v>-14493130.31872387</v>
      </c>
      <c r="T222">
        <f t="shared" si="778"/>
        <v>-14494302.330449183</v>
      </c>
      <c r="U222">
        <f t="shared" si="778"/>
        <v>-14497427.695050087</v>
      </c>
      <c r="V222">
        <f t="shared" si="778"/>
        <v>-32431943.439744852</v>
      </c>
      <c r="W222">
        <f t="shared" si="778"/>
        <v>-60979.222920260516</v>
      </c>
      <c r="X222">
        <f t="shared" si="778"/>
        <v>-36757.651727787925</v>
      </c>
      <c r="Y222">
        <f xml:space="preserve"> 160.7108 + 390.67050284 *Y202    - 0.0016118 *Y204^2    - 0.00000227 *Y204^3    + 0.000000011 *Y204^4</f>
        <v>-110203.70633635703</v>
      </c>
      <c r="Z222">
        <f t="shared" ref="Z222:AE222" si="779" xml:space="preserve"> 160.7108 + 390.67050284 *Z202    - 0.0016118 *Z204^2    - 0.00000227 *Z204^3    + 0.000000011 *Z204^4</f>
        <v>212880.79928381418</v>
      </c>
      <c r="AA222">
        <f t="shared" si="779"/>
        <v>356.04605141973661</v>
      </c>
      <c r="AB222">
        <f t="shared" si="779"/>
        <v>-219591.44738065265</v>
      </c>
      <c r="AC222">
        <f t="shared" si="779"/>
        <v>-101608.95526129656</v>
      </c>
      <c r="AD222">
        <f t="shared" si="779"/>
        <v>-56291.176882375876</v>
      </c>
      <c r="AE222">
        <f t="shared" si="779"/>
        <v>-110203.70633635703</v>
      </c>
      <c r="AF222">
        <f t="shared" ref="AF222:BG222" si="780" xml:space="preserve"> 160.7108 + 390.67050284 *AF202    - 0.0016118 *AF204^2    - 0.00000227 *AF204^3    + 0.000000011 *AF204^4</f>
        <v>-33632.287703542548</v>
      </c>
      <c r="AG222">
        <f t="shared" si="780"/>
        <v>-34413.628709591256</v>
      </c>
      <c r="AH222">
        <f t="shared" si="780"/>
        <v>-42227.038770541745</v>
      </c>
      <c r="AI222">
        <f t="shared" si="780"/>
        <v>-37148.322230828075</v>
      </c>
      <c r="AJ222">
        <f t="shared" si="780"/>
        <v>-31678.935188457643</v>
      </c>
      <c r="AK222">
        <f t="shared" si="780"/>
        <v>-879043.26116386196</v>
      </c>
      <c r="AL222">
        <f t="shared" si="780"/>
        <v>-44571.061788991188</v>
      </c>
      <c r="AM222">
        <f t="shared" si="780"/>
        <v>-6655497.6103057554</v>
      </c>
      <c r="AN222">
        <f t="shared" si="780"/>
        <v>1528.0575599270933</v>
      </c>
      <c r="AO222">
        <f t="shared" si="780"/>
        <v>-9658582.0902947858</v>
      </c>
      <c r="AP222">
        <f t="shared" si="780"/>
        <v>110134.45726594338</v>
      </c>
      <c r="AQ222">
        <f t="shared" si="780"/>
        <v>110134.45726594338</v>
      </c>
      <c r="AR222">
        <f t="shared" si="780"/>
        <v>110525.12776818885</v>
      </c>
      <c r="AS222">
        <f t="shared" si="780"/>
        <v>110525.12776818885</v>
      </c>
      <c r="AT222">
        <f t="shared" si="780"/>
        <v>110525.12776818885</v>
      </c>
      <c r="AU222">
        <f t="shared" si="780"/>
        <v>-128174.54949659409</v>
      </c>
      <c r="AV222">
        <f t="shared" si="780"/>
        <v>-10973.398531795761</v>
      </c>
      <c r="AW222">
        <f t="shared" si="780"/>
        <v>-313743.03891153482</v>
      </c>
      <c r="AX222">
        <f t="shared" si="780"/>
        <v>-205917.97974109519</v>
      </c>
      <c r="AY222">
        <f t="shared" si="780"/>
        <v>110915.79827043222</v>
      </c>
      <c r="AZ222">
        <f t="shared" si="780"/>
        <v>110915.79827043222</v>
      </c>
      <c r="BA222">
        <f t="shared" si="780"/>
        <v>111306.4687726735</v>
      </c>
      <c r="BB222">
        <f t="shared" si="780"/>
        <v>111306.4687726735</v>
      </c>
      <c r="BC222">
        <f t="shared" si="780"/>
        <v>111306.4687726735</v>
      </c>
      <c r="BD222">
        <f t="shared" si="780"/>
        <v>111306.4687726735</v>
      </c>
      <c r="BE222">
        <f t="shared" si="780"/>
        <v>111306.4687726735</v>
      </c>
      <c r="BF222">
        <f t="shared" si="780"/>
        <v>111306.4687726735</v>
      </c>
      <c r="BG222">
        <f t="shared" si="780"/>
        <v>-110203.70633635703</v>
      </c>
    </row>
    <row r="223" spans="1:59" x14ac:dyDescent="0.25">
      <c r="A223" s="35"/>
      <c r="B223" s="35"/>
      <c r="C223" s="35" t="s">
        <v>138</v>
      </c>
      <c r="D223" s="86" t="s">
        <v>391</v>
      </c>
      <c r="E223" s="95">
        <f>MOD(E222,360)</f>
        <v>186.04328257020097</v>
      </c>
      <c r="F223" s="95">
        <f t="shared" ref="F223:X223" si="781">MOD(F222,360)</f>
        <v>212.52308212220669</v>
      </c>
      <c r="G223" s="95">
        <f t="shared" si="781"/>
        <v>356.04605141973661</v>
      </c>
      <c r="H223" s="95">
        <f t="shared" si="781"/>
        <v>348.00001720066302</v>
      </c>
      <c r="I223" s="95">
        <f t="shared" si="781"/>
        <v>128.76557022094494</v>
      </c>
      <c r="J223" s="95">
        <f t="shared" si="781"/>
        <v>282.11808607466082</v>
      </c>
      <c r="K223" s="95">
        <f t="shared" si="781"/>
        <v>136.81160818140052</v>
      </c>
      <c r="L223" s="95">
        <f t="shared" si="781"/>
        <v>290.16412390874757</v>
      </c>
      <c r="M223" s="95">
        <f t="shared" si="781"/>
        <v>216.63242973113665</v>
      </c>
      <c r="N223" s="95">
        <f t="shared" si="781"/>
        <v>189.04287053644657</v>
      </c>
      <c r="O223" s="95">
        <f t="shared" si="781"/>
        <v>227.75954161002301</v>
      </c>
      <c r="P223" s="95">
        <f t="shared" si="781"/>
        <v>283.33059430122375</v>
      </c>
      <c r="Q223" s="95">
        <f t="shared" si="781"/>
        <v>7.9972377233207226</v>
      </c>
      <c r="R223" s="95">
        <f t="shared" si="781"/>
        <v>337.32668239995837</v>
      </c>
      <c r="S223" s="95">
        <f t="shared" si="781"/>
        <v>109.68127612955868</v>
      </c>
      <c r="T223" s="95">
        <f t="shared" si="781"/>
        <v>17.669550817459822</v>
      </c>
      <c r="U223" s="95">
        <f t="shared" si="781"/>
        <v>132.30494991317391</v>
      </c>
      <c r="V223" s="95">
        <f t="shared" si="781"/>
        <v>96.560255147516727</v>
      </c>
      <c r="W223" s="95">
        <f t="shared" si="781"/>
        <v>220.77707973948418</v>
      </c>
      <c r="X223" s="95">
        <f t="shared" si="781"/>
        <v>322.34827221207524</v>
      </c>
      <c r="Y223" s="95">
        <f>MOD(Y222,360)</f>
        <v>316.29366364296584</v>
      </c>
      <c r="Z223" s="95">
        <f t="shared" ref="Z223:AE223" si="782">MOD(Z222,360)</f>
        <v>120.79928381417994</v>
      </c>
      <c r="AA223" s="95">
        <f t="shared" si="782"/>
        <v>356.04605141973661</v>
      </c>
      <c r="AB223" s="95">
        <f t="shared" si="782"/>
        <v>8.5526193473488092</v>
      </c>
      <c r="AC223" s="95">
        <f t="shared" si="782"/>
        <v>271.04473870343645</v>
      </c>
      <c r="AD223" s="95">
        <f t="shared" si="782"/>
        <v>228.82311762412428</v>
      </c>
      <c r="AE223" s="95">
        <f t="shared" si="782"/>
        <v>316.29366364296584</v>
      </c>
      <c r="AF223" s="95">
        <f t="shared" ref="AF223" si="783">MOD(AF222,360)</f>
        <v>207.71229645745188</v>
      </c>
      <c r="AG223" s="95">
        <f t="shared" ref="AG223" si="784">MOD(AG222,360)</f>
        <v>146.37129040874424</v>
      </c>
      <c r="AH223" s="95">
        <f t="shared" ref="AH223" si="785">MOD(AH222,360)</f>
        <v>252.96122945825482</v>
      </c>
      <c r="AI223" s="95">
        <f t="shared" ref="AI223" si="786">MOD(AI222,360)</f>
        <v>291.67776917192532</v>
      </c>
      <c r="AJ223" s="95">
        <f t="shared" ref="AJ223" si="787">MOD(AJ222,360)</f>
        <v>1.0648115423573472</v>
      </c>
      <c r="AK223" s="95">
        <f t="shared" ref="AK223" si="788">MOD(AK222,360)</f>
        <v>76.738836138043553</v>
      </c>
      <c r="AL223" s="95">
        <f t="shared" ref="AL223" si="789">MOD(AL222,360)</f>
        <v>68.938211008811777</v>
      </c>
      <c r="AM223" s="95">
        <f t="shared" ref="AM223" si="790">MOD(AM222,360)</f>
        <v>182.38969424460083</v>
      </c>
      <c r="AN223" s="95">
        <f t="shared" ref="AN223" si="791">MOD(AN222,360)</f>
        <v>88.05755992709328</v>
      </c>
      <c r="AO223" s="95">
        <f t="shared" ref="AO223" si="792">MOD(AO222,360)</f>
        <v>217.9097052142024</v>
      </c>
      <c r="AP223" s="95">
        <f t="shared" ref="AP223" si="793">MOD(AP222,360)</f>
        <v>334.45726594337611</v>
      </c>
      <c r="AQ223" s="95">
        <f t="shared" ref="AQ223" si="794">MOD(AQ222,360)</f>
        <v>334.45726594337611</v>
      </c>
      <c r="AR223" s="95">
        <f t="shared" ref="AR223" si="795">MOD(AR222,360)</f>
        <v>5.1277681888459483</v>
      </c>
      <c r="AS223" s="95">
        <f t="shared" ref="AS223" si="796">MOD(AS222,360)</f>
        <v>5.1277681888459483</v>
      </c>
      <c r="AT223" s="95">
        <f t="shared" ref="AT223" si="797">MOD(AT222,360)</f>
        <v>5.1277681888459483</v>
      </c>
      <c r="AU223" s="95">
        <f t="shared" ref="AU223" si="798">MOD(AU222,360)</f>
        <v>345.45050340591115</v>
      </c>
      <c r="AV223" s="95">
        <f t="shared" ref="AV223" si="799">MOD(AV222,360)</f>
        <v>186.6014682042387</v>
      </c>
      <c r="AW223" s="95">
        <f t="shared" ref="AW223" si="800">MOD(AW222,360)</f>
        <v>176.96108846517745</v>
      </c>
      <c r="AX223" s="95">
        <f t="shared" ref="AX223" si="801">MOD(AX222,360)</f>
        <v>2.0202589048130903</v>
      </c>
      <c r="AY223" s="95">
        <f t="shared" ref="AY223" si="802">MOD(AY222,360)</f>
        <v>35.798270432220306</v>
      </c>
      <c r="AZ223" s="95">
        <f t="shared" ref="AZ223" si="803">MOD(AZ222,360)</f>
        <v>35.798270432220306</v>
      </c>
      <c r="BA223" s="95">
        <f t="shared" ref="BA223" si="804">MOD(BA222,360)</f>
        <v>66.468772673499188</v>
      </c>
      <c r="BB223" s="95">
        <f t="shared" ref="BB223" si="805">MOD(BB222,360)</f>
        <v>66.468772673499188</v>
      </c>
      <c r="BC223" s="95">
        <f t="shared" ref="BC223" si="806">MOD(BC222,360)</f>
        <v>66.468772673499188</v>
      </c>
      <c r="BD223" s="95">
        <f t="shared" ref="BD223" si="807">MOD(BD222,360)</f>
        <v>66.468772673499188</v>
      </c>
      <c r="BE223" s="95">
        <f t="shared" ref="BE223:BG223" si="808">MOD(BE222,360)</f>
        <v>66.468772673499188</v>
      </c>
      <c r="BF223" s="95">
        <f t="shared" si="808"/>
        <v>66.468772673499188</v>
      </c>
      <c r="BG223" s="95">
        <f t="shared" si="808"/>
        <v>316.29366364296584</v>
      </c>
    </row>
    <row r="224" spans="1:59" x14ac:dyDescent="0.25">
      <c r="A224">
        <v>49.7</v>
      </c>
      <c r="B224">
        <v>350</v>
      </c>
      <c r="C224" t="s">
        <v>8</v>
      </c>
      <c r="AU224" s="316">
        <v>345.45049999999998</v>
      </c>
      <c r="AV224" s="316">
        <v>186.60149999999999</v>
      </c>
    </row>
    <row r="225" spans="1:59" x14ac:dyDescent="0.25">
      <c r="C225" t="s">
        <v>139</v>
      </c>
    </row>
    <row r="226" spans="1:59" x14ac:dyDescent="0.25">
      <c r="C226" t="s">
        <v>140</v>
      </c>
      <c r="D226" s="7" t="s">
        <v>402</v>
      </c>
      <c r="E226">
        <f xml:space="preserve"> 124.7746 - 1.56375588 *E202    + 0.0020672 *E204^2    + 0.00000215 *E204^3</f>
        <v>940.27365875859846</v>
      </c>
      <c r="F226">
        <f t="shared" ref="F226:X226" si="809" xml:space="preserve"> 124.7746 - 1.56375588 *F202    + 0.0020672 *F204^2    + 0.00000215 *F204^3</f>
        <v>32362.948285011258</v>
      </c>
      <c r="G226">
        <f t="shared" si="809"/>
        <v>123.99272206033783</v>
      </c>
      <c r="H226">
        <f t="shared" si="809"/>
        <v>142.7577927987063</v>
      </c>
      <c r="I226">
        <f t="shared" si="809"/>
        <v>374.19369723253413</v>
      </c>
      <c r="J226">
        <f t="shared" si="809"/>
        <v>366.37491571142965</v>
      </c>
      <c r="K226">
        <f t="shared" si="809"/>
        <v>355.42862169534766</v>
      </c>
      <c r="L226">
        <f t="shared" si="809"/>
        <v>347.60984033633616</v>
      </c>
      <c r="M226">
        <f t="shared" si="809"/>
        <v>2058.3608095020509</v>
      </c>
      <c r="N226">
        <f t="shared" si="809"/>
        <v>7859.9259860625089</v>
      </c>
      <c r="O226">
        <f t="shared" si="809"/>
        <v>7839.596987144324</v>
      </c>
      <c r="P226">
        <f t="shared" si="809"/>
        <v>22612.642098213582</v>
      </c>
      <c r="Q226">
        <f t="shared" si="809"/>
        <v>41165.675985409194</v>
      </c>
      <c r="R226">
        <f t="shared" si="809"/>
        <v>41167.239809870363</v>
      </c>
      <c r="S226">
        <f t="shared" si="809"/>
        <v>58139.573875129776</v>
      </c>
      <c r="T226">
        <f t="shared" si="809"/>
        <v>58144.265429490886</v>
      </c>
      <c r="U226">
        <f t="shared" si="809"/>
        <v>58156.776241228297</v>
      </c>
      <c r="V226">
        <f t="shared" si="809"/>
        <v>129950.97724684527</v>
      </c>
      <c r="W226">
        <f t="shared" si="809"/>
        <v>369.50242831176695</v>
      </c>
      <c r="X226">
        <f t="shared" si="809"/>
        <v>272.54954272639486</v>
      </c>
      <c r="Y226">
        <f xml:space="preserve"> 124.7746 - 1.56375588 *Y202    + 0.0020672 *Y204^2    + 0.00000215 *Y204^3</f>
        <v>566.53574391573659</v>
      </c>
      <c r="Z226">
        <f t="shared" ref="Z226:AE226" si="810" xml:space="preserve"> 124.7746 - 1.56375588 *Z202    + 0.0020672 *Z204^2    + 0.00000215 *Z204^3</f>
        <v>-726.69007584589156</v>
      </c>
      <c r="AA226">
        <f t="shared" si="810"/>
        <v>123.99272206033783</v>
      </c>
      <c r="AB226">
        <f t="shared" si="810"/>
        <v>1004.3877098542359</v>
      </c>
      <c r="AC226">
        <f t="shared" si="810"/>
        <v>532.1330984187623</v>
      </c>
      <c r="AD226">
        <f t="shared" si="810"/>
        <v>350.73735287183598</v>
      </c>
      <c r="AE226">
        <f t="shared" si="810"/>
        <v>566.53574391573659</v>
      </c>
      <c r="AF226">
        <f t="shared" ref="AF226:BG226" si="811" xml:space="preserve"> 124.7746 - 1.56375588 *AF202    + 0.0020672 *AF204^2    + 0.00000215 *AF204^3</f>
        <v>260.03949372995106</v>
      </c>
      <c r="AG226">
        <f t="shared" si="811"/>
        <v>263.16700596285023</v>
      </c>
      <c r="AH226">
        <f t="shared" si="811"/>
        <v>294.44212888626743</v>
      </c>
      <c r="AI226">
        <f t="shared" si="811"/>
        <v>274.11329886310915</v>
      </c>
      <c r="AJ226">
        <f t="shared" si="811"/>
        <v>252.22071319498812</v>
      </c>
      <c r="AK226">
        <f t="shared" si="811"/>
        <v>3644.0140389326348</v>
      </c>
      <c r="AL226">
        <f t="shared" si="811"/>
        <v>303.82466597403857</v>
      </c>
      <c r="AM226">
        <f t="shared" si="811"/>
        <v>26766.088232455844</v>
      </c>
      <c r="AN226">
        <f t="shared" si="811"/>
        <v>119.30145443655336</v>
      </c>
      <c r="AO226">
        <f t="shared" si="811"/>
        <v>38787.101905046184</v>
      </c>
      <c r="AP226">
        <f t="shared" si="811"/>
        <v>-315.42257311542608</v>
      </c>
      <c r="AQ226">
        <f t="shared" si="811"/>
        <v>-315.42257311542608</v>
      </c>
      <c r="AR226">
        <f t="shared" si="811"/>
        <v>-316.98632823302768</v>
      </c>
      <c r="AS226">
        <f t="shared" si="811"/>
        <v>-316.98632823302768</v>
      </c>
      <c r="AT226">
        <f t="shared" si="811"/>
        <v>-316.98632823302768</v>
      </c>
      <c r="AU226">
        <f t="shared" si="811"/>
        <v>638.46855236041915</v>
      </c>
      <c r="AV226">
        <f t="shared" si="811"/>
        <v>169.34164367755869</v>
      </c>
      <c r="AW226">
        <f t="shared" si="811"/>
        <v>1381.2533213996619</v>
      </c>
      <c r="AX226">
        <f t="shared" si="811"/>
        <v>949.65620253798841</v>
      </c>
      <c r="AY226">
        <f t="shared" si="811"/>
        <v>-318.55008334792473</v>
      </c>
      <c r="AZ226">
        <f t="shared" si="811"/>
        <v>-318.55008334792473</v>
      </c>
      <c r="BA226">
        <f t="shared" si="811"/>
        <v>-320.11383846011734</v>
      </c>
      <c r="BB226">
        <f t="shared" si="811"/>
        <v>-320.11383846011734</v>
      </c>
      <c r="BC226">
        <f t="shared" si="811"/>
        <v>-320.11383846011734</v>
      </c>
      <c r="BD226">
        <f t="shared" si="811"/>
        <v>-320.11383846011734</v>
      </c>
      <c r="BE226">
        <f t="shared" si="811"/>
        <v>-320.11383846011734</v>
      </c>
      <c r="BF226">
        <f t="shared" si="811"/>
        <v>-320.11383846011734</v>
      </c>
      <c r="BG226">
        <f t="shared" si="811"/>
        <v>566.53574391573659</v>
      </c>
    </row>
    <row r="227" spans="1:59" x14ac:dyDescent="0.25">
      <c r="A227" s="35"/>
      <c r="B227" s="35"/>
      <c r="C227" s="35" t="s">
        <v>141</v>
      </c>
      <c r="D227" s="86" t="s">
        <v>391</v>
      </c>
      <c r="E227" s="95">
        <f>MOD(E226,360)</f>
        <v>220.27365875859846</v>
      </c>
      <c r="F227" s="95">
        <f t="shared" ref="F227:X227" si="812">MOD(F226,360)</f>
        <v>322.94828501125812</v>
      </c>
      <c r="G227" s="95">
        <f t="shared" si="812"/>
        <v>123.99272206033783</v>
      </c>
      <c r="H227" s="95">
        <f t="shared" si="812"/>
        <v>142.7577927987063</v>
      </c>
      <c r="I227" s="95">
        <f t="shared" si="812"/>
        <v>14.193697232534134</v>
      </c>
      <c r="J227" s="95">
        <f t="shared" si="812"/>
        <v>6.3749157114296509</v>
      </c>
      <c r="K227" s="95">
        <f t="shared" si="812"/>
        <v>355.42862169534766</v>
      </c>
      <c r="L227" s="95">
        <f t="shared" si="812"/>
        <v>347.60984033633616</v>
      </c>
      <c r="M227" s="95">
        <f t="shared" si="812"/>
        <v>258.36080950205087</v>
      </c>
      <c r="N227" s="95">
        <f t="shared" si="812"/>
        <v>299.92598606250885</v>
      </c>
      <c r="O227" s="95">
        <f t="shared" si="812"/>
        <v>279.59698714432398</v>
      </c>
      <c r="P227" s="95">
        <f t="shared" si="812"/>
        <v>292.64209821358236</v>
      </c>
      <c r="Q227" s="95">
        <f t="shared" si="812"/>
        <v>125.67598540919425</v>
      </c>
      <c r="R227" s="95">
        <f t="shared" si="812"/>
        <v>127.23980987036339</v>
      </c>
      <c r="S227" s="95">
        <f t="shared" si="812"/>
        <v>179.57387512977584</v>
      </c>
      <c r="T227" s="95">
        <f t="shared" si="812"/>
        <v>184.26542949088616</v>
      </c>
      <c r="U227" s="95">
        <f t="shared" si="812"/>
        <v>196.77624122829729</v>
      </c>
      <c r="V227" s="95">
        <f t="shared" si="812"/>
        <v>350.97724684527202</v>
      </c>
      <c r="W227" s="95">
        <f t="shared" si="812"/>
        <v>9.5024283117669484</v>
      </c>
      <c r="X227" s="95">
        <f t="shared" si="812"/>
        <v>272.54954272639486</v>
      </c>
      <c r="Y227" s="95">
        <f>MOD(Y226,360)</f>
        <v>206.53574391573659</v>
      </c>
      <c r="Z227" s="95">
        <f t="shared" ref="Z227:AE227" si="813">MOD(Z226,360)</f>
        <v>353.30992415410844</v>
      </c>
      <c r="AA227" s="95">
        <f t="shared" si="813"/>
        <v>123.99272206033783</v>
      </c>
      <c r="AB227" s="95">
        <f t="shared" si="813"/>
        <v>284.38770985423594</v>
      </c>
      <c r="AC227" s="95">
        <f t="shared" si="813"/>
        <v>172.1330984187623</v>
      </c>
      <c r="AD227" s="95">
        <f t="shared" si="813"/>
        <v>350.73735287183598</v>
      </c>
      <c r="AE227" s="95">
        <f t="shared" si="813"/>
        <v>206.53574391573659</v>
      </c>
      <c r="AF227" s="95">
        <f t="shared" ref="AF227" si="814">MOD(AF226,360)</f>
        <v>260.03949372995106</v>
      </c>
      <c r="AG227" s="95">
        <f t="shared" ref="AG227" si="815">MOD(AG226,360)</f>
        <v>263.16700596285023</v>
      </c>
      <c r="AH227" s="95">
        <f t="shared" ref="AH227" si="816">MOD(AH226,360)</f>
        <v>294.44212888626743</v>
      </c>
      <c r="AI227" s="95">
        <f t="shared" ref="AI227" si="817">MOD(AI226,360)</f>
        <v>274.11329886310915</v>
      </c>
      <c r="AJ227" s="95">
        <f t="shared" ref="AJ227" si="818">MOD(AJ226,360)</f>
        <v>252.22071319498812</v>
      </c>
      <c r="AK227" s="95">
        <f t="shared" ref="AK227" si="819">MOD(AK226,360)</f>
        <v>44.014038932634776</v>
      </c>
      <c r="AL227" s="95">
        <f t="shared" ref="AL227" si="820">MOD(AL226,360)</f>
        <v>303.82466597403857</v>
      </c>
      <c r="AM227" s="95">
        <f t="shared" ref="AM227" si="821">MOD(AM226,360)</f>
        <v>126.08823245584426</v>
      </c>
      <c r="AN227" s="95">
        <f t="shared" ref="AN227" si="822">MOD(AN226,360)</f>
        <v>119.30145443655336</v>
      </c>
      <c r="AO227" s="95">
        <f t="shared" ref="AO227" si="823">MOD(AO226,360)</f>
        <v>267.10190504618367</v>
      </c>
      <c r="AP227" s="95">
        <f t="shared" ref="AP227" si="824">MOD(AP226,360)</f>
        <v>44.577426884573924</v>
      </c>
      <c r="AQ227" s="95">
        <f t="shared" ref="AQ227" si="825">MOD(AQ226,360)</f>
        <v>44.577426884573924</v>
      </c>
      <c r="AR227" s="95">
        <f t="shared" ref="AR227" si="826">MOD(AR226,360)</f>
        <v>43.013671766972323</v>
      </c>
      <c r="AS227" s="95">
        <f t="shared" ref="AS227" si="827">MOD(AS226,360)</f>
        <v>43.013671766972323</v>
      </c>
      <c r="AT227" s="95">
        <f t="shared" ref="AT227" si="828">MOD(AT226,360)</f>
        <v>43.013671766972323</v>
      </c>
      <c r="AU227" s="95">
        <f t="shared" ref="AU227" si="829">MOD(AU226,360)</f>
        <v>278.46855236041915</v>
      </c>
      <c r="AV227" s="95">
        <f t="shared" ref="AV227" si="830">MOD(AV226,360)</f>
        <v>169.34164367755869</v>
      </c>
      <c r="AW227" s="95">
        <f t="shared" ref="AW227" si="831">MOD(AW226,360)</f>
        <v>301.2533213996619</v>
      </c>
      <c r="AX227" s="95">
        <f t="shared" ref="AX227" si="832">MOD(AX226,360)</f>
        <v>229.65620253798841</v>
      </c>
      <c r="AY227" s="95">
        <f t="shared" ref="AY227" si="833">MOD(AY226,360)</f>
        <v>41.449916652075274</v>
      </c>
      <c r="AZ227" s="95">
        <f t="shared" ref="AZ227" si="834">MOD(AZ226,360)</f>
        <v>41.449916652075274</v>
      </c>
      <c r="BA227" s="95">
        <f t="shared" ref="BA227" si="835">MOD(BA226,360)</f>
        <v>39.886161539882664</v>
      </c>
      <c r="BB227" s="95">
        <f t="shared" ref="BB227" si="836">MOD(BB226,360)</f>
        <v>39.886161539882664</v>
      </c>
      <c r="BC227" s="95">
        <f t="shared" ref="BC227" si="837">MOD(BC226,360)</f>
        <v>39.886161539882664</v>
      </c>
      <c r="BD227" s="95">
        <f t="shared" ref="BD227" si="838">MOD(BD226,360)</f>
        <v>39.886161539882664</v>
      </c>
      <c r="BE227" s="95">
        <f t="shared" ref="BE227:BG227" si="839">MOD(BE226,360)</f>
        <v>39.886161539882664</v>
      </c>
      <c r="BF227" s="95">
        <f t="shared" si="839"/>
        <v>39.886161539882664</v>
      </c>
      <c r="BG227" s="95">
        <f t="shared" si="839"/>
        <v>206.53574391573659</v>
      </c>
    </row>
    <row r="228" spans="1:59" x14ac:dyDescent="0.25">
      <c r="C228" t="s">
        <v>142</v>
      </c>
    </row>
    <row r="229" spans="1:59" x14ac:dyDescent="0.25">
      <c r="C229" s="19" t="s">
        <v>56</v>
      </c>
      <c r="D229" s="7" t="s">
        <v>405</v>
      </c>
      <c r="E229" s="17">
        <f>SUM(E230:E254)</f>
        <v>0.21066610564899152</v>
      </c>
      <c r="F229" s="17">
        <f t="shared" ref="F229:X229" si="840">SUM(F230:F254)</f>
        <v>0.5427063556518642</v>
      </c>
      <c r="G229" s="17">
        <f t="shared" si="840"/>
        <v>-0.16695598558694791</v>
      </c>
      <c r="H229" s="17">
        <f t="shared" si="840"/>
        <v>-0.32295294425957716</v>
      </c>
      <c r="I229" s="17">
        <f t="shared" si="840"/>
        <v>0.40607639360273134</v>
      </c>
      <c r="J229" s="17">
        <f t="shared" si="840"/>
        <v>2.6611852248421886E-2</v>
      </c>
      <c r="K229" s="17">
        <f t="shared" si="840"/>
        <v>3.4666617491011416E-2</v>
      </c>
      <c r="L229" s="17">
        <f t="shared" si="840"/>
        <v>0.33559449965225824</v>
      </c>
      <c r="M229" s="17">
        <f t="shared" si="840"/>
        <v>-0.2279573665514317</v>
      </c>
      <c r="N229" s="17">
        <f t="shared" si="840"/>
        <v>-0.26749752050490533</v>
      </c>
      <c r="O229" s="17">
        <f t="shared" si="840"/>
        <v>-0.25639149076072931</v>
      </c>
      <c r="P229" s="17">
        <f t="shared" si="840"/>
        <v>0.50976760163844448</v>
      </c>
      <c r="Q229" s="17">
        <f t="shared" si="840"/>
        <v>0.20228173149997619</v>
      </c>
      <c r="R229" s="17">
        <f t="shared" si="840"/>
        <v>0.30081610779398332</v>
      </c>
      <c r="S229" s="17">
        <f t="shared" si="840"/>
        <v>0.11597567000210894</v>
      </c>
      <c r="T229" s="17">
        <f t="shared" si="840"/>
        <v>-0.15565967669985101</v>
      </c>
      <c r="U229" s="17">
        <f t="shared" si="840"/>
        <v>0.15914091040027081</v>
      </c>
      <c r="V229" s="17">
        <f t="shared" si="840"/>
        <v>0.59063363697486493</v>
      </c>
      <c r="W229" s="17">
        <f t="shared" si="840"/>
        <v>0.47496070179026872</v>
      </c>
      <c r="X229" s="17">
        <f t="shared" si="840"/>
        <v>-0.28741275480796025</v>
      </c>
      <c r="Y229" s="17">
        <f>SUM(Y230:Y254)</f>
        <v>0.51248843693028534</v>
      </c>
      <c r="Z229" s="17">
        <f t="shared" ref="Z229:AE229" si="841">SUM(Z230:Z254)</f>
        <v>-0.21685231735599431</v>
      </c>
      <c r="AA229" s="17">
        <f t="shared" si="841"/>
        <v>-0.16695598558694791</v>
      </c>
      <c r="AB229" s="17">
        <f t="shared" si="841"/>
        <v>0.37957913880264854</v>
      </c>
      <c r="AC229" s="17">
        <f t="shared" si="841"/>
        <v>-0.35695847288626925</v>
      </c>
      <c r="AD229" s="17">
        <f t="shared" si="841"/>
        <v>0.56009883960251983</v>
      </c>
      <c r="AE229" s="17">
        <f t="shared" si="841"/>
        <v>0.51248843693028534</v>
      </c>
      <c r="AF229" s="17">
        <f t="shared" ref="AF229" si="842">SUM(AF230:AF254)</f>
        <v>0.32518666018557651</v>
      </c>
      <c r="AG229" s="17">
        <f t="shared" ref="AG229" si="843">SUM(AG230:AG254)</f>
        <v>0.24949975672179345</v>
      </c>
      <c r="AH229" s="17">
        <f t="shared" ref="AH229" si="844">SUM(AH230:AH254)</f>
        <v>-0.22366041494563058</v>
      </c>
      <c r="AI229" s="17">
        <f t="shared" ref="AI229" si="845">SUM(AI230:AI254)</f>
        <v>-0.229241121506886</v>
      </c>
      <c r="AJ229" s="17">
        <f t="shared" ref="AJ229" si="846">SUM(AJ230:AJ254)</f>
        <v>-0.31016443994407777</v>
      </c>
      <c r="AK229" s="17">
        <f t="shared" ref="AK229" si="847">SUM(AK230:AK254)</f>
        <v>0.43454688802733543</v>
      </c>
      <c r="AL229" s="17">
        <f t="shared" ref="AL229" si="848">SUM(AL230:AL254)</f>
        <v>0.15686496389370144</v>
      </c>
      <c r="AM229" s="17">
        <f t="shared" ref="AM229" si="849">SUM(AM230:AM254)</f>
        <v>-0.52359263469482265</v>
      </c>
      <c r="AN229" s="17">
        <f t="shared" ref="AN229" si="850">SUM(AN230:AN254)</f>
        <v>-0.21631686438222492</v>
      </c>
      <c r="AO229" s="17">
        <f t="shared" ref="AO229" si="851">SUM(AO230:AO254)</f>
        <v>2.0947379039262474E-2</v>
      </c>
      <c r="AP229" s="17">
        <f t="shared" ref="AP229" si="852">SUM(AP230:AP254)</f>
        <v>-0.58598306850629789</v>
      </c>
      <c r="AQ229" s="17">
        <f t="shared" ref="AQ229" si="853">SUM(AQ230:AQ254)</f>
        <v>-0.58598306850629789</v>
      </c>
      <c r="AR229" s="17">
        <f t="shared" ref="AR229" si="854">SUM(AR230:AR254)</f>
        <v>-0.52802721079558546</v>
      </c>
      <c r="AS229" s="17">
        <f t="shared" ref="AS229" si="855">SUM(AS230:AS254)</f>
        <v>-0.52802721079558546</v>
      </c>
      <c r="AT229" s="17">
        <f t="shared" ref="AT229" si="856">SUM(AT230:AT254)</f>
        <v>-0.52802721079558546</v>
      </c>
      <c r="AU229" s="17">
        <f t="shared" ref="AU229" si="857">SUM(AU230:AU254)</f>
        <v>5.9100152729040921E-2</v>
      </c>
      <c r="AV229" s="17">
        <f t="shared" ref="AV229" si="858">SUM(AV230:AV254)</f>
        <v>-0.18949756891104644</v>
      </c>
      <c r="AW229" s="17">
        <f t="shared" ref="AW229" si="859">SUM(AW230:AW254)</f>
        <v>-0.11338188316594854</v>
      </c>
      <c r="AX229" s="17">
        <f t="shared" ref="AX229" si="860">SUM(AX230:AX254)</f>
        <v>-0.27069032386998521</v>
      </c>
      <c r="AY229" s="17">
        <f t="shared" ref="AY229" si="861">SUM(AY230:AY254)</f>
        <v>-0.34583516956581867</v>
      </c>
      <c r="AZ229" s="17">
        <f t="shared" ref="AZ229" si="862">SUM(AZ230:AZ254)</f>
        <v>-0.34583516956581867</v>
      </c>
      <c r="BA229" s="17">
        <f t="shared" ref="BA229" si="863">SUM(BA230:BA254)</f>
        <v>-8.4740543370194238E-2</v>
      </c>
      <c r="BB229" s="17">
        <f t="shared" ref="BB229" si="864">SUM(BB230:BB254)</f>
        <v>-8.4740543370194238E-2</v>
      </c>
      <c r="BC229" s="17">
        <f t="shared" ref="BC229" si="865">SUM(BC230:BC254)</f>
        <v>-8.4740543370194238E-2</v>
      </c>
      <c r="BD229" s="17">
        <f t="shared" ref="BD229" si="866">SUM(BD230:BD254)</f>
        <v>-8.4740543370194238E-2</v>
      </c>
      <c r="BE229" s="17">
        <f t="shared" ref="BE229:BG229" si="867">SUM(BE230:BE254)</f>
        <v>-8.4740543370194238E-2</v>
      </c>
      <c r="BF229" s="17">
        <f t="shared" si="867"/>
        <v>-8.4740543370194238E-2</v>
      </c>
      <c r="BG229" s="17">
        <f t="shared" si="867"/>
        <v>0.51248843693028534</v>
      </c>
    </row>
    <row r="230" spans="1:59" x14ac:dyDescent="0.25">
      <c r="C230" t="s">
        <v>57</v>
      </c>
      <c r="D230" s="84" t="s">
        <v>406</v>
      </c>
      <c r="E230" s="18">
        <f t="shared" ref="E230:AJ230" si="868" xml:space="preserve"> -0.40614 * SIN( ( E217 ) * Deg2Rad  )</f>
        <v>0.34455564599107324</v>
      </c>
      <c r="F230" s="18">
        <f t="shared" si="868"/>
        <v>0.33455800130024815</v>
      </c>
      <c r="G230" s="18">
        <f t="shared" si="868"/>
        <v>-0.22988111703703823</v>
      </c>
      <c r="H230" s="18">
        <f t="shared" si="868"/>
        <v>-0.40438363099939162</v>
      </c>
      <c r="I230" s="18">
        <f t="shared" si="868"/>
        <v>0.28091921586809687</v>
      </c>
      <c r="J230" s="18">
        <f t="shared" si="868"/>
        <v>5.0565489080055891E-2</v>
      </c>
      <c r="K230" s="18">
        <f t="shared" si="868"/>
        <v>-4.5507974354308617E-2</v>
      </c>
      <c r="L230" s="18">
        <f t="shared" si="868"/>
        <v>0.34195807614123297</v>
      </c>
      <c r="M230" s="18">
        <f t="shared" si="868"/>
        <v>-0.26680169553025879</v>
      </c>
      <c r="N230" s="18">
        <f t="shared" si="868"/>
        <v>-0.35771395627980174</v>
      </c>
      <c r="O230" s="18">
        <f t="shared" si="868"/>
        <v>-0.40520696979166965</v>
      </c>
      <c r="P230" s="18">
        <f t="shared" si="868"/>
        <v>0.39642014722197727</v>
      </c>
      <c r="Q230" s="18">
        <f t="shared" si="868"/>
        <v>4.4426092591199062E-2</v>
      </c>
      <c r="R230" s="18">
        <f t="shared" si="868"/>
        <v>0.21580127822798334</v>
      </c>
      <c r="S230" s="18">
        <f t="shared" si="868"/>
        <v>0.26799197283327603</v>
      </c>
      <c r="T230" s="18">
        <f t="shared" si="868"/>
        <v>-0.23964435814446386</v>
      </c>
      <c r="U230" s="18">
        <f t="shared" si="868"/>
        <v>0.36087820619456012</v>
      </c>
      <c r="V230" s="18">
        <f t="shared" si="868"/>
        <v>0.4053816729349996</v>
      </c>
      <c r="W230" s="18">
        <f t="shared" si="868"/>
        <v>0.34734585127358242</v>
      </c>
      <c r="X230" s="18">
        <f t="shared" si="868"/>
        <v>-0.3974642118771442</v>
      </c>
      <c r="Y230" s="18">
        <f t="shared" si="868"/>
        <v>0.38564272162479107</v>
      </c>
      <c r="Z230" s="18">
        <f t="shared" si="868"/>
        <v>-0.25497275866085645</v>
      </c>
      <c r="AA230" s="18">
        <f t="shared" si="868"/>
        <v>-0.22988111703703823</v>
      </c>
      <c r="AB230" s="18">
        <f t="shared" si="868"/>
        <v>0.3993912737467043</v>
      </c>
      <c r="AC230" s="18">
        <f t="shared" si="868"/>
        <v>-0.28083505086918198</v>
      </c>
      <c r="AD230" s="18">
        <f t="shared" si="868"/>
        <v>0.38405281881107423</v>
      </c>
      <c r="AE230" s="18">
        <f t="shared" si="868"/>
        <v>0.38564272162479107</v>
      </c>
      <c r="AF230" s="18">
        <f t="shared" si="868"/>
        <v>0.31829167845317052</v>
      </c>
      <c r="AG230" s="18">
        <f t="shared" si="868"/>
        <v>0.39535355450368675</v>
      </c>
      <c r="AH230" s="18">
        <f t="shared" si="868"/>
        <v>-0.39943324543424419</v>
      </c>
      <c r="AI230" s="18">
        <f t="shared" si="868"/>
        <v>-0.39415644875654249</v>
      </c>
      <c r="AJ230" s="18">
        <f t="shared" si="868"/>
        <v>-0.39648848369477629</v>
      </c>
      <c r="AK230" s="18">
        <f t="shared" ref="AK230:BG230" si="869" xml:space="preserve"> -0.40614 * SIN( ( AK217 ) * Deg2Rad  )</f>
        <v>0.35378951264854724</v>
      </c>
      <c r="AL230" s="18">
        <f t="shared" si="869"/>
        <v>0.33054069114709173</v>
      </c>
      <c r="AM230" s="18">
        <f t="shared" si="869"/>
        <v>-0.37286885114359258</v>
      </c>
      <c r="AN230" s="18">
        <f t="shared" si="869"/>
        <v>-0.37676905772429337</v>
      </c>
      <c r="AO230" s="18">
        <f t="shared" si="869"/>
        <v>-0.14392723529912216</v>
      </c>
      <c r="AP230" s="18">
        <f t="shared" si="869"/>
        <v>-0.40608205494248617</v>
      </c>
      <c r="AQ230" s="18">
        <f t="shared" si="869"/>
        <v>-0.40608205494248617</v>
      </c>
      <c r="AR230" s="18">
        <f t="shared" si="869"/>
        <v>-0.36853868742804491</v>
      </c>
      <c r="AS230" s="18">
        <f t="shared" si="869"/>
        <v>-0.36853868742804491</v>
      </c>
      <c r="AT230" s="18">
        <f t="shared" si="869"/>
        <v>-0.36853868742804491</v>
      </c>
      <c r="AU230" s="18">
        <f t="shared" si="869"/>
        <v>4.9747069285429419E-3</v>
      </c>
      <c r="AV230" s="18">
        <f t="shared" si="869"/>
        <v>-4.0913596343506407E-2</v>
      </c>
      <c r="AW230" s="18">
        <f t="shared" si="869"/>
        <v>-0.1543658389258783</v>
      </c>
      <c r="AX230" s="18">
        <f t="shared" si="869"/>
        <v>-0.40322641392862801</v>
      </c>
      <c r="AY230" s="18">
        <f t="shared" si="869"/>
        <v>-0.25742766971194503</v>
      </c>
      <c r="AZ230" s="18">
        <f t="shared" si="869"/>
        <v>-0.25742766971194503</v>
      </c>
      <c r="BA230" s="18">
        <f t="shared" si="869"/>
        <v>-9.4928970214049724E-2</v>
      </c>
      <c r="BB230" s="18">
        <f t="shared" si="869"/>
        <v>-9.4928970214049724E-2</v>
      </c>
      <c r="BC230" s="18">
        <f t="shared" si="869"/>
        <v>-9.4928970214049724E-2</v>
      </c>
      <c r="BD230" s="18">
        <f t="shared" si="869"/>
        <v>-9.4928970214049724E-2</v>
      </c>
      <c r="BE230" s="18">
        <f t="shared" si="869"/>
        <v>-9.4928970214049724E-2</v>
      </c>
      <c r="BF230" s="18">
        <f t="shared" si="869"/>
        <v>-9.4928970214049724E-2</v>
      </c>
      <c r="BG230" s="18">
        <f t="shared" si="869"/>
        <v>0.38564272162479107</v>
      </c>
    </row>
    <row r="231" spans="1:59" x14ac:dyDescent="0.25">
      <c r="C231" t="s">
        <v>58</v>
      </c>
      <c r="D231" s="19"/>
      <c r="E231" s="18">
        <f t="shared" ref="E231:AJ231" si="870" xml:space="preserve"> 0.17302 * E209 * SIN( ( E213 ) * Deg2Rad  )</f>
        <v>-0.14340604963577874</v>
      </c>
      <c r="F231" s="18">
        <f t="shared" si="870"/>
        <v>0.17657087318309669</v>
      </c>
      <c r="G231" s="18">
        <f t="shared" si="870"/>
        <v>5.0892348805026903E-2</v>
      </c>
      <c r="H231" s="18">
        <f t="shared" si="870"/>
        <v>8.0807737227171647E-2</v>
      </c>
      <c r="I231" s="18">
        <f t="shared" si="870"/>
        <v>0.11182633781640237</v>
      </c>
      <c r="J231" s="18">
        <f t="shared" si="870"/>
        <v>-1.7417494436634356E-2</v>
      </c>
      <c r="K231" s="18">
        <f t="shared" si="870"/>
        <v>8.5259608263666367E-2</v>
      </c>
      <c r="L231" s="18">
        <f t="shared" si="870"/>
        <v>1.4963475343158358E-2</v>
      </c>
      <c r="M231" s="18">
        <f t="shared" si="870"/>
        <v>4.1315287666468636E-2</v>
      </c>
      <c r="N231" s="18">
        <f t="shared" si="870"/>
        <v>9.4931125290158361E-2</v>
      </c>
      <c r="O231" s="18">
        <f t="shared" si="870"/>
        <v>0.13632372112193294</v>
      </c>
      <c r="P231" s="18">
        <f t="shared" si="870"/>
        <v>0.13017448729196995</v>
      </c>
      <c r="Q231" s="18">
        <f t="shared" si="870"/>
        <v>0.16726241845734222</v>
      </c>
      <c r="R231" s="18">
        <f t="shared" si="870"/>
        <v>0.1116402236080573</v>
      </c>
      <c r="S231" s="18">
        <f t="shared" si="870"/>
        <v>-0.15592890586068639</v>
      </c>
      <c r="T231" s="18">
        <f t="shared" si="870"/>
        <v>9.2005642604452612E-2</v>
      </c>
      <c r="U231" s="18">
        <f t="shared" si="870"/>
        <v>-0.18342096642157296</v>
      </c>
      <c r="V231" s="18">
        <f t="shared" si="870"/>
        <v>0.19468224017875785</v>
      </c>
      <c r="W231" s="18">
        <f t="shared" si="870"/>
        <v>0.1371899197892491</v>
      </c>
      <c r="X231" s="18">
        <f t="shared" si="870"/>
        <v>0.12840701869468438</v>
      </c>
      <c r="Y231" s="18">
        <f t="shared" si="870"/>
        <v>0.15036215818299464</v>
      </c>
      <c r="Z231" s="18">
        <f t="shared" si="870"/>
        <v>3.1258482794851709E-2</v>
      </c>
      <c r="AA231" s="18">
        <f t="shared" si="870"/>
        <v>5.0892348805026903E-2</v>
      </c>
      <c r="AB231" s="18">
        <f t="shared" si="870"/>
        <v>-3.2428825403544824E-2</v>
      </c>
      <c r="AC231" s="18">
        <f t="shared" si="870"/>
        <v>-5.7478213350412005E-2</v>
      </c>
      <c r="AD231" s="18">
        <f t="shared" si="870"/>
        <v>0.15444057498790215</v>
      </c>
      <c r="AE231" s="18">
        <f t="shared" si="870"/>
        <v>0.15036215818299464</v>
      </c>
      <c r="AF231" s="18">
        <f t="shared" si="870"/>
        <v>1.4901939559785178E-2</v>
      </c>
      <c r="AG231" s="18">
        <f t="shared" si="870"/>
        <v>-0.13869522764973222</v>
      </c>
      <c r="AH231" s="18">
        <f t="shared" si="870"/>
        <v>0.17229643600964439</v>
      </c>
      <c r="AI231" s="18">
        <f t="shared" si="870"/>
        <v>0.16862379737200037</v>
      </c>
      <c r="AJ231" s="18">
        <f t="shared" si="870"/>
        <v>8.5300429314754816E-2</v>
      </c>
      <c r="AK231" s="18">
        <f t="shared" ref="AK231:BG231" si="871" xml:space="preserve"> 0.17302 * AK209 * SIN( ( AK213 ) * Deg2Rad  )</f>
        <v>6.2140272361735402E-2</v>
      </c>
      <c r="AL231" s="18">
        <f t="shared" si="871"/>
        <v>-0.17306028552675345</v>
      </c>
      <c r="AM231" s="18">
        <f t="shared" si="871"/>
        <v>-0.13521619961798143</v>
      </c>
      <c r="AN231" s="18">
        <f t="shared" si="871"/>
        <v>0.167566419802475</v>
      </c>
      <c r="AO231" s="18">
        <f t="shared" si="871"/>
        <v>0.15070111039222941</v>
      </c>
      <c r="AP231" s="18">
        <f t="shared" si="871"/>
        <v>-0.17206246880387746</v>
      </c>
      <c r="AQ231" s="18">
        <f t="shared" si="871"/>
        <v>-0.17206246880387746</v>
      </c>
      <c r="AR231" s="18">
        <f t="shared" si="871"/>
        <v>-0.14196482121367307</v>
      </c>
      <c r="AS231" s="18">
        <f t="shared" si="871"/>
        <v>-0.14196482121367307</v>
      </c>
      <c r="AT231" s="18">
        <f t="shared" si="871"/>
        <v>-0.14196482121367307</v>
      </c>
      <c r="AU231" s="18">
        <f t="shared" si="871"/>
        <v>5.5097948923144027E-2</v>
      </c>
      <c r="AV231" s="18">
        <f t="shared" si="871"/>
        <v>-0.16551417126594481</v>
      </c>
      <c r="AW231" s="18">
        <f t="shared" si="871"/>
        <v>4.8928354510870284E-2</v>
      </c>
      <c r="AX231" s="18">
        <f t="shared" si="871"/>
        <v>0.1336923555462943</v>
      </c>
      <c r="AY231" s="18">
        <f t="shared" si="871"/>
        <v>-7.6014650862999661E-2</v>
      </c>
      <c r="AZ231" s="18">
        <f t="shared" si="871"/>
        <v>-7.6014650862999661E-2</v>
      </c>
      <c r="BA231" s="18">
        <f t="shared" si="871"/>
        <v>9.1324454480982819E-3</v>
      </c>
      <c r="BB231" s="18">
        <f t="shared" si="871"/>
        <v>9.1324454480982819E-3</v>
      </c>
      <c r="BC231" s="18">
        <f t="shared" si="871"/>
        <v>9.1324454480982819E-3</v>
      </c>
      <c r="BD231" s="18">
        <f t="shared" si="871"/>
        <v>9.1324454480982819E-3</v>
      </c>
      <c r="BE231" s="18">
        <f t="shared" si="871"/>
        <v>9.1324454480982819E-3</v>
      </c>
      <c r="BF231" s="18">
        <f t="shared" si="871"/>
        <v>9.1324454480982819E-3</v>
      </c>
      <c r="BG231" s="18">
        <f t="shared" si="871"/>
        <v>0.15036215818299464</v>
      </c>
    </row>
    <row r="232" spans="1:59" x14ac:dyDescent="0.25">
      <c r="C232" t="s">
        <v>59</v>
      </c>
      <c r="E232" s="18">
        <f t="shared" ref="E232:AJ232" si="872" xml:space="preserve"> 0.01614 * SIN( ( 2 * E217 ) * Deg2Rad  )</f>
        <v>1.4498013889573736E-2</v>
      </c>
      <c r="F232" s="18">
        <f t="shared" si="872"/>
        <v>1.5075645433734779E-2</v>
      </c>
      <c r="G232" s="18">
        <f t="shared" si="872"/>
        <v>1.5062483016201243E-2</v>
      </c>
      <c r="H232" s="18">
        <f t="shared" si="872"/>
        <v>2.9858383165239834E-3</v>
      </c>
      <c r="I232" s="18">
        <f t="shared" si="872"/>
        <v>1.6124963445620907E-2</v>
      </c>
      <c r="J232" s="18">
        <f t="shared" si="872"/>
        <v>-3.9876738985229433E-3</v>
      </c>
      <c r="K232" s="18">
        <f t="shared" si="872"/>
        <v>-3.5941953731454357E-3</v>
      </c>
      <c r="L232" s="18">
        <f t="shared" si="872"/>
        <v>-1.4663596331298963E-2</v>
      </c>
      <c r="M232" s="18">
        <f t="shared" si="872"/>
        <v>-1.5988015554056403E-2</v>
      </c>
      <c r="N232" s="18">
        <f t="shared" si="872"/>
        <v>-1.3463641613698592E-2</v>
      </c>
      <c r="O232" s="18">
        <f t="shared" si="872"/>
        <v>-2.1817755255919774E-3</v>
      </c>
      <c r="P232" s="18">
        <f t="shared" si="872"/>
        <v>-6.8518264487504379E-3</v>
      </c>
      <c r="Q232" s="18">
        <f t="shared" si="872"/>
        <v>-3.5097967777538031E-3</v>
      </c>
      <c r="R232" s="18">
        <f t="shared" si="872"/>
        <v>-1.4530289760752388E-2</v>
      </c>
      <c r="S232" s="18">
        <f t="shared" si="872"/>
        <v>1.6004738743656075E-2</v>
      </c>
      <c r="T232" s="18">
        <f t="shared" si="872"/>
        <v>-1.537780685575256E-2</v>
      </c>
      <c r="U232" s="18">
        <f t="shared" si="872"/>
        <v>-1.3158651035249104E-2</v>
      </c>
      <c r="V232" s="18">
        <f t="shared" si="872"/>
        <v>-1.9679970690912743E-3</v>
      </c>
      <c r="W232" s="18">
        <f t="shared" si="872"/>
        <v>-1.4307004615076283E-2</v>
      </c>
      <c r="X232" s="18">
        <f t="shared" si="872"/>
        <v>-6.4946477058503852E-3</v>
      </c>
      <c r="Y232" s="18">
        <f t="shared" si="872"/>
        <v>-9.6143127638611044E-3</v>
      </c>
      <c r="Z232" s="18">
        <f t="shared" si="872"/>
        <v>1.5774020214027979E-2</v>
      </c>
      <c r="AA232" s="18">
        <f t="shared" si="872"/>
        <v>1.5062483016201243E-2</v>
      </c>
      <c r="AB232" s="18">
        <f t="shared" si="872"/>
        <v>5.7627884630547625E-3</v>
      </c>
      <c r="AC232" s="18">
        <f t="shared" si="872"/>
        <v>-1.6124561116636973E-2</v>
      </c>
      <c r="AD232" s="18">
        <f t="shared" si="872"/>
        <v>9.9290944133211094E-3</v>
      </c>
      <c r="AE232" s="18">
        <f t="shared" si="872"/>
        <v>-9.6143127638611044E-3</v>
      </c>
      <c r="AF232" s="18">
        <f t="shared" si="872"/>
        <v>-1.5713492846409473E-2</v>
      </c>
      <c r="AG232" s="18">
        <f t="shared" si="872"/>
        <v>7.1937748070683852E-3</v>
      </c>
      <c r="AH232" s="18">
        <f t="shared" si="872"/>
        <v>-5.7455939429225059E-3</v>
      </c>
      <c r="AI232" s="18">
        <f t="shared" si="872"/>
        <v>7.553858530237492E-3</v>
      </c>
      <c r="AJ232" s="18">
        <f t="shared" si="872"/>
        <v>6.829165423974934E-3</v>
      </c>
      <c r="AK232" s="18">
        <f t="shared" ref="AK232:BG232" si="873" xml:space="preserve"> 0.01614 * SIN( ( 2 * AK217 ) * Deg2Rad  )</f>
        <v>1.3809373376442993E-2</v>
      </c>
      <c r="AL232" s="18">
        <f t="shared" si="873"/>
        <v>-1.5265304930493497E-2</v>
      </c>
      <c r="AM232" s="18">
        <f t="shared" si="873"/>
        <v>-1.174743894343447E-2</v>
      </c>
      <c r="AN232" s="18">
        <f t="shared" si="873"/>
        <v>-1.1180772859924124E-2</v>
      </c>
      <c r="AO232" s="18">
        <f t="shared" si="873"/>
        <v>1.0696945509678767E-2</v>
      </c>
      <c r="AP232" s="18">
        <f t="shared" si="873"/>
        <v>5.4518184291998516E-4</v>
      </c>
      <c r="AQ232" s="18">
        <f t="shared" si="873"/>
        <v>5.4518184291998516E-4</v>
      </c>
      <c r="AR232" s="18">
        <f t="shared" si="873"/>
        <v>-1.2309130853952131E-2</v>
      </c>
      <c r="AS232" s="18">
        <f t="shared" si="873"/>
        <v>-1.2309130853952131E-2</v>
      </c>
      <c r="AT232" s="18">
        <f t="shared" si="873"/>
        <v>-1.2309130853952131E-2</v>
      </c>
      <c r="AU232" s="18">
        <f t="shared" si="873"/>
        <v>3.9535995685852082E-4</v>
      </c>
      <c r="AV232" s="18">
        <f t="shared" si="873"/>
        <v>3.2352700179977493E-3</v>
      </c>
      <c r="AW232" s="18">
        <f t="shared" si="873"/>
        <v>-1.1348248674121084E-2</v>
      </c>
      <c r="AX232" s="18">
        <f t="shared" si="873"/>
        <v>3.8319292854381471E-3</v>
      </c>
      <c r="AY232" s="18">
        <f t="shared" si="873"/>
        <v>-1.5825349899175459E-2</v>
      </c>
      <c r="AZ232" s="18">
        <f t="shared" si="873"/>
        <v>-1.5825349899175459E-2</v>
      </c>
      <c r="BA232" s="18">
        <f t="shared" si="873"/>
        <v>-7.3359609616567957E-3</v>
      </c>
      <c r="BB232" s="18">
        <f t="shared" si="873"/>
        <v>-7.3359609616567957E-3</v>
      </c>
      <c r="BC232" s="18">
        <f t="shared" si="873"/>
        <v>-7.3359609616567957E-3</v>
      </c>
      <c r="BD232" s="18">
        <f t="shared" si="873"/>
        <v>-7.3359609616567957E-3</v>
      </c>
      <c r="BE232" s="18">
        <f t="shared" si="873"/>
        <v>-7.3359609616567957E-3</v>
      </c>
      <c r="BF232" s="18">
        <f t="shared" si="873"/>
        <v>-7.3359609616567957E-3</v>
      </c>
      <c r="BG232" s="18">
        <f t="shared" si="873"/>
        <v>-9.6143127638611044E-3</v>
      </c>
    </row>
    <row r="233" spans="1:59" x14ac:dyDescent="0.25">
      <c r="C233" t="s">
        <v>60</v>
      </c>
      <c r="E233" s="18">
        <f t="shared" ref="E233:AJ233" si="874" xml:space="preserve"> 0.01043 * SIN( ( 2 * E222 ) * Deg2Rad  )</f>
        <v>2.1839302326601539E-3</v>
      </c>
      <c r="F233" s="18">
        <f t="shared" si="874"/>
        <v>9.4563386815057267E-3</v>
      </c>
      <c r="G233" s="18">
        <f t="shared" si="874"/>
        <v>-1.4349705401729073E-3</v>
      </c>
      <c r="H233" s="18">
        <f t="shared" si="874"/>
        <v>-4.2422574663447555E-3</v>
      </c>
      <c r="I233" s="18">
        <f t="shared" si="874"/>
        <v>-1.0183992789866933E-2</v>
      </c>
      <c r="J233" s="18">
        <f t="shared" si="874"/>
        <v>-4.2815024278250804E-3</v>
      </c>
      <c r="K233" s="18">
        <f t="shared" si="874"/>
        <v>-1.0409152554114932E-2</v>
      </c>
      <c r="L233" s="18">
        <f t="shared" si="874"/>
        <v>-6.7499383517793943E-3</v>
      </c>
      <c r="M233" s="18">
        <f t="shared" si="874"/>
        <v>9.9882485237225253E-3</v>
      </c>
      <c r="N233" s="18">
        <f t="shared" si="874"/>
        <v>3.2378878409572119E-3</v>
      </c>
      <c r="O233" s="18">
        <f t="shared" si="874"/>
        <v>1.0381648817618595E-2</v>
      </c>
      <c r="P233" s="18">
        <f t="shared" si="874"/>
        <v>-4.6800842843589298E-3</v>
      </c>
      <c r="Q233" s="18">
        <f t="shared" si="874"/>
        <v>2.8739308881172644E-3</v>
      </c>
      <c r="R233" s="18">
        <f t="shared" si="874"/>
        <v>-7.4196074348161995E-3</v>
      </c>
      <c r="S233" s="18">
        <f t="shared" si="874"/>
        <v>-6.6149701871183386E-3</v>
      </c>
      <c r="T233" s="18">
        <f t="shared" si="874"/>
        <v>6.0328628669467669E-3</v>
      </c>
      <c r="U233" s="18">
        <f t="shared" si="874"/>
        <v>-1.0383880732436592E-2</v>
      </c>
      <c r="V233" s="18">
        <f t="shared" si="874"/>
        <v>-2.3676094695951984E-3</v>
      </c>
      <c r="W233" s="18">
        <f t="shared" si="874"/>
        <v>1.031688811014468E-2</v>
      </c>
      <c r="X233" s="18">
        <f t="shared" si="874"/>
        <v>-1.0088762268413777E-2</v>
      </c>
      <c r="Y233" s="18">
        <f t="shared" si="874"/>
        <v>-1.0419367436546749E-2</v>
      </c>
      <c r="Z233" s="18">
        <f t="shared" si="874"/>
        <v>-9.1746105950976133E-3</v>
      </c>
      <c r="AA233" s="18">
        <f t="shared" si="874"/>
        <v>-1.4349705401729073E-3</v>
      </c>
      <c r="AB233" s="18">
        <f t="shared" si="874"/>
        <v>3.0677520624451875E-3</v>
      </c>
      <c r="AC233" s="18">
        <f t="shared" si="874"/>
        <v>-3.8027965170767369E-4</v>
      </c>
      <c r="AD233" s="18">
        <f t="shared" si="874"/>
        <v>1.0337261574396912E-2</v>
      </c>
      <c r="AE233" s="18">
        <f t="shared" si="874"/>
        <v>-1.0419367436546749E-2</v>
      </c>
      <c r="AF233" s="18">
        <f t="shared" si="874"/>
        <v>8.5878536791085328E-3</v>
      </c>
      <c r="AG233" s="18">
        <f t="shared" si="874"/>
        <v>-9.61907833486602E-3</v>
      </c>
      <c r="AH233" s="18">
        <f t="shared" si="874"/>
        <v>5.8440788449075579E-3</v>
      </c>
      <c r="AI233" s="18">
        <f t="shared" si="874"/>
        <v>-7.1604399003317434E-3</v>
      </c>
      <c r="AJ233" s="18">
        <f t="shared" si="874"/>
        <v>3.8758273122010273E-4</v>
      </c>
      <c r="AK233" s="18">
        <f t="shared" ref="AK233:BG233" si="875" xml:space="preserve"> 0.01043 * SIN( ( 2 * AK222 ) * Deg2Rad  )</f>
        <v>4.6574802896094366E-3</v>
      </c>
      <c r="AL233" s="18">
        <f t="shared" si="875"/>
        <v>6.9957336669611084E-3</v>
      </c>
      <c r="AM233" s="18">
        <f t="shared" si="875"/>
        <v>8.6902093359287876E-4</v>
      </c>
      <c r="AN233" s="18">
        <f t="shared" si="875"/>
        <v>7.0665344511512196E-4</v>
      </c>
      <c r="AO233" s="18">
        <f t="shared" si="875"/>
        <v>1.0112181196192954E-2</v>
      </c>
      <c r="AP233" s="18">
        <f t="shared" si="875"/>
        <v>-8.1154145939281996E-3</v>
      </c>
      <c r="AQ233" s="18">
        <f t="shared" si="875"/>
        <v>-8.1154145939281996E-3</v>
      </c>
      <c r="AR233" s="18">
        <f t="shared" si="875"/>
        <v>1.8569429165994874E-3</v>
      </c>
      <c r="AS233" s="18">
        <f t="shared" si="875"/>
        <v>1.8569429165994874E-3</v>
      </c>
      <c r="AT233" s="18">
        <f t="shared" si="875"/>
        <v>1.8569429165994874E-3</v>
      </c>
      <c r="AU233" s="18">
        <f t="shared" si="875"/>
        <v>-5.0723178739383347E-3</v>
      </c>
      <c r="AV233" s="18">
        <f t="shared" si="875"/>
        <v>2.3822199865194617E-3</v>
      </c>
      <c r="AW233" s="18">
        <f t="shared" si="875"/>
        <v>-1.1043199985371086E-3</v>
      </c>
      <c r="AX233" s="18">
        <f t="shared" si="875"/>
        <v>7.3491764618778511E-4</v>
      </c>
      <c r="AY233" s="18">
        <f t="shared" si="875"/>
        <v>9.8965780212468286E-3</v>
      </c>
      <c r="AZ233" s="18">
        <f t="shared" si="875"/>
        <v>9.8965780212468286E-3</v>
      </c>
      <c r="BA233" s="18">
        <f t="shared" si="875"/>
        <v>7.6357682891081361E-3</v>
      </c>
      <c r="BB233" s="18">
        <f t="shared" si="875"/>
        <v>7.6357682891081361E-3</v>
      </c>
      <c r="BC233" s="18">
        <f t="shared" si="875"/>
        <v>7.6357682891081361E-3</v>
      </c>
      <c r="BD233" s="18">
        <f t="shared" si="875"/>
        <v>7.6357682891081361E-3</v>
      </c>
      <c r="BE233" s="18">
        <f t="shared" si="875"/>
        <v>7.6357682891081361E-3</v>
      </c>
      <c r="BF233" s="18">
        <f t="shared" si="875"/>
        <v>7.6357682891081361E-3</v>
      </c>
      <c r="BG233" s="18">
        <f t="shared" si="875"/>
        <v>-1.0419367436546749E-2</v>
      </c>
    </row>
    <row r="234" spans="1:59" x14ac:dyDescent="0.25">
      <c r="C234" t="s">
        <v>61</v>
      </c>
      <c r="E234" s="18">
        <f t="shared" ref="E234:AJ234" si="876" xml:space="preserve"> 0.00734 * E209 * SIN( ( E217 - E213 ) * Deg2Rad  )</f>
        <v>-6.7164562350340773E-3</v>
      </c>
      <c r="F234" s="18">
        <f t="shared" si="876"/>
        <v>5.4543456738030387E-3</v>
      </c>
      <c r="G234" s="18">
        <f t="shared" si="876"/>
        <v>2.1908847477135163E-3</v>
      </c>
      <c r="H234" s="18">
        <f t="shared" si="876"/>
        <v>6.1439394409744177E-3</v>
      </c>
      <c r="I234" s="18">
        <f t="shared" si="876"/>
        <v>-4.5007011746238835E-4</v>
      </c>
      <c r="J234" s="18">
        <f t="shared" si="876"/>
        <v>1.6426458982769724E-3</v>
      </c>
      <c r="K234" s="18">
        <f t="shared" si="876"/>
        <v>4.31011929348503E-3</v>
      </c>
      <c r="L234" s="18">
        <f t="shared" si="876"/>
        <v>5.8162235414442581E-3</v>
      </c>
      <c r="M234" s="18">
        <f t="shared" si="876"/>
        <v>6.0162352100595184E-3</v>
      </c>
      <c r="N234" s="18">
        <f t="shared" si="876"/>
        <v>7.3886793177982196E-3</v>
      </c>
      <c r="O234" s="18">
        <f t="shared" si="876"/>
        <v>5.0183405738102567E-3</v>
      </c>
      <c r="P234" s="18">
        <f t="shared" si="876"/>
        <v>3.8204835948012551E-3</v>
      </c>
      <c r="Q234" s="18">
        <f t="shared" si="876"/>
        <v>-7.3823169414633742E-3</v>
      </c>
      <c r="R234" s="18">
        <f t="shared" si="876"/>
        <v>-7.2431101060514338E-3</v>
      </c>
      <c r="S234" s="18">
        <f t="shared" si="876"/>
        <v>-2.1875227460192554E-3</v>
      </c>
      <c r="T234" s="18">
        <f t="shared" si="876"/>
        <v>-8.6418449426692529E-4</v>
      </c>
      <c r="U234" s="18">
        <f t="shared" si="876"/>
        <v>2.6815362453236334E-3</v>
      </c>
      <c r="V234" s="18">
        <f t="shared" si="876"/>
        <v>6.1536528329268314E-4</v>
      </c>
      <c r="W234" s="18">
        <f t="shared" si="876"/>
        <v>8.1219880479251689E-4</v>
      </c>
      <c r="X234" s="18">
        <f t="shared" si="876"/>
        <v>-3.6965534242154488E-3</v>
      </c>
      <c r="Y234" s="18">
        <f t="shared" si="876"/>
        <v>-5.4570016782117016E-3</v>
      </c>
      <c r="Z234" s="18">
        <f t="shared" si="876"/>
        <v>3.494808159840298E-3</v>
      </c>
      <c r="AA234" s="18">
        <f t="shared" si="876"/>
        <v>2.1908847477135163E-3</v>
      </c>
      <c r="AB234" s="18">
        <f t="shared" si="876"/>
        <v>6.8487629871289675E-3</v>
      </c>
      <c r="AC234" s="18">
        <f t="shared" si="876"/>
        <v>3.0285203157845737E-3</v>
      </c>
      <c r="AD234" s="18">
        <f t="shared" si="876"/>
        <v>5.2647472067881423E-3</v>
      </c>
      <c r="AE234" s="18">
        <f t="shared" si="876"/>
        <v>-5.4570016782117016E-3</v>
      </c>
      <c r="AF234" s="18">
        <f t="shared" si="876"/>
        <v>-6.1246679945136948E-3</v>
      </c>
      <c r="AG234" s="18">
        <f t="shared" si="876"/>
        <v>-5.620791491144553E-3</v>
      </c>
      <c r="AH234" s="18">
        <f t="shared" si="876"/>
        <v>1.9995583198016455E-3</v>
      </c>
      <c r="AI234" s="18">
        <f t="shared" si="876"/>
        <v>-3.3266328222442162E-3</v>
      </c>
      <c r="AJ234" s="18">
        <f t="shared" si="876"/>
        <v>-7.0197922760527835E-3</v>
      </c>
      <c r="AK234" s="18">
        <f t="shared" ref="AK234:BG234" si="877" xml:space="preserve"> 0.00734 * AK209 * SIN( ( AK217 - AK213 ) * Deg2Rad  )</f>
        <v>-4.7038477492607894E-3</v>
      </c>
      <c r="AL234" s="18">
        <f t="shared" si="877"/>
        <v>4.2670280661066774E-3</v>
      </c>
      <c r="AM234" s="18">
        <f t="shared" si="877"/>
        <v>-6.8286005151233318E-3</v>
      </c>
      <c r="AN234" s="18">
        <f t="shared" si="877"/>
        <v>9.5823643384105694E-4</v>
      </c>
      <c r="AO234" s="18">
        <f t="shared" si="877"/>
        <v>-4.4654319105214462E-3</v>
      </c>
      <c r="AP234" s="18">
        <f t="shared" si="877"/>
        <v>8.5322400435357314E-4</v>
      </c>
      <c r="AQ234" s="18">
        <f t="shared" si="877"/>
        <v>8.5322400435357314E-4</v>
      </c>
      <c r="AR234" s="18">
        <f t="shared" si="877"/>
        <v>1.2697579150540922E-3</v>
      </c>
      <c r="AS234" s="18">
        <f t="shared" si="877"/>
        <v>1.2697579150540922E-3</v>
      </c>
      <c r="AT234" s="18">
        <f t="shared" si="877"/>
        <v>1.2697579150540922E-3</v>
      </c>
      <c r="AU234" s="18">
        <f t="shared" si="877"/>
        <v>2.4225248560832352E-3</v>
      </c>
      <c r="AV234" s="18">
        <f t="shared" si="877"/>
        <v>6.7702926336797049E-3</v>
      </c>
      <c r="AW234" s="18">
        <f t="shared" si="877"/>
        <v>4.6005673901658552E-3</v>
      </c>
      <c r="AX234" s="18">
        <f t="shared" si="877"/>
        <v>-5.3162375902983568E-3</v>
      </c>
      <c r="AY234" s="18">
        <f t="shared" si="877"/>
        <v>1.6821086516399422E-3</v>
      </c>
      <c r="AZ234" s="18">
        <f t="shared" si="877"/>
        <v>1.6821086516399422E-3</v>
      </c>
      <c r="BA234" s="18">
        <f t="shared" si="877"/>
        <v>2.0889183077437774E-3</v>
      </c>
      <c r="BB234" s="18">
        <f t="shared" si="877"/>
        <v>2.0889183077437774E-3</v>
      </c>
      <c r="BC234" s="18">
        <f t="shared" si="877"/>
        <v>2.0889183077437774E-3</v>
      </c>
      <c r="BD234" s="18">
        <f t="shared" si="877"/>
        <v>2.0889183077437774E-3</v>
      </c>
      <c r="BE234" s="18">
        <f t="shared" si="877"/>
        <v>2.0889183077437774E-3</v>
      </c>
      <c r="BF234" s="18">
        <f t="shared" si="877"/>
        <v>2.0889183077437774E-3</v>
      </c>
      <c r="BG234" s="18">
        <f t="shared" si="877"/>
        <v>-5.4570016782117016E-3</v>
      </c>
    </row>
    <row r="235" spans="1:59" x14ac:dyDescent="0.25">
      <c r="C235" t="s">
        <v>62</v>
      </c>
      <c r="E235" s="18">
        <f t="shared" ref="E235:AJ235" si="878" xml:space="preserve"> -0.00515 * E209 * SIN( ( E217 + E213 ) * Deg2Rad  )</f>
        <v>1.929023532951931E-4</v>
      </c>
      <c r="F235" s="18">
        <f t="shared" si="878"/>
        <v>2.132498162869003E-3</v>
      </c>
      <c r="G235" s="18">
        <f t="shared" si="878"/>
        <v>-4.0348358656729219E-3</v>
      </c>
      <c r="H235" s="18">
        <f t="shared" si="878"/>
        <v>-4.7577006178644915E-3</v>
      </c>
      <c r="I235" s="18">
        <f t="shared" si="878"/>
        <v>5.1235644791677547E-3</v>
      </c>
      <c r="J235" s="18">
        <f t="shared" si="878"/>
        <v>-1.2372982700077016E-4</v>
      </c>
      <c r="K235" s="18">
        <f t="shared" si="878"/>
        <v>2.0194703078548789E-3</v>
      </c>
      <c r="L235" s="18">
        <f t="shared" si="878"/>
        <v>-4.5614647301117812E-3</v>
      </c>
      <c r="M235" s="18">
        <f t="shared" si="878"/>
        <v>-2.3668154212051354E-3</v>
      </c>
      <c r="N235" s="18">
        <f t="shared" si="878"/>
        <v>-2.5079558702712818E-3</v>
      </c>
      <c r="O235" s="18">
        <f t="shared" si="878"/>
        <v>-2.9712642802491719E-3</v>
      </c>
      <c r="P235" s="18">
        <f t="shared" si="878"/>
        <v>-4.3658164213316074E-3</v>
      </c>
      <c r="Q235" s="18">
        <f t="shared" si="878"/>
        <v>-4.7178060072371811E-3</v>
      </c>
      <c r="R235" s="18">
        <f t="shared" si="878"/>
        <v>-5.4818512660223322E-4</v>
      </c>
      <c r="S235" s="18">
        <f t="shared" si="878"/>
        <v>-5.4400353412937617E-3</v>
      </c>
      <c r="T235" s="18">
        <f t="shared" si="878"/>
        <v>5.028403818041728E-3</v>
      </c>
      <c r="U235" s="18">
        <f t="shared" si="878"/>
        <v>3.1279076069501439E-3</v>
      </c>
      <c r="V235" s="18">
        <f t="shared" si="878"/>
        <v>-1.1396583462030098E-3</v>
      </c>
      <c r="W235" s="18">
        <f t="shared" si="878"/>
        <v>-4.8023182037204484E-3</v>
      </c>
      <c r="X235" s="18">
        <f t="shared" si="878"/>
        <v>4.1651854519129273E-3</v>
      </c>
      <c r="Y235" s="18">
        <f t="shared" si="878"/>
        <v>1.0210961258812525E-3</v>
      </c>
      <c r="Z235" s="18">
        <f t="shared" si="878"/>
        <v>-3.9005164618323854E-3</v>
      </c>
      <c r="AA235" s="18">
        <f t="shared" si="878"/>
        <v>-4.0348358656729219E-3</v>
      </c>
      <c r="AB235" s="18">
        <f t="shared" si="878"/>
        <v>-5.1557990674712499E-3</v>
      </c>
      <c r="AC235" s="18">
        <f t="shared" si="878"/>
        <v>-4.5967705718964027E-3</v>
      </c>
      <c r="AD235" s="18">
        <f t="shared" si="878"/>
        <v>-7.0329638367197143E-4</v>
      </c>
      <c r="AE235" s="18">
        <f t="shared" si="878"/>
        <v>1.0210961258812525E-3</v>
      </c>
      <c r="AF235" s="18">
        <f t="shared" si="878"/>
        <v>3.7462530159324309E-3</v>
      </c>
      <c r="AG235" s="18">
        <f t="shared" si="878"/>
        <v>2.0535080717260694E-3</v>
      </c>
      <c r="AH235" s="18">
        <f t="shared" si="878"/>
        <v>4.5334871668882174E-4</v>
      </c>
      <c r="AI235" s="18">
        <f t="shared" si="878"/>
        <v>-8.6402472303556918E-5</v>
      </c>
      <c r="AJ235" s="18">
        <f t="shared" si="878"/>
        <v>3.8248782724787803E-3</v>
      </c>
      <c r="AK235" s="18">
        <f t="shared" ref="AK235:BG235" si="879" xml:space="preserve"> -0.00515 * AK209 * SIN( ( AK217 + AK213 ) * Deg2Rad  )</f>
        <v>5.1170924604725405E-3</v>
      </c>
      <c r="AL235" s="18">
        <f t="shared" si="879"/>
        <v>2.9924407718845991E-3</v>
      </c>
      <c r="AM235" s="18">
        <f t="shared" si="879"/>
        <v>1.6003887709792873E-3</v>
      </c>
      <c r="AN235" s="18">
        <f t="shared" si="879"/>
        <v>3.0521572912306934E-3</v>
      </c>
      <c r="AO235" s="18">
        <f t="shared" si="879"/>
        <v>-5.2560172570582531E-3</v>
      </c>
      <c r="AP235" s="18">
        <f t="shared" si="879"/>
        <v>-4.2563148740169631E-4</v>
      </c>
      <c r="AQ235" s="18">
        <f t="shared" si="879"/>
        <v>-4.2563148740169631E-4</v>
      </c>
      <c r="AR235" s="18">
        <f t="shared" si="879"/>
        <v>-4.442376836776619E-3</v>
      </c>
      <c r="AS235" s="18">
        <f t="shared" si="879"/>
        <v>-4.442376836776619E-3</v>
      </c>
      <c r="AT235" s="18">
        <f t="shared" si="879"/>
        <v>-4.442376836776619E-3</v>
      </c>
      <c r="AU235" s="18">
        <f t="shared" si="879"/>
        <v>1.5800449288933258E-3</v>
      </c>
      <c r="AV235" s="18">
        <f t="shared" si="879"/>
        <v>5.0527765252038571E-3</v>
      </c>
      <c r="AW235" s="18">
        <f t="shared" si="879"/>
        <v>-5.3377076761862788E-4</v>
      </c>
      <c r="AX235" s="18">
        <f t="shared" si="879"/>
        <v>2.7784493617848817E-3</v>
      </c>
      <c r="AY235" s="18">
        <f t="shared" si="879"/>
        <v>-4.6803108144943626E-3</v>
      </c>
      <c r="AZ235" s="18">
        <f t="shared" si="879"/>
        <v>-4.6803108144943626E-3</v>
      </c>
      <c r="BA235" s="18">
        <f t="shared" si="879"/>
        <v>-9.3705632774441984E-4</v>
      </c>
      <c r="BB235" s="18">
        <f t="shared" si="879"/>
        <v>-9.3705632774441984E-4</v>
      </c>
      <c r="BC235" s="18">
        <f t="shared" si="879"/>
        <v>-9.3705632774441984E-4</v>
      </c>
      <c r="BD235" s="18">
        <f t="shared" si="879"/>
        <v>-9.3705632774441984E-4</v>
      </c>
      <c r="BE235" s="18">
        <f t="shared" si="879"/>
        <v>-9.3705632774441984E-4</v>
      </c>
      <c r="BF235" s="18">
        <f t="shared" si="879"/>
        <v>-9.3705632774441984E-4</v>
      </c>
      <c r="BG235" s="18">
        <f t="shared" si="879"/>
        <v>1.0210961258812525E-3</v>
      </c>
    </row>
    <row r="236" spans="1:59" x14ac:dyDescent="0.25">
      <c r="C236" t="s">
        <v>63</v>
      </c>
      <c r="E236" s="18">
        <f t="shared" ref="E236:AJ236" si="880" xml:space="preserve"> 0.00209 * E209^2 * SIN( ( 2 * E213 ) * Deg2Rad  )</f>
        <v>-1.9449177777489165E-3</v>
      </c>
      <c r="F236" s="18">
        <f t="shared" si="880"/>
        <v>-8.5191788117053118E-4</v>
      </c>
      <c r="G236" s="18">
        <f t="shared" si="880"/>
        <v>1.1751186072327339E-3</v>
      </c>
      <c r="H236" s="18">
        <f t="shared" si="880"/>
        <v>1.726288924935932E-3</v>
      </c>
      <c r="I236" s="18">
        <f t="shared" si="880"/>
        <v>2.0626622644558559E-3</v>
      </c>
      <c r="J236" s="18">
        <f t="shared" si="880"/>
        <v>4.1878554758394474E-4</v>
      </c>
      <c r="K236" s="18">
        <f t="shared" si="880"/>
        <v>1.7930538383912479E-3</v>
      </c>
      <c r="L236" s="18">
        <f t="shared" si="880"/>
        <v>-3.602541294625041E-4</v>
      </c>
      <c r="M236" s="18">
        <f t="shared" si="880"/>
        <v>9.7184128987191129E-4</v>
      </c>
      <c r="N236" s="18">
        <f t="shared" si="880"/>
        <v>1.9446291860753377E-3</v>
      </c>
      <c r="O236" s="18">
        <f t="shared" si="880"/>
        <v>2.0807125696432685E-3</v>
      </c>
      <c r="P236" s="18">
        <f t="shared" si="880"/>
        <v>-2.2042255052718137E-3</v>
      </c>
      <c r="Q236" s="18">
        <f t="shared" si="880"/>
        <v>1.6565809375977652E-3</v>
      </c>
      <c r="R236" s="18">
        <f t="shared" si="880"/>
        <v>2.2343477668722322E-3</v>
      </c>
      <c r="S236" s="18">
        <f t="shared" si="880"/>
        <v>2.1645412740404889E-3</v>
      </c>
      <c r="T236" s="18">
        <f t="shared" si="880"/>
        <v>-2.0608201700159827E-3</v>
      </c>
      <c r="U236" s="18">
        <f t="shared" si="880"/>
        <v>-6.035053005170603E-4</v>
      </c>
      <c r="V236" s="18">
        <f t="shared" si="880"/>
        <v>-7.189075418578229E-4</v>
      </c>
      <c r="W236" s="18">
        <f t="shared" si="880"/>
        <v>-2.0212944202493647E-3</v>
      </c>
      <c r="X236" s="18">
        <f t="shared" si="880"/>
        <v>-2.080079273162538E-3</v>
      </c>
      <c r="Y236" s="18">
        <f t="shared" si="880"/>
        <v>1.8013843915505165E-3</v>
      </c>
      <c r="Z236" s="18">
        <f t="shared" si="880"/>
        <v>7.4189739454799241E-4</v>
      </c>
      <c r="AA236" s="18">
        <f t="shared" si="880"/>
        <v>1.1751186072327339E-3</v>
      </c>
      <c r="AB236" s="18">
        <f t="shared" si="880"/>
        <v>7.7047716273176913E-4</v>
      </c>
      <c r="AC236" s="18">
        <f t="shared" si="880"/>
        <v>-1.3105351907764535E-3</v>
      </c>
      <c r="AD236" s="18">
        <f t="shared" si="880"/>
        <v>-1.684487596903242E-3</v>
      </c>
      <c r="AE236" s="18">
        <f t="shared" si="880"/>
        <v>1.8013843915505165E-3</v>
      </c>
      <c r="AF236" s="18">
        <f t="shared" si="880"/>
        <v>3.5874256784672917E-4</v>
      </c>
      <c r="AG236" s="18">
        <f t="shared" si="880"/>
        <v>-2.0042257603221109E-3</v>
      </c>
      <c r="AH236" s="18">
        <f t="shared" si="880"/>
        <v>3.9020820716018025E-4</v>
      </c>
      <c r="AI236" s="18">
        <f t="shared" si="880"/>
        <v>-9.1601599637365085E-4</v>
      </c>
      <c r="AJ236" s="18">
        <f t="shared" si="880"/>
        <v>-1.7933191984787218E-3</v>
      </c>
      <c r="AK236" s="18">
        <f t="shared" ref="AK236:BG236" si="881" xml:space="preserve"> 0.00209 * AK209^2 * SIN( ( 2 * AK213 ) * Deg2Rad  )</f>
        <v>1.4084083889814463E-3</v>
      </c>
      <c r="AL236" s="18">
        <f t="shared" si="881"/>
        <v>7.2566587688829646E-7</v>
      </c>
      <c r="AM236" s="18">
        <f t="shared" si="881"/>
        <v>2.2079991000707663E-3</v>
      </c>
      <c r="AN236" s="18">
        <f t="shared" si="881"/>
        <v>-1.0082664873650535E-3</v>
      </c>
      <c r="AO236" s="18">
        <f t="shared" si="881"/>
        <v>2.1175051905546372E-3</v>
      </c>
      <c r="AP236" s="18">
        <f t="shared" si="881"/>
        <v>-4.1343850192825766E-4</v>
      </c>
      <c r="AQ236" s="18">
        <f t="shared" si="881"/>
        <v>-4.1343850192825766E-4</v>
      </c>
      <c r="AR236" s="18">
        <f t="shared" si="881"/>
        <v>-1.9570901028405363E-3</v>
      </c>
      <c r="AS236" s="18">
        <f t="shared" si="881"/>
        <v>-1.9570901028405363E-3</v>
      </c>
      <c r="AT236" s="18">
        <f t="shared" si="881"/>
        <v>-1.9570901028405363E-3</v>
      </c>
      <c r="AU236" s="18">
        <f t="shared" si="881"/>
        <v>-1.2627544786616032E-3</v>
      </c>
      <c r="AV236" s="18">
        <f t="shared" si="881"/>
        <v>1.1657779785733326E-3</v>
      </c>
      <c r="AW236" s="18">
        <f t="shared" si="881"/>
        <v>1.1358234977343951E-3</v>
      </c>
      <c r="AX236" s="18">
        <f t="shared" si="881"/>
        <v>-2.0556894011404549E-3</v>
      </c>
      <c r="AY236" s="18">
        <f t="shared" si="881"/>
        <v>-1.6485343440060371E-3</v>
      </c>
      <c r="AZ236" s="18">
        <f t="shared" si="881"/>
        <v>-1.6485343440060371E-3</v>
      </c>
      <c r="BA236" s="18">
        <f t="shared" si="881"/>
        <v>2.2019576312857884E-4</v>
      </c>
      <c r="BB236" s="18">
        <f t="shared" si="881"/>
        <v>2.2019576312857884E-4</v>
      </c>
      <c r="BC236" s="18">
        <f t="shared" si="881"/>
        <v>2.2019576312857884E-4</v>
      </c>
      <c r="BD236" s="18">
        <f t="shared" si="881"/>
        <v>2.2019576312857884E-4</v>
      </c>
      <c r="BE236" s="18">
        <f t="shared" si="881"/>
        <v>2.2019576312857884E-4</v>
      </c>
      <c r="BF236" s="18">
        <f t="shared" si="881"/>
        <v>2.2019576312857884E-4</v>
      </c>
      <c r="BG236" s="18">
        <f t="shared" si="881"/>
        <v>1.8013843915505165E-3</v>
      </c>
    </row>
    <row r="237" spans="1:59" x14ac:dyDescent="0.25">
      <c r="C237" t="s">
        <v>38</v>
      </c>
      <c r="E237" s="18">
        <f t="shared" ref="E237:AJ237" si="882" xml:space="preserve"> -0.00111 * SIN( ( E217 - 2 * E222 ) * Deg2Rad  )</f>
        <v>7.9776567353841556E-4</v>
      </c>
      <c r="F237" s="18">
        <f t="shared" si="882"/>
        <v>-1.8481065211219133E-4</v>
      </c>
      <c r="G237" s="18">
        <f t="shared" si="882"/>
        <v>-7.4819899421431748E-4</v>
      </c>
      <c r="H237" s="18">
        <f t="shared" si="882"/>
        <v>-1.0515926364849755E-3</v>
      </c>
      <c r="I237" s="18">
        <f t="shared" si="882"/>
        <v>6.169702782649123E-4</v>
      </c>
      <c r="J237" s="18">
        <f t="shared" si="882"/>
        <v>-5.7812563842186146E-4</v>
      </c>
      <c r="K237" s="18">
        <f t="shared" si="882"/>
        <v>1.092945267271565E-3</v>
      </c>
      <c r="L237" s="18">
        <f t="shared" si="882"/>
        <v>-1.1000507516184227E-3</v>
      </c>
      <c r="M237" s="18">
        <f t="shared" si="882"/>
        <v>-1.011415985875569E-3</v>
      </c>
      <c r="N237" s="18">
        <f t="shared" si="882"/>
        <v>-1.0925275269711814E-3</v>
      </c>
      <c r="O237" s="18">
        <f t="shared" si="882"/>
        <v>3.1663491228730935E-5</v>
      </c>
      <c r="P237" s="18">
        <f t="shared" si="882"/>
        <v>-1.0765536805071234E-3</v>
      </c>
      <c r="Q237" s="18">
        <f t="shared" si="882"/>
        <v>4.2073755494774251E-4</v>
      </c>
      <c r="R237" s="18">
        <f t="shared" si="882"/>
        <v>-2.5441474360236426E-4</v>
      </c>
      <c r="S237" s="18">
        <f t="shared" si="882"/>
        <v>-3.7305173628276371E-5</v>
      </c>
      <c r="T237" s="18">
        <f t="shared" si="882"/>
        <v>-1.0526387140632979E-3</v>
      </c>
      <c r="U237" s="18">
        <f t="shared" si="882"/>
        <v>-5.996296875703486E-4</v>
      </c>
      <c r="V237" s="18">
        <f t="shared" si="882"/>
        <v>-1.0943952047350641E-3</v>
      </c>
      <c r="W237" s="18">
        <f t="shared" si="882"/>
        <v>7.0843500309848023E-4</v>
      </c>
      <c r="X237" s="18">
        <f t="shared" si="882"/>
        <v>-5.485338065498057E-5</v>
      </c>
      <c r="Y237" s="18">
        <f t="shared" si="882"/>
        <v>-3.0024185622729433E-4</v>
      </c>
      <c r="Z237" s="18">
        <f t="shared" si="882"/>
        <v>-4.2855089586136082E-4</v>
      </c>
      <c r="AA237" s="18">
        <f t="shared" si="882"/>
        <v>-7.4819899421431748E-4</v>
      </c>
      <c r="AB237" s="18">
        <f t="shared" si="882"/>
        <v>9.8400163762768023E-4</v>
      </c>
      <c r="AC237" s="18">
        <f t="shared" si="882"/>
        <v>7.9626144287167589E-4</v>
      </c>
      <c r="AD237" s="18">
        <f t="shared" si="882"/>
        <v>-4.9751377725168727E-4</v>
      </c>
      <c r="AE237" s="18">
        <f t="shared" si="882"/>
        <v>-3.0024185622729433E-4</v>
      </c>
      <c r="AF237" s="18">
        <f t="shared" si="882"/>
        <v>1.0613557684400333E-3</v>
      </c>
      <c r="AG237" s="18">
        <f t="shared" si="882"/>
        <v>6.5208106261783073E-4</v>
      </c>
      <c r="AH237" s="18">
        <f t="shared" si="882"/>
        <v>7.9164762496315103E-4</v>
      </c>
      <c r="AI237" s="18">
        <f t="shared" si="882"/>
        <v>5.9952828278430292E-4</v>
      </c>
      <c r="AJ237" s="18">
        <f t="shared" si="882"/>
        <v>-1.0739346385158968E-3</v>
      </c>
      <c r="AK237" s="18">
        <f t="shared" ref="AK237:BG237" si="883" xml:space="preserve"> -0.00111 * SIN( ( AK217 - 2 * AK222 ) * Deg2Rad  )</f>
        <v>-1.1085876090863387E-3</v>
      </c>
      <c r="AL237" s="18">
        <f t="shared" si="883"/>
        <v>-2.3743124560748633E-4</v>
      </c>
      <c r="AM237" s="18">
        <f t="shared" si="883"/>
        <v>-1.0521854445893796E-3</v>
      </c>
      <c r="AN237" s="18">
        <f t="shared" si="883"/>
        <v>9.9928254537536292E-4</v>
      </c>
      <c r="AO237" s="18">
        <f t="shared" si="883"/>
        <v>9.0997002200378103E-4</v>
      </c>
      <c r="AP237" s="18">
        <f t="shared" si="883"/>
        <v>-7.1174737729657082E-4</v>
      </c>
      <c r="AQ237" s="18">
        <f t="shared" si="883"/>
        <v>-7.1174737729657082E-4</v>
      </c>
      <c r="AR237" s="18">
        <f t="shared" si="883"/>
        <v>-1.0741887112153934E-3</v>
      </c>
      <c r="AS237" s="18">
        <f t="shared" si="883"/>
        <v>-1.0741887112153934E-3</v>
      </c>
      <c r="AT237" s="18">
        <f t="shared" si="883"/>
        <v>-1.0741887112153934E-3</v>
      </c>
      <c r="AU237" s="18">
        <f t="shared" si="883"/>
        <v>5.5165475358227942E-4</v>
      </c>
      <c r="AV237" s="18">
        <f t="shared" si="883"/>
        <v>1.4337204806724813E-4</v>
      </c>
      <c r="AW237" s="18">
        <f t="shared" si="883"/>
        <v>-3.1081177046752911E-4</v>
      </c>
      <c r="AX237" s="18">
        <f t="shared" si="883"/>
        <v>-1.0899462386388097E-3</v>
      </c>
      <c r="AY237" s="18">
        <f t="shared" si="883"/>
        <v>-1.0367558663093746E-3</v>
      </c>
      <c r="AZ237" s="18">
        <f t="shared" si="883"/>
        <v>-1.0367558663093746E-3</v>
      </c>
      <c r="BA237" s="18">
        <f t="shared" si="883"/>
        <v>-6.1338347860653299E-4</v>
      </c>
      <c r="BB237" s="18">
        <f t="shared" si="883"/>
        <v>-6.1338347860653299E-4</v>
      </c>
      <c r="BC237" s="18">
        <f t="shared" si="883"/>
        <v>-6.1338347860653299E-4</v>
      </c>
      <c r="BD237" s="18">
        <f t="shared" si="883"/>
        <v>-6.1338347860653299E-4</v>
      </c>
      <c r="BE237" s="18">
        <f t="shared" si="883"/>
        <v>-6.1338347860653299E-4</v>
      </c>
      <c r="BF237" s="18">
        <f t="shared" si="883"/>
        <v>-6.1338347860653299E-4</v>
      </c>
      <c r="BG237" s="18">
        <f t="shared" si="883"/>
        <v>-3.0024185622729433E-4</v>
      </c>
    </row>
    <row r="238" spans="1:59" x14ac:dyDescent="0.25">
      <c r="C238" t="s">
        <v>39</v>
      </c>
      <c r="E238" s="18">
        <f t="shared" ref="E238:AJ238" si="884" xml:space="preserve"> -0.00057 * SIN( ( E217 + 2 * E222 ) * Deg2Rad  )</f>
        <v>5.3603540265097411E-4</v>
      </c>
      <c r="F238" s="18">
        <f t="shared" si="884"/>
        <v>4.9108735209476434E-4</v>
      </c>
      <c r="G238" s="18">
        <f t="shared" si="884"/>
        <v>-2.5491014158423773E-4</v>
      </c>
      <c r="H238" s="18">
        <f t="shared" si="884"/>
        <v>-4.9693131171396295E-4</v>
      </c>
      <c r="I238" s="18">
        <f t="shared" si="884"/>
        <v>-4.8707025585693295E-4</v>
      </c>
      <c r="J238" s="18">
        <f t="shared" si="884"/>
        <v>1.6745216542991869E-4</v>
      </c>
      <c r="K238" s="18">
        <f t="shared" si="884"/>
        <v>-5.6931449111378768E-4</v>
      </c>
      <c r="L238" s="18">
        <f t="shared" si="884"/>
        <v>-1.6684771714915798E-4</v>
      </c>
      <c r="M238" s="18">
        <f t="shared" si="884"/>
        <v>3.0373464044897397E-4</v>
      </c>
      <c r="N238" s="18">
        <f t="shared" si="884"/>
        <v>-3.9343643750169589E-4</v>
      </c>
      <c r="O238" s="18">
        <f t="shared" si="884"/>
        <v>9.3130585178298638E-5</v>
      </c>
      <c r="P238" s="18">
        <f t="shared" si="884"/>
        <v>-4.4158329763179535E-4</v>
      </c>
      <c r="Q238" s="18">
        <f t="shared" si="884"/>
        <v>-9.6181565716480083E-5</v>
      </c>
      <c r="R238" s="18">
        <f t="shared" si="884"/>
        <v>5.563660349265163E-4</v>
      </c>
      <c r="S238" s="18">
        <f t="shared" si="884"/>
        <v>-5.624289031000713E-4</v>
      </c>
      <c r="T238" s="18">
        <f t="shared" si="884"/>
        <v>-8.1743841861984099E-6</v>
      </c>
      <c r="U238" s="18">
        <f t="shared" si="884"/>
        <v>2.1276479868144609E-4</v>
      </c>
      <c r="V238" s="18">
        <f t="shared" si="884"/>
        <v>-5.4618031880342491E-4</v>
      </c>
      <c r="W238" s="18">
        <f t="shared" si="884"/>
        <v>-2.2059276495969512E-4</v>
      </c>
      <c r="X238" s="18">
        <f t="shared" si="884"/>
        <v>-2.5487145878617544E-4</v>
      </c>
      <c r="Y238" s="18">
        <f t="shared" si="884"/>
        <v>2.0304296331819817E-4</v>
      </c>
      <c r="Z238" s="18">
        <f t="shared" si="884"/>
        <v>5.604802750730966E-4</v>
      </c>
      <c r="AA238" s="18">
        <f t="shared" si="884"/>
        <v>-2.5491014158423773E-4</v>
      </c>
      <c r="AB238" s="18">
        <f t="shared" si="884"/>
        <v>5.6617007842966116E-4</v>
      </c>
      <c r="AC238" s="18">
        <f t="shared" si="884"/>
        <v>3.7886466687301869E-4</v>
      </c>
      <c r="AD238" s="18">
        <f t="shared" si="884"/>
        <v>1.1204502346542356E-4</v>
      </c>
      <c r="AE238" s="18">
        <f t="shared" si="884"/>
        <v>2.0304296331819817E-4</v>
      </c>
      <c r="AF238" s="18">
        <f t="shared" si="884"/>
        <v>-3.8014790883943587E-5</v>
      </c>
      <c r="AG238" s="18">
        <f t="shared" si="884"/>
        <v>9.4157235269559206E-5</v>
      </c>
      <c r="AH238" s="18">
        <f t="shared" si="884"/>
        <v>5.2212487693651538E-4</v>
      </c>
      <c r="AI238" s="18">
        <f t="shared" si="884"/>
        <v>4.9657925609726246E-4</v>
      </c>
      <c r="AJ238" s="18">
        <f t="shared" si="884"/>
        <v>-5.6066040555180735E-4</v>
      </c>
      <c r="AK238" s="18">
        <f t="shared" ref="AK238:BG238" si="885" xml:space="preserve"> -0.00057 * SIN( ( AK217 + 2 * AK222 ) * Deg2Rad  )</f>
        <v>-3.1927309744942349E-4</v>
      </c>
      <c r="AL238" s="18">
        <f t="shared" si="885"/>
        <v>-5.6622444816016408E-4</v>
      </c>
      <c r="AM238" s="18">
        <f t="shared" si="885"/>
        <v>-5.0266013275847006E-4</v>
      </c>
      <c r="AN238" s="18">
        <f t="shared" si="885"/>
        <v>5.4198313869065077E-4</v>
      </c>
      <c r="AO238" s="18">
        <f t="shared" si="885"/>
        <v>-5.6625127957153491E-4</v>
      </c>
      <c r="AP238" s="18">
        <f t="shared" si="885"/>
        <v>-3.5050881714453679E-4</v>
      </c>
      <c r="AQ238" s="18">
        <f t="shared" si="885"/>
        <v>-3.5050881714453679E-4</v>
      </c>
      <c r="AR238" s="18">
        <f t="shared" si="885"/>
        <v>-4.6631894159515711E-4</v>
      </c>
      <c r="AS238" s="18">
        <f t="shared" si="885"/>
        <v>-4.6631894159515711E-4</v>
      </c>
      <c r="AT238" s="18">
        <f t="shared" si="885"/>
        <v>-4.6631894159515711E-4</v>
      </c>
      <c r="AU238" s="18">
        <f t="shared" si="885"/>
        <v>-2.7108106843109873E-4</v>
      </c>
      <c r="AV238" s="18">
        <f t="shared" si="885"/>
        <v>-1.8542885748725271E-4</v>
      </c>
      <c r="AW238" s="18">
        <f t="shared" si="885"/>
        <v>-2.7125003830984033E-4</v>
      </c>
      <c r="AX238" s="18">
        <f t="shared" si="885"/>
        <v>-5.6930651657764177E-4</v>
      </c>
      <c r="AY238" s="18">
        <f t="shared" si="885"/>
        <v>3.0426592588191298E-4</v>
      </c>
      <c r="AZ238" s="18">
        <f t="shared" si="885"/>
        <v>3.0426592588191298E-4</v>
      </c>
      <c r="BA238" s="18">
        <f t="shared" si="885"/>
        <v>4.9649171568708441E-4</v>
      </c>
      <c r="BB238" s="18">
        <f t="shared" si="885"/>
        <v>4.9649171568708441E-4</v>
      </c>
      <c r="BC238" s="18">
        <f t="shared" si="885"/>
        <v>4.9649171568708441E-4</v>
      </c>
      <c r="BD238" s="18">
        <f t="shared" si="885"/>
        <v>4.9649171568708441E-4</v>
      </c>
      <c r="BE238" s="18">
        <f t="shared" si="885"/>
        <v>4.9649171568708441E-4</v>
      </c>
      <c r="BF238" s="18">
        <f t="shared" si="885"/>
        <v>4.9649171568708441E-4</v>
      </c>
      <c r="BG238" s="18">
        <f t="shared" si="885"/>
        <v>2.0304296331819817E-4</v>
      </c>
    </row>
    <row r="239" spans="1:59" x14ac:dyDescent="0.25">
      <c r="C239" t="s">
        <v>40</v>
      </c>
      <c r="E239" s="18">
        <f t="shared" ref="E239:AJ239" si="886" xml:space="preserve"> 0.00056 * E209 * SIN( ( 2 * E217 + E213 ) * Deg2Rad  )</f>
        <v>4.8636044157331413E-4</v>
      </c>
      <c r="F239" s="18">
        <f t="shared" si="886"/>
        <v>-3.0855916445707288E-4</v>
      </c>
      <c r="G239" s="18">
        <f t="shared" si="886"/>
        <v>5.5867026285345172E-4</v>
      </c>
      <c r="H239" s="18">
        <f t="shared" si="886"/>
        <v>-1.6542192803394937E-4</v>
      </c>
      <c r="I239" s="18">
        <f t="shared" si="886"/>
        <v>4.4277643541216512E-4</v>
      </c>
      <c r="J239" s="18">
        <f t="shared" si="886"/>
        <v>8.3072680408575002E-5</v>
      </c>
      <c r="K239" s="18">
        <f t="shared" si="886"/>
        <v>1.6046707848043525E-4</v>
      </c>
      <c r="L239" s="18">
        <f t="shared" si="886"/>
        <v>4.8677985910233241E-4</v>
      </c>
      <c r="M239" s="18">
        <f t="shared" si="886"/>
        <v>-5.2180379834828932E-4</v>
      </c>
      <c r="N239" s="18">
        <f t="shared" si="886"/>
        <v>-5.6554121814840974E-4</v>
      </c>
      <c r="O239" s="18">
        <f t="shared" si="886"/>
        <v>-4.8500322110664842E-4</v>
      </c>
      <c r="P239" s="18">
        <f t="shared" si="886"/>
        <v>-2.1484956416160356E-4</v>
      </c>
      <c r="Q239" s="18">
        <f t="shared" si="886"/>
        <v>4.784866640091057E-4</v>
      </c>
      <c r="R239" s="18">
        <f t="shared" si="886"/>
        <v>-2.6034182987568237E-4</v>
      </c>
      <c r="S239" s="18">
        <f t="shared" si="886"/>
        <v>-3.8427602054894586E-4</v>
      </c>
      <c r="T239" s="18">
        <f t="shared" si="886"/>
        <v>5.8511036644932142E-4</v>
      </c>
      <c r="U239" s="18">
        <f t="shared" si="886"/>
        <v>2.8158992247037944E-4</v>
      </c>
      <c r="V239" s="18">
        <f t="shared" si="886"/>
        <v>-6.1497375951486571E-4</v>
      </c>
      <c r="W239" s="18">
        <f t="shared" si="886"/>
        <v>9.7209204682203285E-5</v>
      </c>
      <c r="X239" s="18">
        <f t="shared" si="886"/>
        <v>-2.2937674609747861E-4</v>
      </c>
      <c r="Y239" s="18">
        <f t="shared" si="886"/>
        <v>-5.563202505419546E-4</v>
      </c>
      <c r="Z239" s="18">
        <f t="shared" si="886"/>
        <v>5.5910150105946096E-4</v>
      </c>
      <c r="AA239" s="18">
        <f t="shared" si="886"/>
        <v>5.5867026285345172E-4</v>
      </c>
      <c r="AB239" s="18">
        <f t="shared" si="886"/>
        <v>-9.8595845211223371E-5</v>
      </c>
      <c r="AC239" s="18">
        <f t="shared" si="886"/>
        <v>-5.361398660944565E-4</v>
      </c>
      <c r="AD239" s="18">
        <f t="shared" si="886"/>
        <v>-5.4961740971838245E-4</v>
      </c>
      <c r="AE239" s="18">
        <f t="shared" si="886"/>
        <v>-5.563202505419546E-4</v>
      </c>
      <c r="AF239" s="18">
        <f t="shared" si="886"/>
        <v>-5.5428675921410009E-4</v>
      </c>
      <c r="AG239" s="18">
        <f t="shared" si="886"/>
        <v>5.511437058678553E-4</v>
      </c>
      <c r="AH239" s="18">
        <f t="shared" si="886"/>
        <v>-5.3981475858381881E-4</v>
      </c>
      <c r="AI239" s="18">
        <f t="shared" si="886"/>
        <v>-5.4124031529826852E-4</v>
      </c>
      <c r="AJ239" s="18">
        <f t="shared" si="886"/>
        <v>-4.5634854049945973E-4</v>
      </c>
      <c r="AK239" s="18">
        <f t="shared" ref="AK239:BG239" si="887" xml:space="preserve"> 0.00056 * AK209 * SIN( ( 2 * AK217 + AK213 ) * Deg2Rad  )</f>
        <v>3.4539460998443097E-4</v>
      </c>
      <c r="AL239" s="18">
        <f t="shared" si="887"/>
        <v>1.8198470442927196E-4</v>
      </c>
      <c r="AM239" s="18">
        <f t="shared" si="887"/>
        <v>5.7560741176143604E-4</v>
      </c>
      <c r="AN239" s="18">
        <f t="shared" si="887"/>
        <v>-2.9451731399726319E-4</v>
      </c>
      <c r="AO239" s="18">
        <f t="shared" si="887"/>
        <v>5.8111201601804708E-4</v>
      </c>
      <c r="AP239" s="18">
        <f t="shared" si="887"/>
        <v>5.5846439467033748E-4</v>
      </c>
      <c r="AQ239" s="18">
        <f t="shared" si="887"/>
        <v>5.5846439467033748E-4</v>
      </c>
      <c r="AR239" s="18">
        <f t="shared" si="887"/>
        <v>5.3498620797505648E-5</v>
      </c>
      <c r="AS239" s="18">
        <f t="shared" si="887"/>
        <v>5.3498620797505648E-5</v>
      </c>
      <c r="AT239" s="18">
        <f t="shared" si="887"/>
        <v>5.3498620797505648E-5</v>
      </c>
      <c r="AU239" s="18">
        <f t="shared" si="887"/>
        <v>1.6526451751896907E-4</v>
      </c>
      <c r="AV239" s="18">
        <f t="shared" si="887"/>
        <v>-5.5755991269768187E-4</v>
      </c>
      <c r="AW239" s="18">
        <f t="shared" si="887"/>
        <v>-2.6573311371535363E-4</v>
      </c>
      <c r="AX239" s="18">
        <f t="shared" si="887"/>
        <v>-5.0495905846348885E-4</v>
      </c>
      <c r="AY239" s="18">
        <f t="shared" si="887"/>
        <v>-5.4124330122770929E-4</v>
      </c>
      <c r="AZ239" s="18">
        <f t="shared" si="887"/>
        <v>-5.4124330122770929E-4</v>
      </c>
      <c r="BA239" s="18">
        <f t="shared" si="887"/>
        <v>-2.2770045185210622E-4</v>
      </c>
      <c r="BB239" s="18">
        <f t="shared" si="887"/>
        <v>-2.2770045185210622E-4</v>
      </c>
      <c r="BC239" s="18">
        <f t="shared" si="887"/>
        <v>-2.2770045185210622E-4</v>
      </c>
      <c r="BD239" s="18">
        <f t="shared" si="887"/>
        <v>-2.2770045185210622E-4</v>
      </c>
      <c r="BE239" s="18">
        <f t="shared" si="887"/>
        <v>-2.2770045185210622E-4</v>
      </c>
      <c r="BF239" s="18">
        <f t="shared" si="887"/>
        <v>-2.2770045185210622E-4</v>
      </c>
      <c r="BG239" s="18">
        <f t="shared" si="887"/>
        <v>-5.563202505419546E-4</v>
      </c>
    </row>
    <row r="240" spans="1:59" x14ac:dyDescent="0.25">
      <c r="C240" t="s">
        <v>41</v>
      </c>
      <c r="E240" s="18">
        <f t="shared" ref="E240:AJ240" si="888" xml:space="preserve"> -0.00042 * SIN( ( 3 * E217 ) * Deg2Rad  )</f>
        <v>4.3148151979084409E-5</v>
      </c>
      <c r="F240" s="18">
        <f t="shared" si="888"/>
        <v>9.8859256292844203E-5</v>
      </c>
      <c r="G240" s="18">
        <f t="shared" si="888"/>
        <v>-4.0853475497704768E-4</v>
      </c>
      <c r="H240" s="18">
        <f t="shared" si="888"/>
        <v>4.0374735623511187E-4</v>
      </c>
      <c r="I240" s="18">
        <f t="shared" si="888"/>
        <v>3.155797706611553E-4</v>
      </c>
      <c r="J240" s="18">
        <f t="shared" si="888"/>
        <v>1.5363104965817793E-4</v>
      </c>
      <c r="K240" s="18">
        <f t="shared" si="888"/>
        <v>-1.3881952119911733E-4</v>
      </c>
      <c r="L240" s="18">
        <f t="shared" si="888"/>
        <v>5.8115109691092196E-5</v>
      </c>
      <c r="M240" s="18">
        <f t="shared" si="888"/>
        <v>-3.5145585370750603E-4</v>
      </c>
      <c r="N240" s="18">
        <f t="shared" si="888"/>
        <v>3.8097819083784703E-5</v>
      </c>
      <c r="O240" s="18">
        <f t="shared" si="888"/>
        <v>4.1134274039808082E-4</v>
      </c>
      <c r="P240" s="18">
        <f t="shared" si="888"/>
        <v>-3.3239966344428019E-4</v>
      </c>
      <c r="Q240" s="18">
        <f t="shared" si="888"/>
        <v>1.3562770031638697E-4</v>
      </c>
      <c r="R240" s="18">
        <f t="shared" si="888"/>
        <v>4.1747200978441021E-4</v>
      </c>
      <c r="S240" s="18">
        <f t="shared" si="888"/>
        <v>3.4874582257715539E-4</v>
      </c>
      <c r="T240" s="18">
        <f t="shared" si="888"/>
        <v>-3.9833678366137923E-4</v>
      </c>
      <c r="U240" s="18">
        <f t="shared" si="888"/>
        <v>-5.9012478732941429E-5</v>
      </c>
      <c r="V240" s="18">
        <f t="shared" si="888"/>
        <v>-4.1295970715399526E-4</v>
      </c>
      <c r="W240" s="18">
        <f t="shared" si="888"/>
        <v>2.6681493961803817E-5</v>
      </c>
      <c r="X240" s="18">
        <f t="shared" si="888"/>
        <v>3.4153672466561243E-4</v>
      </c>
      <c r="Y240" s="18">
        <f t="shared" si="888"/>
        <v>-2.418503272204863E-4</v>
      </c>
      <c r="Z240" s="18">
        <f t="shared" si="888"/>
        <v>-3.7533797505516633E-4</v>
      </c>
      <c r="AA240" s="18">
        <f t="shared" si="888"/>
        <v>-4.0853475497704768E-4</v>
      </c>
      <c r="AB240" s="18">
        <f t="shared" si="888"/>
        <v>-3.5857260871957272E-4</v>
      </c>
      <c r="AC240" s="18">
        <f t="shared" si="888"/>
        <v>-3.1581819583537438E-4</v>
      </c>
      <c r="AD240" s="18">
        <f t="shared" si="888"/>
        <v>-2.2906734938107971E-4</v>
      </c>
      <c r="AE240" s="18">
        <f t="shared" si="888"/>
        <v>-2.418503272204863E-4</v>
      </c>
      <c r="AF240" s="18">
        <f t="shared" si="888"/>
        <v>1.7881637617367586E-4</v>
      </c>
      <c r="AG240" s="18">
        <f t="shared" si="888"/>
        <v>-3.2313258719923049E-4</v>
      </c>
      <c r="AH240" s="18">
        <f t="shared" si="888"/>
        <v>3.5894613204100304E-4</v>
      </c>
      <c r="AI240" s="18">
        <f t="shared" si="888"/>
        <v>3.1281214233589344E-4</v>
      </c>
      <c r="AJ240" s="18">
        <f t="shared" si="888"/>
        <v>3.3299571503680406E-4</v>
      </c>
      <c r="AK240" s="18">
        <f t="shared" ref="AK240:BG240" si="889" xml:space="preserve"> -0.00042 * SIN( ( 3 * AK217 ) * Deg2Rad  )</f>
        <v>-1.2906654518739727E-5</v>
      </c>
      <c r="AL240" s="18">
        <f t="shared" si="889"/>
        <v>1.1981985967260085E-4</v>
      </c>
      <c r="AM240" s="18">
        <f t="shared" si="889"/>
        <v>1.4324050011605701E-4</v>
      </c>
      <c r="AN240" s="18">
        <f t="shared" si="889"/>
        <v>1.7236341868831728E-4</v>
      </c>
      <c r="AO240" s="18">
        <f t="shared" si="889"/>
        <v>-3.717495898074153E-4</v>
      </c>
      <c r="AP240" s="18">
        <f t="shared" si="889"/>
        <v>4.1946080008658767E-4</v>
      </c>
      <c r="AQ240" s="18">
        <f t="shared" si="889"/>
        <v>4.1946080008658767E-4</v>
      </c>
      <c r="AR240" s="18">
        <f t="shared" si="889"/>
        <v>1.1190642969533556E-4</v>
      </c>
      <c r="AS240" s="18">
        <f t="shared" si="889"/>
        <v>1.1190642969533556E-4</v>
      </c>
      <c r="AT240" s="18">
        <f t="shared" si="889"/>
        <v>1.1190642969533556E-4</v>
      </c>
      <c r="AU240" s="18">
        <f t="shared" si="889"/>
        <v>1.5430336429825567E-5</v>
      </c>
      <c r="AV240" s="18">
        <f t="shared" si="889"/>
        <v>-1.2521200787400552E-4</v>
      </c>
      <c r="AW240" s="18">
        <f t="shared" si="889"/>
        <v>-3.8665779913672619E-4</v>
      </c>
      <c r="AX240" s="18">
        <f t="shared" si="889"/>
        <v>3.9314161842081305E-4</v>
      </c>
      <c r="AY240" s="18">
        <f t="shared" si="889"/>
        <v>-3.708312839767222E-4</v>
      </c>
      <c r="AZ240" s="18">
        <f t="shared" si="889"/>
        <v>-3.708312839767222E-4</v>
      </c>
      <c r="BA240" s="18">
        <f t="shared" si="889"/>
        <v>-2.730530761848361E-4</v>
      </c>
      <c r="BB240" s="18">
        <f t="shared" si="889"/>
        <v>-2.730530761848361E-4</v>
      </c>
      <c r="BC240" s="18">
        <f t="shared" si="889"/>
        <v>-2.730530761848361E-4</v>
      </c>
      <c r="BD240" s="18">
        <f t="shared" si="889"/>
        <v>-2.730530761848361E-4</v>
      </c>
      <c r="BE240" s="18">
        <f t="shared" si="889"/>
        <v>-2.730530761848361E-4</v>
      </c>
      <c r="BF240" s="18">
        <f t="shared" si="889"/>
        <v>-2.730530761848361E-4</v>
      </c>
      <c r="BG240" s="18">
        <f t="shared" si="889"/>
        <v>-2.418503272204863E-4</v>
      </c>
    </row>
    <row r="241" spans="2:59" x14ac:dyDescent="0.25">
      <c r="C241" t="s">
        <v>42</v>
      </c>
      <c r="E241" s="18">
        <f t="shared" ref="E241:AJ241" si="890" xml:space="preserve"> 0.00042 * E209 * SIN( ( E213 + 2 * E222 ) * Deg2Rad  )</f>
        <v>-2.9102695911172759E-4</v>
      </c>
      <c r="F241" s="18">
        <f t="shared" si="890"/>
        <v>1.0478162282312181E-4</v>
      </c>
      <c r="G241" s="18">
        <f t="shared" si="890"/>
        <v>6.7136869440918961E-5</v>
      </c>
      <c r="H241" s="18">
        <f t="shared" si="890"/>
        <v>2.8141661991471623E-5</v>
      </c>
      <c r="I241" s="18">
        <f t="shared" si="890"/>
        <v>-3.7171238042481476E-4</v>
      </c>
      <c r="J241" s="18">
        <f t="shared" si="890"/>
        <v>2.1014193283921351E-4</v>
      </c>
      <c r="K241" s="18">
        <f t="shared" si="890"/>
        <v>-3.5180115004783446E-4</v>
      </c>
      <c r="L241" s="18">
        <f t="shared" si="890"/>
        <v>2.4317919613932253E-4</v>
      </c>
      <c r="M241" s="18">
        <f t="shared" si="890"/>
        <v>4.2049333914298391E-4</v>
      </c>
      <c r="N241" s="18">
        <f t="shared" si="890"/>
        <v>3.2961067632409795E-4</v>
      </c>
      <c r="O241" s="18">
        <f t="shared" si="890"/>
        <v>2.3228726362356148E-4</v>
      </c>
      <c r="P241" s="18">
        <f t="shared" si="890"/>
        <v>-1.5030646258622291E-4</v>
      </c>
      <c r="Q241" s="18">
        <f t="shared" si="890"/>
        <v>4.3774917222413158E-4</v>
      </c>
      <c r="R241" s="18">
        <f t="shared" si="890"/>
        <v>-5.7046816441629759E-5</v>
      </c>
      <c r="S241" s="18">
        <f t="shared" si="890"/>
        <v>4.4570249549805347E-4</v>
      </c>
      <c r="T241" s="18">
        <f t="shared" si="890"/>
        <v>-4.3045632940246884E-5</v>
      </c>
      <c r="U241" s="18">
        <f t="shared" si="890"/>
        <v>-1.5122836130511684E-5</v>
      </c>
      <c r="V241" s="18">
        <f t="shared" si="890"/>
        <v>-4.4567464897769294E-4</v>
      </c>
      <c r="W241" s="18">
        <f t="shared" si="890"/>
        <v>-2.0444909779335446E-4</v>
      </c>
      <c r="X241" s="18">
        <f t="shared" si="890"/>
        <v>3.5148340602854329E-4</v>
      </c>
      <c r="Y241" s="18">
        <f t="shared" si="890"/>
        <v>-1.9158589668352632E-4</v>
      </c>
      <c r="Z241" s="18">
        <f t="shared" si="890"/>
        <v>-3.990430011705313E-4</v>
      </c>
      <c r="AA241" s="18">
        <f t="shared" si="890"/>
        <v>6.7136869440918961E-5</v>
      </c>
      <c r="AB241" s="18">
        <f t="shared" si="890"/>
        <v>-1.9672587771075756E-4</v>
      </c>
      <c r="AC241" s="18">
        <f t="shared" si="890"/>
        <v>1.2498139758481785E-4</v>
      </c>
      <c r="AD241" s="18">
        <f t="shared" si="890"/>
        <v>-2.3781300441302756E-4</v>
      </c>
      <c r="AE241" s="18">
        <f t="shared" si="890"/>
        <v>-1.9158589668352632E-4</v>
      </c>
      <c r="AF241" s="18">
        <f t="shared" si="890"/>
        <v>3.6512398609316049E-4</v>
      </c>
      <c r="AG241" s="18">
        <f t="shared" si="890"/>
        <v>-3.6184482338775257E-4</v>
      </c>
      <c r="AH241" s="18">
        <f t="shared" si="890"/>
        <v>-3.2436200431082012E-4</v>
      </c>
      <c r="AI241" s="18">
        <f t="shared" si="890"/>
        <v>-2.3279087502396648E-4</v>
      </c>
      <c r="AJ241" s="18">
        <f t="shared" si="890"/>
        <v>1.9333904116183181E-4</v>
      </c>
      <c r="AK241" s="18">
        <f t="shared" ref="AK241:BG241" si="891" xml:space="preserve"> 0.00042 * AK209 * SIN( ( AK213 + 2 * AK222 ) * Deg2Rad  )</f>
        <v>4.0982248836296486E-5</v>
      </c>
      <c r="AL241" s="18">
        <f t="shared" si="891"/>
        <v>3.1153759108874378E-4</v>
      </c>
      <c r="AM241" s="18">
        <f t="shared" si="891"/>
        <v>-3.5074425328564897E-4</v>
      </c>
      <c r="AN241" s="18">
        <f t="shared" si="891"/>
        <v>-4.1291424885418564E-4</v>
      </c>
      <c r="AO241" s="18">
        <f t="shared" si="891"/>
        <v>3.2644924545056632E-4</v>
      </c>
      <c r="AP241" s="18">
        <f t="shared" si="891"/>
        <v>-2.9487007656347531E-4</v>
      </c>
      <c r="AQ241" s="18">
        <f t="shared" si="891"/>
        <v>-2.9487007656347531E-4</v>
      </c>
      <c r="AR241" s="18">
        <f t="shared" si="891"/>
        <v>-2.9643978749130335E-4</v>
      </c>
      <c r="AS241" s="18">
        <f t="shared" si="891"/>
        <v>-2.9643978749130335E-4</v>
      </c>
      <c r="AT241" s="18">
        <f t="shared" si="891"/>
        <v>-2.9643978749130335E-4</v>
      </c>
      <c r="AU241" s="18">
        <f t="shared" si="891"/>
        <v>3.1063156294561185E-4</v>
      </c>
      <c r="AV241" s="18">
        <f t="shared" si="891"/>
        <v>-4.191268023205213E-4</v>
      </c>
      <c r="AW241" s="18">
        <f t="shared" si="891"/>
        <v>7.5374519609807167E-5</v>
      </c>
      <c r="AX241" s="18">
        <f t="shared" si="891"/>
        <v>3.0489149138617492E-4</v>
      </c>
      <c r="AY241" s="18">
        <f t="shared" si="891"/>
        <v>2.9948763043909673E-4</v>
      </c>
      <c r="AZ241" s="18">
        <f t="shared" si="891"/>
        <v>2.9948763043909673E-4</v>
      </c>
      <c r="BA241" s="18">
        <f t="shared" si="891"/>
        <v>2.9177233565820537E-4</v>
      </c>
      <c r="BB241" s="18">
        <f t="shared" si="891"/>
        <v>2.9177233565820537E-4</v>
      </c>
      <c r="BC241" s="18">
        <f t="shared" si="891"/>
        <v>2.9177233565820537E-4</v>
      </c>
      <c r="BD241" s="18">
        <f t="shared" si="891"/>
        <v>2.9177233565820537E-4</v>
      </c>
      <c r="BE241" s="18">
        <f t="shared" si="891"/>
        <v>2.9177233565820537E-4</v>
      </c>
      <c r="BF241" s="18">
        <f t="shared" si="891"/>
        <v>2.9177233565820537E-4</v>
      </c>
      <c r="BG241" s="18">
        <f t="shared" si="891"/>
        <v>-1.9158589668352632E-4</v>
      </c>
    </row>
    <row r="242" spans="2:59" x14ac:dyDescent="0.25">
      <c r="C242" t="s">
        <v>43</v>
      </c>
      <c r="E242" s="18">
        <f t="shared" ref="E242:AJ242" si="892" xml:space="preserve"> 0.00038 * E209 * SIN( ( E213 - 2 * E222 ) * Deg2Rad  )</f>
        <v>-3.5264514738871637E-4</v>
      </c>
      <c r="F242" s="18">
        <f t="shared" si="892"/>
        <v>2.3241273822846556E-4</v>
      </c>
      <c r="G242" s="18">
        <f t="shared" si="892"/>
        <v>1.6067877610586033E-4</v>
      </c>
      <c r="H242" s="18">
        <f t="shared" si="892"/>
        <v>2.988038203918785E-4</v>
      </c>
      <c r="I242" s="18">
        <f t="shared" si="892"/>
        <v>2.3025597955439084E-4</v>
      </c>
      <c r="J242" s="18">
        <f t="shared" si="892"/>
        <v>-1.2036436722251535E-4</v>
      </c>
      <c r="K242" s="18">
        <f t="shared" si="892"/>
        <v>3.4196325424735118E-4</v>
      </c>
      <c r="L242" s="18">
        <f t="shared" si="892"/>
        <v>-2.7012689510316903E-4</v>
      </c>
      <c r="M242" s="18">
        <f t="shared" si="892"/>
        <v>-3.2818965156771992E-4</v>
      </c>
      <c r="N242" s="18">
        <f t="shared" si="892"/>
        <v>9.8168849095223398E-5</v>
      </c>
      <c r="O242" s="18">
        <f t="shared" si="892"/>
        <v>-2.6775653999800683E-4</v>
      </c>
      <c r="P242" s="18">
        <f t="shared" si="892"/>
        <v>-3.750109502795527E-4</v>
      </c>
      <c r="Q242" s="18">
        <f t="shared" si="892"/>
        <v>3.1020885038029799E-4</v>
      </c>
      <c r="R242" s="18">
        <f t="shared" si="892"/>
        <v>3.9626481159483573E-4</v>
      </c>
      <c r="S242" s="18">
        <f t="shared" si="892"/>
        <v>1.2629502754363787E-4</v>
      </c>
      <c r="T242" s="18">
        <f t="shared" si="892"/>
        <v>3.686203729765308E-4</v>
      </c>
      <c r="U242" s="18">
        <f t="shared" si="892"/>
        <v>8.9365800624378124E-5</v>
      </c>
      <c r="V242" s="18">
        <f t="shared" si="892"/>
        <v>-4.2959919859987072E-4</v>
      </c>
      <c r="W242" s="18">
        <f t="shared" si="892"/>
        <v>2.7348642010634861E-4</v>
      </c>
      <c r="X242" s="18">
        <f t="shared" si="892"/>
        <v>-1.7491334024603535E-4</v>
      </c>
      <c r="Y242" s="18">
        <f t="shared" si="892"/>
        <v>2.0315476815436524E-4</v>
      </c>
      <c r="Z242" s="18">
        <f t="shared" si="892"/>
        <v>2.9573048078414385E-4</v>
      </c>
      <c r="AA242" s="18">
        <f t="shared" si="892"/>
        <v>1.6067877610586033E-4</v>
      </c>
      <c r="AB242" s="18">
        <f t="shared" si="892"/>
        <v>4.1845568519609031E-5</v>
      </c>
      <c r="AC242" s="18">
        <f t="shared" si="892"/>
        <v>1.3922998081090766E-4</v>
      </c>
      <c r="AD242" s="18">
        <f t="shared" si="892"/>
        <v>1.2490029508256879E-4</v>
      </c>
      <c r="AE242" s="18">
        <f t="shared" si="892"/>
        <v>2.0315476815436524E-4</v>
      </c>
      <c r="AF242" s="18">
        <f t="shared" si="892"/>
        <v>-2.9320371445391158E-4</v>
      </c>
      <c r="AG242" s="18">
        <f t="shared" si="892"/>
        <v>9.1861589842277607E-5</v>
      </c>
      <c r="AH242" s="18">
        <f t="shared" si="892"/>
        <v>-3.3338992059023123E-4</v>
      </c>
      <c r="AI242" s="18">
        <f t="shared" si="892"/>
        <v>-3.2794062667163389E-4</v>
      </c>
      <c r="AJ242" s="18">
        <f t="shared" si="892"/>
        <v>1.9950230341587817E-4</v>
      </c>
      <c r="AK242" s="18">
        <f t="shared" ref="AK242:BG242" si="893" xml:space="preserve"> 0.00038 * AK209 * SIN( ( AK213 - 2 * AK222 ) * Deg2Rad  )</f>
        <v>-2.8130815923832394E-4</v>
      </c>
      <c r="AL242" s="18">
        <f t="shared" si="893"/>
        <v>2.8195581958146738E-4</v>
      </c>
      <c r="AM242" s="18">
        <f t="shared" si="893"/>
        <v>-2.7453945274790554E-4</v>
      </c>
      <c r="AN242" s="18">
        <f t="shared" si="893"/>
        <v>-3.6076447332724374E-4</v>
      </c>
      <c r="AO242" s="18">
        <f t="shared" si="893"/>
        <v>-1.3319183438265436E-4</v>
      </c>
      <c r="AP242" s="18">
        <f t="shared" si="893"/>
        <v>-2.0797266060948989E-4</v>
      </c>
      <c r="AQ242" s="18">
        <f t="shared" si="893"/>
        <v>-2.0797266060948989E-4</v>
      </c>
      <c r="AR242" s="18">
        <f t="shared" si="893"/>
        <v>-3.4541820754209815E-4</v>
      </c>
      <c r="AS242" s="18">
        <f t="shared" si="893"/>
        <v>-3.4541820754209815E-4</v>
      </c>
      <c r="AT242" s="18">
        <f t="shared" si="893"/>
        <v>-3.4541820754209815E-4</v>
      </c>
      <c r="AU242" s="18">
        <f t="shared" si="893"/>
        <v>-6.9574471915370627E-5</v>
      </c>
      <c r="AV242" s="18">
        <f t="shared" si="893"/>
        <v>-3.286028190159101E-4</v>
      </c>
      <c r="AW242" s="18">
        <f t="shared" si="893"/>
        <v>1.4551646396073037E-4</v>
      </c>
      <c r="AX242" s="18">
        <f t="shared" si="893"/>
        <v>3.0993729219644698E-4</v>
      </c>
      <c r="AY242" s="18">
        <f t="shared" si="893"/>
        <v>-3.7637889624391054E-4</v>
      </c>
      <c r="AZ242" s="18">
        <f t="shared" si="893"/>
        <v>-3.7637889624391054E-4</v>
      </c>
      <c r="BA242" s="18">
        <f t="shared" si="893"/>
        <v>-2.9131070968271404E-4</v>
      </c>
      <c r="BB242" s="18">
        <f t="shared" si="893"/>
        <v>-2.9131070968271404E-4</v>
      </c>
      <c r="BC242" s="18">
        <f t="shared" si="893"/>
        <v>-2.9131070968271404E-4</v>
      </c>
      <c r="BD242" s="18">
        <f t="shared" si="893"/>
        <v>-2.9131070968271404E-4</v>
      </c>
      <c r="BE242" s="18">
        <f t="shared" si="893"/>
        <v>-2.9131070968271404E-4</v>
      </c>
      <c r="BF242" s="18">
        <f t="shared" si="893"/>
        <v>-2.9131070968271404E-4</v>
      </c>
      <c r="BG242" s="18">
        <f t="shared" si="893"/>
        <v>2.0315476815436524E-4</v>
      </c>
    </row>
    <row r="243" spans="2:59" x14ac:dyDescent="0.25">
      <c r="C243" t="s">
        <v>44</v>
      </c>
      <c r="E243" s="18">
        <f t="shared" ref="E243:AJ243" si="894" xml:space="preserve"> -0.00024 * E209 * SIN( ( 2 * E217 - E213 ) * Deg2Rad  )</f>
        <v>-3.3606985542174749E-5</v>
      </c>
      <c r="F243" s="18">
        <f t="shared" si="894"/>
        <v>-4.2700626037610242E-5</v>
      </c>
      <c r="G243" s="18">
        <f t="shared" si="894"/>
        <v>-1.8870762626754521E-4</v>
      </c>
      <c r="H243" s="18">
        <f t="shared" si="894"/>
        <v>-1.4941588355292735E-4</v>
      </c>
      <c r="I243" s="18">
        <f t="shared" si="894"/>
        <v>-1.7637303501703743E-4</v>
      </c>
      <c r="J243" s="18">
        <f t="shared" si="894"/>
        <v>-8.2424967648969371E-5</v>
      </c>
      <c r="K243" s="18">
        <f t="shared" si="894"/>
        <v>1.6182011240733211E-4</v>
      </c>
      <c r="L243" s="18">
        <f t="shared" si="894"/>
        <v>-2.2596505292369414E-4</v>
      </c>
      <c r="M243" s="18">
        <f t="shared" si="894"/>
        <v>2.3932275587533564E-4</v>
      </c>
      <c r="N243" s="18">
        <f t="shared" si="894"/>
        <v>9.7131968044248456E-5</v>
      </c>
      <c r="O243" s="18">
        <f t="shared" si="894"/>
        <v>-1.6686564088613277E-4</v>
      </c>
      <c r="P243" s="18">
        <f t="shared" si="894"/>
        <v>-2.349000965950685E-4</v>
      </c>
      <c r="Q243" s="18">
        <f t="shared" si="894"/>
        <v>2.4785686642158651E-4</v>
      </c>
      <c r="R243" s="18">
        <f t="shared" si="894"/>
        <v>2.4640766393417373E-4</v>
      </c>
      <c r="S243" s="18">
        <f t="shared" si="894"/>
        <v>1.0880286566723476E-4</v>
      </c>
      <c r="T243" s="18">
        <f t="shared" si="894"/>
        <v>-1.7325004372248327E-4</v>
      </c>
      <c r="U243" s="18">
        <f t="shared" si="894"/>
        <v>1.7397820511698409E-4</v>
      </c>
      <c r="V243" s="18">
        <f t="shared" si="894"/>
        <v>-2.7250618247479493E-4</v>
      </c>
      <c r="W243" s="18">
        <f t="shared" si="894"/>
        <v>-2.1782484875939293E-4</v>
      </c>
      <c r="X243" s="18">
        <f t="shared" si="894"/>
        <v>-2.278146631470477E-4</v>
      </c>
      <c r="Y243" s="18">
        <f t="shared" si="894"/>
        <v>-9.6633545250030233E-5</v>
      </c>
      <c r="Z243" s="18">
        <f t="shared" si="894"/>
        <v>-2.2125256464244729E-4</v>
      </c>
      <c r="AA243" s="18">
        <f t="shared" si="894"/>
        <v>-1.8870762626754521E-4</v>
      </c>
      <c r="AB243" s="18">
        <f t="shared" si="894"/>
        <v>1.2629083682201198E-4</v>
      </c>
      <c r="AC243" s="18">
        <f t="shared" si="894"/>
        <v>2.2280129546741134E-4</v>
      </c>
      <c r="AD243" s="18">
        <f t="shared" si="894"/>
        <v>-1.0223692575794138E-4</v>
      </c>
      <c r="AE243" s="18">
        <f t="shared" si="894"/>
        <v>-9.6633545250030233E-5</v>
      </c>
      <c r="AF243" s="18">
        <f t="shared" si="894"/>
        <v>2.2811029671948859E-4</v>
      </c>
      <c r="AG243" s="18">
        <f t="shared" si="894"/>
        <v>1.082369430091684E-4</v>
      </c>
      <c r="AH243" s="18">
        <f t="shared" si="894"/>
        <v>-2.1533101705048041E-4</v>
      </c>
      <c r="AI243" s="18">
        <f t="shared" si="894"/>
        <v>-1.8144624998104182E-4</v>
      </c>
      <c r="AJ243" s="18">
        <f t="shared" si="894"/>
        <v>-1.8839209133893153E-5</v>
      </c>
      <c r="AK243" s="18">
        <f t="shared" ref="AK243:BG243" si="895" xml:space="preserve"> -0.00024 * AK209 * SIN( ( 2 * AK217 - AK213 ) * Deg2Rad  )</f>
        <v>-2.372632227649713E-4</v>
      </c>
      <c r="AL243" s="18">
        <f t="shared" si="895"/>
        <v>7.7914649058262946E-5</v>
      </c>
      <c r="AM243" s="18">
        <f t="shared" si="895"/>
        <v>1.0548055029047855E-5</v>
      </c>
      <c r="AN243" s="18">
        <f t="shared" si="895"/>
        <v>-2.0903840184372286E-4</v>
      </c>
      <c r="AO243" s="18">
        <f t="shared" si="895"/>
        <v>6.4025079597229806E-5</v>
      </c>
      <c r="AP243" s="18">
        <f t="shared" si="895"/>
        <v>2.3772929371864774E-4</v>
      </c>
      <c r="AQ243" s="18">
        <f t="shared" si="895"/>
        <v>2.3772929371864774E-4</v>
      </c>
      <c r="AR243" s="18">
        <f t="shared" si="895"/>
        <v>2.3181680307522994E-4</v>
      </c>
      <c r="AS243" s="18">
        <f t="shared" si="895"/>
        <v>2.3181680307522994E-4</v>
      </c>
      <c r="AT243" s="18">
        <f t="shared" si="895"/>
        <v>2.3181680307522994E-4</v>
      </c>
      <c r="AU243" s="18">
        <f t="shared" si="895"/>
        <v>8.19817340622691E-5</v>
      </c>
      <c r="AV243" s="18">
        <f t="shared" si="895"/>
        <v>-2.1090321075948102E-4</v>
      </c>
      <c r="AW243" s="18">
        <f t="shared" si="895"/>
        <v>2.1040681315516335E-4</v>
      </c>
      <c r="AX243" s="18">
        <f t="shared" si="895"/>
        <v>-1.4387961168349647E-4</v>
      </c>
      <c r="AY243" s="18">
        <f t="shared" si="895"/>
        <v>1.9052402667072958E-4</v>
      </c>
      <c r="AZ243" s="18">
        <f t="shared" si="895"/>
        <v>1.9052402667072958E-4</v>
      </c>
      <c r="BA243" s="18">
        <f t="shared" si="895"/>
        <v>1.2015328862724355E-4</v>
      </c>
      <c r="BB243" s="18">
        <f t="shared" si="895"/>
        <v>1.2015328862724355E-4</v>
      </c>
      <c r="BC243" s="18">
        <f t="shared" si="895"/>
        <v>1.2015328862724355E-4</v>
      </c>
      <c r="BD243" s="18">
        <f t="shared" si="895"/>
        <v>1.2015328862724355E-4</v>
      </c>
      <c r="BE243" s="18">
        <f t="shared" si="895"/>
        <v>1.2015328862724355E-4</v>
      </c>
      <c r="BF243" s="18">
        <f t="shared" si="895"/>
        <v>1.2015328862724355E-4</v>
      </c>
      <c r="BG243" s="18">
        <f t="shared" si="895"/>
        <v>-9.6633545250030233E-5</v>
      </c>
    </row>
    <row r="244" spans="2:59" x14ac:dyDescent="0.25">
      <c r="C244" t="s">
        <v>45</v>
      </c>
      <c r="E244" s="18">
        <f t="shared" ref="E244:AJ244" si="896" xml:space="preserve"> -0.00017 * SIN( ( E226 ) * Deg2Rad  )</f>
        <v>1.0989464376493599E-4</v>
      </c>
      <c r="F244" s="18">
        <f t="shared" si="896"/>
        <v>1.0243105604382221E-4</v>
      </c>
      <c r="G244" s="18">
        <f t="shared" si="896"/>
        <v>-1.4094846145454426E-4</v>
      </c>
      <c r="H244" s="18">
        <f t="shared" si="896"/>
        <v>-1.0288157209671442E-4</v>
      </c>
      <c r="I244" s="18">
        <f t="shared" si="896"/>
        <v>-4.1684126052554458E-5</v>
      </c>
      <c r="J244" s="18">
        <f t="shared" si="896"/>
        <v>-1.887575391142031E-5</v>
      </c>
      <c r="K244" s="18">
        <f t="shared" si="896"/>
        <v>1.3549166703674768E-5</v>
      </c>
      <c r="L244" s="18">
        <f t="shared" si="896"/>
        <v>3.6476489310849618E-5</v>
      </c>
      <c r="M244" s="18">
        <f t="shared" si="896"/>
        <v>1.6650437202693057E-4</v>
      </c>
      <c r="N244" s="18">
        <f t="shared" si="896"/>
        <v>1.4733399766187193E-4</v>
      </c>
      <c r="O244" s="18">
        <f t="shared" si="896"/>
        <v>1.6762081686989358E-4</v>
      </c>
      <c r="P244" s="18">
        <f t="shared" si="896"/>
        <v>1.5689769302190324E-4</v>
      </c>
      <c r="Q244" s="18">
        <f t="shared" si="896"/>
        <v>-1.3809576634581347E-4</v>
      </c>
      <c r="R244" s="18">
        <f t="shared" si="896"/>
        <v>-1.3533863918685626E-4</v>
      </c>
      <c r="S244" s="18">
        <f t="shared" si="896"/>
        <v>-1.2643262859822991E-6</v>
      </c>
      <c r="T244" s="18">
        <f t="shared" si="896"/>
        <v>1.2644097209752459E-5</v>
      </c>
      <c r="U244" s="18">
        <f t="shared" si="896"/>
        <v>4.9067916269669929E-5</v>
      </c>
      <c r="V244" s="18">
        <f t="shared" si="896"/>
        <v>2.6660535767445283E-5</v>
      </c>
      <c r="W244" s="18">
        <f t="shared" si="896"/>
        <v>-2.8065199105664268E-5</v>
      </c>
      <c r="X244" s="18">
        <f t="shared" si="896"/>
        <v>1.6983172229216145E-4</v>
      </c>
      <c r="Y244" s="18">
        <f t="shared" si="896"/>
        <v>7.5948525128590187E-5</v>
      </c>
      <c r="Z244" s="18">
        <f t="shared" si="896"/>
        <v>1.9804780545549861E-5</v>
      </c>
      <c r="AA244" s="18">
        <f t="shared" si="896"/>
        <v>-1.4094846145454426E-4</v>
      </c>
      <c r="AB244" s="18">
        <f t="shared" si="896"/>
        <v>1.6466820222876192E-4</v>
      </c>
      <c r="AC244" s="18">
        <f t="shared" si="896"/>
        <v>-2.32682959657034E-5</v>
      </c>
      <c r="AD244" s="18">
        <f t="shared" si="896"/>
        <v>2.7363272312745363E-5</v>
      </c>
      <c r="AE244" s="18">
        <f t="shared" si="896"/>
        <v>7.5948525128590187E-5</v>
      </c>
      <c r="AF244" s="18">
        <f t="shared" si="896"/>
        <v>1.6743762637595408E-4</v>
      </c>
      <c r="AG244" s="18">
        <f t="shared" si="896"/>
        <v>1.6879251720080881E-4</v>
      </c>
      <c r="AH244" s="18">
        <f t="shared" si="896"/>
        <v>1.5476454288281785E-4</v>
      </c>
      <c r="AI244" s="18">
        <f t="shared" si="896"/>
        <v>1.6956210734724703E-4</v>
      </c>
      <c r="AJ244" s="18">
        <f t="shared" si="896"/>
        <v>1.6188077339272103E-4</v>
      </c>
      <c r="AK244" s="18">
        <f t="shared" ref="AK244:BG244" si="897" xml:space="preserve"> -0.00017 * SIN( ( AK226 ) * Deg2Rad  )</f>
        <v>-1.1812188306575433E-4</v>
      </c>
      <c r="AL244" s="18">
        <f t="shared" si="897"/>
        <v>1.4122663395990575E-4</v>
      </c>
      <c r="AM244" s="18">
        <f t="shared" si="897"/>
        <v>-1.3737884916007275E-4</v>
      </c>
      <c r="AN244" s="18">
        <f t="shared" si="897"/>
        <v>-1.4824966438460184E-4</v>
      </c>
      <c r="AO244" s="18">
        <f t="shared" si="897"/>
        <v>1.6978257659827972E-4</v>
      </c>
      <c r="AP244" s="18">
        <f t="shared" si="897"/>
        <v>-1.1931832124558787E-4</v>
      </c>
      <c r="AQ244" s="18">
        <f t="shared" si="897"/>
        <v>-1.1931832124558787E-4</v>
      </c>
      <c r="AR244" s="18">
        <f t="shared" si="897"/>
        <v>-1.159693852353945E-4</v>
      </c>
      <c r="AS244" s="18">
        <f t="shared" si="897"/>
        <v>-1.159693852353945E-4</v>
      </c>
      <c r="AT244" s="18">
        <f t="shared" si="897"/>
        <v>-1.159693852353945E-4</v>
      </c>
      <c r="AU244" s="18">
        <f t="shared" si="897"/>
        <v>1.6814646310203842E-4</v>
      </c>
      <c r="AV244" s="18">
        <f t="shared" si="897"/>
        <v>-3.1441905361008053E-5</v>
      </c>
      <c r="AW244" s="18">
        <f t="shared" si="897"/>
        <v>1.4532990536808015E-4</v>
      </c>
      <c r="AX244" s="18">
        <f t="shared" si="897"/>
        <v>1.2956952804810313E-4</v>
      </c>
      <c r="AY244" s="18">
        <f t="shared" si="897"/>
        <v>-1.1253407014221134E-4</v>
      </c>
      <c r="AZ244" s="18">
        <f t="shared" si="897"/>
        <v>-1.1253407014221134E-4</v>
      </c>
      <c r="BA244" s="18">
        <f t="shared" si="897"/>
        <v>-1.0901493473995713E-4</v>
      </c>
      <c r="BB244" s="18">
        <f t="shared" si="897"/>
        <v>-1.0901493473995713E-4</v>
      </c>
      <c r="BC244" s="18">
        <f t="shared" si="897"/>
        <v>-1.0901493473995713E-4</v>
      </c>
      <c r="BD244" s="18">
        <f t="shared" si="897"/>
        <v>-1.0901493473995713E-4</v>
      </c>
      <c r="BE244" s="18">
        <f t="shared" si="897"/>
        <v>-1.0901493473995713E-4</v>
      </c>
      <c r="BF244" s="18">
        <f t="shared" si="897"/>
        <v>-1.0901493473995713E-4</v>
      </c>
      <c r="BG244" s="18">
        <f t="shared" si="897"/>
        <v>7.5948525128590187E-5</v>
      </c>
    </row>
    <row r="245" spans="2:59" x14ac:dyDescent="0.25">
      <c r="C245" t="s">
        <v>46</v>
      </c>
      <c r="E245" s="18">
        <f t="shared" ref="E245:AJ245" si="898" xml:space="preserve"> -0.00007 * SIN( ( E217 + 2 * E213 ) * Deg2Rad  )</f>
        <v>-5.6448070259670029E-5</v>
      </c>
      <c r="F245" s="18">
        <f t="shared" si="898"/>
        <v>-6.8368882664786036E-5</v>
      </c>
      <c r="G245" s="18">
        <f t="shared" si="898"/>
        <v>-6.5211693170223772E-5</v>
      </c>
      <c r="H245" s="18">
        <f t="shared" si="898"/>
        <v>-4.4663775417195889E-5</v>
      </c>
      <c r="I245" s="18">
        <f t="shared" si="898"/>
        <v>5.7853501593126189E-5</v>
      </c>
      <c r="J245" s="18">
        <f t="shared" si="898"/>
        <v>-5.369779837411427E-6</v>
      </c>
      <c r="K245" s="18">
        <f t="shared" si="898"/>
        <v>5.5603882585682058E-5</v>
      </c>
      <c r="L245" s="18">
        <f t="shared" si="898"/>
        <v>6.4562896756289177E-5</v>
      </c>
      <c r="M245" s="18">
        <f t="shared" si="898"/>
        <v>-1.6348013025529873E-5</v>
      </c>
      <c r="N245" s="18">
        <f t="shared" si="898"/>
        <v>4.9781766049984429E-6</v>
      </c>
      <c r="O245" s="18">
        <f t="shared" si="898"/>
        <v>1.9806877920249627E-5</v>
      </c>
      <c r="P245" s="18">
        <f t="shared" si="898"/>
        <v>1.0350290136874499E-5</v>
      </c>
      <c r="Q245" s="18">
        <f t="shared" si="898"/>
        <v>-5.5340876794308614E-5</v>
      </c>
      <c r="R245" s="18">
        <f t="shared" si="898"/>
        <v>-4.8390545724264243E-5</v>
      </c>
      <c r="S245" s="18">
        <f t="shared" si="898"/>
        <v>2.8194868956994252E-5</v>
      </c>
      <c r="T245" s="18">
        <f t="shared" si="898"/>
        <v>-6.9637464249018647E-5</v>
      </c>
      <c r="U245" s="18">
        <f t="shared" si="898"/>
        <v>-5.2061866540476488E-5</v>
      </c>
      <c r="V245" s="18">
        <f t="shared" si="898"/>
        <v>-6.619680540431178E-5</v>
      </c>
      <c r="W245" s="18">
        <f t="shared" si="898"/>
        <v>1.9698556741539257E-5</v>
      </c>
      <c r="X245" s="18">
        <f t="shared" si="898"/>
        <v>-7.3879012825897867E-6</v>
      </c>
      <c r="Y245" s="18">
        <f t="shared" si="898"/>
        <v>-5.27180296937376E-5</v>
      </c>
      <c r="Z245" s="18">
        <f t="shared" si="898"/>
        <v>-6.0454873752952932E-5</v>
      </c>
      <c r="AA245" s="18">
        <f t="shared" si="898"/>
        <v>-6.5211693170223772E-5</v>
      </c>
      <c r="AB245" s="18">
        <f t="shared" si="898"/>
        <v>6.8685556388259545E-5</v>
      </c>
      <c r="AC245" s="18">
        <f t="shared" si="898"/>
        <v>-6.9406058418986438E-5</v>
      </c>
      <c r="AD245" s="18">
        <f t="shared" si="898"/>
        <v>-5.7566761266859796E-5</v>
      </c>
      <c r="AE245" s="18">
        <f t="shared" si="898"/>
        <v>-5.27180296937376E-5</v>
      </c>
      <c r="AF245" s="18">
        <f t="shared" si="898"/>
        <v>4.6584783652871293E-5</v>
      </c>
      <c r="AG245" s="18">
        <f t="shared" si="898"/>
        <v>-3.4762468208448605E-5</v>
      </c>
      <c r="AH245" s="18">
        <f t="shared" si="898"/>
        <v>6.999884809036E-5</v>
      </c>
      <c r="AI245" s="18">
        <f t="shared" si="898"/>
        <v>6.8462520188540527E-5</v>
      </c>
      <c r="AJ245" s="18">
        <f t="shared" si="898"/>
        <v>-2.211604251611988E-5</v>
      </c>
      <c r="AK245" s="18">
        <f t="shared" ref="AK245:BG245" si="899" xml:space="preserve"> -0.00007 * SIN( ( AK217 + 2 * AK213 ) * Deg2Rad  )</f>
        <v>6.8345138868843451E-5</v>
      </c>
      <c r="AL245" s="18">
        <f t="shared" si="899"/>
        <v>-5.6984241947141563E-5</v>
      </c>
      <c r="AM245" s="18">
        <f t="shared" si="899"/>
        <v>3.6721746769661838E-5</v>
      </c>
      <c r="AN245" s="18">
        <f t="shared" si="899"/>
        <v>4.427246361359093E-5</v>
      </c>
      <c r="AO245" s="18">
        <f t="shared" si="899"/>
        <v>-5.0952433419640628E-5</v>
      </c>
      <c r="AP245" s="18">
        <f t="shared" si="899"/>
        <v>6.8837894277077864E-5</v>
      </c>
      <c r="AQ245" s="18">
        <f t="shared" si="899"/>
        <v>6.8837894277077864E-5</v>
      </c>
      <c r="AR245" s="18">
        <f t="shared" si="899"/>
        <v>-5.4707165073859055E-6</v>
      </c>
      <c r="AS245" s="18">
        <f t="shared" si="899"/>
        <v>-5.4707165073859055E-6</v>
      </c>
      <c r="AT245" s="18">
        <f t="shared" si="899"/>
        <v>-5.4707165073859055E-6</v>
      </c>
      <c r="AU245" s="18">
        <f t="shared" si="899"/>
        <v>-4.1549875692856469E-5</v>
      </c>
      <c r="AV245" s="18">
        <f t="shared" si="899"/>
        <v>-3.2989023988390124E-5</v>
      </c>
      <c r="AW245" s="18">
        <f t="shared" si="899"/>
        <v>1.2708338250170653E-5</v>
      </c>
      <c r="AX245" s="18">
        <f t="shared" si="899"/>
        <v>2.1528475999643009E-5</v>
      </c>
      <c r="AY245" s="18">
        <f t="shared" si="899"/>
        <v>-6.9976333590621485E-5</v>
      </c>
      <c r="AZ245" s="18">
        <f t="shared" si="899"/>
        <v>-6.9976333590621485E-5</v>
      </c>
      <c r="BA245" s="18">
        <f t="shared" si="899"/>
        <v>-9.0911436727591839E-6</v>
      </c>
      <c r="BB245" s="18">
        <f t="shared" si="899"/>
        <v>-9.0911436727591839E-6</v>
      </c>
      <c r="BC245" s="18">
        <f t="shared" si="899"/>
        <v>-9.0911436727591839E-6</v>
      </c>
      <c r="BD245" s="18">
        <f t="shared" si="899"/>
        <v>-9.0911436727591839E-6</v>
      </c>
      <c r="BE245" s="18">
        <f t="shared" si="899"/>
        <v>-9.0911436727591839E-6</v>
      </c>
      <c r="BF245" s="18">
        <f t="shared" si="899"/>
        <v>-9.0911436727591839E-6</v>
      </c>
      <c r="BG245" s="18">
        <f t="shared" si="899"/>
        <v>-5.27180296937376E-5</v>
      </c>
    </row>
    <row r="246" spans="2:59" x14ac:dyDescent="0.25">
      <c r="C246" t="s">
        <v>47</v>
      </c>
      <c r="E246" s="18">
        <f t="shared" ref="E246:AJ246" si="900" xml:space="preserve"> 0.00004 * SIN( ( 2 * E217 - 2 * E222 ) * Deg2Rad  )</f>
        <v>3.8814806309301382E-5</v>
      </c>
      <c r="F246" s="18">
        <f t="shared" si="900"/>
        <v>2.8714289520583336E-5</v>
      </c>
      <c r="G246" s="18">
        <f t="shared" si="900"/>
        <v>3.8951657325242306E-5</v>
      </c>
      <c r="H246" s="18">
        <f t="shared" si="900"/>
        <v>-9.2285222809577878E-6</v>
      </c>
      <c r="I246" s="18">
        <f t="shared" si="900"/>
        <v>-6.9428077807267523E-6</v>
      </c>
      <c r="J246" s="18">
        <f t="shared" si="900"/>
        <v>2.492256389246032E-5</v>
      </c>
      <c r="K246" s="18">
        <f t="shared" si="900"/>
        <v>3.8354728410641997E-5</v>
      </c>
      <c r="L246" s="18">
        <f t="shared" si="900"/>
        <v>1.6888330447477139E-5</v>
      </c>
      <c r="M246" s="18">
        <f t="shared" si="900"/>
        <v>-1.6653943663537263E-5</v>
      </c>
      <c r="N246" s="18">
        <f t="shared" si="900"/>
        <v>-2.4870336781468657E-5</v>
      </c>
      <c r="O246" s="18">
        <f t="shared" si="900"/>
        <v>3.9969165862142695E-5</v>
      </c>
      <c r="P246" s="18">
        <f t="shared" si="900"/>
        <v>-1.0754226265592385E-6</v>
      </c>
      <c r="Q246" s="18">
        <f t="shared" si="900"/>
        <v>-1.9119679797473119E-5</v>
      </c>
      <c r="R246" s="18">
        <f t="shared" si="900"/>
        <v>-1.2921282231645414E-5</v>
      </c>
      <c r="S246" s="18">
        <f t="shared" si="900"/>
        <v>-2.7389263183379351E-5</v>
      </c>
      <c r="T246" s="18">
        <f t="shared" si="900"/>
        <v>-3.811478733030573E-5</v>
      </c>
      <c r="U246" s="18">
        <f t="shared" si="900"/>
        <v>-1.9996763850445796E-5</v>
      </c>
      <c r="V246" s="18">
        <f t="shared" si="900"/>
        <v>-4.262253461953158E-6</v>
      </c>
      <c r="W246" s="18">
        <f t="shared" si="900"/>
        <v>1.3105838871384568E-5</v>
      </c>
      <c r="X246" s="18">
        <f t="shared" si="900"/>
        <v>-3.9504096986946089E-5</v>
      </c>
      <c r="Y246" s="18">
        <f t="shared" si="900"/>
        <v>-3.3171664583729985E-5</v>
      </c>
      <c r="Z246" s="18">
        <f t="shared" si="900"/>
        <v>-1.1144039061401505E-5</v>
      </c>
      <c r="AA246" s="18">
        <f t="shared" si="900"/>
        <v>3.8951657325242306E-5</v>
      </c>
      <c r="AB246" s="18">
        <f t="shared" si="900"/>
        <v>2.4639869531209807E-5</v>
      </c>
      <c r="AC246" s="18">
        <f t="shared" si="900"/>
        <v>3.9998941648943064E-5</v>
      </c>
      <c r="AD246" s="18">
        <f t="shared" si="900"/>
        <v>2.7980728289617645E-5</v>
      </c>
      <c r="AE246" s="18">
        <f t="shared" si="900"/>
        <v>-3.3171664583729985E-5</v>
      </c>
      <c r="AF246" s="18">
        <f t="shared" si="900"/>
        <v>-1.4578370685371772E-5</v>
      </c>
      <c r="AG246" s="18">
        <f t="shared" si="900"/>
        <v>-2.6130790896088169E-5</v>
      </c>
      <c r="AH246" s="18">
        <f t="shared" si="900"/>
        <v>3.2738568962789104E-5</v>
      </c>
      <c r="AI246" s="18">
        <f t="shared" si="900"/>
        <v>-3.7879773561607464E-5</v>
      </c>
      <c r="AJ246" s="18">
        <f t="shared" si="900"/>
        <v>1.8259932815296905E-5</v>
      </c>
      <c r="AK246" s="18">
        <f t="shared" ref="AK246:BG246" si="901" xml:space="preserve"> 0.00004 * SIN( ( 2 * AK217 - 2 * AK222 ) * Deg2Rad  )</f>
        <v>-2.1376267259849593E-5</v>
      </c>
      <c r="AL246" s="18">
        <f t="shared" si="901"/>
        <v>3.677251005012422E-5</v>
      </c>
      <c r="AM246" s="18">
        <f t="shared" si="901"/>
        <v>-2.6727201473840659E-5</v>
      </c>
      <c r="AN246" s="18">
        <f t="shared" si="901"/>
        <v>2.960028723677383E-5</v>
      </c>
      <c r="AO246" s="18">
        <f t="shared" si="901"/>
        <v>-2.254606343370877E-5</v>
      </c>
      <c r="AP246" s="18">
        <f t="shared" si="901"/>
        <v>-3.0256865838423473E-5</v>
      </c>
      <c r="AQ246" s="18">
        <f t="shared" si="901"/>
        <v>-3.0256865838423473E-5</v>
      </c>
      <c r="AR246" s="18">
        <f t="shared" si="901"/>
        <v>-2.5412205478899195E-5</v>
      </c>
      <c r="AS246" s="18">
        <f t="shared" si="901"/>
        <v>-2.5412205478899195E-5</v>
      </c>
      <c r="AT246" s="18">
        <f t="shared" si="901"/>
        <v>-2.5412205478899195E-5</v>
      </c>
      <c r="AU246" s="18">
        <f t="shared" si="901"/>
        <v>2.030311744583517E-5</v>
      </c>
      <c r="AV246" s="18">
        <f t="shared" si="901"/>
        <v>-1.1445256003573813E-6</v>
      </c>
      <c r="AW246" s="18">
        <f t="shared" si="901"/>
        <v>-2.4954910110787581E-5</v>
      </c>
      <c r="AX246" s="18">
        <f t="shared" si="901"/>
        <v>1.221101141655208E-5</v>
      </c>
      <c r="AY246" s="18">
        <f t="shared" si="901"/>
        <v>-1.9839866944633362E-5</v>
      </c>
      <c r="AZ246" s="18">
        <f t="shared" si="901"/>
        <v>-1.9839866944633362E-5</v>
      </c>
      <c r="BA246" s="18">
        <f t="shared" si="901"/>
        <v>-1.3699414087090091E-5</v>
      </c>
      <c r="BB246" s="18">
        <f t="shared" si="901"/>
        <v>-1.3699414087090091E-5</v>
      </c>
      <c r="BC246" s="18">
        <f t="shared" si="901"/>
        <v>-1.3699414087090091E-5</v>
      </c>
      <c r="BD246" s="18">
        <f t="shared" si="901"/>
        <v>-1.3699414087090091E-5</v>
      </c>
      <c r="BE246" s="18">
        <f t="shared" si="901"/>
        <v>-1.3699414087090091E-5</v>
      </c>
      <c r="BF246" s="18">
        <f t="shared" si="901"/>
        <v>-1.3699414087090091E-5</v>
      </c>
      <c r="BG246" s="18">
        <f t="shared" si="901"/>
        <v>-3.3171664583729985E-5</v>
      </c>
    </row>
    <row r="247" spans="2:59" x14ac:dyDescent="0.25">
      <c r="C247" s="5" t="s">
        <v>48</v>
      </c>
      <c r="E247" s="18">
        <f t="shared" ref="E247:AJ247" si="902" xml:space="preserve"> 0.00004 * SIN( ( 3 * E213 ) * Deg2Rad  )</f>
        <v>-8.5414333976264757E-6</v>
      </c>
      <c r="F247" s="18">
        <f t="shared" si="902"/>
        <v>-3.3463913850770489E-5</v>
      </c>
      <c r="G247" s="18">
        <f t="shared" si="902"/>
        <v>3.122517434306753E-5</v>
      </c>
      <c r="H247" s="18">
        <f t="shared" si="902"/>
        <v>3.9744877218652628E-5</v>
      </c>
      <c r="I247" s="18">
        <f t="shared" si="902"/>
        <v>3.4377320488048846E-5</v>
      </c>
      <c r="J247" s="18">
        <f t="shared" si="902"/>
        <v>-1.1913236702214515E-5</v>
      </c>
      <c r="K247" s="18">
        <f t="shared" si="902"/>
        <v>3.9987011765836767E-5</v>
      </c>
      <c r="L247" s="18">
        <f t="shared" si="902"/>
        <v>1.0271675784211956E-5</v>
      </c>
      <c r="M247" s="18">
        <f t="shared" si="902"/>
        <v>2.6420786618184911E-5</v>
      </c>
      <c r="N247" s="18">
        <f t="shared" si="902"/>
        <v>3.953770411307958E-5</v>
      </c>
      <c r="O247" s="18">
        <f t="shared" si="902"/>
        <v>1.7642494829949627E-5</v>
      </c>
      <c r="P247" s="18">
        <f t="shared" si="902"/>
        <v>2.5126170274171139E-5</v>
      </c>
      <c r="Q247" s="18">
        <f t="shared" si="902"/>
        <v>-1.4373634861654352E-5</v>
      </c>
      <c r="R247" s="18">
        <f t="shared" si="902"/>
        <v>3.6614243716088854E-5</v>
      </c>
      <c r="S247" s="18">
        <f t="shared" si="902"/>
        <v>-5.2634591412067629E-6</v>
      </c>
      <c r="T247" s="18">
        <f t="shared" si="902"/>
        <v>3.9998534172924175E-5</v>
      </c>
      <c r="U247" s="18">
        <f t="shared" si="902"/>
        <v>3.7097295422852082E-5</v>
      </c>
      <c r="V247" s="18">
        <f t="shared" si="902"/>
        <v>-3.6763321626596863E-5</v>
      </c>
      <c r="W247" s="18">
        <f t="shared" si="902"/>
        <v>1.5433169044735891E-5</v>
      </c>
      <c r="X247" s="18">
        <f t="shared" si="902"/>
        <v>2.3675786915355397E-5</v>
      </c>
      <c r="Y247" s="18">
        <f t="shared" si="902"/>
        <v>-6.0762804169290322E-7</v>
      </c>
      <c r="Z247" s="18">
        <f t="shared" si="902"/>
        <v>2.0757118397709447E-5</v>
      </c>
      <c r="AA247" s="18">
        <f t="shared" si="902"/>
        <v>3.122517434306753E-5</v>
      </c>
      <c r="AB247" s="18">
        <f t="shared" si="902"/>
        <v>-2.1415838095218914E-5</v>
      </c>
      <c r="AC247" s="18">
        <f t="shared" si="902"/>
        <v>-3.3986898050151431E-5</v>
      </c>
      <c r="AD247" s="18">
        <f t="shared" si="902"/>
        <v>-6.6101182395986255E-6</v>
      </c>
      <c r="AE247" s="18">
        <f t="shared" si="902"/>
        <v>-6.0762804169290322E-7</v>
      </c>
      <c r="AF247" s="18">
        <f t="shared" si="902"/>
        <v>1.0231421105640778E-5</v>
      </c>
      <c r="AG247" s="18">
        <f t="shared" si="902"/>
        <v>-1.3804062819614201E-5</v>
      </c>
      <c r="AH247" s="18">
        <f t="shared" si="902"/>
        <v>-3.8424692183933831E-5</v>
      </c>
      <c r="AI247" s="18">
        <f t="shared" si="902"/>
        <v>-3.1096597272341389E-5</v>
      </c>
      <c r="AJ247" s="18">
        <f t="shared" si="902"/>
        <v>3.9988051285972204E-5</v>
      </c>
      <c r="AK247" s="18">
        <f t="shared" ref="AK247:BG247" si="903" xml:space="preserve"> 0.00004 * SIN( ( 3 * AK213 ) * Deg2Rad  )</f>
        <v>3.5590821866508832E-5</v>
      </c>
      <c r="AL247" s="18">
        <f t="shared" si="903"/>
        <v>3.9999994580129708E-5</v>
      </c>
      <c r="AM247" s="18">
        <f t="shared" si="903"/>
        <v>-2.1532003418324675E-5</v>
      </c>
      <c r="AN247" s="18">
        <f t="shared" si="903"/>
        <v>-2.9126970995573949E-5</v>
      </c>
      <c r="AO247" s="18">
        <f t="shared" si="903"/>
        <v>7.7679768669742257E-6</v>
      </c>
      <c r="AP247" s="18">
        <f t="shared" si="903"/>
        <v>3.8224748174147112E-5</v>
      </c>
      <c r="AQ247" s="18">
        <f t="shared" si="903"/>
        <v>3.8224748174147112E-5</v>
      </c>
      <c r="AR247" s="18">
        <f t="shared" si="903"/>
        <v>-9.9814036713927481E-6</v>
      </c>
      <c r="AS247" s="18">
        <f t="shared" si="903"/>
        <v>-9.9814036713927481E-6</v>
      </c>
      <c r="AT247" s="18">
        <f t="shared" si="903"/>
        <v>-9.9814036713927481E-6</v>
      </c>
      <c r="AU247" s="18">
        <f t="shared" si="903"/>
        <v>3.3031663400357627E-5</v>
      </c>
      <c r="AV247" s="18">
        <f t="shared" si="903"/>
        <v>2.5255304038079436E-5</v>
      </c>
      <c r="AW247" s="18">
        <f t="shared" si="903"/>
        <v>3.0278831909267721E-5</v>
      </c>
      <c r="AX247" s="18">
        <f t="shared" si="903"/>
        <v>1.904536684453957E-5</v>
      </c>
      <c r="AY247" s="18">
        <f t="shared" si="903"/>
        <v>-3.9159532262127408E-5</v>
      </c>
      <c r="AZ247" s="18">
        <f t="shared" si="903"/>
        <v>-3.9159532262127408E-5</v>
      </c>
      <c r="BA247" s="18">
        <f t="shared" si="903"/>
        <v>6.3140129058613687E-6</v>
      </c>
      <c r="BB247" s="18">
        <f t="shared" si="903"/>
        <v>6.3140129058613687E-6</v>
      </c>
      <c r="BC247" s="18">
        <f t="shared" si="903"/>
        <v>6.3140129058613687E-6</v>
      </c>
      <c r="BD247" s="18">
        <f t="shared" si="903"/>
        <v>6.3140129058613687E-6</v>
      </c>
      <c r="BE247" s="18">
        <f t="shared" si="903"/>
        <v>6.3140129058613687E-6</v>
      </c>
      <c r="BF247" s="18">
        <f t="shared" si="903"/>
        <v>6.3140129058613687E-6</v>
      </c>
      <c r="BG247" s="18">
        <f t="shared" si="903"/>
        <v>-6.0762804169290322E-7</v>
      </c>
    </row>
    <row r="248" spans="2:59" x14ac:dyDescent="0.25">
      <c r="C248" t="s">
        <v>49</v>
      </c>
      <c r="E248" s="18">
        <f t="shared" ref="E248:AJ248" si="904" xml:space="preserve"> 0.00003 * SIN( ( E217 + E213 - 2 * E222 ) * Deg2Rad  )</f>
        <v>5.1796494513337821E-6</v>
      </c>
      <c r="F248" s="18">
        <f t="shared" si="904"/>
        <v>-2.9989879275096181E-5</v>
      </c>
      <c r="G248" s="18">
        <f t="shared" si="904"/>
        <v>2.5845351160948604E-5</v>
      </c>
      <c r="H248" s="18">
        <f t="shared" si="904"/>
        <v>2.0646341744046061E-5</v>
      </c>
      <c r="I248" s="18">
        <f t="shared" si="904"/>
        <v>3.3862989964526352E-6</v>
      </c>
      <c r="J248" s="18">
        <f t="shared" si="904"/>
        <v>-1.2968434615857474E-5</v>
      </c>
      <c r="K248" s="18">
        <f t="shared" si="904"/>
        <v>-2.8286827420079867E-5</v>
      </c>
      <c r="L248" s="18">
        <f t="shared" si="904"/>
        <v>-2.92732692332295E-5</v>
      </c>
      <c r="M248" s="18">
        <f t="shared" si="904"/>
        <v>2.9492821523683145E-5</v>
      </c>
      <c r="N248" s="18">
        <f t="shared" si="904"/>
        <v>2.19099026430645E-5</v>
      </c>
      <c r="O248" s="18">
        <f t="shared" si="904"/>
        <v>2.286022074180768E-5</v>
      </c>
      <c r="P248" s="18">
        <f t="shared" si="904"/>
        <v>-1.4484927494412628E-5</v>
      </c>
      <c r="Q248" s="18">
        <f t="shared" si="904"/>
        <v>2.1118768593715087E-5</v>
      </c>
      <c r="R248" s="18">
        <f t="shared" si="904"/>
        <v>2.3368544189222402E-5</v>
      </c>
      <c r="S248" s="18">
        <f t="shared" si="904"/>
        <v>-2.5823739482074367E-5</v>
      </c>
      <c r="T248" s="18">
        <f t="shared" si="904"/>
        <v>-2.941469852452213E-5</v>
      </c>
      <c r="U248" s="18">
        <f t="shared" si="904"/>
        <v>-2.2975146649639883E-5</v>
      </c>
      <c r="V248" s="18">
        <f t="shared" si="904"/>
        <v>9.856581901892027E-7</v>
      </c>
      <c r="W248" s="18">
        <f t="shared" si="904"/>
        <v>-6.6336805093612647E-6</v>
      </c>
      <c r="X248" s="18">
        <f t="shared" si="904"/>
        <v>-2.3226933125639374E-5</v>
      </c>
      <c r="Y248" s="18">
        <f t="shared" si="904"/>
        <v>2.9106774106271494E-5</v>
      </c>
      <c r="Z248" s="18">
        <f t="shared" si="904"/>
        <v>6.3862043407064534E-6</v>
      </c>
      <c r="AA248" s="18">
        <f t="shared" si="904"/>
        <v>2.5845351160948604E-5</v>
      </c>
      <c r="AB248" s="18">
        <f t="shared" si="904"/>
        <v>2.87234330394858E-5</v>
      </c>
      <c r="AC248" s="18">
        <f t="shared" si="904"/>
        <v>-2.7239549825750804E-5</v>
      </c>
      <c r="AD248" s="18">
        <f t="shared" si="904"/>
        <v>-2.9999816460483808E-5</v>
      </c>
      <c r="AE248" s="18">
        <f t="shared" si="904"/>
        <v>2.9106774106271494E-5</v>
      </c>
      <c r="AF248" s="18">
        <f t="shared" si="904"/>
        <v>-2.9335131850777183E-5</v>
      </c>
      <c r="AG248" s="18">
        <f t="shared" si="904"/>
        <v>-2.9997413805662392E-5</v>
      </c>
      <c r="AH248" s="18">
        <f t="shared" si="904"/>
        <v>1.8931098627389878E-5</v>
      </c>
      <c r="AI248" s="18">
        <f t="shared" si="904"/>
        <v>-2.0958700143164031E-5</v>
      </c>
      <c r="AJ248" s="18">
        <f t="shared" si="904"/>
        <v>-2.151510192652626E-5</v>
      </c>
      <c r="AK248" s="18">
        <f t="shared" ref="AK248:BG248" si="905" xml:space="preserve"> 0.00003 * SIN( ( AK217 + AK213 - 2 * AK222 ) * Deg2Rad  )</f>
        <v>2.8522383240458156E-5</v>
      </c>
      <c r="AL248" s="18">
        <f t="shared" si="905"/>
        <v>2.9304539633739325E-5</v>
      </c>
      <c r="AM248" s="18">
        <f t="shared" si="905"/>
        <v>-1.1375116895223702E-5</v>
      </c>
      <c r="AN248" s="18">
        <f t="shared" si="905"/>
        <v>1.9375966367346814E-5</v>
      </c>
      <c r="AO248" s="18">
        <f t="shared" si="905"/>
        <v>6.2999372881460928E-7</v>
      </c>
      <c r="AP248" s="18">
        <f t="shared" si="905"/>
        <v>2.4820924760686934E-5</v>
      </c>
      <c r="AQ248" s="18">
        <f t="shared" si="905"/>
        <v>2.4820924760686934E-5</v>
      </c>
      <c r="AR248" s="18">
        <f t="shared" si="905"/>
        <v>2.2781617614382187E-5</v>
      </c>
      <c r="AS248" s="18">
        <f t="shared" si="905"/>
        <v>2.2781617614382187E-5</v>
      </c>
      <c r="AT248" s="18">
        <f t="shared" si="905"/>
        <v>2.2781617614382187E-5</v>
      </c>
      <c r="AU248" s="18">
        <f t="shared" si="905"/>
        <v>5.8499038240644982E-6</v>
      </c>
      <c r="AV248" s="18">
        <f t="shared" si="905"/>
        <v>-2.7326875818990925E-5</v>
      </c>
      <c r="AW248" s="18">
        <f t="shared" si="905"/>
        <v>-7.2493959592281592E-8</v>
      </c>
      <c r="AX248" s="18">
        <f t="shared" si="905"/>
        <v>-1.4347016868315606E-5</v>
      </c>
      <c r="AY248" s="18">
        <f t="shared" si="905"/>
        <v>2.045669590957209E-5</v>
      </c>
      <c r="AZ248" s="18">
        <f t="shared" si="905"/>
        <v>2.045669590957209E-5</v>
      </c>
      <c r="BA248" s="18">
        <f t="shared" si="905"/>
        <v>1.7875307337289743E-5</v>
      </c>
      <c r="BB248" s="18">
        <f t="shared" si="905"/>
        <v>1.7875307337289743E-5</v>
      </c>
      <c r="BC248" s="18">
        <f t="shared" si="905"/>
        <v>1.7875307337289743E-5</v>
      </c>
      <c r="BD248" s="18">
        <f t="shared" si="905"/>
        <v>1.7875307337289743E-5</v>
      </c>
      <c r="BE248" s="18">
        <f t="shared" si="905"/>
        <v>1.7875307337289743E-5</v>
      </c>
      <c r="BF248" s="18">
        <f t="shared" si="905"/>
        <v>1.7875307337289743E-5</v>
      </c>
      <c r="BG248" s="18">
        <f t="shared" si="905"/>
        <v>2.9106774106271494E-5</v>
      </c>
    </row>
    <row r="249" spans="2:59" x14ac:dyDescent="0.25">
      <c r="C249" t="s">
        <v>50</v>
      </c>
      <c r="E249" s="18">
        <f t="shared" ref="E249:AJ249" si="906" xml:space="preserve"> 0.00003 * SIN( ( 2 * E217 + 2 * E222 ) * Deg2Rad  )</f>
        <v>2.359011148589674E-5</v>
      </c>
      <c r="F249" s="18">
        <f t="shared" si="906"/>
        <v>2.1082692319982809E-6</v>
      </c>
      <c r="G249" s="18">
        <f t="shared" si="906"/>
        <v>2.624813982869341E-5</v>
      </c>
      <c r="H249" s="18">
        <f t="shared" si="906"/>
        <v>1.706153951923433E-5</v>
      </c>
      <c r="I249" s="18">
        <f t="shared" si="906"/>
        <v>-7.735363008538869E-6</v>
      </c>
      <c r="J249" s="18">
        <f t="shared" si="906"/>
        <v>-5.1744326993004927E-6</v>
      </c>
      <c r="K249" s="18">
        <f t="shared" si="906"/>
        <v>-2.9610413882070671E-5</v>
      </c>
      <c r="L249" s="18">
        <f t="shared" si="906"/>
        <v>2.8890567238182209E-5</v>
      </c>
      <c r="M249" s="18">
        <f t="shared" si="906"/>
        <v>-4.6237272105123623E-6</v>
      </c>
      <c r="N249" s="18">
        <f t="shared" si="906"/>
        <v>-2.8925105127466569E-5</v>
      </c>
      <c r="O249" s="18">
        <f t="shared" si="906"/>
        <v>-2.9196810333059822E-5</v>
      </c>
      <c r="P249" s="18">
        <f t="shared" si="906"/>
        <v>2.3569800215411354E-5</v>
      </c>
      <c r="Q249" s="18">
        <f t="shared" si="906"/>
        <v>1.7972822706103402E-6</v>
      </c>
      <c r="R249" s="18">
        <f t="shared" si="906"/>
        <v>-2.8272306039340086E-5</v>
      </c>
      <c r="S249" s="18">
        <f t="shared" si="906"/>
        <v>-2.5458186089382581E-5</v>
      </c>
      <c r="T249" s="18">
        <f t="shared" si="906"/>
        <v>-1.8047139650053296E-5</v>
      </c>
      <c r="U249" s="18">
        <f t="shared" si="906"/>
        <v>1.9592646917223629E-5</v>
      </c>
      <c r="V249" s="18">
        <f t="shared" si="906"/>
        <v>1.0321679146343973E-5</v>
      </c>
      <c r="W249" s="18">
        <f t="shared" si="906"/>
        <v>-1.7641028504945928E-5</v>
      </c>
      <c r="X249" s="18">
        <f t="shared" si="906"/>
        <v>2.3502832699259243E-5</v>
      </c>
      <c r="Y249" s="18">
        <f t="shared" si="906"/>
        <v>2.3265329720755221E-5</v>
      </c>
      <c r="Z249" s="18">
        <f t="shared" si="906"/>
        <v>-1.9533616689620266E-5</v>
      </c>
      <c r="AA249" s="18">
        <f t="shared" si="906"/>
        <v>2.624813982869341E-5</v>
      </c>
      <c r="AB249" s="18">
        <f t="shared" si="906"/>
        <v>1.9954807665545716E-6</v>
      </c>
      <c r="AC249" s="18">
        <f t="shared" si="906"/>
        <v>2.9903544706603344E-5</v>
      </c>
      <c r="AD249" s="18">
        <f t="shared" si="906"/>
        <v>-2.5896801712885214E-5</v>
      </c>
      <c r="AE249" s="18">
        <f t="shared" si="906"/>
        <v>2.3265329720755221E-5</v>
      </c>
      <c r="AF249" s="18">
        <f t="shared" si="906"/>
        <v>-2.2215872649440407E-5</v>
      </c>
      <c r="AG249" s="18">
        <f t="shared" si="906"/>
        <v>2.9936578321783657E-5</v>
      </c>
      <c r="AH249" s="18">
        <f t="shared" si="906"/>
        <v>-6.8626228873236384E-6</v>
      </c>
      <c r="AI249" s="18">
        <f t="shared" si="906"/>
        <v>7.9917327706891233E-6</v>
      </c>
      <c r="AJ249" s="18">
        <f t="shared" si="906"/>
        <v>1.1674747859170064E-5</v>
      </c>
      <c r="AK249" s="18">
        <f t="shared" ref="AK249:BG249" si="907" xml:space="preserve"> 0.00003 * SIN( ( 2 * AK217 + 2 * AK222 ) * Deg2Rad  )</f>
        <v>-2.9901184821573716E-5</v>
      </c>
      <c r="AL249" s="18">
        <f t="shared" si="907"/>
        <v>1.4510858973492751E-5</v>
      </c>
      <c r="AM249" s="18">
        <f t="shared" si="907"/>
        <v>-2.3473527844255911E-5</v>
      </c>
      <c r="AN249" s="18">
        <f t="shared" si="907"/>
        <v>1.9268489400781567E-5</v>
      </c>
      <c r="AO249" s="18">
        <f t="shared" si="907"/>
        <v>2.6651281583267611E-5</v>
      </c>
      <c r="AP249" s="18">
        <f t="shared" si="907"/>
        <v>2.3965741040121801E-5</v>
      </c>
      <c r="AQ249" s="18">
        <f t="shared" si="907"/>
        <v>2.3965741040121801E-5</v>
      </c>
      <c r="AR249" s="18">
        <f t="shared" si="907"/>
        <v>-2.5968630311290567E-5</v>
      </c>
      <c r="AS249" s="18">
        <f t="shared" si="907"/>
        <v>-2.5968630311290567E-5</v>
      </c>
      <c r="AT249" s="18">
        <f t="shared" si="907"/>
        <v>-2.5968630311290567E-5</v>
      </c>
      <c r="AU249" s="18">
        <f t="shared" si="907"/>
        <v>-1.3943107872179231E-5</v>
      </c>
      <c r="AV249" s="18">
        <f t="shared" si="907"/>
        <v>1.2567512297591428E-5</v>
      </c>
      <c r="AW249" s="18">
        <f t="shared" si="907"/>
        <v>-2.3233483481471217E-5</v>
      </c>
      <c r="AX249" s="18">
        <f t="shared" si="907"/>
        <v>5.0514251359130531E-6</v>
      </c>
      <c r="AY249" s="18">
        <f t="shared" si="907"/>
        <v>-3.6931965546174659E-6</v>
      </c>
      <c r="AZ249" s="18">
        <f t="shared" si="907"/>
        <v>-3.6931965546174659E-6</v>
      </c>
      <c r="BA249" s="18">
        <f t="shared" si="907"/>
        <v>2.8851743147357974E-5</v>
      </c>
      <c r="BB249" s="18">
        <f t="shared" si="907"/>
        <v>2.8851743147357974E-5</v>
      </c>
      <c r="BC249" s="18">
        <f t="shared" si="907"/>
        <v>2.8851743147357974E-5</v>
      </c>
      <c r="BD249" s="18">
        <f t="shared" si="907"/>
        <v>2.8851743147357974E-5</v>
      </c>
      <c r="BE249" s="18">
        <f t="shared" si="907"/>
        <v>2.8851743147357974E-5</v>
      </c>
      <c r="BF249" s="18">
        <f t="shared" si="907"/>
        <v>2.8851743147357974E-5</v>
      </c>
      <c r="BG249" s="18">
        <f t="shared" si="907"/>
        <v>2.3265329720755221E-5</v>
      </c>
    </row>
    <row r="250" spans="2:59" x14ac:dyDescent="0.25">
      <c r="C250" t="s">
        <v>51</v>
      </c>
      <c r="E250" s="18">
        <f t="shared" ref="E250:AJ250" si="908" xml:space="preserve"> -0.00003 * SIN( ( E217 + E213 + 2 * E222 ) * Deg2Rad  )</f>
        <v>7.37490990313363E-6</v>
      </c>
      <c r="F250" s="18">
        <f t="shared" si="908"/>
        <v>-1.991020649638943E-5</v>
      </c>
      <c r="G250" s="18">
        <f t="shared" si="908"/>
        <v>-2.0715472502186138E-5</v>
      </c>
      <c r="H250" s="18">
        <f t="shared" si="908"/>
        <v>-2.9989875101318057E-5</v>
      </c>
      <c r="I250" s="18">
        <f t="shared" si="908"/>
        <v>-9.4975629964646242E-6</v>
      </c>
      <c r="J250" s="18">
        <f t="shared" si="908"/>
        <v>-1.1654388171991106E-5</v>
      </c>
      <c r="K250" s="18">
        <f t="shared" si="908"/>
        <v>-2.6800435290025383E-5</v>
      </c>
      <c r="L250" s="18">
        <f t="shared" si="908"/>
        <v>1.1228738485524148E-5</v>
      </c>
      <c r="M250" s="18">
        <f t="shared" si="908"/>
        <v>2.1572650665932825E-5</v>
      </c>
      <c r="N250" s="18">
        <f t="shared" si="908"/>
        <v>-5.5919100272311297E-6</v>
      </c>
      <c r="O250" s="18">
        <f t="shared" si="908"/>
        <v>2.6156861932485053E-5</v>
      </c>
      <c r="P250" s="18">
        <f t="shared" si="908"/>
        <v>2.9721925808055495E-5</v>
      </c>
      <c r="Q250" s="18">
        <f t="shared" si="908"/>
        <v>-2.919951072925341E-5</v>
      </c>
      <c r="R250" s="18">
        <f t="shared" si="908"/>
        <v>1.9093898095976332E-5</v>
      </c>
      <c r="S250" s="18">
        <f t="shared" si="908"/>
        <v>2.0023027784445549E-5</v>
      </c>
      <c r="T250" s="18">
        <f t="shared" si="908"/>
        <v>1.5297466213788616E-5</v>
      </c>
      <c r="U250" s="18">
        <f t="shared" si="908"/>
        <v>-2.6177904217335186E-5</v>
      </c>
      <c r="V250" s="18">
        <f t="shared" si="908"/>
        <v>1.2373204317830243E-5</v>
      </c>
      <c r="W250" s="18">
        <f t="shared" si="908"/>
        <v>-1.4848595480470911E-5</v>
      </c>
      <c r="X250" s="18">
        <f t="shared" si="908"/>
        <v>-1.0918161887335793E-5</v>
      </c>
      <c r="Y250" s="18">
        <f t="shared" si="908"/>
        <v>2.9643487510135441E-5</v>
      </c>
      <c r="Z250" s="18">
        <f t="shared" si="908"/>
        <v>2.8024950480819045E-5</v>
      </c>
      <c r="AA250" s="18">
        <f t="shared" si="908"/>
        <v>-2.0715472502186138E-5</v>
      </c>
      <c r="AB250" s="18">
        <f t="shared" si="908"/>
        <v>-2.8621579404783632E-5</v>
      </c>
      <c r="AC250" s="18">
        <f t="shared" si="908"/>
        <v>2.6251123045016592E-5</v>
      </c>
      <c r="AD250" s="18">
        <f t="shared" si="908"/>
        <v>-2.8909908114039093E-5</v>
      </c>
      <c r="AE250" s="18">
        <f t="shared" si="908"/>
        <v>2.9643487510135441E-5</v>
      </c>
      <c r="AF250" s="18">
        <f t="shared" si="908"/>
        <v>-4.5709927044059149E-6</v>
      </c>
      <c r="AG250" s="18">
        <f t="shared" si="908"/>
        <v>-2.075012068364133E-5</v>
      </c>
      <c r="AH250" s="18">
        <f t="shared" si="908"/>
        <v>1.455731005837491E-5</v>
      </c>
      <c r="AI250" s="18">
        <f t="shared" si="908"/>
        <v>-2.0226913373078152E-5</v>
      </c>
      <c r="AJ250" s="18">
        <f t="shared" si="908"/>
        <v>2.3008428575734421E-5</v>
      </c>
      <c r="AK250" s="18">
        <f t="shared" ref="AK250:BG250" si="909" xml:space="preserve"> -0.00003 * SIN( ( AK217 + AK213 + 2 * AK222 ) * Deg2Rad  )</f>
        <v>-2.4578407747664257E-5</v>
      </c>
      <c r="AL250" s="18">
        <f t="shared" si="909"/>
        <v>3.4523886463547559E-6</v>
      </c>
      <c r="AM250" s="18">
        <f t="shared" si="909"/>
        <v>6.6074084754269579E-6</v>
      </c>
      <c r="AN250" s="18">
        <f t="shared" si="909"/>
        <v>-1.6101692306987786E-5</v>
      </c>
      <c r="AO250" s="18">
        <f t="shared" si="909"/>
        <v>-1.3693324200474762E-5</v>
      </c>
      <c r="AP250" s="18">
        <f t="shared" si="909"/>
        <v>2.1704208499453431E-5</v>
      </c>
      <c r="AQ250" s="18">
        <f t="shared" si="909"/>
        <v>2.1704208499453431E-5</v>
      </c>
      <c r="AR250" s="18">
        <f t="shared" si="909"/>
        <v>-2.8176655103877391E-5</v>
      </c>
      <c r="AS250" s="18">
        <f t="shared" si="909"/>
        <v>-2.8176655103877391E-5</v>
      </c>
      <c r="AT250" s="18">
        <f t="shared" si="909"/>
        <v>-2.8176655103877391E-5</v>
      </c>
      <c r="AU250" s="18">
        <f t="shared" si="909"/>
        <v>2.1923981128451801E-5</v>
      </c>
      <c r="AV250" s="18">
        <f t="shared" si="909"/>
        <v>2.9981073686948914E-5</v>
      </c>
      <c r="AW250" s="18">
        <f t="shared" si="909"/>
        <v>-6.2461558239948867E-6</v>
      </c>
      <c r="AX250" s="18">
        <f t="shared" si="909"/>
        <v>1.7908241905608435E-5</v>
      </c>
      <c r="AY250" s="18">
        <f t="shared" si="909"/>
        <v>3.2319551767248215E-6</v>
      </c>
      <c r="AZ250" s="18">
        <f t="shared" si="909"/>
        <v>3.2319551767248215E-6</v>
      </c>
      <c r="BA250" s="18">
        <f t="shared" si="909"/>
        <v>2.5316394967471699E-5</v>
      </c>
      <c r="BB250" s="18">
        <f t="shared" si="909"/>
        <v>2.5316394967471699E-5</v>
      </c>
      <c r="BC250" s="18">
        <f t="shared" si="909"/>
        <v>2.5316394967471699E-5</v>
      </c>
      <c r="BD250" s="18">
        <f t="shared" si="909"/>
        <v>2.5316394967471699E-5</v>
      </c>
      <c r="BE250" s="18">
        <f t="shared" si="909"/>
        <v>2.5316394967471699E-5</v>
      </c>
      <c r="BF250" s="18">
        <f t="shared" si="909"/>
        <v>2.5316394967471699E-5</v>
      </c>
      <c r="BG250" s="18">
        <f t="shared" si="909"/>
        <v>2.9643487510135441E-5</v>
      </c>
    </row>
    <row r="251" spans="2:59" x14ac:dyDescent="0.25">
      <c r="C251" t="s">
        <v>52</v>
      </c>
      <c r="E251" s="18">
        <f t="shared" ref="E251:AJ251" si="910" xml:space="preserve"> 0.00003 * SIN( ( E217 - E213 + 2 * E222 ) * Deg2Rad  )</f>
        <v>-2.426707856526493E-5</v>
      </c>
      <c r="F251" s="18">
        <f t="shared" si="910"/>
        <v>-9.9824636405961968E-6</v>
      </c>
      <c r="G251" s="18">
        <f t="shared" si="910"/>
        <v>4.9301464146216625E-6</v>
      </c>
      <c r="H251" s="18">
        <f t="shared" si="910"/>
        <v>1.6263471652557237E-5</v>
      </c>
      <c r="I251" s="18">
        <f t="shared" si="910"/>
        <v>2.9634362499771812E-5</v>
      </c>
      <c r="J251" s="18">
        <f t="shared" si="910"/>
        <v>5.8826712542854871E-6</v>
      </c>
      <c r="K251" s="18">
        <f t="shared" si="910"/>
        <v>2.5351257956709163E-5</v>
      </c>
      <c r="L251" s="18">
        <f t="shared" si="910"/>
        <v>-6.2684131393658415E-6</v>
      </c>
      <c r="M251" s="18">
        <f t="shared" si="910"/>
        <v>-9.4792016058719099E-6</v>
      </c>
      <c r="N251" s="18">
        <f t="shared" si="910"/>
        <v>2.9177871155531012E-5</v>
      </c>
      <c r="O251" s="18">
        <f t="shared" si="910"/>
        <v>2.0024280793679747E-5</v>
      </c>
      <c r="P251" s="18">
        <f t="shared" si="910"/>
        <v>-1.9620332273165247E-6</v>
      </c>
      <c r="Q251" s="18">
        <f t="shared" si="910"/>
        <v>-2.5246840436077227E-5</v>
      </c>
      <c r="R251" s="18">
        <f t="shared" si="910"/>
        <v>-2.7109551845365527E-5</v>
      </c>
      <c r="S251" s="18">
        <f t="shared" si="910"/>
        <v>-1.1804542415161878E-5</v>
      </c>
      <c r="T251" s="18">
        <f t="shared" si="910"/>
        <v>1.4551059999359163E-5</v>
      </c>
      <c r="U251" s="18">
        <f t="shared" si="910"/>
        <v>-2.9031687663675237E-5</v>
      </c>
      <c r="V251" s="18">
        <f t="shared" si="910"/>
        <v>4.6343157915379278E-6</v>
      </c>
      <c r="W251" s="18">
        <f t="shared" si="910"/>
        <v>-2.9005127469605151E-5</v>
      </c>
      <c r="X251" s="18">
        <f t="shared" si="910"/>
        <v>-2.8903776799804145E-5</v>
      </c>
      <c r="Y251" s="18">
        <f t="shared" si="910"/>
        <v>1.9050880124787455E-5</v>
      </c>
      <c r="Z251" s="18">
        <f t="shared" si="910"/>
        <v>-2.9999980041526935E-5</v>
      </c>
      <c r="AA251" s="18">
        <f t="shared" si="910"/>
        <v>4.9301464146216625E-6</v>
      </c>
      <c r="AB251" s="18">
        <f t="shared" si="910"/>
        <v>2.9921545219245538E-5</v>
      </c>
      <c r="AC251" s="18">
        <f t="shared" si="910"/>
        <v>-1.1366904423146993E-5</v>
      </c>
      <c r="AD251" s="18">
        <f t="shared" si="910"/>
        <v>-2.3586769129843843E-5</v>
      </c>
      <c r="AE251" s="18">
        <f t="shared" si="910"/>
        <v>1.9050880124787455E-5</v>
      </c>
      <c r="AF251" s="18">
        <f t="shared" si="910"/>
        <v>-5.8430014139893001E-7</v>
      </c>
      <c r="AG251" s="18">
        <f t="shared" si="910"/>
        <v>-2.6677423012176071E-5</v>
      </c>
      <c r="AH251" s="18">
        <f t="shared" si="910"/>
        <v>9.4062680238263922E-6</v>
      </c>
      <c r="AI251" s="18">
        <f t="shared" si="910"/>
        <v>-8.4756422767838115E-6</v>
      </c>
      <c r="AJ251" s="18">
        <f t="shared" si="910"/>
        <v>-2.8340419782742438E-5</v>
      </c>
      <c r="AK251" s="18">
        <f t="shared" ref="AK251:BG251" si="911" xml:space="preserve"> 0.00003 * SIN( ( AK217 - AK213 + 2 * AK222 ) * Deg2Rad  )</f>
        <v>6.8079658592817179E-6</v>
      </c>
      <c r="AL251" s="18">
        <f t="shared" si="911"/>
        <v>3.442046201630035E-6</v>
      </c>
      <c r="AM251" s="18">
        <f t="shared" si="911"/>
        <v>-2.8005246378493996E-5</v>
      </c>
      <c r="AN251" s="18">
        <f t="shared" si="911"/>
        <v>-1.8923613391318311E-6</v>
      </c>
      <c r="AO251" s="18">
        <f t="shared" si="911"/>
        <v>1.9406654373724929E-5</v>
      </c>
      <c r="AP251" s="18">
        <f t="shared" si="911"/>
        <v>2.5375924337441078E-5</v>
      </c>
      <c r="AQ251" s="18">
        <f t="shared" si="911"/>
        <v>2.5375924337441078E-5</v>
      </c>
      <c r="AR251" s="18">
        <f t="shared" si="911"/>
        <v>-1.5076789519183719E-7</v>
      </c>
      <c r="AS251" s="18">
        <f t="shared" si="911"/>
        <v>-1.5076789519183719E-7</v>
      </c>
      <c r="AT251" s="18">
        <f t="shared" si="911"/>
        <v>-1.5076789519183719E-7</v>
      </c>
      <c r="AU251" s="18">
        <f t="shared" si="911"/>
        <v>-5.1273853212774336E-6</v>
      </c>
      <c r="AV251" s="18">
        <f t="shared" si="911"/>
        <v>2.4290851419502677E-5</v>
      </c>
      <c r="AW251" s="18">
        <f t="shared" si="911"/>
        <v>2.1144886284828882E-5</v>
      </c>
      <c r="AX251" s="18">
        <f t="shared" si="911"/>
        <v>-2.0192051079556023E-5</v>
      </c>
      <c r="AY251" s="18">
        <f t="shared" si="911"/>
        <v>-2.5535479195759637E-5</v>
      </c>
      <c r="AZ251" s="18">
        <f t="shared" si="911"/>
        <v>-2.5535479195759637E-5</v>
      </c>
      <c r="BA251" s="18">
        <f t="shared" si="911"/>
        <v>-2.6872954165431663E-5</v>
      </c>
      <c r="BB251" s="18">
        <f t="shared" si="911"/>
        <v>-2.6872954165431663E-5</v>
      </c>
      <c r="BC251" s="18">
        <f t="shared" si="911"/>
        <v>-2.6872954165431663E-5</v>
      </c>
      <c r="BD251" s="18">
        <f t="shared" si="911"/>
        <v>-2.6872954165431663E-5</v>
      </c>
      <c r="BE251" s="18">
        <f t="shared" si="911"/>
        <v>-2.6872954165431663E-5</v>
      </c>
      <c r="BF251" s="18">
        <f t="shared" si="911"/>
        <v>-2.6872954165431663E-5</v>
      </c>
      <c r="BG251" s="18">
        <f t="shared" si="911"/>
        <v>1.9050880124787455E-5</v>
      </c>
    </row>
    <row r="252" spans="2:59" x14ac:dyDescent="0.25">
      <c r="C252" t="s">
        <v>53</v>
      </c>
      <c r="E252" s="18">
        <f t="shared" ref="E252:AJ252" si="912" xml:space="preserve"> -0.00002 * SIN( ( E217 - E213 - 2 * E222 ) * Deg2Rad  )</f>
        <v>1.9574629695636172E-5</v>
      </c>
      <c r="F252" s="18">
        <f t="shared" si="912"/>
        <v>-1.8714226805492353E-5</v>
      </c>
      <c r="G252" s="18">
        <f t="shared" si="912"/>
        <v>-8.5391363094521636E-6</v>
      </c>
      <c r="H252" s="18">
        <f t="shared" si="912"/>
        <v>-1.9744269620701243E-5</v>
      </c>
      <c r="I252" s="18">
        <f t="shared" si="912"/>
        <v>1.9226853844111312E-5</v>
      </c>
      <c r="J252" s="18">
        <f t="shared" si="912"/>
        <v>1.208196900106875E-5</v>
      </c>
      <c r="K252" s="18">
        <f t="shared" si="912"/>
        <v>1.5416936960727689E-5</v>
      </c>
      <c r="L252" s="18">
        <f t="shared" si="912"/>
        <v>1.9977514558385188E-5</v>
      </c>
      <c r="M252" s="18">
        <f t="shared" si="912"/>
        <v>-1.5736517758877245E-5</v>
      </c>
      <c r="N252" s="18">
        <f t="shared" si="912"/>
        <v>-1.8447121335834953E-5</v>
      </c>
      <c r="O252" s="18">
        <f t="shared" si="912"/>
        <v>1.5953937043439181E-5</v>
      </c>
      <c r="P252" s="18">
        <f t="shared" si="912"/>
        <v>1.6787135931240527E-5</v>
      </c>
      <c r="Q252" s="18">
        <f t="shared" si="912"/>
        <v>1.9998483047036145E-5</v>
      </c>
      <c r="R252" s="18">
        <f t="shared" si="912"/>
        <v>8.3460590403538362E-6</v>
      </c>
      <c r="S252" s="18">
        <f t="shared" si="912"/>
        <v>-1.6493113869453586E-5</v>
      </c>
      <c r="T252" s="18">
        <f t="shared" si="912"/>
        <v>1.329506961636266E-5</v>
      </c>
      <c r="U252" s="18">
        <f t="shared" si="912"/>
        <v>-1.8070137005793905E-5</v>
      </c>
      <c r="V252" s="18">
        <f t="shared" si="912"/>
        <v>5.9656729546205603E-6</v>
      </c>
      <c r="W252" s="18">
        <f t="shared" si="912"/>
        <v>-1.9986633477585988E-5</v>
      </c>
      <c r="X252" s="18">
        <f t="shared" si="912"/>
        <v>-1.415946274249262E-5</v>
      </c>
      <c r="Y252" s="18">
        <f t="shared" si="912"/>
        <v>1.4042269420632733E-5</v>
      </c>
      <c r="Z252" s="18">
        <f t="shared" si="912"/>
        <v>-1.0931115619989795E-5</v>
      </c>
      <c r="AA252" s="18">
        <f t="shared" si="912"/>
        <v>-8.5391363094521636E-6</v>
      </c>
      <c r="AB252" s="18">
        <f t="shared" si="912"/>
        <v>-1.5683607040906747E-5</v>
      </c>
      <c r="AC252" s="18">
        <f t="shared" si="912"/>
        <v>8.9065582216697425E-6</v>
      </c>
      <c r="AD252" s="18">
        <f t="shared" si="912"/>
        <v>-1.1908155462048703E-5</v>
      </c>
      <c r="AE252" s="18">
        <f t="shared" si="912"/>
        <v>1.4042269420632733E-5</v>
      </c>
      <c r="AF252" s="18">
        <f t="shared" si="912"/>
        <v>1.8548225837867066E-5</v>
      </c>
      <c r="AG252" s="18">
        <f t="shared" si="912"/>
        <v>-5.9453877966633454E-6</v>
      </c>
      <c r="AH252" s="18">
        <f t="shared" si="912"/>
        <v>1.5294435883988896E-5</v>
      </c>
      <c r="AI252" s="18">
        <f t="shared" si="912"/>
        <v>-1.8829449561042051E-5</v>
      </c>
      <c r="AJ252" s="18">
        <f t="shared" si="912"/>
        <v>1.9328627891270199E-5</v>
      </c>
      <c r="AK252" s="18">
        <f t="shared" ref="AK252:BG252" si="913" xml:space="preserve"> -0.00002 * SIN( ( AK217 - AK213 - 2 * AK222 ) * Deg2Rad  )</f>
        <v>-1.8293720779765638E-5</v>
      </c>
      <c r="AL252" s="18">
        <f t="shared" si="913"/>
        <v>1.9537844436584964E-5</v>
      </c>
      <c r="AM252" s="18">
        <f t="shared" si="913"/>
        <v>1.722011212956484E-5</v>
      </c>
      <c r="AN252" s="18">
        <f t="shared" si="913"/>
        <v>3.9484606403241086E-6</v>
      </c>
      <c r="AO252" s="18">
        <f t="shared" si="913"/>
        <v>1.8629839566651705E-5</v>
      </c>
      <c r="AP252" s="18">
        <f t="shared" si="913"/>
        <v>1.3994836902904818E-5</v>
      </c>
      <c r="AQ252" s="18">
        <f t="shared" si="913"/>
        <v>1.3994836902904818E-5</v>
      </c>
      <c r="AR252" s="18">
        <f t="shared" si="913"/>
        <v>-6.9135394234255328E-6</v>
      </c>
      <c r="AS252" s="18">
        <f t="shared" si="913"/>
        <v>-6.9135394234255328E-6</v>
      </c>
      <c r="AT252" s="18">
        <f t="shared" si="913"/>
        <v>-6.9135394234255328E-6</v>
      </c>
      <c r="AU252" s="18">
        <f t="shared" si="913"/>
        <v>-1.4946012684648891E-5</v>
      </c>
      <c r="AV252" s="18">
        <f t="shared" si="913"/>
        <v>-1.9724097694499723E-5</v>
      </c>
      <c r="AW252" s="18">
        <f t="shared" si="913"/>
        <v>-1.079309185663697E-5</v>
      </c>
      <c r="AX252" s="18">
        <f t="shared" si="913"/>
        <v>1.5407007500855663E-5</v>
      </c>
      <c r="AY252" s="18">
        <f t="shared" si="913"/>
        <v>-1.9919342042616693E-5</v>
      </c>
      <c r="AZ252" s="18">
        <f t="shared" si="913"/>
        <v>-1.9919342042616693E-5</v>
      </c>
      <c r="BA252" s="18">
        <f t="shared" si="913"/>
        <v>-1.0156189583960561E-5</v>
      </c>
      <c r="BB252" s="18">
        <f t="shared" si="913"/>
        <v>-1.0156189583960561E-5</v>
      </c>
      <c r="BC252" s="18">
        <f t="shared" si="913"/>
        <v>-1.0156189583960561E-5</v>
      </c>
      <c r="BD252" s="18">
        <f t="shared" si="913"/>
        <v>-1.0156189583960561E-5</v>
      </c>
      <c r="BE252" s="18">
        <f t="shared" si="913"/>
        <v>-1.0156189583960561E-5</v>
      </c>
      <c r="BF252" s="18">
        <f t="shared" si="913"/>
        <v>-1.0156189583960561E-5</v>
      </c>
      <c r="BG252" s="18">
        <f t="shared" si="913"/>
        <v>1.4042269420632733E-5</v>
      </c>
    </row>
    <row r="253" spans="2:59" x14ac:dyDescent="0.25">
      <c r="C253" t="s">
        <v>54</v>
      </c>
      <c r="E253" s="18">
        <f t="shared" ref="E253:AJ253" si="914" xml:space="preserve"> -0.00002 * SIN( ( 3 * E217 + E213 ) * Deg2Rad  )</f>
        <v>1.7623879659729417E-5</v>
      </c>
      <c r="F253" s="18">
        <f t="shared" si="914"/>
        <v>-1.9980327252373537E-5</v>
      </c>
      <c r="G253" s="18">
        <f t="shared" si="914"/>
        <v>-1.7228262156915684E-5</v>
      </c>
      <c r="H253" s="18">
        <f t="shared" si="914"/>
        <v>1.9573740111879894E-5</v>
      </c>
      <c r="I253" s="18">
        <f t="shared" si="914"/>
        <v>2.942754064244354E-6</v>
      </c>
      <c r="J253" s="18">
        <f t="shared" si="914"/>
        <v>-5.4053915562481961E-6</v>
      </c>
      <c r="K253" s="18">
        <f t="shared" si="914"/>
        <v>3.546086740729034E-6</v>
      </c>
      <c r="L253" s="18">
        <f t="shared" si="914"/>
        <v>-1.0444764395703989E-6</v>
      </c>
      <c r="M253" s="18">
        <f t="shared" si="914"/>
        <v>-1.8862543565878096E-5</v>
      </c>
      <c r="N253" s="18">
        <f t="shared" si="914"/>
        <v>-9.2974794581876103E-6</v>
      </c>
      <c r="O253" s="18">
        <f t="shared" si="914"/>
        <v>9.1017335680809554E-6</v>
      </c>
      <c r="P253" s="18">
        <f t="shared" si="914"/>
        <v>1.9734412153396808E-5</v>
      </c>
      <c r="Q253" s="18">
        <f t="shared" si="914"/>
        <v>-1.4904892258498313E-5</v>
      </c>
      <c r="R253" s="18">
        <f t="shared" si="914"/>
        <v>1.7029962111034246E-5</v>
      </c>
      <c r="S253" s="18">
        <f t="shared" si="914"/>
        <v>4.6950413031190878E-7</v>
      </c>
      <c r="T253" s="18">
        <f t="shared" si="914"/>
        <v>1.3299673830489754E-5</v>
      </c>
      <c r="U253" s="18">
        <f t="shared" si="914"/>
        <v>-1.9998256863487166E-5</v>
      </c>
      <c r="V253" s="18">
        <f t="shared" si="914"/>
        <v>6.2604158392156679E-6</v>
      </c>
      <c r="W253" s="18">
        <f t="shared" si="914"/>
        <v>1.5046601403257799E-5</v>
      </c>
      <c r="X253" s="18">
        <f t="shared" si="914"/>
        <v>-1.9540102703250051E-5</v>
      </c>
      <c r="Y253" s="18">
        <f t="shared" si="914"/>
        <v>8.4941231726164616E-6</v>
      </c>
      <c r="Z253" s="18">
        <f t="shared" si="914"/>
        <v>-1.595524457648876E-5</v>
      </c>
      <c r="AA253" s="18">
        <f t="shared" si="914"/>
        <v>-1.7228262156915684E-5</v>
      </c>
      <c r="AB253" s="18">
        <f t="shared" si="914"/>
        <v>1.8722607972599434E-5</v>
      </c>
      <c r="AC253" s="18">
        <f t="shared" si="914"/>
        <v>-9.808156298341306E-6</v>
      </c>
      <c r="AD253" s="18">
        <f t="shared" si="914"/>
        <v>-1.0035875579624595E-5</v>
      </c>
      <c r="AE253" s="18">
        <f t="shared" si="914"/>
        <v>8.4941231726164616E-6</v>
      </c>
      <c r="AF253" s="18">
        <f t="shared" si="914"/>
        <v>1.0041808524804409E-5</v>
      </c>
      <c r="AG253" s="18">
        <f t="shared" si="914"/>
        <v>1.037627706185392E-6</v>
      </c>
      <c r="AH253" s="18">
        <f t="shared" si="914"/>
        <v>-8.7369503697123253E-6</v>
      </c>
      <c r="AI253" s="18">
        <f t="shared" si="914"/>
        <v>9.6555706617002317E-6</v>
      </c>
      <c r="AJ253" s="18">
        <f t="shared" si="914"/>
        <v>-7.7886501933631363E-6</v>
      </c>
      <c r="AK253" s="18">
        <f t="shared" ref="AK253:BG253" si="915" xml:space="preserve"> -0.00002 * SIN( ( 3 * AK217 + AK213 ) * Deg2Rad  )</f>
        <v>-7.7210597736972946E-6</v>
      </c>
      <c r="AL253" s="18">
        <f t="shared" si="915"/>
        <v>-1.9169842144078311E-5</v>
      </c>
      <c r="AM253" s="18">
        <f t="shared" si="915"/>
        <v>9.7581731629623733E-6</v>
      </c>
      <c r="AN253" s="18">
        <f t="shared" si="915"/>
        <v>-1.9707734142313601E-5</v>
      </c>
      <c r="AO253" s="18">
        <f t="shared" si="915"/>
        <v>-1.757077593963973E-5</v>
      </c>
      <c r="AP253" s="18">
        <f t="shared" si="915"/>
        <v>9.7968945825977336E-7</v>
      </c>
      <c r="AQ253" s="18">
        <f t="shared" si="915"/>
        <v>9.7968945825977336E-7</v>
      </c>
      <c r="AR253" s="18">
        <f t="shared" si="915"/>
        <v>1.8868634881978827E-5</v>
      </c>
      <c r="AS253" s="18">
        <f t="shared" si="915"/>
        <v>1.8868634881978827E-5</v>
      </c>
      <c r="AT253" s="18">
        <f t="shared" si="915"/>
        <v>1.8868634881978827E-5</v>
      </c>
      <c r="AU253" s="18">
        <f t="shared" si="915"/>
        <v>5.6638441958253491E-6</v>
      </c>
      <c r="AV253" s="18">
        <f t="shared" si="915"/>
        <v>1.999952307331429E-5</v>
      </c>
      <c r="AW253" s="18">
        <f t="shared" si="915"/>
        <v>-1.5458368915921781E-5</v>
      </c>
      <c r="AX253" s="18">
        <f t="shared" si="915"/>
        <v>-6.4705630805232887E-6</v>
      </c>
      <c r="AY253" s="18">
        <f t="shared" si="915"/>
        <v>-1.1733123089756047E-5</v>
      </c>
      <c r="AZ253" s="18">
        <f t="shared" si="915"/>
        <v>-1.1733123089756047E-5</v>
      </c>
      <c r="BA253" s="18">
        <f t="shared" si="915"/>
        <v>-1.2181804508801224E-5</v>
      </c>
      <c r="BB253" s="18">
        <f t="shared" si="915"/>
        <v>-1.2181804508801224E-5</v>
      </c>
      <c r="BC253" s="18">
        <f t="shared" si="915"/>
        <v>-1.2181804508801224E-5</v>
      </c>
      <c r="BD253" s="18">
        <f t="shared" si="915"/>
        <v>-1.2181804508801224E-5</v>
      </c>
      <c r="BE253" s="18">
        <f t="shared" si="915"/>
        <v>-1.2181804508801224E-5</v>
      </c>
      <c r="BF253" s="18">
        <f t="shared" si="915"/>
        <v>-1.2181804508801224E-5</v>
      </c>
      <c r="BG253" s="18">
        <f t="shared" si="915"/>
        <v>8.4941231726164616E-6</v>
      </c>
    </row>
    <row r="254" spans="2:59" x14ac:dyDescent="0.25">
      <c r="C254" t="s">
        <v>55</v>
      </c>
      <c r="E254" s="18">
        <f t="shared" ref="E254:AJ254" si="916" xml:space="preserve"> 0.00002 * SIN( ( 4 * E217 ) * Deg2Rad  )</f>
        <v>-1.5789794795619202E-5</v>
      </c>
      <c r="F254" s="18">
        <f t="shared" si="916"/>
        <v>-1.3343143865888299E-5</v>
      </c>
      <c r="G254" s="18">
        <f t="shared" si="916"/>
        <v>1.3410844925430042E-5</v>
      </c>
      <c r="H254" s="18">
        <f t="shared" si="916"/>
        <v>-7.2721201443819496E-6</v>
      </c>
      <c r="I254" s="18">
        <f t="shared" si="916"/>
        <v>1.7246120755824711E-6</v>
      </c>
      <c r="J254" s="18">
        <f t="shared" si="916"/>
        <v>-9.5763292076855612E-6</v>
      </c>
      <c r="K254" s="18">
        <f t="shared" si="916"/>
        <v>-8.6838753948813796E-6</v>
      </c>
      <c r="L254" s="18">
        <f t="shared" si="916"/>
        <v>1.5184367168240658E-5</v>
      </c>
      <c r="M254" s="18">
        <f t="shared" si="916"/>
        <v>-5.4248660066713465E-6</v>
      </c>
      <c r="N254" s="18">
        <f t="shared" si="916"/>
        <v>1.8401794502806805E-5</v>
      </c>
      <c r="O254" s="18">
        <f t="shared" si="916"/>
        <v>5.3574961098928982E-6</v>
      </c>
      <c r="P254" s="18">
        <f t="shared" si="916"/>
        <v>1.5374860421637719E-5</v>
      </c>
      <c r="Q254" s="18">
        <f t="shared" si="916"/>
        <v>-8.4902230967859182E-6</v>
      </c>
      <c r="R254" s="18">
        <f t="shared" si="916"/>
        <v>-1.567689315287932E-5</v>
      </c>
      <c r="S254" s="18">
        <f t="shared" si="916"/>
        <v>5.1244018401932636E-6</v>
      </c>
      <c r="T254" s="18">
        <f t="shared" si="916"/>
        <v>-1.1573316933746768E-5</v>
      </c>
      <c r="U254" s="18">
        <f t="shared" si="916"/>
        <v>1.8884022934406016E-5</v>
      </c>
      <c r="V254" s="18">
        <f t="shared" si="916"/>
        <v>4.8409233074698878E-6</v>
      </c>
      <c r="W254" s="18">
        <f t="shared" si="916"/>
        <v>1.6411739696361907E-5</v>
      </c>
      <c r="X254" s="18">
        <f t="shared" si="916"/>
        <v>1.4735146087585914E-5</v>
      </c>
      <c r="Y254" s="18">
        <f t="shared" si="916"/>
        <v>1.9138561273654048E-5</v>
      </c>
      <c r="Z254" s="18">
        <f t="shared" si="916"/>
        <v>8.2777943141259488E-6</v>
      </c>
      <c r="AA254" s="18">
        <f t="shared" si="916"/>
        <v>1.3410844925430042E-5</v>
      </c>
      <c r="AB254" s="18">
        <f t="shared" si="916"/>
        <v>-1.3340608763050201E-5</v>
      </c>
      <c r="AC254" s="18">
        <f t="shared" si="916"/>
        <v>-1.7474777604720752E-6</v>
      </c>
      <c r="AD254" s="18">
        <f t="shared" si="916"/>
        <v>-1.9400057050708478E-5</v>
      </c>
      <c r="AE254" s="18">
        <f t="shared" si="916"/>
        <v>1.9138561273654048E-5</v>
      </c>
      <c r="AF254" s="18">
        <f t="shared" si="916"/>
        <v>8.8933903161029953E-6</v>
      </c>
      <c r="AG254" s="18">
        <f t="shared" si="916"/>
        <v>-1.595960664903296E-5</v>
      </c>
      <c r="AH254" s="18">
        <f t="shared" si="916"/>
        <v>1.3306592839631601E-5</v>
      </c>
      <c r="AI254" s="18">
        <f t="shared" si="916"/>
        <v>-1.6543930350942662E-5</v>
      </c>
      <c r="AJ254" s="18">
        <f t="shared" si="916"/>
        <v>-1.5335130513438579E-5</v>
      </c>
      <c r="AK254" s="18">
        <f t="shared" ref="AK254:BG254" si="917" xml:space="preserve"> 0.00002 * SIN( ( 4 * AK217 ) * Deg2Rad  )</f>
        <v>-1.771565134248712E-5</v>
      </c>
      <c r="AL254" s="18">
        <f t="shared" si="917"/>
        <v>1.2285370573999468E-5</v>
      </c>
      <c r="AM254" s="18">
        <f t="shared" si="917"/>
        <v>1.9964541773674995E-5</v>
      </c>
      <c r="AN254" s="18">
        <f t="shared" si="917"/>
        <v>1.9983807873615951E-5</v>
      </c>
      <c r="AO254" s="18">
        <f t="shared" si="917"/>
        <v>1.9851832276297447E-5</v>
      </c>
      <c r="AP254" s="18">
        <f t="shared" si="917"/>
        <v>-1.3503611772719616E-6</v>
      </c>
      <c r="AQ254" s="18">
        <f t="shared" si="917"/>
        <v>-1.3503611772719616E-6</v>
      </c>
      <c r="AR254" s="18">
        <f t="shared" si="917"/>
        <v>1.9731653454430768E-5</v>
      </c>
      <c r="AS254" s="18">
        <f t="shared" si="917"/>
        <v>1.9731653454430768E-5</v>
      </c>
      <c r="AT254" s="18">
        <f t="shared" si="917"/>
        <v>1.9731653454430768E-5</v>
      </c>
      <c r="AU254" s="18">
        <f t="shared" si="917"/>
        <v>9.7953240070616958E-7</v>
      </c>
      <c r="AV254" s="18">
        <f t="shared" si="917"/>
        <v>7.8552824660336938E-6</v>
      </c>
      <c r="AW254" s="18">
        <f t="shared" si="917"/>
        <v>-1.9998731324135104E-5</v>
      </c>
      <c r="AX254" s="18">
        <f t="shared" si="917"/>
        <v>-9.2251920863227277E-6</v>
      </c>
      <c r="AY254" s="18">
        <f t="shared" si="917"/>
        <v>-7.706548582673149E-6</v>
      </c>
      <c r="AZ254" s="18">
        <f t="shared" si="917"/>
        <v>-7.706548582673149E-6</v>
      </c>
      <c r="BA254" s="18">
        <f t="shared" si="917"/>
        <v>-1.6194316068399783E-5</v>
      </c>
      <c r="BB254" s="18">
        <f t="shared" si="917"/>
        <v>-1.6194316068399783E-5</v>
      </c>
      <c r="BC254" s="18">
        <f t="shared" si="917"/>
        <v>-1.6194316068399783E-5</v>
      </c>
      <c r="BD254" s="18">
        <f t="shared" si="917"/>
        <v>-1.6194316068399783E-5</v>
      </c>
      <c r="BE254" s="18">
        <f t="shared" si="917"/>
        <v>-1.6194316068399783E-5</v>
      </c>
      <c r="BF254" s="18">
        <f t="shared" si="917"/>
        <v>-1.6194316068399783E-5</v>
      </c>
      <c r="BG254" s="18">
        <f t="shared" si="917"/>
        <v>1.9138561273654048E-5</v>
      </c>
    </row>
    <row r="255" spans="2:59" x14ac:dyDescent="0.25">
      <c r="B255">
        <v>351</v>
      </c>
      <c r="C255" s="8" t="s">
        <v>10</v>
      </c>
    </row>
    <row r="256" spans="2:59" x14ac:dyDescent="0.25">
      <c r="C256" t="s">
        <v>11</v>
      </c>
      <c r="D256" s="7" t="s">
        <v>439</v>
      </c>
      <c r="E256" s="18">
        <f xml:space="preserve"> 299.77 + 0.107408 * E202 - 0.009173 * E204^2</f>
        <v>243.75509725538819</v>
      </c>
      <c r="F256" s="18">
        <f t="shared" ref="F256:X256" si="918" xml:space="preserve"> 299.77 + 0.107408 * F202 - 0.009173 * F204^2</f>
        <v>-1917.0480091849154</v>
      </c>
      <c r="G256" s="18">
        <f t="shared" si="918"/>
        <v>299.82370399850089</v>
      </c>
      <c r="H256" s="18">
        <f t="shared" si="918"/>
        <v>298.53480720700031</v>
      </c>
      <c r="I256" s="18">
        <f t="shared" si="918"/>
        <v>282.63827145474562</v>
      </c>
      <c r="J256" s="18">
        <f t="shared" si="918"/>
        <v>283.17532086880595</v>
      </c>
      <c r="K256" s="18">
        <f t="shared" si="918"/>
        <v>283.9271895448083</v>
      </c>
      <c r="L256" s="18">
        <f t="shared" si="918"/>
        <v>284.46423823932264</v>
      </c>
      <c r="M256" s="18">
        <f t="shared" si="918"/>
        <v>166.95084019075998</v>
      </c>
      <c r="N256" s="18">
        <f t="shared" si="918"/>
        <v>-231.6703866066276</v>
      </c>
      <c r="O256" s="18">
        <f t="shared" si="918"/>
        <v>-230.27331245254211</v>
      </c>
      <c r="P256" s="18">
        <f t="shared" si="918"/>
        <v>-1246.0507543198817</v>
      </c>
      <c r="Q256" s="18">
        <f t="shared" si="918"/>
        <v>-2523.229292910959</v>
      </c>
      <c r="R256" s="18">
        <f t="shared" si="918"/>
        <v>-2523.3370156523788</v>
      </c>
      <c r="S256" s="18">
        <f t="shared" si="918"/>
        <v>-3693.1582733971013</v>
      </c>
      <c r="T256" s="18">
        <f t="shared" si="918"/>
        <v>-3693.4818321549606</v>
      </c>
      <c r="U256" s="18">
        <f t="shared" si="918"/>
        <v>-3694.3446560369184</v>
      </c>
      <c r="V256" s="18">
        <f t="shared" si="918"/>
        <v>-8658.1905947897194</v>
      </c>
      <c r="W256" s="18">
        <f t="shared" si="918"/>
        <v>282.96050113915913</v>
      </c>
      <c r="X256" s="18">
        <f t="shared" si="918"/>
        <v>289.61989045228489</v>
      </c>
      <c r="Y256" s="18">
        <f xml:space="preserve"> 299.77 + 0.107408 * Y202 - 0.009173 * Y204^2</f>
        <v>269.42676146442318</v>
      </c>
      <c r="Z256" s="18">
        <f t="shared" ref="Z256:AE256" si="919" xml:space="preserve"> 299.77 + 0.107408 * Z202 - 0.009173 * Z204^2</f>
        <v>358.25187824014472</v>
      </c>
      <c r="AA256" s="18">
        <f t="shared" si="919"/>
        <v>299.82370399850089</v>
      </c>
      <c r="AB256" s="18">
        <f t="shared" si="919"/>
        <v>239.35110275952883</v>
      </c>
      <c r="AC256" s="18">
        <f t="shared" si="919"/>
        <v>271.78980909522903</v>
      </c>
      <c r="AD256" s="18">
        <f t="shared" si="919"/>
        <v>284.24941879749417</v>
      </c>
      <c r="AE256" s="18">
        <f t="shared" si="919"/>
        <v>269.42676146442318</v>
      </c>
      <c r="AF256" s="18">
        <f t="shared" ref="AF256:BG256" si="920" xml:space="preserve"> 299.77 + 0.107408 * AF202 - 0.009173 * AF204^2</f>
        <v>290.47916313480681</v>
      </c>
      <c r="AG256" s="18">
        <f t="shared" si="920"/>
        <v>290.26434503613098</v>
      </c>
      <c r="AH256" s="18">
        <f t="shared" si="920"/>
        <v>288.11616141103679</v>
      </c>
      <c r="AI256" s="18">
        <f t="shared" si="920"/>
        <v>289.51248131300372</v>
      </c>
      <c r="AJ256" s="18">
        <f t="shared" si="920"/>
        <v>291.01620817162893</v>
      </c>
      <c r="AK256" s="18">
        <f t="shared" si="920"/>
        <v>58.017926659474696</v>
      </c>
      <c r="AL256" s="18">
        <f t="shared" si="920"/>
        <v>287.47170538809871</v>
      </c>
      <c r="AM256" s="18">
        <f t="shared" si="920"/>
        <v>-1531.8267479480448</v>
      </c>
      <c r="AN256" s="18">
        <f t="shared" si="920"/>
        <v>300.14592792654634</v>
      </c>
      <c r="AO256" s="18">
        <f t="shared" si="920"/>
        <v>-2359.3968842256077</v>
      </c>
      <c r="AP256" s="18">
        <f t="shared" si="920"/>
        <v>330.00487684628945</v>
      </c>
      <c r="AQ256" s="18">
        <f t="shared" si="920"/>
        <v>330.00487684628945</v>
      </c>
      <c r="AR256" s="18">
        <f t="shared" si="920"/>
        <v>330.11228146442318</v>
      </c>
      <c r="AS256" s="18">
        <f t="shared" si="920"/>
        <v>330.11228146442318</v>
      </c>
      <c r="AT256" s="18">
        <f t="shared" si="920"/>
        <v>330.11228146442318</v>
      </c>
      <c r="AU256" s="18">
        <f t="shared" si="920"/>
        <v>264.48582493475385</v>
      </c>
      <c r="AV256" s="18">
        <f t="shared" si="920"/>
        <v>296.70886712957287</v>
      </c>
      <c r="AW256" s="18">
        <f t="shared" si="920"/>
        <v>213.46380076898174</v>
      </c>
      <c r="AX256" s="18">
        <f t="shared" si="920"/>
        <v>243.11061151519965</v>
      </c>
      <c r="AY256" s="18">
        <f t="shared" si="920"/>
        <v>330.21968607056448</v>
      </c>
      <c r="AZ256" s="18">
        <f t="shared" si="920"/>
        <v>330.21968607056448</v>
      </c>
      <c r="BA256" s="18">
        <f t="shared" si="920"/>
        <v>330.3270906647133</v>
      </c>
      <c r="BB256" s="18">
        <f t="shared" si="920"/>
        <v>330.3270906647133</v>
      </c>
      <c r="BC256" s="18">
        <f t="shared" si="920"/>
        <v>330.3270906647133</v>
      </c>
      <c r="BD256" s="18">
        <f t="shared" si="920"/>
        <v>330.3270906647133</v>
      </c>
      <c r="BE256" s="18">
        <f t="shared" si="920"/>
        <v>330.3270906647133</v>
      </c>
      <c r="BF256" s="18">
        <f t="shared" si="920"/>
        <v>330.3270906647133</v>
      </c>
      <c r="BG256" s="18">
        <f t="shared" si="920"/>
        <v>269.42676146442318</v>
      </c>
    </row>
    <row r="257" spans="2:59" x14ac:dyDescent="0.25">
      <c r="C257" t="s">
        <v>12</v>
      </c>
      <c r="D257" s="7" t="s">
        <v>440</v>
      </c>
      <c r="E257" s="18">
        <f xml:space="preserve"> 251.88 + 0.016321 * E202</f>
        <v>243.36859849999999</v>
      </c>
      <c r="F257" s="18">
        <f t="shared" ref="F257:X257" si="921" xml:space="preserve"> 251.88 + 0.016321 * F202</f>
        <v>-84.585575500000004</v>
      </c>
      <c r="G257" s="18">
        <f t="shared" si="921"/>
        <v>251.8881605</v>
      </c>
      <c r="H257" s="18">
        <f t="shared" si="921"/>
        <v>251.6923085</v>
      </c>
      <c r="I257" s="18">
        <f t="shared" si="921"/>
        <v>249.27680050000001</v>
      </c>
      <c r="J257" s="18">
        <f t="shared" si="921"/>
        <v>249.3584055</v>
      </c>
      <c r="K257" s="18">
        <f t="shared" si="921"/>
        <v>249.47265250000001</v>
      </c>
      <c r="L257" s="18">
        <f t="shared" si="921"/>
        <v>249.55425750000001</v>
      </c>
      <c r="M257" s="18">
        <f t="shared" si="921"/>
        <v>231.6990835</v>
      </c>
      <c r="N257" s="18">
        <f t="shared" si="921"/>
        <v>171.14817349999998</v>
      </c>
      <c r="O257" s="18">
        <f t="shared" si="921"/>
        <v>171.36034649999999</v>
      </c>
      <c r="P257" s="18">
        <f t="shared" si="921"/>
        <v>17.175859500000001</v>
      </c>
      <c r="Q257" s="18">
        <f t="shared" si="921"/>
        <v>-176.45648449999999</v>
      </c>
      <c r="R257" s="18">
        <f t="shared" si="921"/>
        <v>-176.47280549999999</v>
      </c>
      <c r="S257" s="18">
        <f t="shared" si="921"/>
        <v>-353.6046184999999</v>
      </c>
      <c r="T257" s="18">
        <f t="shared" si="921"/>
        <v>-353.65358149999997</v>
      </c>
      <c r="U257" s="18">
        <f t="shared" si="921"/>
        <v>-353.78414950000001</v>
      </c>
      <c r="V257" s="18">
        <f t="shared" si="921"/>
        <v>-1103.0322965</v>
      </c>
      <c r="W257" s="18">
        <f t="shared" si="921"/>
        <v>249.32576349999999</v>
      </c>
      <c r="X257" s="18">
        <f t="shared" si="921"/>
        <v>250.33766549999999</v>
      </c>
      <c r="Y257" s="18">
        <f xml:space="preserve"> 251.88 + 0.016321 * Y202</f>
        <v>247.2693175</v>
      </c>
      <c r="Z257" s="18">
        <f t="shared" ref="Z257:AE257" si="922" xml:space="preserve"> 251.88 + 0.016321 * Z202</f>
        <v>260.76678449999997</v>
      </c>
      <c r="AA257" s="18">
        <f t="shared" si="922"/>
        <v>251.8881605</v>
      </c>
      <c r="AB257" s="18">
        <f t="shared" si="922"/>
        <v>242.69943749999999</v>
      </c>
      <c r="AC257" s="18">
        <f t="shared" si="922"/>
        <v>247.62837949999999</v>
      </c>
      <c r="AD257" s="18">
        <f t="shared" si="922"/>
        <v>249.5216155</v>
      </c>
      <c r="AE257" s="18">
        <f t="shared" si="922"/>
        <v>247.2693175</v>
      </c>
      <c r="AF257" s="18">
        <f t="shared" ref="AF257:BG257" si="923" xml:space="preserve"> 251.88 + 0.016321 * AF202</f>
        <v>250.4682335</v>
      </c>
      <c r="AG257" s="18">
        <f t="shared" si="923"/>
        <v>250.43559149999999</v>
      </c>
      <c r="AH257" s="18">
        <f t="shared" si="923"/>
        <v>250.1091715</v>
      </c>
      <c r="AI257" s="18">
        <f t="shared" si="923"/>
        <v>250.32134450000001</v>
      </c>
      <c r="AJ257" s="18">
        <f t="shared" si="923"/>
        <v>250.54983849999999</v>
      </c>
      <c r="AK257" s="18">
        <f t="shared" si="923"/>
        <v>215.14958949999999</v>
      </c>
      <c r="AL257" s="18">
        <f t="shared" si="923"/>
        <v>250.0112455</v>
      </c>
      <c r="AM257" s="18">
        <f t="shared" si="923"/>
        <v>-26.172716499999979</v>
      </c>
      <c r="AN257" s="18">
        <f t="shared" si="923"/>
        <v>251.93712349999998</v>
      </c>
      <c r="AO257" s="18">
        <f t="shared" si="923"/>
        <v>-151.63224349999996</v>
      </c>
      <c r="AP257" s="18">
        <f t="shared" si="923"/>
        <v>256.47436149999999</v>
      </c>
      <c r="AQ257" s="18">
        <f t="shared" si="923"/>
        <v>256.47436149999999</v>
      </c>
      <c r="AR257" s="18">
        <f t="shared" si="923"/>
        <v>256.49068249999999</v>
      </c>
      <c r="AS257" s="18">
        <f t="shared" si="923"/>
        <v>256.49068249999999</v>
      </c>
      <c r="AT257" s="18">
        <f t="shared" si="923"/>
        <v>256.49068249999999</v>
      </c>
      <c r="AU257" s="18">
        <f t="shared" si="923"/>
        <v>246.5185515</v>
      </c>
      <c r="AV257" s="18">
        <f t="shared" si="923"/>
        <v>251.4148515</v>
      </c>
      <c r="AW257" s="18">
        <f t="shared" si="923"/>
        <v>238.7660765</v>
      </c>
      <c r="AX257" s="18">
        <f t="shared" si="923"/>
        <v>243.27067249999999</v>
      </c>
      <c r="AY257" s="18">
        <f t="shared" si="923"/>
        <v>256.5070035</v>
      </c>
      <c r="AZ257" s="18">
        <f t="shared" si="923"/>
        <v>256.5070035</v>
      </c>
      <c r="BA257" s="18">
        <f t="shared" si="923"/>
        <v>256.5233245</v>
      </c>
      <c r="BB257" s="18">
        <f t="shared" si="923"/>
        <v>256.5233245</v>
      </c>
      <c r="BC257" s="18">
        <f t="shared" si="923"/>
        <v>256.5233245</v>
      </c>
      <c r="BD257" s="18">
        <f t="shared" si="923"/>
        <v>256.5233245</v>
      </c>
      <c r="BE257" s="18">
        <f t="shared" si="923"/>
        <v>256.5233245</v>
      </c>
      <c r="BF257" s="18">
        <f t="shared" si="923"/>
        <v>256.5233245</v>
      </c>
      <c r="BG257" s="18">
        <f t="shared" si="923"/>
        <v>247.2693175</v>
      </c>
    </row>
    <row r="258" spans="2:59" x14ac:dyDescent="0.25">
      <c r="C258" t="s">
        <v>13</v>
      </c>
      <c r="D258" s="7" t="s">
        <v>441</v>
      </c>
      <c r="E258" s="18">
        <f xml:space="preserve"> 251.83 + 26.651886 * E202</f>
        <v>-13647.128549000001</v>
      </c>
      <c r="F258" s="18">
        <f t="shared" ref="F258:X258" si="924" xml:space="preserve"> 251.83 + 26.651886 * F202</f>
        <v>-549190.12583300006</v>
      </c>
      <c r="G258" s="18">
        <f t="shared" si="924"/>
        <v>265.15594300000004</v>
      </c>
      <c r="H258" s="18">
        <f t="shared" si="924"/>
        <v>-54.666688999999991</v>
      </c>
      <c r="I258" s="18">
        <f t="shared" si="924"/>
        <v>-3999.1458170000005</v>
      </c>
      <c r="J258" s="18">
        <f t="shared" si="924"/>
        <v>-3865.8863870000005</v>
      </c>
      <c r="K258" s="18">
        <f t="shared" si="924"/>
        <v>-3679.3231850000002</v>
      </c>
      <c r="L258" s="18">
        <f t="shared" si="924"/>
        <v>-3546.0637550000001</v>
      </c>
      <c r="M258" s="18">
        <f t="shared" si="924"/>
        <v>-32703.227038999998</v>
      </c>
      <c r="N258" s="18">
        <f t="shared" si="924"/>
        <v>-131581.72409900001</v>
      </c>
      <c r="O258" s="18">
        <f t="shared" si="924"/>
        <v>-131235.24958100001</v>
      </c>
      <c r="P258" s="18">
        <f t="shared" si="924"/>
        <v>-383015.61662300001</v>
      </c>
      <c r="Q258" s="18">
        <f t="shared" si="924"/>
        <v>-699213.5921270001</v>
      </c>
      <c r="R258" s="18">
        <f t="shared" si="924"/>
        <v>-699240.24401300005</v>
      </c>
      <c r="S258" s="18">
        <f t="shared" si="924"/>
        <v>-988493.16277100006</v>
      </c>
      <c r="T258" s="18">
        <f t="shared" si="924"/>
        <v>-988573.11842900002</v>
      </c>
      <c r="U258" s="18">
        <f t="shared" si="924"/>
        <v>-988786.33351700008</v>
      </c>
      <c r="V258" s="18">
        <f t="shared" si="924"/>
        <v>-2212294.4641189999</v>
      </c>
      <c r="W258" s="18">
        <f t="shared" si="924"/>
        <v>-3919.1901590000007</v>
      </c>
      <c r="X258" s="18">
        <f t="shared" si="924"/>
        <v>-2266.7732270000001</v>
      </c>
      <c r="Y258" s="18">
        <f xml:space="preserve"> 251.83 + 26.651886 * Y202</f>
        <v>-7277.3277950000002</v>
      </c>
      <c r="Z258" s="18">
        <f t="shared" ref="Z258:AE258" si="925" xml:space="preserve"> 251.83 + 26.651886 * Z202</f>
        <v>14763.781927</v>
      </c>
      <c r="AA258" s="18">
        <f t="shared" si="925"/>
        <v>265.15594300000004</v>
      </c>
      <c r="AB258" s="18">
        <f t="shared" si="925"/>
        <v>-14739.855875000001</v>
      </c>
      <c r="AC258" s="18">
        <f t="shared" si="925"/>
        <v>-6690.9863030000006</v>
      </c>
      <c r="AD258" s="18">
        <f t="shared" si="925"/>
        <v>-3599.3675270000003</v>
      </c>
      <c r="AE258" s="18">
        <f t="shared" si="925"/>
        <v>-7277.3277950000002</v>
      </c>
      <c r="AF258" s="18">
        <f t="shared" ref="AF258:BG258" si="926" xml:space="preserve"> 251.83 + 26.651886 * AF202</f>
        <v>-2053.5581390000002</v>
      </c>
      <c r="AG258" s="18">
        <f t="shared" si="926"/>
        <v>-2106.861911</v>
      </c>
      <c r="AH258" s="18">
        <f t="shared" si="926"/>
        <v>-2639.8996310000002</v>
      </c>
      <c r="AI258" s="18">
        <f t="shared" si="926"/>
        <v>-2293.4251130000002</v>
      </c>
      <c r="AJ258" s="18">
        <f t="shared" si="926"/>
        <v>-1920.2987090000001</v>
      </c>
      <c r="AK258" s="18">
        <f t="shared" si="926"/>
        <v>-59728.239442999999</v>
      </c>
      <c r="AL258" s="18">
        <f t="shared" si="926"/>
        <v>-2799.8109470000004</v>
      </c>
      <c r="AM258" s="18">
        <f t="shared" si="926"/>
        <v>-453803.02583900001</v>
      </c>
      <c r="AN258" s="18">
        <f t="shared" si="926"/>
        <v>345.11160100000001</v>
      </c>
      <c r="AO258" s="18">
        <f t="shared" si="926"/>
        <v>-658676.0735210001</v>
      </c>
      <c r="AP258" s="18">
        <f t="shared" si="926"/>
        <v>7754.3359090000004</v>
      </c>
      <c r="AQ258" s="18">
        <f t="shared" si="926"/>
        <v>7754.3359090000004</v>
      </c>
      <c r="AR258" s="18">
        <f t="shared" si="926"/>
        <v>7780.987795</v>
      </c>
      <c r="AS258" s="18">
        <f t="shared" si="926"/>
        <v>7780.987795</v>
      </c>
      <c r="AT258" s="18">
        <f t="shared" si="926"/>
        <v>7780.987795</v>
      </c>
      <c r="AU258" s="18">
        <f t="shared" si="926"/>
        <v>-8503.3145510000013</v>
      </c>
      <c r="AV258" s="18">
        <f t="shared" si="926"/>
        <v>-507.74875099999997</v>
      </c>
      <c r="AW258" s="18">
        <f t="shared" si="926"/>
        <v>-21162.960401</v>
      </c>
      <c r="AX258" s="18">
        <f t="shared" si="926"/>
        <v>-13807.039865000001</v>
      </c>
      <c r="AY258" s="18">
        <f t="shared" si="926"/>
        <v>7807.6396810000006</v>
      </c>
      <c r="AZ258" s="18">
        <f t="shared" si="926"/>
        <v>7807.6396810000006</v>
      </c>
      <c r="BA258" s="18">
        <f t="shared" si="926"/>
        <v>7834.2915670000002</v>
      </c>
      <c r="BB258" s="18">
        <f t="shared" si="926"/>
        <v>7834.2915670000002</v>
      </c>
      <c r="BC258" s="18">
        <f t="shared" si="926"/>
        <v>7834.2915670000002</v>
      </c>
      <c r="BD258" s="18">
        <f t="shared" si="926"/>
        <v>7834.2915670000002</v>
      </c>
      <c r="BE258" s="18">
        <f t="shared" si="926"/>
        <v>7834.2915670000002</v>
      </c>
      <c r="BF258" s="18">
        <f t="shared" si="926"/>
        <v>7834.2915670000002</v>
      </c>
      <c r="BG258" s="18">
        <f t="shared" si="926"/>
        <v>-7277.3277950000002</v>
      </c>
    </row>
    <row r="259" spans="2:59" x14ac:dyDescent="0.25">
      <c r="C259" t="s">
        <v>14</v>
      </c>
      <c r="D259" s="7" t="s">
        <v>442</v>
      </c>
      <c r="E259" s="18">
        <f xml:space="preserve"> 349.42 + 36.412478 * E202</f>
        <v>-18639.687277000001</v>
      </c>
      <c r="F259" s="18">
        <f t="shared" ref="F259:X259" si="927" xml:space="preserve"> 349.42 + 36.412478 * F202</f>
        <v>-750312.02020899998</v>
      </c>
      <c r="G259" s="18">
        <f t="shared" si="927"/>
        <v>367.626239</v>
      </c>
      <c r="H259" s="18">
        <f t="shared" si="927"/>
        <v>-69.323496999999975</v>
      </c>
      <c r="I259" s="18">
        <f t="shared" si="927"/>
        <v>-5458.3702409999996</v>
      </c>
      <c r="J259" s="18">
        <f t="shared" si="927"/>
        <v>-5276.3078509999996</v>
      </c>
      <c r="K259" s="18">
        <f t="shared" si="927"/>
        <v>-5021.420505</v>
      </c>
      <c r="L259" s="18">
        <f t="shared" si="927"/>
        <v>-4839.358115</v>
      </c>
      <c r="M259" s="18">
        <f t="shared" si="927"/>
        <v>-44674.609047000005</v>
      </c>
      <c r="N259" s="18">
        <f t="shared" si="927"/>
        <v>-179764.90242699999</v>
      </c>
      <c r="O259" s="18">
        <f t="shared" si="927"/>
        <v>-179291.540213</v>
      </c>
      <c r="P259" s="18">
        <f t="shared" si="927"/>
        <v>-523280.21987900004</v>
      </c>
      <c r="Q259" s="18">
        <f t="shared" si="927"/>
        <v>-955277.858871</v>
      </c>
      <c r="R259" s="18">
        <f t="shared" si="927"/>
        <v>-955314.27134899993</v>
      </c>
      <c r="S259" s="18">
        <f t="shared" si="927"/>
        <v>-1350498.8950830002</v>
      </c>
      <c r="T259" s="18">
        <f t="shared" si="927"/>
        <v>-1350608.1325170002</v>
      </c>
      <c r="U259" s="18">
        <f t="shared" si="927"/>
        <v>-1350899.4323410001</v>
      </c>
      <c r="V259" s="18">
        <f t="shared" si="927"/>
        <v>-3022487.0598869999</v>
      </c>
      <c r="W259" s="18">
        <f t="shared" si="927"/>
        <v>-5349.132807</v>
      </c>
      <c r="X259" s="18">
        <f t="shared" si="927"/>
        <v>-3091.5591709999999</v>
      </c>
      <c r="Y259" s="18">
        <f xml:space="preserve"> 349.42 + 36.412478 * Y202</f>
        <v>-9937.1050350000005</v>
      </c>
      <c r="Z259" s="18">
        <f t="shared" ref="Z259:AE259" si="928" xml:space="preserve"> 349.42 + 36.412478 * Z202</f>
        <v>20176.014271</v>
      </c>
      <c r="AA259" s="18">
        <f t="shared" si="928"/>
        <v>367.626239</v>
      </c>
      <c r="AB259" s="18">
        <f t="shared" si="928"/>
        <v>-20132.598875000003</v>
      </c>
      <c r="AC259" s="18">
        <f t="shared" si="928"/>
        <v>-9136.0305189999999</v>
      </c>
      <c r="AD259" s="18">
        <f t="shared" si="928"/>
        <v>-4912.1830710000004</v>
      </c>
      <c r="AE259" s="18">
        <f t="shared" si="928"/>
        <v>-9937.1050350000005</v>
      </c>
      <c r="AF259" s="18">
        <f t="shared" ref="AF259:BG259" si="929" xml:space="preserve"> 349.42 + 36.412478 * AF202</f>
        <v>-2800.2593470000002</v>
      </c>
      <c r="AG259" s="18">
        <f t="shared" si="929"/>
        <v>-2873.0843030000001</v>
      </c>
      <c r="AH259" s="18">
        <f t="shared" si="929"/>
        <v>-3601.3338629999998</v>
      </c>
      <c r="AI259" s="18">
        <f t="shared" si="929"/>
        <v>-3127.9716490000001</v>
      </c>
      <c r="AJ259" s="18">
        <f t="shared" si="929"/>
        <v>-2618.1969570000001</v>
      </c>
      <c r="AK259" s="18">
        <f t="shared" si="929"/>
        <v>-81596.861739</v>
      </c>
      <c r="AL259" s="18">
        <f t="shared" si="929"/>
        <v>-3819.8087310000001</v>
      </c>
      <c r="AM259" s="18">
        <f t="shared" si="929"/>
        <v>-619991.76144699997</v>
      </c>
      <c r="AN259" s="18">
        <f t="shared" si="929"/>
        <v>476.86367300000001</v>
      </c>
      <c r="AO259" s="18">
        <f t="shared" si="929"/>
        <v>-899894.47983299999</v>
      </c>
      <c r="AP259" s="18">
        <f t="shared" si="929"/>
        <v>10599.532557</v>
      </c>
      <c r="AQ259" s="18">
        <f t="shared" si="929"/>
        <v>10599.532557</v>
      </c>
      <c r="AR259" s="18">
        <f t="shared" si="929"/>
        <v>10635.945035000001</v>
      </c>
      <c r="AS259" s="18">
        <f t="shared" si="929"/>
        <v>10635.945035000001</v>
      </c>
      <c r="AT259" s="18">
        <f t="shared" si="929"/>
        <v>10635.945035000001</v>
      </c>
      <c r="AU259" s="18">
        <f t="shared" si="929"/>
        <v>-11612.079023</v>
      </c>
      <c r="AV259" s="18">
        <f t="shared" si="929"/>
        <v>-688.33562299999994</v>
      </c>
      <c r="AW259" s="18">
        <f t="shared" si="929"/>
        <v>-28908.006073</v>
      </c>
      <c r="AX259" s="18">
        <f t="shared" si="929"/>
        <v>-18858.162145000002</v>
      </c>
      <c r="AY259" s="18">
        <f t="shared" si="929"/>
        <v>10672.357513000001</v>
      </c>
      <c r="AZ259" s="18">
        <f t="shared" si="929"/>
        <v>10672.357513000001</v>
      </c>
      <c r="BA259" s="18">
        <f t="shared" si="929"/>
        <v>10708.769990999999</v>
      </c>
      <c r="BB259" s="18">
        <f t="shared" si="929"/>
        <v>10708.769990999999</v>
      </c>
      <c r="BC259" s="18">
        <f t="shared" si="929"/>
        <v>10708.769990999999</v>
      </c>
      <c r="BD259" s="18">
        <f t="shared" si="929"/>
        <v>10708.769990999999</v>
      </c>
      <c r="BE259" s="18">
        <f t="shared" si="929"/>
        <v>10708.769990999999</v>
      </c>
      <c r="BF259" s="18">
        <f t="shared" si="929"/>
        <v>10708.769990999999</v>
      </c>
      <c r="BG259" s="18">
        <f t="shared" si="929"/>
        <v>-9937.1050350000005</v>
      </c>
    </row>
    <row r="260" spans="2:59" x14ac:dyDescent="0.25">
      <c r="C260" t="s">
        <v>15</v>
      </c>
      <c r="D260" s="7" t="s">
        <v>443</v>
      </c>
      <c r="E260" s="18">
        <f xml:space="preserve"> 84.66 + 18.206239 * E202</f>
        <v>-9409.8936384999997</v>
      </c>
      <c r="F260" s="18">
        <f t="shared" ref="F260:X260" si="930" xml:space="preserve"> 84.66 + 18.206239 * F202</f>
        <v>-375246.06010450004</v>
      </c>
      <c r="G260" s="18">
        <f t="shared" si="930"/>
        <v>93.763119500000002</v>
      </c>
      <c r="H260" s="18">
        <f t="shared" si="930"/>
        <v>-124.7117485</v>
      </c>
      <c r="I260" s="18">
        <f t="shared" si="930"/>
        <v>-2819.2351205</v>
      </c>
      <c r="J260" s="18">
        <f t="shared" si="930"/>
        <v>-2728.2039255</v>
      </c>
      <c r="K260" s="18">
        <f t="shared" si="930"/>
        <v>-2600.7602525000002</v>
      </c>
      <c r="L260" s="18">
        <f t="shared" si="930"/>
        <v>-2509.7290575000002</v>
      </c>
      <c r="M260" s="18">
        <f t="shared" si="930"/>
        <v>-22427.354523500002</v>
      </c>
      <c r="N260" s="18">
        <f t="shared" si="930"/>
        <v>-89972.5012135</v>
      </c>
      <c r="O260" s="18">
        <f t="shared" si="930"/>
        <v>-89735.820106500003</v>
      </c>
      <c r="P260" s="18">
        <f t="shared" si="930"/>
        <v>-261730.15993950001</v>
      </c>
      <c r="Q260" s="18">
        <f t="shared" si="930"/>
        <v>-477728.97943550005</v>
      </c>
      <c r="R260" s="18">
        <f t="shared" si="930"/>
        <v>-477747.18567450001</v>
      </c>
      <c r="S260" s="18">
        <f t="shared" si="930"/>
        <v>-675339.49754150002</v>
      </c>
      <c r="T260" s="18">
        <f t="shared" si="930"/>
        <v>-675394.11625850003</v>
      </c>
      <c r="U260" s="18">
        <f t="shared" si="930"/>
        <v>-675539.76617049996</v>
      </c>
      <c r="V260" s="18">
        <f t="shared" si="930"/>
        <v>-1511333.5799435</v>
      </c>
      <c r="W260" s="18">
        <f t="shared" si="930"/>
        <v>-2764.6164035000002</v>
      </c>
      <c r="X260" s="18">
        <f t="shared" si="930"/>
        <v>-1635.8295854999999</v>
      </c>
      <c r="Y260" s="18">
        <f xml:space="preserve"> 84.66 + 18.206239 * Y202</f>
        <v>-5058.6025175000004</v>
      </c>
      <c r="Z260" s="18">
        <f t="shared" ref="Z260:AE260" si="931" xml:space="preserve"> 84.66 + 18.206239 * Z202</f>
        <v>9997.9571355000007</v>
      </c>
      <c r="AA260" s="18">
        <f t="shared" si="931"/>
        <v>93.763119500000002</v>
      </c>
      <c r="AB260" s="18">
        <f t="shared" si="931"/>
        <v>-10156.349437500001</v>
      </c>
      <c r="AC260" s="18">
        <f t="shared" si="931"/>
        <v>-4658.0652595000001</v>
      </c>
      <c r="AD260" s="18">
        <f t="shared" si="931"/>
        <v>-2546.1415355000004</v>
      </c>
      <c r="AE260" s="18">
        <f t="shared" si="931"/>
        <v>-5058.6025175000004</v>
      </c>
      <c r="AF260" s="18">
        <f t="shared" ref="AF260:BG260" si="932" xml:space="preserve"> 84.66 + 18.206239 * AF202</f>
        <v>-1490.1796735</v>
      </c>
      <c r="AG260" s="18">
        <f t="shared" si="932"/>
        <v>-1526.5921515</v>
      </c>
      <c r="AH260" s="18">
        <f t="shared" si="932"/>
        <v>-1890.7169314999999</v>
      </c>
      <c r="AI260" s="18">
        <f t="shared" si="932"/>
        <v>-1654.0358245</v>
      </c>
      <c r="AJ260" s="18">
        <f t="shared" si="932"/>
        <v>-1399.1484785</v>
      </c>
      <c r="AK260" s="18">
        <f t="shared" si="932"/>
        <v>-40888.480869499996</v>
      </c>
      <c r="AL260" s="18">
        <f t="shared" si="932"/>
        <v>-1999.9543655</v>
      </c>
      <c r="AM260" s="18">
        <f t="shared" si="932"/>
        <v>-310085.93072350003</v>
      </c>
      <c r="AN260" s="18">
        <f t="shared" si="932"/>
        <v>148.38183649999999</v>
      </c>
      <c r="AO260" s="18">
        <f t="shared" si="932"/>
        <v>-450037.28991650004</v>
      </c>
      <c r="AP260" s="18">
        <f t="shared" si="932"/>
        <v>5209.7162785</v>
      </c>
      <c r="AQ260" s="18">
        <f t="shared" si="932"/>
        <v>5209.7162785</v>
      </c>
      <c r="AR260" s="18">
        <f t="shared" si="932"/>
        <v>5227.9225175000001</v>
      </c>
      <c r="AS260" s="18">
        <f t="shared" si="932"/>
        <v>5227.9225175000001</v>
      </c>
      <c r="AT260" s="18">
        <f t="shared" si="932"/>
        <v>5227.9225175000001</v>
      </c>
      <c r="AU260" s="18">
        <f t="shared" si="932"/>
        <v>-5896.0895115000003</v>
      </c>
      <c r="AV260" s="18">
        <f t="shared" si="932"/>
        <v>-434.21781150000004</v>
      </c>
      <c r="AW260" s="18">
        <f t="shared" si="932"/>
        <v>-14544.0530365</v>
      </c>
      <c r="AX260" s="18">
        <f t="shared" si="932"/>
        <v>-9519.1310725000003</v>
      </c>
      <c r="AY260" s="18">
        <f t="shared" si="932"/>
        <v>5246.1287565000002</v>
      </c>
      <c r="AZ260" s="18">
        <f t="shared" si="932"/>
        <v>5246.1287565000002</v>
      </c>
      <c r="BA260" s="18">
        <f t="shared" si="932"/>
        <v>5264.3349954999994</v>
      </c>
      <c r="BB260" s="18">
        <f t="shared" si="932"/>
        <v>5264.3349954999994</v>
      </c>
      <c r="BC260" s="18">
        <f t="shared" si="932"/>
        <v>5264.3349954999994</v>
      </c>
      <c r="BD260" s="18">
        <f t="shared" si="932"/>
        <v>5264.3349954999994</v>
      </c>
      <c r="BE260" s="18">
        <f t="shared" si="932"/>
        <v>5264.3349954999994</v>
      </c>
      <c r="BF260" s="18">
        <f t="shared" si="932"/>
        <v>5264.3349954999994</v>
      </c>
      <c r="BG260" s="18">
        <f t="shared" si="932"/>
        <v>-5058.6025175000004</v>
      </c>
    </row>
    <row r="261" spans="2:59" x14ac:dyDescent="0.25">
      <c r="C261" t="s">
        <v>16</v>
      </c>
      <c r="D261" s="7" t="s">
        <v>444</v>
      </c>
      <c r="E261" s="18">
        <f xml:space="preserve"> 141.74 + 53.303771 * E202</f>
        <v>-27656.176576499998</v>
      </c>
      <c r="F261" s="18">
        <f t="shared" ref="F261:X261" si="933" xml:space="preserve"> 141.74 + 53.303771 * F202</f>
        <v>-1098742.1510504999</v>
      </c>
      <c r="G261" s="18">
        <f t="shared" si="933"/>
        <v>168.3918855</v>
      </c>
      <c r="H261" s="18">
        <f t="shared" si="933"/>
        <v>-471.25336649999997</v>
      </c>
      <c r="I261" s="18">
        <f t="shared" si="933"/>
        <v>-8360.2114744999999</v>
      </c>
      <c r="J261" s="18">
        <f t="shared" si="933"/>
        <v>-8093.6926194999996</v>
      </c>
      <c r="K261" s="18">
        <f t="shared" si="933"/>
        <v>-7720.5662224999996</v>
      </c>
      <c r="L261" s="18">
        <f t="shared" si="933"/>
        <v>-7454.0473675000003</v>
      </c>
      <c r="M261" s="18">
        <f t="shared" si="933"/>
        <v>-65768.372841499993</v>
      </c>
      <c r="N261" s="18">
        <f t="shared" si="933"/>
        <v>-263525.36325150001</v>
      </c>
      <c r="O261" s="18">
        <f t="shared" si="933"/>
        <v>-262832.41422849998</v>
      </c>
      <c r="P261" s="18">
        <f t="shared" si="933"/>
        <v>-766393.13886549999</v>
      </c>
      <c r="Q261" s="18">
        <f t="shared" si="933"/>
        <v>-1398789.0780094999</v>
      </c>
      <c r="R261" s="18">
        <f t="shared" si="933"/>
        <v>-1398842.3817805001</v>
      </c>
      <c r="S261" s="18">
        <f t="shared" si="933"/>
        <v>-1977348.2084434999</v>
      </c>
      <c r="T261" s="18">
        <f t="shared" si="933"/>
        <v>-1977508.1197565</v>
      </c>
      <c r="U261" s="18">
        <f t="shared" si="933"/>
        <v>-1977934.5499244998</v>
      </c>
      <c r="V261" s="18">
        <f t="shared" si="933"/>
        <v>-4424950.7652214998</v>
      </c>
      <c r="W261" s="18">
        <f t="shared" si="933"/>
        <v>-8200.3001614999994</v>
      </c>
      <c r="X261" s="18">
        <f t="shared" si="933"/>
        <v>-4895.4663595000002</v>
      </c>
      <c r="Y261" s="18">
        <f xml:space="preserve"> 141.74 + 53.303771 * Y202</f>
        <v>-14916.575307499999</v>
      </c>
      <c r="Z261" s="18">
        <f t="shared" ref="Z261:AE261" si="934" xml:space="preserve"> 141.74 + 53.303771 * Z202</f>
        <v>29165.643309499999</v>
      </c>
      <c r="AA261" s="18">
        <f t="shared" si="934"/>
        <v>168.3918855</v>
      </c>
      <c r="AB261" s="18">
        <f t="shared" si="934"/>
        <v>-29841.631187499996</v>
      </c>
      <c r="AC261" s="18">
        <f t="shared" si="934"/>
        <v>-13743.8923455</v>
      </c>
      <c r="AD261" s="18">
        <f t="shared" si="934"/>
        <v>-7560.6549095</v>
      </c>
      <c r="AE261" s="18">
        <f t="shared" si="934"/>
        <v>-14916.575307499999</v>
      </c>
      <c r="AF261" s="18">
        <f t="shared" ref="AF261:BG261" si="935" xml:space="preserve"> 141.74 + 53.303771 * AF202</f>
        <v>-4469.0361915000003</v>
      </c>
      <c r="AG261" s="18">
        <f t="shared" si="935"/>
        <v>-4575.6437335000001</v>
      </c>
      <c r="AH261" s="18">
        <f t="shared" si="935"/>
        <v>-5641.7191535000002</v>
      </c>
      <c r="AI261" s="18">
        <f t="shared" si="935"/>
        <v>-4948.7701305000001</v>
      </c>
      <c r="AJ261" s="18">
        <f t="shared" si="935"/>
        <v>-4202.5173365000001</v>
      </c>
      <c r="AK261" s="18">
        <f t="shared" si="935"/>
        <v>-119818.39663549999</v>
      </c>
      <c r="AL261" s="18">
        <f t="shared" si="935"/>
        <v>-5961.5417795000003</v>
      </c>
      <c r="AM261" s="18">
        <f t="shared" si="935"/>
        <v>-907967.95464150002</v>
      </c>
      <c r="AN261" s="18">
        <f t="shared" si="935"/>
        <v>328.30319850000001</v>
      </c>
      <c r="AO261" s="18">
        <f t="shared" si="935"/>
        <v>-1317714.0423184999</v>
      </c>
      <c r="AP261" s="18">
        <f t="shared" si="935"/>
        <v>15146.7515365</v>
      </c>
      <c r="AQ261" s="18">
        <f t="shared" si="935"/>
        <v>15146.7515365</v>
      </c>
      <c r="AR261" s="18">
        <f t="shared" si="935"/>
        <v>15200.055307499999</v>
      </c>
      <c r="AS261" s="18">
        <f t="shared" si="935"/>
        <v>15200.055307499999</v>
      </c>
      <c r="AT261" s="18">
        <f t="shared" si="935"/>
        <v>15200.055307499999</v>
      </c>
      <c r="AU261" s="18">
        <f t="shared" si="935"/>
        <v>-17368.548773499999</v>
      </c>
      <c r="AV261" s="18">
        <f t="shared" si="935"/>
        <v>-1377.4174734999999</v>
      </c>
      <c r="AW261" s="18">
        <f t="shared" si="935"/>
        <v>-42687.8399985</v>
      </c>
      <c r="AX261" s="18">
        <f t="shared" si="935"/>
        <v>-27975.999202499996</v>
      </c>
      <c r="AY261" s="18">
        <f t="shared" si="935"/>
        <v>15253.3590785</v>
      </c>
      <c r="AZ261" s="18">
        <f t="shared" si="935"/>
        <v>15253.3590785</v>
      </c>
      <c r="BA261" s="18">
        <f t="shared" si="935"/>
        <v>15306.662849499999</v>
      </c>
      <c r="BB261" s="18">
        <f t="shared" si="935"/>
        <v>15306.662849499999</v>
      </c>
      <c r="BC261" s="18">
        <f t="shared" si="935"/>
        <v>15306.662849499999</v>
      </c>
      <c r="BD261" s="18">
        <f t="shared" si="935"/>
        <v>15306.662849499999</v>
      </c>
      <c r="BE261" s="18">
        <f t="shared" si="935"/>
        <v>15306.662849499999</v>
      </c>
      <c r="BF261" s="18">
        <f t="shared" si="935"/>
        <v>15306.662849499999</v>
      </c>
      <c r="BG261" s="18">
        <f t="shared" si="935"/>
        <v>-14916.575307499999</v>
      </c>
    </row>
    <row r="262" spans="2:59" x14ac:dyDescent="0.25">
      <c r="C262" t="s">
        <v>17</v>
      </c>
      <c r="D262" s="7" t="s">
        <v>445</v>
      </c>
      <c r="E262" s="18">
        <f xml:space="preserve"> 207.14 + 2.453732 * E202</f>
        <v>-1072.4812379999998</v>
      </c>
      <c r="F262" s="18">
        <f t="shared" ref="F262:X262" si="936" xml:space="preserve"> 207.14 + 2.453732 * F202</f>
        <v>-50377.772045999998</v>
      </c>
      <c r="G262" s="18">
        <f t="shared" si="936"/>
        <v>208.36686599999999</v>
      </c>
      <c r="H262" s="18">
        <f t="shared" si="936"/>
        <v>178.92208199999999</v>
      </c>
      <c r="I262" s="18">
        <f t="shared" si="936"/>
        <v>-184.230254</v>
      </c>
      <c r="J262" s="18">
        <f t="shared" si="936"/>
        <v>-171.96159399999999</v>
      </c>
      <c r="K262" s="18">
        <f t="shared" si="936"/>
        <v>-154.78547000000003</v>
      </c>
      <c r="L262" s="18">
        <f t="shared" si="936"/>
        <v>-142.51681000000002</v>
      </c>
      <c r="M262" s="18">
        <f t="shared" si="936"/>
        <v>-2826.8996180000004</v>
      </c>
      <c r="N262" s="18">
        <f t="shared" si="936"/>
        <v>-11930.245338000001</v>
      </c>
      <c r="O262" s="18">
        <f t="shared" si="936"/>
        <v>-11898.346822000001</v>
      </c>
      <c r="P262" s="18">
        <f t="shared" si="936"/>
        <v>-35078.753025999998</v>
      </c>
      <c r="Q262" s="18">
        <f t="shared" si="936"/>
        <v>-64189.829473999998</v>
      </c>
      <c r="R262" s="18">
        <f t="shared" si="936"/>
        <v>-64192.283206</v>
      </c>
      <c r="S262" s="18">
        <f t="shared" si="936"/>
        <v>-90822.636601999999</v>
      </c>
      <c r="T262" s="18">
        <f t="shared" si="936"/>
        <v>-90829.997797999997</v>
      </c>
      <c r="U262" s="18">
        <f t="shared" si="936"/>
        <v>-90849.627653999996</v>
      </c>
      <c r="V262" s="18">
        <f t="shared" si="936"/>
        <v>-203493.10257799999</v>
      </c>
      <c r="W262" s="18">
        <f t="shared" si="936"/>
        <v>-176.869058</v>
      </c>
      <c r="X262" s="18">
        <f t="shared" si="936"/>
        <v>-24.737674000000027</v>
      </c>
      <c r="Y262" s="18">
        <f xml:space="preserve"> 207.14 + 2.453732 * Y202</f>
        <v>-486.03929000000005</v>
      </c>
      <c r="Z262" s="18">
        <f t="shared" ref="Z262:AE262" si="937" xml:space="preserve"> 207.14 + 2.453732 * Z202</f>
        <v>1543.1970740000002</v>
      </c>
      <c r="AA262" s="18">
        <f t="shared" si="937"/>
        <v>208.36686599999999</v>
      </c>
      <c r="AB262" s="18">
        <f t="shared" si="937"/>
        <v>-1173.0842499999999</v>
      </c>
      <c r="AC262" s="18">
        <f t="shared" si="937"/>
        <v>-432.057186</v>
      </c>
      <c r="AD262" s="18">
        <f t="shared" si="937"/>
        <v>-147.42427400000003</v>
      </c>
      <c r="AE262" s="18">
        <f t="shared" si="937"/>
        <v>-486.03929000000005</v>
      </c>
      <c r="AF262" s="18">
        <f t="shared" ref="AF262:BG262" si="938" xml:space="preserve"> 207.14 + 2.453732 * AF202</f>
        <v>-5.1078180000000089</v>
      </c>
      <c r="AG262" s="18">
        <f t="shared" si="938"/>
        <v>-10.015282000000013</v>
      </c>
      <c r="AH262" s="18">
        <f t="shared" si="938"/>
        <v>-59.089922000000001</v>
      </c>
      <c r="AI262" s="18">
        <f t="shared" si="938"/>
        <v>-27.191406000000029</v>
      </c>
      <c r="AJ262" s="18">
        <f t="shared" si="938"/>
        <v>7.160841999999974</v>
      </c>
      <c r="AK262" s="18">
        <f t="shared" si="938"/>
        <v>-5314.9838659999996</v>
      </c>
      <c r="AL262" s="18">
        <f t="shared" si="938"/>
        <v>-73.812314000000015</v>
      </c>
      <c r="AM262" s="18">
        <f t="shared" si="938"/>
        <v>-41595.865217999999</v>
      </c>
      <c r="AN262" s="18">
        <f t="shared" si="938"/>
        <v>215.72806199999999</v>
      </c>
      <c r="AO262" s="18">
        <f t="shared" si="938"/>
        <v>-60457.703101999999</v>
      </c>
      <c r="AP262" s="18">
        <f t="shared" si="938"/>
        <v>897.86555799999996</v>
      </c>
      <c r="AQ262" s="18">
        <f t="shared" si="938"/>
        <v>897.86555799999996</v>
      </c>
      <c r="AR262" s="18">
        <f t="shared" si="938"/>
        <v>900.31929000000002</v>
      </c>
      <c r="AS262" s="18">
        <f t="shared" si="938"/>
        <v>900.31929000000002</v>
      </c>
      <c r="AT262" s="18">
        <f t="shared" si="938"/>
        <v>900.31929000000002</v>
      </c>
      <c r="AU262" s="18">
        <f t="shared" si="938"/>
        <v>-598.91096200000004</v>
      </c>
      <c r="AV262" s="18">
        <f t="shared" si="938"/>
        <v>137.20863799999998</v>
      </c>
      <c r="AW262" s="18">
        <f t="shared" si="938"/>
        <v>-1764.4336619999999</v>
      </c>
      <c r="AX262" s="18">
        <f t="shared" si="938"/>
        <v>-1087.20363</v>
      </c>
      <c r="AY262" s="18">
        <f t="shared" si="938"/>
        <v>902.77302199999997</v>
      </c>
      <c r="AZ262" s="18">
        <f t="shared" si="938"/>
        <v>902.77302199999997</v>
      </c>
      <c r="BA262" s="18">
        <f t="shared" si="938"/>
        <v>905.22675400000003</v>
      </c>
      <c r="BB262" s="18">
        <f t="shared" si="938"/>
        <v>905.22675400000003</v>
      </c>
      <c r="BC262" s="18">
        <f t="shared" si="938"/>
        <v>905.22675400000003</v>
      </c>
      <c r="BD262" s="18">
        <f t="shared" si="938"/>
        <v>905.22675400000003</v>
      </c>
      <c r="BE262" s="18">
        <f t="shared" si="938"/>
        <v>905.22675400000003</v>
      </c>
      <c r="BF262" s="18">
        <f t="shared" si="938"/>
        <v>905.22675400000003</v>
      </c>
      <c r="BG262" s="18">
        <f t="shared" si="938"/>
        <v>-486.03929000000005</v>
      </c>
    </row>
    <row r="263" spans="2:59" x14ac:dyDescent="0.25">
      <c r="C263" t="s">
        <v>18</v>
      </c>
      <c r="D263" s="7" t="s">
        <v>446</v>
      </c>
      <c r="E263" s="18">
        <f xml:space="preserve"> 154.84 + 7.30686 * E202</f>
        <v>-3655.6874900000003</v>
      </c>
      <c r="F263" s="18">
        <f t="shared" ref="F263:X263" si="939" xml:space="preserve"> 154.84 + 7.30686 * F202</f>
        <v>-150479.73233</v>
      </c>
      <c r="G263" s="18">
        <f t="shared" si="939"/>
        <v>158.49342999999999</v>
      </c>
      <c r="H263" s="18">
        <f t="shared" si="939"/>
        <v>70.811109999999999</v>
      </c>
      <c r="I263" s="18">
        <f t="shared" si="939"/>
        <v>-1010.60417</v>
      </c>
      <c r="J263" s="18">
        <f t="shared" si="939"/>
        <v>-974.06986999999992</v>
      </c>
      <c r="K263" s="18">
        <f t="shared" si="939"/>
        <v>-922.92185000000006</v>
      </c>
      <c r="L263" s="18">
        <f t="shared" si="939"/>
        <v>-886.38755000000003</v>
      </c>
      <c r="M263" s="18">
        <f t="shared" si="939"/>
        <v>-8880.0923899999998</v>
      </c>
      <c r="N263" s="18">
        <f t="shared" si="939"/>
        <v>-35988.542990000002</v>
      </c>
      <c r="O263" s="18">
        <f t="shared" si="939"/>
        <v>-35893.553810000005</v>
      </c>
      <c r="P263" s="18">
        <f t="shared" si="939"/>
        <v>-104921.46023000001</v>
      </c>
      <c r="Q263" s="18">
        <f t="shared" si="939"/>
        <v>-191610.04727000001</v>
      </c>
      <c r="R263" s="18">
        <f t="shared" si="939"/>
        <v>-191617.35413000002</v>
      </c>
      <c r="S263" s="18">
        <f t="shared" si="939"/>
        <v>-270918.70571000001</v>
      </c>
      <c r="T263" s="18">
        <f t="shared" si="939"/>
        <v>-270940.62628999999</v>
      </c>
      <c r="U263" s="18">
        <f t="shared" si="939"/>
        <v>-270999.08116999996</v>
      </c>
      <c r="V263" s="18">
        <f t="shared" si="939"/>
        <v>-606435.10319000005</v>
      </c>
      <c r="W263" s="18">
        <f t="shared" si="939"/>
        <v>-988.68358999999998</v>
      </c>
      <c r="X263" s="18">
        <f t="shared" si="939"/>
        <v>-535.65827000000002</v>
      </c>
      <c r="Y263" s="18">
        <f xml:space="preserve"> 154.84 + 7.30686 * Y202</f>
        <v>-1909.3479500000001</v>
      </c>
      <c r="Z263" s="18">
        <f t="shared" ref="Z263:AE263" si="940" xml:space="preserve"> 154.84 + 7.30686 * Z202</f>
        <v>4133.4252699999997</v>
      </c>
      <c r="AA263" s="18">
        <f t="shared" si="940"/>
        <v>158.49342999999999</v>
      </c>
      <c r="AB263" s="18">
        <f t="shared" si="940"/>
        <v>-3955.2687500000002</v>
      </c>
      <c r="AC263" s="18">
        <f t="shared" si="940"/>
        <v>-1748.5970300000001</v>
      </c>
      <c r="AD263" s="18">
        <f t="shared" si="940"/>
        <v>-901.00127000000009</v>
      </c>
      <c r="AE263" s="18">
        <f t="shared" si="940"/>
        <v>-1909.3479500000001</v>
      </c>
      <c r="AF263" s="18">
        <f t="shared" ref="AF263:BG263" si="941" xml:space="preserve"> 154.84 + 7.30686 * AF202</f>
        <v>-477.20339000000001</v>
      </c>
      <c r="AG263" s="18">
        <f t="shared" si="941"/>
        <v>-491.81710999999996</v>
      </c>
      <c r="AH263" s="18">
        <f t="shared" si="941"/>
        <v>-637.95430999999996</v>
      </c>
      <c r="AI263" s="18">
        <f t="shared" si="941"/>
        <v>-542.96513000000004</v>
      </c>
      <c r="AJ263" s="18">
        <f t="shared" si="941"/>
        <v>-440.66908999999998</v>
      </c>
      <c r="AK263" s="18">
        <f t="shared" si="941"/>
        <v>-16289.24843</v>
      </c>
      <c r="AL263" s="18">
        <f t="shared" si="941"/>
        <v>-681.79547000000002</v>
      </c>
      <c r="AM263" s="18">
        <f t="shared" si="941"/>
        <v>-124328.48039000001</v>
      </c>
      <c r="AN263" s="18">
        <f t="shared" si="941"/>
        <v>180.41401000000002</v>
      </c>
      <c r="AO263" s="18">
        <f t="shared" si="941"/>
        <v>-180496.31321000002</v>
      </c>
      <c r="AP263" s="18">
        <f t="shared" si="941"/>
        <v>2211.7210900000005</v>
      </c>
      <c r="AQ263" s="18">
        <f t="shared" si="941"/>
        <v>2211.7210900000005</v>
      </c>
      <c r="AR263" s="18">
        <f t="shared" si="941"/>
        <v>2219.0279500000001</v>
      </c>
      <c r="AS263" s="18">
        <f t="shared" si="941"/>
        <v>2219.0279500000001</v>
      </c>
      <c r="AT263" s="18">
        <f t="shared" si="941"/>
        <v>2219.0279500000001</v>
      </c>
      <c r="AU263" s="18">
        <f t="shared" si="941"/>
        <v>-2245.46351</v>
      </c>
      <c r="AV263" s="18">
        <f t="shared" si="941"/>
        <v>-53.405510000000021</v>
      </c>
      <c r="AW263" s="18">
        <f t="shared" si="941"/>
        <v>-5716.2220100000004</v>
      </c>
      <c r="AX263" s="18">
        <f t="shared" si="941"/>
        <v>-3699.5286500000002</v>
      </c>
      <c r="AY263" s="18">
        <f t="shared" si="941"/>
        <v>2226.3348100000003</v>
      </c>
      <c r="AZ263" s="18">
        <f t="shared" si="941"/>
        <v>2226.3348100000003</v>
      </c>
      <c r="BA263" s="18">
        <f t="shared" si="941"/>
        <v>2233.6416700000004</v>
      </c>
      <c r="BB263" s="18">
        <f t="shared" si="941"/>
        <v>2233.6416700000004</v>
      </c>
      <c r="BC263" s="18">
        <f t="shared" si="941"/>
        <v>2233.6416700000004</v>
      </c>
      <c r="BD263" s="18">
        <f t="shared" si="941"/>
        <v>2233.6416700000004</v>
      </c>
      <c r="BE263" s="18">
        <f t="shared" si="941"/>
        <v>2233.6416700000004</v>
      </c>
      <c r="BF263" s="18">
        <f t="shared" si="941"/>
        <v>2233.6416700000004</v>
      </c>
      <c r="BG263" s="18">
        <f t="shared" si="941"/>
        <v>-1909.3479500000001</v>
      </c>
    </row>
    <row r="264" spans="2:59" x14ac:dyDescent="0.25">
      <c r="C264" t="s">
        <v>19</v>
      </c>
      <c r="D264" s="7" t="s">
        <v>447</v>
      </c>
      <c r="E264" s="18">
        <f xml:space="preserve"> 34.52 + 27.261239 * E202</f>
        <v>-14182.2161385</v>
      </c>
      <c r="F264" s="18">
        <f t="shared" ref="F264:X264" si="942" xml:space="preserve"> 34.52 + 27.261239 * F202</f>
        <v>-561969.55260449997</v>
      </c>
      <c r="G264" s="18">
        <f t="shared" si="942"/>
        <v>48.150619500000005</v>
      </c>
      <c r="H264" s="18">
        <f t="shared" si="942"/>
        <v>-278.98424850000004</v>
      </c>
      <c r="I264" s="18">
        <f t="shared" si="942"/>
        <v>-4313.6476204999999</v>
      </c>
      <c r="J264" s="18">
        <f t="shared" si="942"/>
        <v>-4177.3414254999998</v>
      </c>
      <c r="K264" s="18">
        <f t="shared" si="942"/>
        <v>-3986.5127524999998</v>
      </c>
      <c r="L264" s="18">
        <f t="shared" si="942"/>
        <v>-3850.2065575000001</v>
      </c>
      <c r="M264" s="18">
        <f t="shared" si="942"/>
        <v>-33674.002023500005</v>
      </c>
      <c r="N264" s="18">
        <f t="shared" si="942"/>
        <v>-134813.19871350002</v>
      </c>
      <c r="O264" s="18">
        <f t="shared" si="942"/>
        <v>-134458.80260650002</v>
      </c>
      <c r="P264" s="18">
        <f t="shared" si="942"/>
        <v>-391995.72743949998</v>
      </c>
      <c r="Q264" s="18">
        <f t="shared" si="942"/>
        <v>-715423.06693550001</v>
      </c>
      <c r="R264" s="18">
        <f t="shared" si="942"/>
        <v>-715450.32817450003</v>
      </c>
      <c r="S264" s="18">
        <f t="shared" si="942"/>
        <v>-1011316.5550415</v>
      </c>
      <c r="T264" s="18">
        <f t="shared" si="942"/>
        <v>-1011398.3387584999</v>
      </c>
      <c r="U264" s="18">
        <f t="shared" si="942"/>
        <v>-1011616.4286704999</v>
      </c>
      <c r="V264" s="18">
        <f t="shared" si="942"/>
        <v>-2263098.1274434999</v>
      </c>
      <c r="W264" s="18">
        <f t="shared" si="942"/>
        <v>-4231.8639034999997</v>
      </c>
      <c r="X264" s="18">
        <f t="shared" si="942"/>
        <v>-2541.6670855000002</v>
      </c>
      <c r="Y264" s="18">
        <f xml:space="preserve"> 34.52 + 27.261239 * Y202</f>
        <v>-7666.7800174999993</v>
      </c>
      <c r="Z264" s="18">
        <f t="shared" ref="Z264:AE264" si="943" xml:space="preserve"> 34.52 + 27.261239 * Z202</f>
        <v>14878.2646355</v>
      </c>
      <c r="AA264" s="18">
        <f t="shared" si="943"/>
        <v>48.150619500000005</v>
      </c>
      <c r="AB264" s="18">
        <f t="shared" si="943"/>
        <v>-15299.926937499999</v>
      </c>
      <c r="AC264" s="18">
        <f t="shared" si="943"/>
        <v>-7067.0327594999999</v>
      </c>
      <c r="AD264" s="18">
        <f t="shared" si="943"/>
        <v>-3904.7290355</v>
      </c>
      <c r="AE264" s="18">
        <f t="shared" si="943"/>
        <v>-7666.7800174999993</v>
      </c>
      <c r="AF264" s="18">
        <f t="shared" ref="AF264:BG264" si="944" xml:space="preserve"> 34.52 + 27.261239 * AF202</f>
        <v>-2323.5771734999998</v>
      </c>
      <c r="AG264" s="18">
        <f t="shared" si="944"/>
        <v>-2378.0996515000002</v>
      </c>
      <c r="AH264" s="18">
        <f t="shared" si="944"/>
        <v>-2923.3244315000002</v>
      </c>
      <c r="AI264" s="18">
        <f t="shared" si="944"/>
        <v>-2568.9283245000001</v>
      </c>
      <c r="AJ264" s="18">
        <f t="shared" si="944"/>
        <v>-2187.2709785000002</v>
      </c>
      <c r="AK264" s="18">
        <f t="shared" si="944"/>
        <v>-61316.898369500006</v>
      </c>
      <c r="AL264" s="18">
        <f t="shared" si="944"/>
        <v>-3086.8918654999998</v>
      </c>
      <c r="AM264" s="18">
        <f t="shared" si="944"/>
        <v>-464401.57822349999</v>
      </c>
      <c r="AN264" s="18">
        <f t="shared" si="944"/>
        <v>129.9343365</v>
      </c>
      <c r="AO264" s="18">
        <f t="shared" si="944"/>
        <v>-673958.72241649998</v>
      </c>
      <c r="AP264" s="18">
        <f t="shared" si="944"/>
        <v>7708.5587785000007</v>
      </c>
      <c r="AQ264" s="18">
        <f t="shared" si="944"/>
        <v>7708.5587785000007</v>
      </c>
      <c r="AR264" s="18">
        <f t="shared" si="944"/>
        <v>7735.8200175000002</v>
      </c>
      <c r="AS264" s="18">
        <f t="shared" si="944"/>
        <v>7735.8200175000002</v>
      </c>
      <c r="AT264" s="18">
        <f t="shared" si="944"/>
        <v>7735.8200175000002</v>
      </c>
      <c r="AU264" s="18">
        <f t="shared" si="944"/>
        <v>-8920.7970114999989</v>
      </c>
      <c r="AV264" s="18">
        <f t="shared" si="944"/>
        <v>-742.42531150000002</v>
      </c>
      <c r="AW264" s="18">
        <f t="shared" si="944"/>
        <v>-21869.885536499998</v>
      </c>
      <c r="AX264" s="18">
        <f t="shared" si="944"/>
        <v>-14345.783572499999</v>
      </c>
      <c r="AY264" s="18">
        <f t="shared" si="944"/>
        <v>7763.0812565000006</v>
      </c>
      <c r="AZ264" s="18">
        <f t="shared" si="944"/>
        <v>7763.0812565000006</v>
      </c>
      <c r="BA264" s="18">
        <f t="shared" si="944"/>
        <v>7790.3424955</v>
      </c>
      <c r="BB264" s="18">
        <f t="shared" si="944"/>
        <v>7790.3424955</v>
      </c>
      <c r="BC264" s="18">
        <f t="shared" si="944"/>
        <v>7790.3424955</v>
      </c>
      <c r="BD264" s="18">
        <f t="shared" si="944"/>
        <v>7790.3424955</v>
      </c>
      <c r="BE264" s="18">
        <f t="shared" si="944"/>
        <v>7790.3424955</v>
      </c>
      <c r="BF264" s="18">
        <f t="shared" si="944"/>
        <v>7790.3424955</v>
      </c>
      <c r="BG264" s="18">
        <f t="shared" si="944"/>
        <v>-7666.7800174999993</v>
      </c>
    </row>
    <row r="265" spans="2:59" x14ac:dyDescent="0.25">
      <c r="C265" t="s">
        <v>20</v>
      </c>
      <c r="D265" s="7" t="s">
        <v>448</v>
      </c>
      <c r="E265" s="18">
        <f xml:space="preserve"> 207.19 + 0.121824 * E202</f>
        <v>143.658784</v>
      </c>
      <c r="F265" s="18">
        <f t="shared" ref="F265:X265" si="945" xml:space="preserve"> 207.19 + 0.121824 * F202</f>
        <v>-2304.2726720000001</v>
      </c>
      <c r="G265" s="18">
        <f t="shared" si="945"/>
        <v>207.250912</v>
      </c>
      <c r="H265" s="18">
        <f t="shared" si="945"/>
        <v>205.78902399999998</v>
      </c>
      <c r="I265" s="18">
        <f t="shared" si="945"/>
        <v>187.759072</v>
      </c>
      <c r="J265" s="18">
        <f t="shared" si="945"/>
        <v>188.36819199999999</v>
      </c>
      <c r="K265" s="18">
        <f t="shared" si="945"/>
        <v>189.22095999999999</v>
      </c>
      <c r="L265" s="18">
        <f t="shared" si="945"/>
        <v>189.83008000000001</v>
      </c>
      <c r="M265" s="18">
        <f t="shared" si="945"/>
        <v>56.55462399999999</v>
      </c>
      <c r="N265" s="18">
        <f t="shared" si="945"/>
        <v>-395.41241600000006</v>
      </c>
      <c r="O265" s="18">
        <f t="shared" si="945"/>
        <v>-393.82870399999996</v>
      </c>
      <c r="P265" s="18">
        <f t="shared" si="945"/>
        <v>-1544.700032</v>
      </c>
      <c r="Q265" s="18">
        <f t="shared" si="945"/>
        <v>-2990.0199680000001</v>
      </c>
      <c r="R265" s="18">
        <f t="shared" si="945"/>
        <v>-2990.1417919999999</v>
      </c>
      <c r="S265" s="18">
        <f t="shared" si="945"/>
        <v>-4312.2976640000006</v>
      </c>
      <c r="T265" s="18">
        <f t="shared" si="945"/>
        <v>-4312.6631360000001</v>
      </c>
      <c r="U265" s="18">
        <f t="shared" si="945"/>
        <v>-4313.6377280000006</v>
      </c>
      <c r="V265" s="18">
        <f t="shared" si="945"/>
        <v>-9906.2120959999993</v>
      </c>
      <c r="W265" s="18">
        <f t="shared" si="945"/>
        <v>188.12454399999999</v>
      </c>
      <c r="X265" s="18">
        <f t="shared" si="945"/>
        <v>195.67763199999999</v>
      </c>
      <c r="Y265" s="18">
        <f xml:space="preserve"> 207.19 + 0.121824 * Y202</f>
        <v>172.77472</v>
      </c>
      <c r="Z265" s="18">
        <f t="shared" ref="Z265:AE265" si="946" xml:space="preserve"> 207.19 + 0.121824 * Z202</f>
        <v>273.523168</v>
      </c>
      <c r="AA265" s="18">
        <f t="shared" si="946"/>
        <v>207.250912</v>
      </c>
      <c r="AB265" s="18">
        <f t="shared" si="946"/>
        <v>138.66399999999999</v>
      </c>
      <c r="AC265" s="18">
        <f t="shared" si="946"/>
        <v>175.454848</v>
      </c>
      <c r="AD265" s="18">
        <f t="shared" si="946"/>
        <v>189.586432</v>
      </c>
      <c r="AE265" s="18">
        <f t="shared" si="946"/>
        <v>172.77472</v>
      </c>
      <c r="AF265" s="18">
        <f t="shared" ref="AF265:BG265" si="947" xml:space="preserve"> 207.19 + 0.121824 * AF202</f>
        <v>196.65222399999999</v>
      </c>
      <c r="AG265" s="18">
        <f t="shared" si="947"/>
        <v>196.40857600000001</v>
      </c>
      <c r="AH265" s="18">
        <f t="shared" si="947"/>
        <v>193.97209599999999</v>
      </c>
      <c r="AI265" s="18">
        <f t="shared" si="947"/>
        <v>195.55580799999998</v>
      </c>
      <c r="AJ265" s="18">
        <f t="shared" si="947"/>
        <v>197.26134400000001</v>
      </c>
      <c r="AK265" s="18">
        <f t="shared" si="947"/>
        <v>-66.974912000000018</v>
      </c>
      <c r="AL265" s="18">
        <f t="shared" si="947"/>
        <v>193.241152</v>
      </c>
      <c r="AM265" s="18">
        <f t="shared" si="947"/>
        <v>-1868.264576</v>
      </c>
      <c r="AN265" s="18">
        <f t="shared" si="947"/>
        <v>207.61638400000001</v>
      </c>
      <c r="AO265" s="18">
        <f t="shared" si="947"/>
        <v>-2804.7256640000001</v>
      </c>
      <c r="AP265" s="18">
        <f t="shared" si="947"/>
        <v>241.48345599999999</v>
      </c>
      <c r="AQ265" s="18">
        <f t="shared" si="947"/>
        <v>241.48345599999999</v>
      </c>
      <c r="AR265" s="18">
        <f t="shared" si="947"/>
        <v>241.60527999999999</v>
      </c>
      <c r="AS265" s="18">
        <f t="shared" si="947"/>
        <v>241.60527999999999</v>
      </c>
      <c r="AT265" s="18">
        <f t="shared" si="947"/>
        <v>241.60527999999999</v>
      </c>
      <c r="AU265" s="18">
        <f t="shared" si="947"/>
        <v>167.170816</v>
      </c>
      <c r="AV265" s="18">
        <f t="shared" si="947"/>
        <v>203.71801600000001</v>
      </c>
      <c r="AW265" s="18">
        <f t="shared" si="947"/>
        <v>109.304416</v>
      </c>
      <c r="AX265" s="18">
        <f t="shared" si="947"/>
        <v>142.92784</v>
      </c>
      <c r="AY265" s="18">
        <f t="shared" si="947"/>
        <v>241.727104</v>
      </c>
      <c r="AZ265" s="18">
        <f t="shared" si="947"/>
        <v>241.727104</v>
      </c>
      <c r="BA265" s="18">
        <f t="shared" si="947"/>
        <v>241.848928</v>
      </c>
      <c r="BB265" s="18">
        <f t="shared" si="947"/>
        <v>241.848928</v>
      </c>
      <c r="BC265" s="18">
        <f t="shared" si="947"/>
        <v>241.848928</v>
      </c>
      <c r="BD265" s="18">
        <f t="shared" si="947"/>
        <v>241.848928</v>
      </c>
      <c r="BE265" s="18">
        <f t="shared" si="947"/>
        <v>241.848928</v>
      </c>
      <c r="BF265" s="18">
        <f t="shared" si="947"/>
        <v>241.848928</v>
      </c>
      <c r="BG265" s="18">
        <f t="shared" si="947"/>
        <v>172.77472</v>
      </c>
    </row>
    <row r="266" spans="2:59" x14ac:dyDescent="0.25">
      <c r="C266" t="s">
        <v>21</v>
      </c>
      <c r="D266" s="7" t="s">
        <v>449</v>
      </c>
      <c r="E266" s="18">
        <f xml:space="preserve"> 291.34 + 1.844379 * E202</f>
        <v>-670.50364850000005</v>
      </c>
      <c r="F266" s="18">
        <f t="shared" ref="F266:X266" si="948" xml:space="preserve"> 291.34 + 1.844379 * F202</f>
        <v>-37731.455274500004</v>
      </c>
      <c r="G266" s="18">
        <f t="shared" si="948"/>
        <v>292.26218949999998</v>
      </c>
      <c r="H266" s="18">
        <f t="shared" si="948"/>
        <v>270.12964149999999</v>
      </c>
      <c r="I266" s="18">
        <f t="shared" si="948"/>
        <v>-2.8384505000000217</v>
      </c>
      <c r="J266" s="18">
        <f t="shared" si="948"/>
        <v>6.383444499999996</v>
      </c>
      <c r="K266" s="18">
        <f t="shared" si="948"/>
        <v>19.294097499999964</v>
      </c>
      <c r="L266" s="18">
        <f t="shared" si="948"/>
        <v>28.515992499999982</v>
      </c>
      <c r="M266" s="18">
        <f t="shared" si="948"/>
        <v>-1989.2346335</v>
      </c>
      <c r="N266" s="18">
        <f t="shared" si="948"/>
        <v>-8831.8807235000004</v>
      </c>
      <c r="O266" s="18">
        <f t="shared" si="948"/>
        <v>-8807.9037965000007</v>
      </c>
      <c r="P266" s="18">
        <f t="shared" si="948"/>
        <v>-26231.752209499999</v>
      </c>
      <c r="Q266" s="18">
        <f t="shared" si="948"/>
        <v>-48113.464665500003</v>
      </c>
      <c r="R266" s="18">
        <f t="shared" si="948"/>
        <v>-48115.309044500005</v>
      </c>
      <c r="S266" s="18">
        <f t="shared" si="948"/>
        <v>-68132.354331499999</v>
      </c>
      <c r="T266" s="18">
        <f t="shared" si="948"/>
        <v>-68137.887468500005</v>
      </c>
      <c r="U266" s="18">
        <f t="shared" si="948"/>
        <v>-68152.642500500006</v>
      </c>
      <c r="V266" s="18">
        <f t="shared" si="948"/>
        <v>-152822.54925350001</v>
      </c>
      <c r="W266" s="18">
        <f t="shared" si="948"/>
        <v>2.6946864999999889</v>
      </c>
      <c r="X266" s="18">
        <f t="shared" si="948"/>
        <v>117.04618449999998</v>
      </c>
      <c r="Y266" s="18">
        <f xml:space="preserve"> 291.34 + 1.844379 * Y202</f>
        <v>-229.69706750000006</v>
      </c>
      <c r="Z266" s="18">
        <f t="shared" ref="Z266:AE266" si="949" xml:space="preserve"> 291.34 + 1.844379 * Z202</f>
        <v>1295.6043654999999</v>
      </c>
      <c r="AA266" s="18">
        <f t="shared" si="949"/>
        <v>292.26218949999998</v>
      </c>
      <c r="AB266" s="18">
        <f t="shared" si="949"/>
        <v>-746.12318750000009</v>
      </c>
      <c r="AC266" s="18">
        <f t="shared" si="949"/>
        <v>-189.12072950000004</v>
      </c>
      <c r="AD266" s="18">
        <f t="shared" si="949"/>
        <v>24.827234499999975</v>
      </c>
      <c r="AE266" s="18">
        <f t="shared" si="949"/>
        <v>-229.69706750000006</v>
      </c>
      <c r="AF266" s="18">
        <f t="shared" ref="AF266:BG266" si="950" xml:space="preserve"> 291.34 + 1.844379 * AF202</f>
        <v>131.80121649999998</v>
      </c>
      <c r="AG266" s="18">
        <f t="shared" si="950"/>
        <v>128.11245849999997</v>
      </c>
      <c r="AH266" s="18">
        <f t="shared" si="950"/>
        <v>91.224878499999988</v>
      </c>
      <c r="AI266" s="18">
        <f t="shared" si="950"/>
        <v>115.20180549999998</v>
      </c>
      <c r="AJ266" s="18">
        <f t="shared" si="950"/>
        <v>141.02311149999997</v>
      </c>
      <c r="AK266" s="18">
        <f t="shared" si="950"/>
        <v>-3859.4349394999999</v>
      </c>
      <c r="AL266" s="18">
        <f t="shared" si="950"/>
        <v>80.158604499999967</v>
      </c>
      <c r="AM266" s="18">
        <f t="shared" si="950"/>
        <v>-31130.422833500001</v>
      </c>
      <c r="AN266" s="18">
        <f t="shared" si="950"/>
        <v>297.79532649999999</v>
      </c>
      <c r="AO266" s="18">
        <f t="shared" si="950"/>
        <v>-45308.164206500005</v>
      </c>
      <c r="AP266" s="18">
        <f t="shared" si="950"/>
        <v>810.53268849999995</v>
      </c>
      <c r="AQ266" s="18">
        <f t="shared" si="950"/>
        <v>810.53268849999995</v>
      </c>
      <c r="AR266" s="18">
        <f t="shared" si="950"/>
        <v>812.37706750000007</v>
      </c>
      <c r="AS266" s="18">
        <f t="shared" si="950"/>
        <v>812.37706750000007</v>
      </c>
      <c r="AT266" s="18">
        <f t="shared" si="950"/>
        <v>812.37706750000007</v>
      </c>
      <c r="AU266" s="18">
        <f t="shared" si="950"/>
        <v>-314.5385015</v>
      </c>
      <c r="AV266" s="18">
        <f t="shared" si="950"/>
        <v>238.77519849999999</v>
      </c>
      <c r="AW266" s="18">
        <f t="shared" si="950"/>
        <v>-1190.6185265000001</v>
      </c>
      <c r="AX266" s="18">
        <f t="shared" si="950"/>
        <v>-681.56992250000008</v>
      </c>
      <c r="AY266" s="18">
        <f t="shared" si="950"/>
        <v>814.22144649999996</v>
      </c>
      <c r="AZ266" s="18">
        <f t="shared" si="950"/>
        <v>814.22144649999996</v>
      </c>
      <c r="BA266" s="18">
        <f t="shared" si="950"/>
        <v>816.06582550000007</v>
      </c>
      <c r="BB266" s="18">
        <f t="shared" si="950"/>
        <v>816.06582550000007</v>
      </c>
      <c r="BC266" s="18">
        <f t="shared" si="950"/>
        <v>816.06582550000007</v>
      </c>
      <c r="BD266" s="18">
        <f t="shared" si="950"/>
        <v>816.06582550000007</v>
      </c>
      <c r="BE266" s="18">
        <f t="shared" si="950"/>
        <v>816.06582550000007</v>
      </c>
      <c r="BF266" s="18">
        <f t="shared" si="950"/>
        <v>816.06582550000007</v>
      </c>
      <c r="BG266" s="18">
        <f t="shared" si="950"/>
        <v>-229.69706750000006</v>
      </c>
    </row>
    <row r="267" spans="2:59" x14ac:dyDescent="0.25">
      <c r="C267" t="s">
        <v>22</v>
      </c>
      <c r="D267" s="7" t="s">
        <v>450</v>
      </c>
      <c r="E267" s="18">
        <f xml:space="preserve"> 161.72 + 24.198154 * E202</f>
        <v>-12457.617311</v>
      </c>
      <c r="F267" s="18">
        <f t="shared" ref="F267:X267" si="951" xml:space="preserve"> 161.72 + 24.198154 * F202</f>
        <v>-498695.32378700003</v>
      </c>
      <c r="G267" s="18">
        <f t="shared" si="951"/>
        <v>173.81907699999999</v>
      </c>
      <c r="H267" s="18">
        <f t="shared" si="951"/>
        <v>-116.55877100000001</v>
      </c>
      <c r="I267" s="18">
        <f t="shared" si="951"/>
        <v>-3697.8855629999998</v>
      </c>
      <c r="J267" s="18">
        <f t="shared" si="951"/>
        <v>-3576.8947929999999</v>
      </c>
      <c r="K267" s="18">
        <f t="shared" si="951"/>
        <v>-3407.5077150000002</v>
      </c>
      <c r="L267" s="18">
        <f t="shared" si="951"/>
        <v>-3286.5169449999999</v>
      </c>
      <c r="M267" s="18">
        <f t="shared" si="951"/>
        <v>-29759.297420999996</v>
      </c>
      <c r="N267" s="18">
        <f t="shared" si="951"/>
        <v>-119534.44876099999</v>
      </c>
      <c r="O267" s="18">
        <f t="shared" si="951"/>
        <v>-119219.87275899999</v>
      </c>
      <c r="P267" s="18">
        <f t="shared" si="951"/>
        <v>-347819.83359699999</v>
      </c>
      <c r="Q267" s="18">
        <f t="shared" si="951"/>
        <v>-634906.73265300004</v>
      </c>
      <c r="R267" s="18">
        <f t="shared" si="951"/>
        <v>-634930.93080700003</v>
      </c>
      <c r="S267" s="18">
        <f t="shared" si="951"/>
        <v>-897553.49616899993</v>
      </c>
      <c r="T267" s="18">
        <f t="shared" si="951"/>
        <v>-897626.090631</v>
      </c>
      <c r="U267" s="18">
        <f t="shared" si="951"/>
        <v>-897819.67586299998</v>
      </c>
      <c r="V267" s="18">
        <f t="shared" si="951"/>
        <v>-2008684.3315409999</v>
      </c>
      <c r="W267" s="18">
        <f t="shared" si="951"/>
        <v>-3625.2911009999998</v>
      </c>
      <c r="X267" s="18">
        <f t="shared" si="951"/>
        <v>-2125.005553</v>
      </c>
      <c r="Y267" s="18">
        <f xml:space="preserve"> 161.72 + 24.198154 * Y202</f>
        <v>-6674.2585049999998</v>
      </c>
      <c r="Z267" s="18">
        <f t="shared" ref="Z267:AE267" si="952" xml:space="preserve"> 161.72 + 24.198154 * Z202</f>
        <v>13337.614852999999</v>
      </c>
      <c r="AA267" s="18">
        <f t="shared" si="952"/>
        <v>173.81907699999999</v>
      </c>
      <c r="AB267" s="18">
        <f t="shared" si="952"/>
        <v>-13449.741625000001</v>
      </c>
      <c r="AC267" s="18">
        <f t="shared" si="952"/>
        <v>-6141.899116999999</v>
      </c>
      <c r="AD267" s="18">
        <f t="shared" si="952"/>
        <v>-3334.9132530000002</v>
      </c>
      <c r="AE267" s="18">
        <f t="shared" si="952"/>
        <v>-6674.2585049999998</v>
      </c>
      <c r="AF267" s="18">
        <f t="shared" ref="AF267:BG267" si="953" xml:space="preserve"> 161.72 + 24.198154 * AF202</f>
        <v>-1931.4203209999998</v>
      </c>
      <c r="AG267" s="18">
        <f t="shared" si="953"/>
        <v>-1979.8166289999997</v>
      </c>
      <c r="AH267" s="18">
        <f t="shared" si="953"/>
        <v>-2463.7797089999999</v>
      </c>
      <c r="AI267" s="18">
        <f t="shared" si="953"/>
        <v>-2149.2037070000001</v>
      </c>
      <c r="AJ267" s="18">
        <f t="shared" si="953"/>
        <v>-1810.4295509999999</v>
      </c>
      <c r="AK267" s="18">
        <f t="shared" si="953"/>
        <v>-54296.225576999997</v>
      </c>
      <c r="AL267" s="18">
        <f t="shared" si="953"/>
        <v>-2608.968633</v>
      </c>
      <c r="AM267" s="18">
        <f t="shared" si="953"/>
        <v>-412090.13062100002</v>
      </c>
      <c r="AN267" s="18">
        <f t="shared" si="953"/>
        <v>246.41353900000001</v>
      </c>
      <c r="AO267" s="18">
        <f t="shared" si="953"/>
        <v>-598101.34041900001</v>
      </c>
      <c r="AP267" s="18">
        <f t="shared" si="953"/>
        <v>6973.5003509999997</v>
      </c>
      <c r="AQ267" s="18">
        <f t="shared" si="953"/>
        <v>6973.5003509999997</v>
      </c>
      <c r="AR267" s="18">
        <f t="shared" si="953"/>
        <v>6997.6985050000003</v>
      </c>
      <c r="AS267" s="18">
        <f t="shared" si="953"/>
        <v>6997.6985050000003</v>
      </c>
      <c r="AT267" s="18">
        <f t="shared" si="953"/>
        <v>6997.6985050000003</v>
      </c>
      <c r="AU267" s="18">
        <f t="shared" si="953"/>
        <v>-7787.3735889999998</v>
      </c>
      <c r="AV267" s="18">
        <f t="shared" si="953"/>
        <v>-527.92738899999995</v>
      </c>
      <c r="AW267" s="18">
        <f t="shared" si="953"/>
        <v>-19281.496738999998</v>
      </c>
      <c r="AX267" s="18">
        <f t="shared" si="953"/>
        <v>-12602.806235</v>
      </c>
      <c r="AY267" s="18">
        <f t="shared" si="953"/>
        <v>7021.896659</v>
      </c>
      <c r="AZ267" s="18">
        <f t="shared" si="953"/>
        <v>7021.896659</v>
      </c>
      <c r="BA267" s="18">
        <f t="shared" si="953"/>
        <v>7046.0948129999997</v>
      </c>
      <c r="BB267" s="18">
        <f t="shared" si="953"/>
        <v>7046.0948129999997</v>
      </c>
      <c r="BC267" s="18">
        <f t="shared" si="953"/>
        <v>7046.0948129999997</v>
      </c>
      <c r="BD267" s="18">
        <f t="shared" si="953"/>
        <v>7046.0948129999997</v>
      </c>
      <c r="BE267" s="18">
        <f t="shared" si="953"/>
        <v>7046.0948129999997</v>
      </c>
      <c r="BF267" s="18">
        <f t="shared" si="953"/>
        <v>7046.0948129999997</v>
      </c>
      <c r="BG267" s="18">
        <f t="shared" si="953"/>
        <v>-6674.2585049999998</v>
      </c>
    </row>
    <row r="268" spans="2:59" x14ac:dyDescent="0.25">
      <c r="C268" t="s">
        <v>23</v>
      </c>
      <c r="D268" s="7" t="s">
        <v>451</v>
      </c>
      <c r="E268" s="18">
        <f xml:space="preserve"> 239.56 + 25.513099 * E202</f>
        <v>-13065.5211285</v>
      </c>
      <c r="F268" s="18">
        <f t="shared" ref="F268:X268" si="954" xml:space="preserve"> 239.56 + 25.513099 * F202</f>
        <v>-525725.73243450001</v>
      </c>
      <c r="G268" s="18">
        <f t="shared" si="954"/>
        <v>252.31654950000001</v>
      </c>
      <c r="H268" s="18">
        <f t="shared" si="954"/>
        <v>-53.840638500000011</v>
      </c>
      <c r="I268" s="18">
        <f t="shared" si="954"/>
        <v>-3829.7792905000001</v>
      </c>
      <c r="J268" s="18">
        <f t="shared" si="954"/>
        <v>-3702.2137955000003</v>
      </c>
      <c r="K268" s="18">
        <f t="shared" si="954"/>
        <v>-3523.6221025</v>
      </c>
      <c r="L268" s="18">
        <f t="shared" si="954"/>
        <v>-3396.0566075000002</v>
      </c>
      <c r="M268" s="18">
        <f t="shared" si="954"/>
        <v>-31307.386913499999</v>
      </c>
      <c r="N268" s="18">
        <f t="shared" si="954"/>
        <v>-125960.9842035</v>
      </c>
      <c r="O268" s="18">
        <f t="shared" si="954"/>
        <v>-125629.3139165</v>
      </c>
      <c r="P268" s="18">
        <f t="shared" si="954"/>
        <v>-366651.56016950001</v>
      </c>
      <c r="Q268" s="18">
        <f t="shared" si="954"/>
        <v>-669338.96670549992</v>
      </c>
      <c r="R268" s="18">
        <f t="shared" si="954"/>
        <v>-669364.47980450001</v>
      </c>
      <c r="S268" s="18">
        <f t="shared" si="954"/>
        <v>-946258.14325149998</v>
      </c>
      <c r="T268" s="18">
        <f t="shared" si="954"/>
        <v>-946334.68254850002</v>
      </c>
      <c r="U268" s="18">
        <f t="shared" si="954"/>
        <v>-946538.78734049993</v>
      </c>
      <c r="V268" s="18">
        <f t="shared" si="954"/>
        <v>-2117768.6231335001</v>
      </c>
      <c r="W268" s="18">
        <f t="shared" si="954"/>
        <v>-3753.2399935000003</v>
      </c>
      <c r="X268" s="18">
        <f t="shared" si="954"/>
        <v>-2171.4278555000001</v>
      </c>
      <c r="Y268" s="18">
        <f xml:space="preserve"> 239.56 + 25.513099 * Y202</f>
        <v>-6967.8904674999994</v>
      </c>
      <c r="Z268" s="18">
        <f t="shared" ref="Z268:AE268" si="955" xml:space="preserve"> 239.56 + 25.513099 * Z202</f>
        <v>14131.4424055</v>
      </c>
      <c r="AA268" s="18">
        <f t="shared" si="955"/>
        <v>252.31654950000001</v>
      </c>
      <c r="AB268" s="18">
        <f t="shared" si="955"/>
        <v>-14111.558187500001</v>
      </c>
      <c r="AC268" s="18">
        <f t="shared" si="955"/>
        <v>-6406.6022894999996</v>
      </c>
      <c r="AD268" s="18">
        <f t="shared" si="955"/>
        <v>-3447.0828055000002</v>
      </c>
      <c r="AE268" s="18">
        <f t="shared" si="955"/>
        <v>-6967.8904674999994</v>
      </c>
      <c r="AF268" s="18">
        <f t="shared" ref="AF268:BG268" si="956" xml:space="preserve"> 239.56 + 25.513099 * AF202</f>
        <v>-1967.3230635</v>
      </c>
      <c r="AG268" s="18">
        <f t="shared" si="956"/>
        <v>-2018.3492615</v>
      </c>
      <c r="AH268" s="18">
        <f t="shared" si="956"/>
        <v>-2528.6112415000002</v>
      </c>
      <c r="AI268" s="18">
        <f t="shared" si="956"/>
        <v>-2196.9409545000003</v>
      </c>
      <c r="AJ268" s="18">
        <f t="shared" si="956"/>
        <v>-1839.7575685000002</v>
      </c>
      <c r="AK268" s="18">
        <f t="shared" si="956"/>
        <v>-57177.669299500005</v>
      </c>
      <c r="AL268" s="18">
        <f t="shared" si="956"/>
        <v>-2681.6898355000003</v>
      </c>
      <c r="AM268" s="18">
        <f t="shared" si="956"/>
        <v>-434414.35111350002</v>
      </c>
      <c r="AN268" s="18">
        <f t="shared" si="956"/>
        <v>328.85584649999998</v>
      </c>
      <c r="AO268" s="18">
        <f t="shared" si="956"/>
        <v>-630533.54312649998</v>
      </c>
      <c r="AP268" s="18">
        <f t="shared" si="956"/>
        <v>7421.4973685000004</v>
      </c>
      <c r="AQ268" s="18">
        <f t="shared" si="956"/>
        <v>7421.4973685000004</v>
      </c>
      <c r="AR268" s="18">
        <f t="shared" si="956"/>
        <v>7447.0104675000002</v>
      </c>
      <c r="AS268" s="18">
        <f t="shared" si="956"/>
        <v>7447.0104675000002</v>
      </c>
      <c r="AT268" s="18">
        <f t="shared" si="956"/>
        <v>7447.0104675000002</v>
      </c>
      <c r="AU268" s="18">
        <f t="shared" si="956"/>
        <v>-8141.4930214999995</v>
      </c>
      <c r="AV268" s="18">
        <f t="shared" si="956"/>
        <v>-487.56332149999997</v>
      </c>
      <c r="AW268" s="18">
        <f t="shared" si="956"/>
        <v>-20260.215046499998</v>
      </c>
      <c r="AX268" s="18">
        <f t="shared" si="956"/>
        <v>-13218.599722500001</v>
      </c>
      <c r="AY268" s="18">
        <f t="shared" si="956"/>
        <v>7472.5235665000009</v>
      </c>
      <c r="AZ268" s="18">
        <f t="shared" si="956"/>
        <v>7472.5235665000009</v>
      </c>
      <c r="BA268" s="18">
        <f t="shared" si="956"/>
        <v>7498.0366655000007</v>
      </c>
      <c r="BB268" s="18">
        <f t="shared" si="956"/>
        <v>7498.0366655000007</v>
      </c>
      <c r="BC268" s="18">
        <f t="shared" si="956"/>
        <v>7498.0366655000007</v>
      </c>
      <c r="BD268" s="18">
        <f t="shared" si="956"/>
        <v>7498.0366655000007</v>
      </c>
      <c r="BE268" s="18">
        <f t="shared" si="956"/>
        <v>7498.0366655000007</v>
      </c>
      <c r="BF268" s="18">
        <f t="shared" si="956"/>
        <v>7498.0366655000007</v>
      </c>
      <c r="BG268" s="18">
        <f t="shared" si="956"/>
        <v>-6967.8904674999994</v>
      </c>
    </row>
    <row r="269" spans="2:59" x14ac:dyDescent="0.25">
      <c r="C269" t="s">
        <v>24</v>
      </c>
      <c r="D269" s="86" t="s">
        <v>452</v>
      </c>
      <c r="E269" s="87">
        <f xml:space="preserve"> 331.55 + 3.592518 * E202</f>
        <v>-1541.9481370000001</v>
      </c>
      <c r="F269" s="87">
        <f t="shared" ref="F269:X269" si="957" xml:space="preserve"> 331.55 + 3.592518 * F202</f>
        <v>-73730.004828999998</v>
      </c>
      <c r="G269" s="87">
        <f t="shared" si="957"/>
        <v>333.34625900000003</v>
      </c>
      <c r="H269" s="87">
        <f t="shared" si="957"/>
        <v>290.236043</v>
      </c>
      <c r="I269" s="87">
        <f t="shared" si="957"/>
        <v>-241.45662099999998</v>
      </c>
      <c r="J269" s="87">
        <f t="shared" si="957"/>
        <v>-223.49403100000001</v>
      </c>
      <c r="K269" s="87">
        <f t="shared" si="957"/>
        <v>-198.34640499999995</v>
      </c>
      <c r="L269" s="87">
        <f t="shared" si="957"/>
        <v>-180.38381500000003</v>
      </c>
      <c r="M269" s="87">
        <f t="shared" si="957"/>
        <v>-4110.5985069999997</v>
      </c>
      <c r="N269" s="87">
        <f t="shared" si="957"/>
        <v>-17438.840287000003</v>
      </c>
      <c r="O269" s="87">
        <f t="shared" si="957"/>
        <v>-17392.137553</v>
      </c>
      <c r="P269" s="87">
        <f t="shared" si="957"/>
        <v>-51330.655098999996</v>
      </c>
      <c r="Q269" s="87">
        <f t="shared" si="957"/>
        <v>-93952.288650999995</v>
      </c>
      <c r="R269" s="87">
        <f t="shared" si="957"/>
        <v>-93955.881169</v>
      </c>
      <c r="S269" s="87">
        <f t="shared" si="957"/>
        <v>-132945.47902300002</v>
      </c>
      <c r="T269" s="87">
        <f t="shared" si="957"/>
        <v>-132956.25657700002</v>
      </c>
      <c r="U269" s="87">
        <f t="shared" si="957"/>
        <v>-132984.996721</v>
      </c>
      <c r="V269" s="87">
        <f t="shared" si="957"/>
        <v>-297906.720547</v>
      </c>
      <c r="W269" s="87">
        <f t="shared" si="957"/>
        <v>-230.67906699999997</v>
      </c>
      <c r="X269" s="87">
        <f t="shared" si="957"/>
        <v>-7.9429509999999937</v>
      </c>
      <c r="Y269" s="87">
        <f xml:space="preserve"> 331.55 + 3.592518 * Y202</f>
        <v>-683.33633499999996</v>
      </c>
      <c r="Z269" s="87">
        <f t="shared" ref="Z269:AE269" si="958" xml:space="preserve"> 331.55 + 3.592518 * Z202</f>
        <v>2287.6760509999999</v>
      </c>
      <c r="AA269" s="87">
        <f t="shared" si="958"/>
        <v>333.34625900000003</v>
      </c>
      <c r="AB269" s="87">
        <f t="shared" si="958"/>
        <v>-1689.2413750000001</v>
      </c>
      <c r="AC269" s="87">
        <f t="shared" si="958"/>
        <v>-604.30093899999997</v>
      </c>
      <c r="AD269" s="87">
        <f t="shared" si="958"/>
        <v>-187.56885100000005</v>
      </c>
      <c r="AE269" s="87">
        <f t="shared" si="958"/>
        <v>-683.33633499999996</v>
      </c>
      <c r="AF269" s="87">
        <f t="shared" ref="AF269:BG269" si="959" xml:space="preserve"> 331.55 + 3.592518 * AF202</f>
        <v>20.797192999999993</v>
      </c>
      <c r="AG269" s="87">
        <f t="shared" si="959"/>
        <v>13.612157000000025</v>
      </c>
      <c r="AH269" s="87">
        <f t="shared" si="959"/>
        <v>-58.238202999999999</v>
      </c>
      <c r="AI269" s="87">
        <f t="shared" si="959"/>
        <v>-11.535468999999978</v>
      </c>
      <c r="AJ269" s="87">
        <f t="shared" si="959"/>
        <v>38.759783000000027</v>
      </c>
      <c r="AK269" s="87">
        <f t="shared" si="959"/>
        <v>-7753.4117589999996</v>
      </c>
      <c r="AL269" s="87">
        <f t="shared" si="959"/>
        <v>-79.793311000000017</v>
      </c>
      <c r="AM269" s="87">
        <f t="shared" si="959"/>
        <v>-60872.382906999999</v>
      </c>
      <c r="AN269" s="87">
        <f t="shared" si="959"/>
        <v>344.12381300000004</v>
      </c>
      <c r="AO269" s="87">
        <f t="shared" si="959"/>
        <v>-88488.068773000006</v>
      </c>
      <c r="AP269" s="87">
        <f t="shared" si="959"/>
        <v>1342.8438169999999</v>
      </c>
      <c r="AQ269" s="87">
        <f t="shared" si="959"/>
        <v>1342.8438169999999</v>
      </c>
      <c r="AR269" s="87">
        <f t="shared" si="959"/>
        <v>1346.4363350000001</v>
      </c>
      <c r="AS269" s="87">
        <f t="shared" si="959"/>
        <v>1346.4363350000001</v>
      </c>
      <c r="AT269" s="87">
        <f t="shared" si="959"/>
        <v>1346.4363350000001</v>
      </c>
      <c r="AU269" s="87">
        <f t="shared" si="959"/>
        <v>-848.59216300000003</v>
      </c>
      <c r="AV269" s="87">
        <f t="shared" si="959"/>
        <v>229.16323700000001</v>
      </c>
      <c r="AW269" s="87">
        <f t="shared" si="959"/>
        <v>-2555.0382129999998</v>
      </c>
      <c r="AX269" s="87">
        <f t="shared" si="959"/>
        <v>-1563.5032450000001</v>
      </c>
      <c r="AY269" s="87">
        <f t="shared" si="959"/>
        <v>1350.028853</v>
      </c>
      <c r="AZ269" s="87">
        <f t="shared" si="959"/>
        <v>1350.028853</v>
      </c>
      <c r="BA269" s="87">
        <f t="shared" si="959"/>
        <v>1353.621371</v>
      </c>
      <c r="BB269" s="87">
        <f t="shared" si="959"/>
        <v>1353.621371</v>
      </c>
      <c r="BC269" s="87">
        <f t="shared" si="959"/>
        <v>1353.621371</v>
      </c>
      <c r="BD269" s="87">
        <f t="shared" si="959"/>
        <v>1353.621371</v>
      </c>
      <c r="BE269" s="87">
        <f t="shared" si="959"/>
        <v>1353.621371</v>
      </c>
      <c r="BF269" s="87">
        <f t="shared" si="959"/>
        <v>1353.621371</v>
      </c>
      <c r="BG269" s="87">
        <f t="shared" si="959"/>
        <v>-683.33633499999996</v>
      </c>
    </row>
    <row r="270" spans="2:59" x14ac:dyDescent="0.25">
      <c r="B270">
        <v>352</v>
      </c>
      <c r="C270" t="s">
        <v>157</v>
      </c>
    </row>
    <row r="271" spans="2:59" x14ac:dyDescent="0.25">
      <c r="C271" t="s">
        <v>143</v>
      </c>
      <c r="D271" s="7" t="s">
        <v>439</v>
      </c>
      <c r="E271" s="18">
        <f t="shared" ref="E271:AJ271" si="960">0.000325 * SIN( E256  * Deg2Rad )</f>
        <v>-2.9149642785430247E-4</v>
      </c>
      <c r="F271" s="18">
        <f t="shared" si="960"/>
        <v>-2.8945338645350874E-4</v>
      </c>
      <c r="G271" s="18">
        <f t="shared" si="960"/>
        <v>-2.8195692674936077E-4</v>
      </c>
      <c r="H271" s="18">
        <f t="shared" si="960"/>
        <v>-2.8552129982734617E-4</v>
      </c>
      <c r="I271" s="18">
        <f t="shared" si="960"/>
        <v>-3.1712552060930851E-4</v>
      </c>
      <c r="J271" s="18">
        <f t="shared" si="960"/>
        <v>-3.1644508044658662E-4</v>
      </c>
      <c r="K271" s="18">
        <f t="shared" si="960"/>
        <v>-3.1544577114907973E-4</v>
      </c>
      <c r="L271" s="18">
        <f t="shared" si="960"/>
        <v>-3.1469871195273052E-4</v>
      </c>
      <c r="M271" s="18">
        <f t="shared" si="960"/>
        <v>7.3380768978929678E-5</v>
      </c>
      <c r="N271" s="18">
        <f t="shared" si="960"/>
        <v>2.5494817795842888E-4</v>
      </c>
      <c r="O271" s="18">
        <f t="shared" si="960"/>
        <v>2.4995813139736629E-4</v>
      </c>
      <c r="P271" s="18">
        <f t="shared" si="960"/>
        <v>-7.8345242215388137E-5</v>
      </c>
      <c r="Q271" s="18">
        <f t="shared" si="960"/>
        <v>-1.8307886430544373E-5</v>
      </c>
      <c r="R271" s="18">
        <f t="shared" si="960"/>
        <v>-1.8917921311092489E-5</v>
      </c>
      <c r="S271" s="18">
        <f t="shared" si="960"/>
        <v>-3.2450637451172183E-4</v>
      </c>
      <c r="T271" s="18">
        <f t="shared" si="960"/>
        <v>-3.2440008446481136E-4</v>
      </c>
      <c r="U271" s="18">
        <f t="shared" si="960"/>
        <v>-3.2406607760227489E-4</v>
      </c>
      <c r="V271" s="18">
        <f t="shared" si="960"/>
        <v>-1.0145816674523507E-4</v>
      </c>
      <c r="W271" s="18">
        <f t="shared" si="960"/>
        <v>-3.1672059612658884E-4</v>
      </c>
      <c r="X271" s="18">
        <f t="shared" si="960"/>
        <v>-3.0613080638027386E-4</v>
      </c>
      <c r="Y271" s="18">
        <f t="shared" si="960"/>
        <v>-3.2498373420728377E-4</v>
      </c>
      <c r="Z271" s="18">
        <f t="shared" si="960"/>
        <v>-9.9143677777078906E-6</v>
      </c>
      <c r="AA271" s="18">
        <f t="shared" si="960"/>
        <v>-2.8195692674936077E-4</v>
      </c>
      <c r="AB271" s="18">
        <f t="shared" si="960"/>
        <v>-2.7959986878909167E-4</v>
      </c>
      <c r="AC271" s="18">
        <f t="shared" si="960"/>
        <v>-3.2484144271320857E-4</v>
      </c>
      <c r="AD271" s="18">
        <f t="shared" si="960"/>
        <v>-3.1500085714845287E-4</v>
      </c>
      <c r="AE271" s="18">
        <f t="shared" si="960"/>
        <v>-3.2498373420728377E-4</v>
      </c>
      <c r="AF271" s="18">
        <f t="shared" si="960"/>
        <v>-3.0445983356414537E-4</v>
      </c>
      <c r="AG271" s="18">
        <f t="shared" si="960"/>
        <v>-3.0488401119945071E-4</v>
      </c>
      <c r="AH271" s="18">
        <f t="shared" si="960"/>
        <v>-3.0888911994420124E-4</v>
      </c>
      <c r="AI271" s="18">
        <f t="shared" si="960"/>
        <v>-3.063348444773689E-4</v>
      </c>
      <c r="AJ271" s="18">
        <f t="shared" si="960"/>
        <v>-3.0338067886172862E-4</v>
      </c>
      <c r="AK271" s="18">
        <f t="shared" ref="AK271:BG271" si="961">0.000325 * SIN( AK256  * Deg2Rad )</f>
        <v>2.7566950299746815E-4</v>
      </c>
      <c r="AL271" s="18">
        <f t="shared" si="961"/>
        <v>-3.1000623330269258E-4</v>
      </c>
      <c r="AM271" s="18">
        <f t="shared" si="961"/>
        <v>-3.2483483098920001E-4</v>
      </c>
      <c r="AN271" s="18">
        <f t="shared" si="961"/>
        <v>-2.8104346884078756E-4</v>
      </c>
      <c r="AO271" s="18">
        <f t="shared" si="961"/>
        <v>1.079356974969599E-4</v>
      </c>
      <c r="AP271" s="18">
        <f t="shared" si="961"/>
        <v>-1.6247604252198636E-4</v>
      </c>
      <c r="AQ271" s="18">
        <f t="shared" si="961"/>
        <v>-1.6247604252198636E-4</v>
      </c>
      <c r="AR271" s="18">
        <f t="shared" si="961"/>
        <v>-1.6194811985918944E-4</v>
      </c>
      <c r="AS271" s="18">
        <f t="shared" si="961"/>
        <v>-1.6194811985918944E-4</v>
      </c>
      <c r="AT271" s="18">
        <f t="shared" si="961"/>
        <v>-1.6194811985918944E-4</v>
      </c>
      <c r="AU271" s="18">
        <f t="shared" si="961"/>
        <v>-3.2349604804264586E-4</v>
      </c>
      <c r="AV271" s="18">
        <f t="shared" si="961"/>
        <v>-2.9032309824342196E-4</v>
      </c>
      <c r="AW271" s="18">
        <f t="shared" si="961"/>
        <v>-1.7920825963838177E-4</v>
      </c>
      <c r="AX271" s="18">
        <f t="shared" si="961"/>
        <v>-2.8986142506029445E-4</v>
      </c>
      <c r="AY271" s="18">
        <f t="shared" si="961"/>
        <v>-1.6141962817136339E-4</v>
      </c>
      <c r="AZ271" s="18">
        <f t="shared" si="961"/>
        <v>-1.6141962817136339E-4</v>
      </c>
      <c r="BA271" s="18">
        <f t="shared" si="961"/>
        <v>-1.6089056931581309E-4</v>
      </c>
      <c r="BB271" s="18">
        <f t="shared" si="961"/>
        <v>-1.6089056931581309E-4</v>
      </c>
      <c r="BC271" s="18">
        <f t="shared" si="961"/>
        <v>-1.6089056931581309E-4</v>
      </c>
      <c r="BD271" s="18">
        <f t="shared" si="961"/>
        <v>-1.6089056931581309E-4</v>
      </c>
      <c r="BE271" s="18">
        <f t="shared" si="961"/>
        <v>-1.6089056931581309E-4</v>
      </c>
      <c r="BF271" s="18">
        <f t="shared" si="961"/>
        <v>-1.6089056931581309E-4</v>
      </c>
      <c r="BG271" s="18">
        <f t="shared" si="961"/>
        <v>-3.2498373420728377E-4</v>
      </c>
    </row>
    <row r="272" spans="2:59" x14ac:dyDescent="0.25">
      <c r="C272" t="s">
        <v>144</v>
      </c>
      <c r="D272" s="7" t="s">
        <v>440</v>
      </c>
      <c r="E272" s="18">
        <f t="shared" ref="E272:AJ272" si="962">0.000165 * SIN( E257  * Deg2Rad )</f>
        <v>-1.4749493614556029E-4</v>
      </c>
      <c r="F272" s="18">
        <f t="shared" si="962"/>
        <v>-1.6426380973423897E-4</v>
      </c>
      <c r="G272" s="18">
        <f t="shared" si="962"/>
        <v>-1.5682449976036551E-4</v>
      </c>
      <c r="H272" s="18">
        <f t="shared" si="962"/>
        <v>-1.5664824748851E-4</v>
      </c>
      <c r="I272" s="18">
        <f t="shared" si="962"/>
        <v>-1.5432463686401135E-4</v>
      </c>
      <c r="J272" s="18">
        <f t="shared" si="962"/>
        <v>-1.5440763785606049E-4</v>
      </c>
      <c r="K272" s="18">
        <f t="shared" si="962"/>
        <v>-1.5452331298865477E-4</v>
      </c>
      <c r="L272" s="18">
        <f t="shared" si="962"/>
        <v>-1.5460556195807628E-4</v>
      </c>
      <c r="M272" s="18">
        <f t="shared" si="962"/>
        <v>-1.2948646531967336E-4</v>
      </c>
      <c r="N272" s="18">
        <f t="shared" si="962"/>
        <v>2.5390145336265926E-5</v>
      </c>
      <c r="O272" s="18">
        <f t="shared" si="962"/>
        <v>2.4786235679943087E-5</v>
      </c>
      <c r="P272" s="18">
        <f t="shared" si="962"/>
        <v>4.872541331172031E-5</v>
      </c>
      <c r="Q272" s="18">
        <f t="shared" si="962"/>
        <v>-1.0198088010974896E-5</v>
      </c>
      <c r="R272" s="18">
        <f t="shared" si="962"/>
        <v>-1.0151176351274504E-5</v>
      </c>
      <c r="S272" s="18">
        <f t="shared" si="962"/>
        <v>1.8379156317808407E-5</v>
      </c>
      <c r="T272" s="18">
        <f t="shared" si="962"/>
        <v>1.8239023783778487E-5</v>
      </c>
      <c r="U272" s="18">
        <f t="shared" si="962"/>
        <v>1.7865272186129229E-5</v>
      </c>
      <c r="V272" s="18">
        <f t="shared" si="962"/>
        <v>-6.4556239572673843E-5</v>
      </c>
      <c r="W272" s="18">
        <f t="shared" si="962"/>
        <v>-1.5437447503687475E-4</v>
      </c>
      <c r="X272" s="18">
        <f t="shared" si="962"/>
        <v>-1.5537917066121653E-4</v>
      </c>
      <c r="Y272" s="18">
        <f t="shared" si="962"/>
        <v>-1.5218466456477022E-4</v>
      </c>
      <c r="Z272" s="18">
        <f t="shared" si="962"/>
        <v>-1.6286216312949825E-4</v>
      </c>
      <c r="AA272" s="18">
        <f t="shared" si="962"/>
        <v>-1.5682449976036551E-4</v>
      </c>
      <c r="AB272" s="18">
        <f t="shared" si="962"/>
        <v>-1.4662110042205779E-4</v>
      </c>
      <c r="AC272" s="18">
        <f t="shared" si="962"/>
        <v>-1.5258122060569939E-4</v>
      </c>
      <c r="AD272" s="18">
        <f t="shared" si="962"/>
        <v>-1.5457269999620722E-4</v>
      </c>
      <c r="AE272" s="18">
        <f t="shared" si="962"/>
        <v>-1.5218466456477022E-4</v>
      </c>
      <c r="AF272" s="18">
        <f t="shared" si="962"/>
        <v>-1.5550528515696064E-4</v>
      </c>
      <c r="AG272" s="18">
        <f t="shared" si="962"/>
        <v>-1.5547383221598516E-4</v>
      </c>
      <c r="AH272" s="18">
        <f t="shared" si="962"/>
        <v>-1.551565290818108E-4</v>
      </c>
      <c r="AI272" s="18">
        <f t="shared" si="962"/>
        <v>-1.5536334960046728E-4</v>
      </c>
      <c r="AJ272" s="18">
        <f t="shared" si="962"/>
        <v>-1.5558369667064177E-4</v>
      </c>
      <c r="AK272" s="18">
        <f t="shared" ref="AK272:BG272" si="963">0.000165 * SIN( AK257  * Deg2Rad )</f>
        <v>-9.4992668959701057E-5</v>
      </c>
      <c r="AL272" s="18">
        <f t="shared" si="963"/>
        <v>-1.550603556681E-4</v>
      </c>
      <c r="AM272" s="18">
        <f t="shared" si="963"/>
        <v>-7.2777959110548941E-5</v>
      </c>
      <c r="AN272" s="18">
        <f t="shared" si="963"/>
        <v>-1.5686827659319339E-4</v>
      </c>
      <c r="AO272" s="18">
        <f t="shared" si="963"/>
        <v>-7.8396302645338599E-5</v>
      </c>
      <c r="AP272" s="18">
        <f t="shared" si="963"/>
        <v>-1.6042378469637275E-4</v>
      </c>
      <c r="AQ272" s="18">
        <f t="shared" si="963"/>
        <v>-1.6042378469637275E-4</v>
      </c>
      <c r="AR272" s="18">
        <f t="shared" si="963"/>
        <v>-1.6043477082756529E-4</v>
      </c>
      <c r="AS272" s="18">
        <f t="shared" si="963"/>
        <v>-1.6043477082756529E-4</v>
      </c>
      <c r="AT272" s="18">
        <f t="shared" si="963"/>
        <v>-1.6043477082756529E-4</v>
      </c>
      <c r="AU272" s="18">
        <f t="shared" si="963"/>
        <v>-1.5133620730506525E-4</v>
      </c>
      <c r="AV272" s="18">
        <f t="shared" si="963"/>
        <v>-1.5639542404823417E-4</v>
      </c>
      <c r="AW272" s="18">
        <f t="shared" si="963"/>
        <v>-1.4108447075159307E-4</v>
      </c>
      <c r="AX272" s="18">
        <f t="shared" si="963"/>
        <v>-1.4736831156914721E-4</v>
      </c>
      <c r="AY272" s="18">
        <f t="shared" si="963"/>
        <v>-1.6044574394068309E-4</v>
      </c>
      <c r="AZ272" s="18">
        <f t="shared" si="963"/>
        <v>-1.6044574394068309E-4</v>
      </c>
      <c r="BA272" s="18">
        <f t="shared" si="963"/>
        <v>-1.6045670403483584E-4</v>
      </c>
      <c r="BB272" s="18">
        <f t="shared" si="963"/>
        <v>-1.6045670403483584E-4</v>
      </c>
      <c r="BC272" s="18">
        <f t="shared" si="963"/>
        <v>-1.6045670403483584E-4</v>
      </c>
      <c r="BD272" s="18">
        <f t="shared" si="963"/>
        <v>-1.6045670403483584E-4</v>
      </c>
      <c r="BE272" s="18">
        <f t="shared" si="963"/>
        <v>-1.6045670403483584E-4</v>
      </c>
      <c r="BF272" s="18">
        <f t="shared" si="963"/>
        <v>-1.6045670403483584E-4</v>
      </c>
      <c r="BG272" s="18">
        <f t="shared" si="963"/>
        <v>-1.5218466456477022E-4</v>
      </c>
    </row>
    <row r="273" spans="1:59" x14ac:dyDescent="0.25">
      <c r="C273" t="s">
        <v>145</v>
      </c>
      <c r="D273" s="7" t="s">
        <v>441</v>
      </c>
      <c r="E273" s="18">
        <f t="shared" ref="E273:AJ273" si="964">0.000164 * SIN( E258  * Deg2Rad )</f>
        <v>8.9011987567049017E-5</v>
      </c>
      <c r="F273" s="18">
        <f t="shared" si="964"/>
        <v>2.8832937103365536E-5</v>
      </c>
      <c r="G273" s="18">
        <f t="shared" si="964"/>
        <v>-1.634142283165025E-4</v>
      </c>
      <c r="H273" s="18">
        <f t="shared" si="964"/>
        <v>-1.3379144492947143E-4</v>
      </c>
      <c r="I273" s="18">
        <f t="shared" si="964"/>
        <v>-1.0353257303686518E-4</v>
      </c>
      <c r="J273" s="18">
        <f t="shared" si="964"/>
        <v>1.6357749788331038E-4</v>
      </c>
      <c r="K273" s="18">
        <f t="shared" si="964"/>
        <v>-1.6116080689816299E-4</v>
      </c>
      <c r="L273" s="18">
        <f t="shared" si="964"/>
        <v>1.3257144091943508E-4</v>
      </c>
      <c r="M273" s="18">
        <f t="shared" si="964"/>
        <v>1.3718695357586622E-4</v>
      </c>
      <c r="N273" s="18">
        <f t="shared" si="964"/>
        <v>4.9342127679997212E-6</v>
      </c>
      <c r="O273" s="18">
        <f t="shared" si="964"/>
        <v>4.3135962080839738E-5</v>
      </c>
      <c r="P273" s="18">
        <f t="shared" si="964"/>
        <v>6.7705792695085262E-5</v>
      </c>
      <c r="Q273" s="18">
        <f t="shared" si="964"/>
        <v>-1.6367779691406413E-4</v>
      </c>
      <c r="R273" s="18">
        <f t="shared" si="964"/>
        <v>-1.4167765516879036E-4</v>
      </c>
      <c r="S273" s="18">
        <f t="shared" si="964"/>
        <v>1.5078014307342568E-4</v>
      </c>
      <c r="T273" s="18">
        <f t="shared" si="964"/>
        <v>-3.7222189790218931E-5</v>
      </c>
      <c r="U273" s="18">
        <f t="shared" si="964"/>
        <v>1.1863287285817007E-4</v>
      </c>
      <c r="V273" s="18">
        <f t="shared" si="964"/>
        <v>-1.6350246870539987E-4</v>
      </c>
      <c r="W273" s="18">
        <f t="shared" si="964"/>
        <v>1.0718230072810421E-4</v>
      </c>
      <c r="X273" s="18">
        <f t="shared" si="964"/>
        <v>-1.5702252995153889E-4</v>
      </c>
      <c r="Y273" s="18">
        <f t="shared" si="964"/>
        <v>-1.6000513706793316E-4</v>
      </c>
      <c r="Z273" s="18">
        <f t="shared" si="964"/>
        <v>1.0817301787795073E-5</v>
      </c>
      <c r="AA273" s="18">
        <f t="shared" si="964"/>
        <v>-1.634142283165025E-4</v>
      </c>
      <c r="AB273" s="18">
        <f t="shared" si="964"/>
        <v>5.6478781496448917E-5</v>
      </c>
      <c r="AC273" s="18">
        <f t="shared" si="964"/>
        <v>8.4432636224588198E-5</v>
      </c>
      <c r="AD273" s="18">
        <f t="shared" si="964"/>
        <v>1.8103159837742971E-6</v>
      </c>
      <c r="AE273" s="18">
        <f t="shared" si="964"/>
        <v>-1.6000513706793316E-4</v>
      </c>
      <c r="AF273" s="18">
        <f t="shared" si="964"/>
        <v>1.5729361956718057E-4</v>
      </c>
      <c r="AG273" s="18">
        <f t="shared" si="964"/>
        <v>1.3121371502270674E-4</v>
      </c>
      <c r="AH273" s="18">
        <f t="shared" si="964"/>
        <v>-1.4217159332696093E-4</v>
      </c>
      <c r="AI273" s="18">
        <f t="shared" si="964"/>
        <v>-1.1910884540922201E-4</v>
      </c>
      <c r="AJ273" s="18">
        <f t="shared" si="964"/>
        <v>-1.415987346348607E-4</v>
      </c>
      <c r="AK273" s="18">
        <f t="shared" ref="AK273:BG273" si="965">0.000164 * SIN( AK258  * Deg2Rad )</f>
        <v>8.6324777721934131E-5</v>
      </c>
      <c r="AL273" s="18">
        <f t="shared" si="965"/>
        <v>1.6160155905112369E-4</v>
      </c>
      <c r="AM273" s="18">
        <f t="shared" si="965"/>
        <v>6.4147979095069622E-5</v>
      </c>
      <c r="AN273" s="18">
        <f t="shared" si="965"/>
        <v>-4.213768772326807E-5</v>
      </c>
      <c r="AO273" s="18">
        <f t="shared" si="965"/>
        <v>1.3607972765932572E-4</v>
      </c>
      <c r="AP273" s="18">
        <f t="shared" si="965"/>
        <v>-4.06074292107416E-5</v>
      </c>
      <c r="AQ273" s="18">
        <f t="shared" si="965"/>
        <v>-4.06074292107416E-5</v>
      </c>
      <c r="AR273" s="18">
        <f t="shared" si="965"/>
        <v>-1.0756731264048084E-4</v>
      </c>
      <c r="AS273" s="18">
        <f t="shared" si="965"/>
        <v>-1.0756731264048084E-4</v>
      </c>
      <c r="AT273" s="18">
        <f t="shared" si="965"/>
        <v>-1.0756731264048084E-4</v>
      </c>
      <c r="AU273" s="18">
        <f t="shared" si="965"/>
        <v>1.1250451792172843E-4</v>
      </c>
      <c r="AV273" s="18">
        <f t="shared" si="965"/>
        <v>-8.751580411929458E-5</v>
      </c>
      <c r="AW273" s="18">
        <f t="shared" si="965"/>
        <v>1.5982214971548068E-4</v>
      </c>
      <c r="AX273" s="18">
        <f t="shared" si="965"/>
        <v>-1.3090752053327063E-4</v>
      </c>
      <c r="AY273" s="18">
        <f t="shared" si="965"/>
        <v>-1.5166879531437749E-4</v>
      </c>
      <c r="AZ273" s="18">
        <f t="shared" si="965"/>
        <v>-1.5166879531437749E-4</v>
      </c>
      <c r="BA273" s="18">
        <f t="shared" si="965"/>
        <v>-1.6354016997172557E-4</v>
      </c>
      <c r="BB273" s="18">
        <f t="shared" si="965"/>
        <v>-1.6354016997172557E-4</v>
      </c>
      <c r="BC273" s="18">
        <f t="shared" si="965"/>
        <v>-1.6354016997172557E-4</v>
      </c>
      <c r="BD273" s="18">
        <f t="shared" si="965"/>
        <v>-1.6354016997172557E-4</v>
      </c>
      <c r="BE273" s="18">
        <f t="shared" si="965"/>
        <v>-1.6354016997172557E-4</v>
      </c>
      <c r="BF273" s="18">
        <f t="shared" si="965"/>
        <v>-1.6354016997172557E-4</v>
      </c>
      <c r="BG273" s="18">
        <f t="shared" si="965"/>
        <v>-1.6000513706793316E-4</v>
      </c>
    </row>
    <row r="274" spans="1:59" x14ac:dyDescent="0.25">
      <c r="C274" t="s">
        <v>146</v>
      </c>
      <c r="D274" s="7" t="s">
        <v>442</v>
      </c>
      <c r="E274" s="18">
        <f t="shared" ref="E274:AJ274" si="966">0.000126 * SIN( E259  * Deg2Rad )</f>
        <v>1.2420334826440422E-4</v>
      </c>
      <c r="F274" s="18">
        <f t="shared" si="966"/>
        <v>-1.1984684690494413E-4</v>
      </c>
      <c r="G274" s="18">
        <f t="shared" si="966"/>
        <v>1.6721499111742192E-5</v>
      </c>
      <c r="H274" s="18">
        <f t="shared" si="966"/>
        <v>-1.1788420293743611E-4</v>
      </c>
      <c r="I274" s="18">
        <f t="shared" si="966"/>
        <v>-1.0728328777792917E-4</v>
      </c>
      <c r="J274" s="18">
        <f t="shared" si="966"/>
        <v>1.0483579793246332E-4</v>
      </c>
      <c r="K274" s="18">
        <f t="shared" si="966"/>
        <v>4.0146132819923704E-5</v>
      </c>
      <c r="L274" s="18">
        <f t="shared" si="966"/>
        <v>-4.4418256220032726E-5</v>
      </c>
      <c r="M274" s="18">
        <f t="shared" si="966"/>
        <v>-7.1564687605508686E-5</v>
      </c>
      <c r="N274" s="18">
        <f t="shared" si="966"/>
        <v>-1.033360825808436E-4</v>
      </c>
      <c r="O274" s="18">
        <f t="shared" si="966"/>
        <v>-2.5207011229461857E-5</v>
      </c>
      <c r="P274" s="18">
        <f t="shared" si="966"/>
        <v>4.3548597807153589E-5</v>
      </c>
      <c r="Q274" s="18">
        <f t="shared" si="966"/>
        <v>3.8640854637455914E-5</v>
      </c>
      <c r="R274" s="18">
        <f t="shared" si="966"/>
        <v>1.0228574450900246E-4</v>
      </c>
      <c r="S274" s="18">
        <f t="shared" si="966"/>
        <v>-8.2837428981593418E-5</v>
      </c>
      <c r="T274" s="18">
        <f t="shared" si="966"/>
        <v>1.1693402100354117E-4</v>
      </c>
      <c r="U274" s="18">
        <f t="shared" si="966"/>
        <v>-1.2483269183806045E-6</v>
      </c>
      <c r="V274" s="18">
        <f t="shared" si="966"/>
        <v>1.2045582855549235E-4</v>
      </c>
      <c r="W274" s="18">
        <f t="shared" si="966"/>
        <v>9.7736330298959327E-5</v>
      </c>
      <c r="X274" s="18">
        <f t="shared" si="966"/>
        <v>6.5945732826861592E-5</v>
      </c>
      <c r="Y274" s="18">
        <f t="shared" si="966"/>
        <v>7.6013037445018717E-5</v>
      </c>
      <c r="Z274" s="18">
        <f t="shared" si="966"/>
        <v>3.4760473577242003E-5</v>
      </c>
      <c r="AA274" s="18">
        <f t="shared" si="966"/>
        <v>1.6721499111742192E-5</v>
      </c>
      <c r="AB274" s="18">
        <f t="shared" si="966"/>
        <v>5.7987369330587833E-5</v>
      </c>
      <c r="AC274" s="18">
        <f t="shared" si="966"/>
        <v>-8.7478663926385676E-5</v>
      </c>
      <c r="AD274" s="18">
        <f t="shared" si="966"/>
        <v>9.9536709410293561E-5</v>
      </c>
      <c r="AE274" s="18">
        <f t="shared" si="966"/>
        <v>7.6013037445018717E-5</v>
      </c>
      <c r="AF274" s="18">
        <f t="shared" si="966"/>
        <v>1.2398546860146697E-4</v>
      </c>
      <c r="AG274" s="18">
        <f t="shared" si="966"/>
        <v>1.5171510617603563E-5</v>
      </c>
      <c r="AH274" s="18">
        <f t="shared" si="966"/>
        <v>-2.9330529854624029E-6</v>
      </c>
      <c r="AI274" s="18">
        <f t="shared" si="966"/>
        <v>1.1680179573759589E-4</v>
      </c>
      <c r="AJ274" s="18">
        <f t="shared" si="966"/>
        <v>-1.247127593779831E-4</v>
      </c>
      <c r="AK274" s="18">
        <f t="shared" ref="AK274:BG274" si="967">0.000126 * SIN( AK259  * Deg2Rad )</f>
        <v>1.0550658556187358E-4</v>
      </c>
      <c r="AL274" s="18">
        <f t="shared" si="967"/>
        <v>8.0668572604756912E-5</v>
      </c>
      <c r="AM274" s="18">
        <f t="shared" si="967"/>
        <v>-1.1966997086951001E-4</v>
      </c>
      <c r="AN274" s="18">
        <f t="shared" si="967"/>
        <v>1.1240260990547234E-4</v>
      </c>
      <c r="AO274" s="18">
        <f t="shared" si="967"/>
        <v>1.2140557768177956E-4</v>
      </c>
      <c r="AP274" s="18">
        <f t="shared" si="967"/>
        <v>4.4059060390946434E-5</v>
      </c>
      <c r="AQ274" s="18">
        <f t="shared" si="967"/>
        <v>4.4059060390946434E-5</v>
      </c>
      <c r="AR274" s="18">
        <f t="shared" si="967"/>
        <v>-3.4614098988804456E-5</v>
      </c>
      <c r="AS274" s="18">
        <f t="shared" si="967"/>
        <v>-3.4614098988804456E-5</v>
      </c>
      <c r="AT274" s="18">
        <f t="shared" si="967"/>
        <v>-3.4614098988804456E-5</v>
      </c>
      <c r="AU274" s="18">
        <f t="shared" si="967"/>
        <v>-1.259170595818706E-4</v>
      </c>
      <c r="AV274" s="18">
        <f t="shared" si="967"/>
        <v>6.614276349263682E-5</v>
      </c>
      <c r="AW274" s="18">
        <f t="shared" si="967"/>
        <v>-1.1982899338870896E-4</v>
      </c>
      <c r="AX274" s="18">
        <f t="shared" si="967"/>
        <v>-8.4045131924899755E-5</v>
      </c>
      <c r="AY274" s="18">
        <f t="shared" si="967"/>
        <v>-9.9771459444285924E-5</v>
      </c>
      <c r="AZ274" s="18">
        <f t="shared" si="967"/>
        <v>-9.9771459444285924E-5</v>
      </c>
      <c r="BA274" s="18">
        <f t="shared" si="967"/>
        <v>-1.2597096678141742E-4</v>
      </c>
      <c r="BB274" s="18">
        <f t="shared" si="967"/>
        <v>-1.2597096678141742E-4</v>
      </c>
      <c r="BC274" s="18">
        <f t="shared" si="967"/>
        <v>-1.2597096678141742E-4</v>
      </c>
      <c r="BD274" s="18">
        <f t="shared" si="967"/>
        <v>-1.2597096678141742E-4</v>
      </c>
      <c r="BE274" s="18">
        <f t="shared" si="967"/>
        <v>-1.2597096678141742E-4</v>
      </c>
      <c r="BF274" s="18">
        <f t="shared" si="967"/>
        <v>-1.2597096678141742E-4</v>
      </c>
      <c r="BG274" s="18">
        <f t="shared" si="967"/>
        <v>7.6013037445018717E-5</v>
      </c>
    </row>
    <row r="275" spans="1:59" x14ac:dyDescent="0.25">
      <c r="C275" t="s">
        <v>147</v>
      </c>
      <c r="D275" s="7" t="s">
        <v>443</v>
      </c>
      <c r="E275" s="18">
        <f t="shared" ref="E275:AJ275" si="968">0.00011 * SIN( E260  * Deg2Rad )</f>
        <v>-8.4133486769616628E-5</v>
      </c>
      <c r="F275" s="18">
        <f t="shared" si="968"/>
        <v>-8.8923994503094082E-5</v>
      </c>
      <c r="G275" s="18">
        <f t="shared" si="968"/>
        <v>1.097628313287825E-4</v>
      </c>
      <c r="H275" s="18">
        <f t="shared" si="968"/>
        <v>-9.0423002227520941E-5</v>
      </c>
      <c r="I275" s="18">
        <f t="shared" si="968"/>
        <v>9.5988515783797742E-5</v>
      </c>
      <c r="J275" s="18">
        <f t="shared" si="968"/>
        <v>5.1987225885651759E-5</v>
      </c>
      <c r="K275" s="18">
        <f t="shared" si="968"/>
        <v>-1.0857276254155913E-4</v>
      </c>
      <c r="L275" s="18">
        <f t="shared" si="968"/>
        <v>1.9613353736242605E-5</v>
      </c>
      <c r="M275" s="18">
        <f t="shared" si="968"/>
        <v>-1.0499251190711059E-4</v>
      </c>
      <c r="N275" s="18">
        <f t="shared" si="968"/>
        <v>5.0790280928528663E-5</v>
      </c>
      <c r="O275" s="18">
        <f t="shared" si="968"/>
        <v>-1.0943297028701231E-4</v>
      </c>
      <c r="P275" s="18">
        <f t="shared" si="968"/>
        <v>-1.9403621567137604E-5</v>
      </c>
      <c r="Q275" s="18">
        <f t="shared" si="968"/>
        <v>-1.7168795118004057E-5</v>
      </c>
      <c r="R275" s="18">
        <f t="shared" si="968"/>
        <v>-5.0256308799398075E-5</v>
      </c>
      <c r="S275" s="18">
        <f t="shared" si="968"/>
        <v>3.8527232978162897E-5</v>
      </c>
      <c r="T275" s="18">
        <f t="shared" si="968"/>
        <v>-6.1696134059568812E-5</v>
      </c>
      <c r="U275" s="18">
        <f t="shared" si="968"/>
        <v>-4.4891916688667003E-7</v>
      </c>
      <c r="V275" s="18">
        <f t="shared" si="968"/>
        <v>-8.8515462266006983E-5</v>
      </c>
      <c r="W275" s="18">
        <f t="shared" si="968"/>
        <v>9.9380386364679888E-5</v>
      </c>
      <c r="X275" s="18">
        <f t="shared" si="968"/>
        <v>3.000547724046788E-5</v>
      </c>
      <c r="Y275" s="18">
        <f t="shared" si="968"/>
        <v>-3.5090104793459634E-5</v>
      </c>
      <c r="Z275" s="18">
        <f t="shared" si="968"/>
        <v>-1.0894091017869062E-4</v>
      </c>
      <c r="AA275" s="18">
        <f t="shared" si="968"/>
        <v>1.097628313287825E-4</v>
      </c>
      <c r="AB275" s="18">
        <f t="shared" si="968"/>
        <v>-1.0689284247726977E-4</v>
      </c>
      <c r="AC275" s="18">
        <f t="shared" si="968"/>
        <v>4.1090532406204343E-5</v>
      </c>
      <c r="AD275" s="18">
        <f t="shared" si="968"/>
        <v>-4.8464906867927834E-5</v>
      </c>
      <c r="AE275" s="18">
        <f t="shared" si="968"/>
        <v>-3.5090104793459634E-5</v>
      </c>
      <c r="AF275" s="18">
        <f t="shared" si="968"/>
        <v>-8.4486202586427916E-5</v>
      </c>
      <c r="AG275" s="18">
        <f t="shared" si="968"/>
        <v>-1.0980548641069892E-4</v>
      </c>
      <c r="AH275" s="18">
        <f t="shared" si="968"/>
        <v>-1.099913887324431E-4</v>
      </c>
      <c r="AI275" s="18">
        <f t="shared" si="968"/>
        <v>6.1568226985530392E-5</v>
      </c>
      <c r="AJ275" s="18">
        <f t="shared" si="968"/>
        <v>7.195111491394189E-5</v>
      </c>
      <c r="AK275" s="18">
        <f t="shared" ref="AK275:BG275" si="969">0.00011 * SIN( AK260  * Deg2Rad )</f>
        <v>5.2455183575847847E-5</v>
      </c>
      <c r="AL275" s="18">
        <f t="shared" si="969"/>
        <v>3.7539875537960492E-5</v>
      </c>
      <c r="AM275" s="18">
        <f t="shared" si="969"/>
        <v>-8.9069980533762146E-5</v>
      </c>
      <c r="AN275" s="18">
        <f t="shared" si="969"/>
        <v>5.7668147684758036E-5</v>
      </c>
      <c r="AO275" s="18">
        <f t="shared" si="969"/>
        <v>-6.664332348144575E-5</v>
      </c>
      <c r="AP275" s="18">
        <f t="shared" si="969"/>
        <v>1.9637494025418374E-5</v>
      </c>
      <c r="AQ275" s="18">
        <f t="shared" si="969"/>
        <v>1.9637494025418374E-5</v>
      </c>
      <c r="AR275" s="18">
        <f t="shared" si="969"/>
        <v>-1.5161719111365648E-5</v>
      </c>
      <c r="AS275" s="18">
        <f t="shared" si="969"/>
        <v>-1.5161719111365648E-5</v>
      </c>
      <c r="AT275" s="18">
        <f t="shared" si="969"/>
        <v>-1.5161719111365648E-5</v>
      </c>
      <c r="AU275" s="18">
        <f t="shared" si="969"/>
        <v>-7.628870919131048E-5</v>
      </c>
      <c r="AV275" s="18">
        <f t="shared" si="969"/>
        <v>-1.0585328496697321E-4</v>
      </c>
      <c r="AW275" s="18">
        <f t="shared" si="969"/>
        <v>-6.4573973711917865E-5</v>
      </c>
      <c r="AX275" s="18">
        <f t="shared" si="969"/>
        <v>-3.91854442664705E-5</v>
      </c>
      <c r="AY275" s="18">
        <f t="shared" si="969"/>
        <v>-4.8442881357363544E-5</v>
      </c>
      <c r="AZ275" s="18">
        <f t="shared" si="969"/>
        <v>-4.8442881357363544E-5</v>
      </c>
      <c r="BA275" s="18">
        <f t="shared" si="969"/>
        <v>-7.6873751980316999E-5</v>
      </c>
      <c r="BB275" s="18">
        <f t="shared" si="969"/>
        <v>-7.6873751980316999E-5</v>
      </c>
      <c r="BC275" s="18">
        <f t="shared" si="969"/>
        <v>-7.6873751980316999E-5</v>
      </c>
      <c r="BD275" s="18">
        <f t="shared" si="969"/>
        <v>-7.6873751980316999E-5</v>
      </c>
      <c r="BE275" s="18">
        <f t="shared" si="969"/>
        <v>-7.6873751980316999E-5</v>
      </c>
      <c r="BF275" s="18">
        <f t="shared" si="969"/>
        <v>-7.6873751980316999E-5</v>
      </c>
      <c r="BG275" s="18">
        <f t="shared" si="969"/>
        <v>-3.5090104793459634E-5</v>
      </c>
    </row>
    <row r="276" spans="1:59" x14ac:dyDescent="0.25">
      <c r="C276" t="s">
        <v>148</v>
      </c>
      <c r="D276" s="7" t="s">
        <v>444</v>
      </c>
      <c r="E276" s="18">
        <f t="shared" ref="E276:AJ276" si="970">0.000062 * SIN( E261  * Deg2Rad )</f>
        <v>5.5641204972225395E-5</v>
      </c>
      <c r="F276" s="18">
        <f t="shared" si="970"/>
        <v>-2.3377078303757816E-5</v>
      </c>
      <c r="G276" s="18">
        <f t="shared" si="970"/>
        <v>1.2475432375706844E-5</v>
      </c>
      <c r="H276" s="18">
        <f t="shared" si="970"/>
        <v>-5.7783167468963554E-5</v>
      </c>
      <c r="I276" s="18">
        <f t="shared" si="970"/>
        <v>-6.1097401904714995E-5</v>
      </c>
      <c r="J276" s="18">
        <f t="shared" si="970"/>
        <v>-6.8114654701092616E-6</v>
      </c>
      <c r="K276" s="18">
        <f t="shared" si="970"/>
        <v>-2.0628462112886971E-5</v>
      </c>
      <c r="L276" s="18">
        <f t="shared" si="970"/>
        <v>5.9612333004727869E-5</v>
      </c>
      <c r="M276" s="18">
        <f t="shared" si="970"/>
        <v>5.7635317085414416E-5</v>
      </c>
      <c r="N276" s="18">
        <f t="shared" si="970"/>
        <v>-5.7951250060842451E-6</v>
      </c>
      <c r="O276" s="18">
        <f t="shared" si="970"/>
        <v>-3.3234260143724258E-5</v>
      </c>
      <c r="P276" s="18">
        <f t="shared" si="970"/>
        <v>4.5241314621611705E-5</v>
      </c>
      <c r="Q276" s="18">
        <f t="shared" si="970"/>
        <v>9.7823029382415516E-6</v>
      </c>
      <c r="R276" s="18">
        <f t="shared" si="970"/>
        <v>5.4935485069602698E-5</v>
      </c>
      <c r="S276" s="18">
        <f t="shared" si="970"/>
        <v>4.6225601416242957E-5</v>
      </c>
      <c r="T276" s="18">
        <f t="shared" si="970"/>
        <v>-2.9221593527870847E-5</v>
      </c>
      <c r="U276" s="18">
        <f t="shared" si="970"/>
        <v>-6.1804612592377642E-5</v>
      </c>
      <c r="V276" s="18">
        <f t="shared" si="970"/>
        <v>1.1580672008145436E-5</v>
      </c>
      <c r="W276" s="18">
        <f t="shared" si="970"/>
        <v>6.1000841104194769E-5</v>
      </c>
      <c r="X276" s="18">
        <f t="shared" si="970"/>
        <v>3.5973941190161075E-5</v>
      </c>
      <c r="Y276" s="18">
        <f t="shared" si="970"/>
        <v>-2.4647689203745686E-5</v>
      </c>
      <c r="Z276" s="18">
        <f t="shared" si="970"/>
        <v>6.0967797715087155E-6</v>
      </c>
      <c r="AA276" s="18">
        <f t="shared" si="970"/>
        <v>1.2475432375706844E-5</v>
      </c>
      <c r="AB276" s="18">
        <f t="shared" si="970"/>
        <v>3.8484708490347627E-5</v>
      </c>
      <c r="AC276" s="18">
        <f t="shared" si="970"/>
        <v>-5.5674065199067529E-5</v>
      </c>
      <c r="AD276" s="18">
        <f t="shared" si="970"/>
        <v>-7.0866484711771106E-7</v>
      </c>
      <c r="AE276" s="18">
        <f t="shared" si="970"/>
        <v>-2.4647689203745686E-5</v>
      </c>
      <c r="AF276" s="18">
        <f t="shared" si="970"/>
        <v>-3.1898785057357567E-5</v>
      </c>
      <c r="AG276" s="18">
        <f t="shared" si="970"/>
        <v>6.006390754539462E-5</v>
      </c>
      <c r="AH276" s="18">
        <f t="shared" si="970"/>
        <v>5.4599418858060741E-5</v>
      </c>
      <c r="AI276" s="18">
        <f t="shared" si="970"/>
        <v>6.1985717053271845E-5</v>
      </c>
      <c r="AJ276" s="18">
        <f t="shared" si="970"/>
        <v>5.500333149647605E-5</v>
      </c>
      <c r="AK276" s="18">
        <f t="shared" ref="AK276:BG276" si="971">0.000062 * SIN( AK261  * Deg2Rad )</f>
        <v>5.4539943047484342E-5</v>
      </c>
      <c r="AL276" s="18">
        <f t="shared" si="971"/>
        <v>2.276513397607594E-5</v>
      </c>
      <c r="AM276" s="18">
        <f t="shared" si="971"/>
        <v>-4.6042122061414521E-5</v>
      </c>
      <c r="AN276" s="18">
        <f t="shared" si="971"/>
        <v>-3.2576297564811049E-5</v>
      </c>
      <c r="AO276" s="18">
        <f t="shared" si="971"/>
        <v>-5.6621177225514211E-5</v>
      </c>
      <c r="AP276" s="18">
        <f t="shared" si="971"/>
        <v>2.7907588048408628E-5</v>
      </c>
      <c r="AQ276" s="18">
        <f t="shared" si="971"/>
        <v>2.7907588048408628E-5</v>
      </c>
      <c r="AR276" s="18">
        <f t="shared" si="971"/>
        <v>6.1068444816715205E-5</v>
      </c>
      <c r="AS276" s="18">
        <f t="shared" si="971"/>
        <v>6.1068444816715205E-5</v>
      </c>
      <c r="AT276" s="18">
        <f t="shared" si="971"/>
        <v>6.1068444816715205E-5</v>
      </c>
      <c r="AU276" s="18">
        <f t="shared" si="971"/>
        <v>-6.1980113259299779E-5</v>
      </c>
      <c r="AV276" s="18">
        <f t="shared" si="971"/>
        <v>5.5035849793826586E-5</v>
      </c>
      <c r="AW276" s="18">
        <f t="shared" si="971"/>
        <v>2.8954251565317935E-5</v>
      </c>
      <c r="AX276" s="18">
        <f t="shared" si="971"/>
        <v>6.0158126249997424E-5</v>
      </c>
      <c r="AY276" s="18">
        <f t="shared" si="971"/>
        <v>4.5078043253115361E-5</v>
      </c>
      <c r="AZ276" s="18">
        <f t="shared" si="971"/>
        <v>4.5078043253115361E-5</v>
      </c>
      <c r="BA276" s="18">
        <f t="shared" si="971"/>
        <v>-7.1936580174005838E-6</v>
      </c>
      <c r="BB276" s="18">
        <f t="shared" si="971"/>
        <v>-7.1936580174005838E-6</v>
      </c>
      <c r="BC276" s="18">
        <f t="shared" si="971"/>
        <v>-7.1936580174005838E-6</v>
      </c>
      <c r="BD276" s="18">
        <f t="shared" si="971"/>
        <v>-7.1936580174005838E-6</v>
      </c>
      <c r="BE276" s="18">
        <f t="shared" si="971"/>
        <v>-7.1936580174005838E-6</v>
      </c>
      <c r="BF276" s="18">
        <f t="shared" si="971"/>
        <v>-7.1936580174005838E-6</v>
      </c>
      <c r="BG276" s="18">
        <f t="shared" si="971"/>
        <v>-2.4647689203745686E-5</v>
      </c>
    </row>
    <row r="277" spans="1:59" x14ac:dyDescent="0.25">
      <c r="C277" t="s">
        <v>149</v>
      </c>
      <c r="D277" s="7" t="s">
        <v>445</v>
      </c>
      <c r="E277" s="18">
        <f t="shared" ref="E277:AJ277" si="972">0.00006 * SIN( E262  * Deg2Rad )</f>
        <v>7.8510505461629836E-6</v>
      </c>
      <c r="F277" s="18">
        <f t="shared" si="972"/>
        <v>2.2697547853106986E-5</v>
      </c>
      <c r="G277" s="18">
        <f t="shared" si="972"/>
        <v>-2.8506925865399784E-5</v>
      </c>
      <c r="H277" s="18">
        <f t="shared" si="972"/>
        <v>1.1287265041956789E-6</v>
      </c>
      <c r="I277" s="18">
        <f t="shared" si="972"/>
        <v>4.4258880457968132E-6</v>
      </c>
      <c r="J277" s="18">
        <f t="shared" si="972"/>
        <v>-8.3902114424639025E-6</v>
      </c>
      <c r="K277" s="18">
        <f t="shared" si="972"/>
        <v>-2.5560524322034065E-5</v>
      </c>
      <c r="L277" s="18">
        <f t="shared" si="972"/>
        <v>-3.651171845978198E-5</v>
      </c>
      <c r="M277" s="18">
        <f t="shared" si="972"/>
        <v>4.7981319693939954E-5</v>
      </c>
      <c r="N277" s="18">
        <f t="shared" si="972"/>
        <v>-4.6127388008127297E-5</v>
      </c>
      <c r="O277" s="18">
        <f t="shared" si="972"/>
        <v>-1.88860931818619E-5</v>
      </c>
      <c r="P277" s="18">
        <f t="shared" si="972"/>
        <v>-2.1743328901717427E-5</v>
      </c>
      <c r="Q277" s="18">
        <f t="shared" si="972"/>
        <v>-5.6442383488271221E-5</v>
      </c>
      <c r="R277" s="18">
        <f t="shared" si="972"/>
        <v>-5.5519254075635505E-5</v>
      </c>
      <c r="S277" s="18">
        <f t="shared" si="972"/>
        <v>-5.8546632442033041E-5</v>
      </c>
      <c r="T277" s="18">
        <f t="shared" si="972"/>
        <v>-5.6382345879688507E-5</v>
      </c>
      <c r="U277" s="18">
        <f t="shared" si="972"/>
        <v>-4.6212329892948514E-5</v>
      </c>
      <c r="V277" s="18">
        <f t="shared" si="972"/>
        <v>-5.9912054163691603E-5</v>
      </c>
      <c r="W277" s="18">
        <f t="shared" si="972"/>
        <v>-3.2770832756179613E-6</v>
      </c>
      <c r="X277" s="18">
        <f t="shared" si="972"/>
        <v>-2.5107861579637789E-5</v>
      </c>
      <c r="Y277" s="18">
        <f t="shared" si="972"/>
        <v>-4.8516824184741825E-5</v>
      </c>
      <c r="Z277" s="18">
        <f t="shared" si="972"/>
        <v>5.8415433786126237E-5</v>
      </c>
      <c r="AA277" s="18">
        <f t="shared" si="972"/>
        <v>-2.8506925865399784E-5</v>
      </c>
      <c r="AB277" s="18">
        <f t="shared" si="972"/>
        <v>-5.9913089897362328E-5</v>
      </c>
      <c r="AC277" s="18">
        <f t="shared" si="972"/>
        <v>-5.708186804698325E-5</v>
      </c>
      <c r="AD277" s="18">
        <f t="shared" si="972"/>
        <v>-3.2304829335200897E-5</v>
      </c>
      <c r="AE277" s="18">
        <f t="shared" si="972"/>
        <v>-4.8516824184741825E-5</v>
      </c>
      <c r="AF277" s="18">
        <f t="shared" si="972"/>
        <v>-5.3418123410042445E-6</v>
      </c>
      <c r="AG277" s="18">
        <f t="shared" si="972"/>
        <v>-1.0434650436529654E-5</v>
      </c>
      <c r="AH277" s="18">
        <f t="shared" si="972"/>
        <v>-5.1478473808832722E-5</v>
      </c>
      <c r="AI277" s="18">
        <f t="shared" si="972"/>
        <v>-2.7417870909431125E-5</v>
      </c>
      <c r="AJ277" s="18">
        <f t="shared" si="972"/>
        <v>7.479309444911153E-6</v>
      </c>
      <c r="AK277" s="18">
        <f t="shared" ref="AK277:BG277" si="973">0.00006 * SIN( AK262  * Deg2Rad )</f>
        <v>5.9773152054295158E-5</v>
      </c>
      <c r="AL277" s="18">
        <f t="shared" si="973"/>
        <v>-5.7621217453395157E-5</v>
      </c>
      <c r="AM277" s="18">
        <f t="shared" si="973"/>
        <v>1.6402519989868692E-5</v>
      </c>
      <c r="AN277" s="18">
        <f t="shared" si="973"/>
        <v>-3.5036332739234015E-5</v>
      </c>
      <c r="AO277" s="18">
        <f t="shared" si="973"/>
        <v>2.2764364080828685E-5</v>
      </c>
      <c r="AP277" s="18">
        <f t="shared" si="973"/>
        <v>2.2346654778319913E-6</v>
      </c>
      <c r="AQ277" s="18">
        <f t="shared" si="973"/>
        <v>2.2346654778319913E-6</v>
      </c>
      <c r="AR277" s="18">
        <f t="shared" si="973"/>
        <v>-3.3435797555874158E-7</v>
      </c>
      <c r="AS277" s="18">
        <f t="shared" si="973"/>
        <v>-3.3435797555874158E-7</v>
      </c>
      <c r="AT277" s="18">
        <f t="shared" si="973"/>
        <v>-3.3435797555874158E-7</v>
      </c>
      <c r="AU277" s="18">
        <f t="shared" si="973"/>
        <v>5.1381953617822493E-5</v>
      </c>
      <c r="AV277" s="18">
        <f t="shared" si="973"/>
        <v>4.0759840697731015E-5</v>
      </c>
      <c r="AW277" s="18">
        <f t="shared" si="973"/>
        <v>3.4898709760113601E-5</v>
      </c>
      <c r="AX277" s="18">
        <f t="shared" si="973"/>
        <v>-7.5237653512744658E-6</v>
      </c>
      <c r="AY277" s="18">
        <f t="shared" si="973"/>
        <v>-2.9027682965037988E-6</v>
      </c>
      <c r="AZ277" s="18">
        <f t="shared" si="973"/>
        <v>-2.9027682965037988E-6</v>
      </c>
      <c r="BA277" s="18">
        <f t="shared" si="973"/>
        <v>-5.4658556356321336E-6</v>
      </c>
      <c r="BB277" s="18">
        <f t="shared" si="973"/>
        <v>-5.4658556356321336E-6</v>
      </c>
      <c r="BC277" s="18">
        <f t="shared" si="973"/>
        <v>-5.4658556356321336E-6</v>
      </c>
      <c r="BD277" s="18">
        <f t="shared" si="973"/>
        <v>-5.4658556356321336E-6</v>
      </c>
      <c r="BE277" s="18">
        <f t="shared" si="973"/>
        <v>-5.4658556356321336E-6</v>
      </c>
      <c r="BF277" s="18">
        <f t="shared" si="973"/>
        <v>-5.4658556356321336E-6</v>
      </c>
      <c r="BG277" s="18">
        <f t="shared" si="973"/>
        <v>-4.8516824184741825E-5</v>
      </c>
    </row>
    <row r="278" spans="1:59" x14ac:dyDescent="0.25">
      <c r="C278" t="s">
        <v>150</v>
      </c>
      <c r="D278" s="7" t="s">
        <v>446</v>
      </c>
      <c r="E278" s="18">
        <f t="shared" ref="E278:AJ278" si="974">0.000056 * SIN( E263  * Deg2Rad )</f>
        <v>-4.6254613111815401E-5</v>
      </c>
      <c r="F278" s="18">
        <f t="shared" si="974"/>
        <v>2.6161552565843582E-7</v>
      </c>
      <c r="G278" s="18">
        <f t="shared" si="974"/>
        <v>2.053004315929886E-5</v>
      </c>
      <c r="H278" s="18">
        <f t="shared" si="974"/>
        <v>5.2888646816616102E-5</v>
      </c>
      <c r="I278" s="18">
        <f t="shared" si="974"/>
        <v>5.2417899864054673E-5</v>
      </c>
      <c r="J278" s="18">
        <f t="shared" si="974"/>
        <v>5.3849438175242135E-5</v>
      </c>
      <c r="K278" s="18">
        <f t="shared" si="974"/>
        <v>2.1810612319004504E-5</v>
      </c>
      <c r="L278" s="18">
        <f t="shared" si="974"/>
        <v>-1.3179785267567489E-5</v>
      </c>
      <c r="M278" s="18">
        <f t="shared" si="974"/>
        <v>4.8542509812664581E-5</v>
      </c>
      <c r="N278" s="18">
        <f t="shared" si="974"/>
        <v>1.1123426952813253E-5</v>
      </c>
      <c r="O278" s="18">
        <f t="shared" si="974"/>
        <v>5.3708818704983841E-5</v>
      </c>
      <c r="P278" s="18">
        <f t="shared" si="974"/>
        <v>-1.780591836266146E-5</v>
      </c>
      <c r="Q278" s="18">
        <f t="shared" si="974"/>
        <v>-5.5999980941709307E-5</v>
      </c>
      <c r="R278" s="18">
        <f t="shared" si="974"/>
        <v>-5.5539341540437965E-5</v>
      </c>
      <c r="S278" s="18">
        <f t="shared" si="974"/>
        <v>1.7959613636130097E-5</v>
      </c>
      <c r="T278" s="18">
        <f t="shared" si="974"/>
        <v>3.6462862136611922E-5</v>
      </c>
      <c r="U278" s="18">
        <f t="shared" si="974"/>
        <v>5.5298080956305873E-5</v>
      </c>
      <c r="V278" s="18">
        <f t="shared" si="974"/>
        <v>1.4591262666177728E-5</v>
      </c>
      <c r="W278" s="18">
        <f t="shared" si="974"/>
        <v>5.5985219946463203E-5</v>
      </c>
      <c r="X278" s="18">
        <f t="shared" si="974"/>
        <v>-4.2394790274071688E-6</v>
      </c>
      <c r="Y278" s="18">
        <f t="shared" si="974"/>
        <v>-5.2837345032937072E-5</v>
      </c>
      <c r="Z278" s="18">
        <f t="shared" si="974"/>
        <v>6.4119449818429578E-6</v>
      </c>
      <c r="AA278" s="18">
        <f t="shared" si="974"/>
        <v>2.053004315929886E-5</v>
      </c>
      <c r="AB278" s="18">
        <f t="shared" si="974"/>
        <v>4.6189963560101958E-6</v>
      </c>
      <c r="AC278" s="18">
        <f t="shared" si="974"/>
        <v>4.3766957414069812E-5</v>
      </c>
      <c r="AD278" s="18">
        <f t="shared" si="974"/>
        <v>9.7857584935911359E-7</v>
      </c>
      <c r="AE278" s="18">
        <f t="shared" si="974"/>
        <v>-5.2837345032937072E-5</v>
      </c>
      <c r="AF278" s="18">
        <f t="shared" si="974"/>
        <v>-4.9805802299463723E-5</v>
      </c>
      <c r="AG278" s="18">
        <f t="shared" si="974"/>
        <v>-4.1735507667309455E-5</v>
      </c>
      <c r="AH278" s="18">
        <f t="shared" si="974"/>
        <v>5.5461209226971384E-5</v>
      </c>
      <c r="AI278" s="18">
        <f t="shared" si="974"/>
        <v>2.8967783229303118E-6</v>
      </c>
      <c r="AJ278" s="18">
        <f t="shared" si="974"/>
        <v>-5.5259029871855011E-5</v>
      </c>
      <c r="AK278" s="18">
        <f t="shared" ref="AK278:BG278" si="975">0.000056 * SIN( AK263  * Deg2Rad )</f>
        <v>-5.5995182237223326E-5</v>
      </c>
      <c r="AL278" s="18">
        <f t="shared" si="975"/>
        <v>3.4634349453447083E-5</v>
      </c>
      <c r="AM278" s="18">
        <f t="shared" si="975"/>
        <v>-4.3837985648160421E-5</v>
      </c>
      <c r="AN278" s="18">
        <f t="shared" si="975"/>
        <v>-4.0464338634879933E-7</v>
      </c>
      <c r="AO278" s="18">
        <f t="shared" si="975"/>
        <v>-3.8680079584183918E-5</v>
      </c>
      <c r="AP278" s="18">
        <f t="shared" si="975"/>
        <v>4.3960249300203026E-5</v>
      </c>
      <c r="AQ278" s="18">
        <f t="shared" si="975"/>
        <v>4.3960249300203026E-5</v>
      </c>
      <c r="AR278" s="18">
        <f t="shared" si="975"/>
        <v>4.8015432882622346E-5</v>
      </c>
      <c r="AS278" s="18">
        <f t="shared" si="975"/>
        <v>4.8015432882622346E-5</v>
      </c>
      <c r="AT278" s="18">
        <f t="shared" si="975"/>
        <v>4.8015432882622346E-5</v>
      </c>
      <c r="AU278" s="18">
        <f t="shared" si="975"/>
        <v>-5.5824561142825836E-5</v>
      </c>
      <c r="AV278" s="18">
        <f t="shared" si="975"/>
        <v>-4.4960989305059006E-5</v>
      </c>
      <c r="AW278" s="18">
        <f t="shared" si="975"/>
        <v>3.8744488205041749E-5</v>
      </c>
      <c r="AX278" s="18">
        <f t="shared" si="975"/>
        <v>-5.5227365107883358E-5</v>
      </c>
      <c r="AY278" s="18">
        <f t="shared" si="975"/>
        <v>5.1290771131417989E-5</v>
      </c>
      <c r="AZ278" s="18">
        <f t="shared" si="975"/>
        <v>5.1290771131417989E-5</v>
      </c>
      <c r="BA278" s="18">
        <f t="shared" si="975"/>
        <v>5.3733067457575823E-5</v>
      </c>
      <c r="BB278" s="18">
        <f t="shared" si="975"/>
        <v>5.3733067457575823E-5</v>
      </c>
      <c r="BC278" s="18">
        <f t="shared" si="975"/>
        <v>5.3733067457575823E-5</v>
      </c>
      <c r="BD278" s="18">
        <f t="shared" si="975"/>
        <v>5.3733067457575823E-5</v>
      </c>
      <c r="BE278" s="18">
        <f t="shared" si="975"/>
        <v>5.3733067457575823E-5</v>
      </c>
      <c r="BF278" s="18">
        <f t="shared" si="975"/>
        <v>5.3733067457575823E-5</v>
      </c>
      <c r="BG278" s="18">
        <f t="shared" si="975"/>
        <v>-5.2837345032937072E-5</v>
      </c>
    </row>
    <row r="279" spans="1:59" x14ac:dyDescent="0.25">
      <c r="C279" t="s">
        <v>151</v>
      </c>
      <c r="D279" s="7" t="s">
        <v>447</v>
      </c>
      <c r="E279" s="18">
        <f t="shared" ref="E279:AJ279" si="976">0.000047 * SIN( E264  * Deg2Rad )</f>
        <v>-2.8796169921305088E-5</v>
      </c>
      <c r="F279" s="18">
        <f t="shared" si="976"/>
        <v>-7.799794121228524E-6</v>
      </c>
      <c r="G279" s="18">
        <f t="shared" si="976"/>
        <v>3.5010359705892085E-5</v>
      </c>
      <c r="H279" s="18">
        <f t="shared" si="976"/>
        <v>4.6423371548170871E-5</v>
      </c>
      <c r="I279" s="18">
        <f t="shared" si="976"/>
        <v>5.2002181321519144E-6</v>
      </c>
      <c r="J279" s="18">
        <f t="shared" si="976"/>
        <v>2.8508478775277642E-5</v>
      </c>
      <c r="K279" s="18">
        <f t="shared" si="976"/>
        <v>-2.0980658547990268E-5</v>
      </c>
      <c r="L279" s="18">
        <f t="shared" si="976"/>
        <v>4.4223217972758725E-5</v>
      </c>
      <c r="M279" s="18">
        <f t="shared" si="976"/>
        <v>1.1371939667026688E-5</v>
      </c>
      <c r="N279" s="18">
        <f t="shared" si="976"/>
        <v>-5.5660344073855285E-6</v>
      </c>
      <c r="O279" s="18">
        <f t="shared" si="976"/>
        <v>-9.8215607809754412E-7</v>
      </c>
      <c r="P279" s="18">
        <f t="shared" si="976"/>
        <v>3.2809405301199974E-5</v>
      </c>
      <c r="Q279" s="18">
        <f t="shared" si="976"/>
        <v>-4.5783010295101874E-5</v>
      </c>
      <c r="R279" s="18">
        <f t="shared" si="976"/>
        <v>-3.5830458766582097E-5</v>
      </c>
      <c r="S279" s="18">
        <f t="shared" si="976"/>
        <v>-4.5711905414945183E-5</v>
      </c>
      <c r="T279" s="18">
        <f t="shared" si="976"/>
        <v>-1.7348552979928294E-5</v>
      </c>
      <c r="U279" s="18">
        <f t="shared" si="976"/>
        <v>-1.3292608480386312E-5</v>
      </c>
      <c r="V279" s="18">
        <f t="shared" si="976"/>
        <v>-3.1371370540990267E-5</v>
      </c>
      <c r="W279" s="18">
        <f t="shared" si="976"/>
        <v>4.6975132556247727E-5</v>
      </c>
      <c r="X279" s="18">
        <f t="shared" si="976"/>
        <v>-1.7353008220065014E-5</v>
      </c>
      <c r="Y279" s="18">
        <f t="shared" si="976"/>
        <v>-4.4998751381475924E-5</v>
      </c>
      <c r="Z279" s="18">
        <f t="shared" si="976"/>
        <v>4.1396180872547206E-5</v>
      </c>
      <c r="AA279" s="18">
        <f t="shared" si="976"/>
        <v>3.5010359705892085E-5</v>
      </c>
      <c r="AB279" s="18">
        <f t="shared" si="976"/>
        <v>-5.993349944216198E-8</v>
      </c>
      <c r="AC279" s="18">
        <f t="shared" si="976"/>
        <v>3.4391945543941738E-5</v>
      </c>
      <c r="AD279" s="18">
        <f t="shared" si="976"/>
        <v>3.8627205891263709E-5</v>
      </c>
      <c r="AE279" s="18">
        <f t="shared" si="976"/>
        <v>-4.4998751381475924E-5</v>
      </c>
      <c r="AF279" s="18">
        <f t="shared" si="976"/>
        <v>-1.3288010271299821E-5</v>
      </c>
      <c r="AG279" s="18">
        <f t="shared" si="976"/>
        <v>2.9000461165081291E-5</v>
      </c>
      <c r="AH279" s="18">
        <f t="shared" si="976"/>
        <v>-3.2248045151020116E-5</v>
      </c>
      <c r="AI279" s="18">
        <f t="shared" si="976"/>
        <v>-3.5432749040743041E-5</v>
      </c>
      <c r="AJ279" s="18">
        <f t="shared" si="976"/>
        <v>-2.153537145308774E-5</v>
      </c>
      <c r="AK279" s="18">
        <f t="shared" ref="AK279:BG279" si="977">0.000047 * SIN( AK264  * Deg2Rad )</f>
        <v>-4.1915089009014678E-5</v>
      </c>
      <c r="AL279" s="18">
        <f t="shared" si="977"/>
        <v>2.1258480364475995E-5</v>
      </c>
      <c r="AM279" s="18">
        <f t="shared" si="977"/>
        <v>-1.2944605239418213E-6</v>
      </c>
      <c r="AN279" s="18">
        <f t="shared" si="977"/>
        <v>3.6038688338592603E-5</v>
      </c>
      <c r="AO279" s="18">
        <f t="shared" si="977"/>
        <v>-2.9400753434673771E-5</v>
      </c>
      <c r="AP279" s="18">
        <f t="shared" si="977"/>
        <v>2.451630848724835E-5</v>
      </c>
      <c r="AQ279" s="18">
        <f t="shared" si="977"/>
        <v>2.451630848724835E-5</v>
      </c>
      <c r="AR279" s="18">
        <f t="shared" si="977"/>
        <v>3.425818702445761E-6</v>
      </c>
      <c r="AS279" s="18">
        <f t="shared" si="977"/>
        <v>3.425818702445761E-6</v>
      </c>
      <c r="AT279" s="18">
        <f t="shared" si="977"/>
        <v>3.425818702445761E-6</v>
      </c>
      <c r="AU279" s="18">
        <f t="shared" si="977"/>
        <v>4.6167960083131113E-5</v>
      </c>
      <c r="AV279" s="18">
        <f t="shared" si="977"/>
        <v>-1.7929502422249719E-5</v>
      </c>
      <c r="AW279" s="18">
        <f t="shared" si="977"/>
        <v>4.6999906210008646E-5</v>
      </c>
      <c r="AX279" s="18">
        <f t="shared" si="977"/>
        <v>3.8127880555621829E-5</v>
      </c>
      <c r="AY279" s="18">
        <f t="shared" si="977"/>
        <v>-1.84257008869821E-5</v>
      </c>
      <c r="AZ279" s="18">
        <f t="shared" si="977"/>
        <v>-1.84257008869821E-5</v>
      </c>
      <c r="BA279" s="18">
        <f t="shared" si="977"/>
        <v>-3.6184036112598539E-5</v>
      </c>
      <c r="BB279" s="18">
        <f t="shared" si="977"/>
        <v>-3.6184036112598539E-5</v>
      </c>
      <c r="BC279" s="18">
        <f t="shared" si="977"/>
        <v>-3.6184036112598539E-5</v>
      </c>
      <c r="BD279" s="18">
        <f t="shared" si="977"/>
        <v>-3.6184036112598539E-5</v>
      </c>
      <c r="BE279" s="18">
        <f t="shared" si="977"/>
        <v>-3.6184036112598539E-5</v>
      </c>
      <c r="BF279" s="18">
        <f t="shared" si="977"/>
        <v>-3.6184036112598539E-5</v>
      </c>
      <c r="BG279" s="18">
        <f t="shared" si="977"/>
        <v>-4.4998751381475924E-5</v>
      </c>
    </row>
    <row r="280" spans="1:59" x14ac:dyDescent="0.25">
      <c r="C280" t="s">
        <v>152</v>
      </c>
      <c r="D280" s="7" t="s">
        <v>448</v>
      </c>
      <c r="E280" s="18">
        <f t="shared" ref="E280:AJ280" si="978">0.000042 * SIN( E265  * Deg2Rad )</f>
        <v>2.4888896509544362E-5</v>
      </c>
      <c r="F280" s="18">
        <f t="shared" si="978"/>
        <v>-2.4524996127656002E-5</v>
      </c>
      <c r="G280" s="18">
        <f t="shared" si="978"/>
        <v>-1.9231298767920518E-5</v>
      </c>
      <c r="H280" s="18">
        <f t="shared" si="978"/>
        <v>-1.8272462028084537E-5</v>
      </c>
      <c r="I280" s="18">
        <f t="shared" si="978"/>
        <v>-5.6703283808930359E-6</v>
      </c>
      <c r="J280" s="18">
        <f t="shared" si="978"/>
        <v>-6.1124199049960704E-6</v>
      </c>
      <c r="K280" s="18">
        <f t="shared" si="978"/>
        <v>-6.7301762712419909E-6</v>
      </c>
      <c r="L280" s="18">
        <f t="shared" si="978"/>
        <v>-7.1705260176400359E-6</v>
      </c>
      <c r="M280" s="18">
        <f t="shared" si="978"/>
        <v>3.5045288982566881E-5</v>
      </c>
      <c r="N280" s="18">
        <f t="shared" si="978"/>
        <v>-2.4337227473940039E-5</v>
      </c>
      <c r="O280" s="18">
        <f t="shared" si="978"/>
        <v>-2.3381897771318731E-5</v>
      </c>
      <c r="P280" s="18">
        <f t="shared" si="978"/>
        <v>-4.0625239664123255E-5</v>
      </c>
      <c r="Q280" s="18">
        <f t="shared" si="978"/>
        <v>-3.9462081421976857E-5</v>
      </c>
      <c r="R280" s="18">
        <f t="shared" si="978"/>
        <v>-3.9431420035144533E-5</v>
      </c>
      <c r="S280" s="18">
        <f t="shared" si="978"/>
        <v>5.6291167201604887E-6</v>
      </c>
      <c r="T280" s="18">
        <f t="shared" si="978"/>
        <v>5.3635161439449171E-6</v>
      </c>
      <c r="U280" s="18">
        <f t="shared" si="978"/>
        <v>4.6542104260825075E-6</v>
      </c>
      <c r="V280" s="18">
        <f t="shared" si="978"/>
        <v>4.5447878071948189E-6</v>
      </c>
      <c r="W280" s="18">
        <f t="shared" si="978"/>
        <v>-5.9356633982721697E-6</v>
      </c>
      <c r="X280" s="18">
        <f t="shared" si="978"/>
        <v>-1.1349432993456568E-5</v>
      </c>
      <c r="Y280" s="18">
        <f t="shared" si="978"/>
        <v>5.2823803804785711E-6</v>
      </c>
      <c r="Z280" s="18">
        <f t="shared" si="978"/>
        <v>-4.1920621317300064E-5</v>
      </c>
      <c r="AA280" s="18">
        <f t="shared" si="978"/>
        <v>-1.9231298767920518E-5</v>
      </c>
      <c r="AB280" s="18">
        <f t="shared" si="978"/>
        <v>2.7739889974747411E-5</v>
      </c>
      <c r="AC280" s="18">
        <f t="shared" si="978"/>
        <v>3.3282771080769359E-6</v>
      </c>
      <c r="AD280" s="18">
        <f t="shared" si="978"/>
        <v>-6.9944805838184796E-6</v>
      </c>
      <c r="AE280" s="18">
        <f t="shared" si="978"/>
        <v>5.2823803804785711E-6</v>
      </c>
      <c r="AF280" s="18">
        <f t="shared" si="978"/>
        <v>-1.203559312985517E-5</v>
      </c>
      <c r="AG280" s="18">
        <f t="shared" si="978"/>
        <v>-1.1864371816703339E-5</v>
      </c>
      <c r="AH280" s="18">
        <f t="shared" si="978"/>
        <v>-1.0140871302673734E-5</v>
      </c>
      <c r="AI280" s="18">
        <f t="shared" si="978"/>
        <v>-1.1263428009008493E-5</v>
      </c>
      <c r="AJ280" s="18">
        <f t="shared" si="978"/>
        <v>-1.24626874555887E-5</v>
      </c>
      <c r="AK280" s="18">
        <f t="shared" ref="AK280:BG280" si="979">0.000042 * SIN( AK265  * Deg2Rad )</f>
        <v>-3.865401441205022E-5</v>
      </c>
      <c r="AL280" s="18">
        <f t="shared" si="979"/>
        <v>-9.6201030413030997E-6</v>
      </c>
      <c r="AM280" s="18">
        <f t="shared" si="979"/>
        <v>-3.9013959277764489E-5</v>
      </c>
      <c r="AN280" s="18">
        <f t="shared" si="979"/>
        <v>-1.9469076072294541E-5</v>
      </c>
      <c r="AO280" s="18">
        <f t="shared" si="979"/>
        <v>4.0620467670648485E-5</v>
      </c>
      <c r="AP280" s="18">
        <f t="shared" si="979"/>
        <v>-3.6904530505001213E-5</v>
      </c>
      <c r="AQ280" s="18">
        <f t="shared" si="979"/>
        <v>-3.6904530505001213E-5</v>
      </c>
      <c r="AR280" s="18">
        <f t="shared" si="979"/>
        <v>-3.6947080779507219E-5</v>
      </c>
      <c r="AS280" s="18">
        <f t="shared" si="979"/>
        <v>-3.6947080779507219E-5</v>
      </c>
      <c r="AT280" s="18">
        <f t="shared" si="979"/>
        <v>-3.6947080779507219E-5</v>
      </c>
      <c r="AU280" s="18">
        <f t="shared" si="979"/>
        <v>9.3258970517811519E-6</v>
      </c>
      <c r="AV280" s="18">
        <f t="shared" si="979"/>
        <v>-1.6893898407518307E-5</v>
      </c>
      <c r="AW280" s="18">
        <f t="shared" si="979"/>
        <v>3.9638569941587471E-5</v>
      </c>
      <c r="AX280" s="18">
        <f t="shared" si="979"/>
        <v>2.5318455573157131E-5</v>
      </c>
      <c r="AY280" s="18">
        <f t="shared" si="979"/>
        <v>-3.698946402173222E-5</v>
      </c>
      <c r="AZ280" s="18">
        <f t="shared" si="979"/>
        <v>-3.698946402173222E-5</v>
      </c>
      <c r="BA280" s="18">
        <f t="shared" si="979"/>
        <v>-3.7031680040067828E-5</v>
      </c>
      <c r="BB280" s="18">
        <f t="shared" si="979"/>
        <v>-3.7031680040067828E-5</v>
      </c>
      <c r="BC280" s="18">
        <f t="shared" si="979"/>
        <v>-3.7031680040067828E-5</v>
      </c>
      <c r="BD280" s="18">
        <f t="shared" si="979"/>
        <v>-3.7031680040067828E-5</v>
      </c>
      <c r="BE280" s="18">
        <f t="shared" si="979"/>
        <v>-3.7031680040067828E-5</v>
      </c>
      <c r="BF280" s="18">
        <f t="shared" si="979"/>
        <v>-3.7031680040067828E-5</v>
      </c>
      <c r="BG280" s="18">
        <f t="shared" si="979"/>
        <v>5.2823803804785711E-6</v>
      </c>
    </row>
    <row r="281" spans="1:59" x14ac:dyDescent="0.25">
      <c r="C281" t="s">
        <v>153</v>
      </c>
      <c r="D281" s="7" t="s">
        <v>449</v>
      </c>
      <c r="E281" s="18">
        <f t="shared" ref="E281:AJ281" si="980">0.00004 * SIN( E266  * Deg2Rad )</f>
        <v>3.0414584331447317E-5</v>
      </c>
      <c r="F281" s="18">
        <f t="shared" si="980"/>
        <v>3.722813511952597E-5</v>
      </c>
      <c r="G281" s="18">
        <f t="shared" si="980"/>
        <v>-3.701839706998446E-5</v>
      </c>
      <c r="H281" s="18">
        <f t="shared" si="980"/>
        <v>-3.9999897606440592E-5</v>
      </c>
      <c r="I281" s="18">
        <f t="shared" si="980"/>
        <v>-1.9808018153073324E-6</v>
      </c>
      <c r="J281" s="18">
        <f t="shared" si="980"/>
        <v>4.4472712127952402E-6</v>
      </c>
      <c r="K281" s="18">
        <f t="shared" si="980"/>
        <v>1.3216686496694327E-5</v>
      </c>
      <c r="L281" s="18">
        <f t="shared" si="980"/>
        <v>1.9096161546651193E-5</v>
      </c>
      <c r="M281" s="18">
        <f t="shared" si="980"/>
        <v>6.4191140531673832E-6</v>
      </c>
      <c r="N281" s="18">
        <f t="shared" si="980"/>
        <v>8.2349986296764252E-6</v>
      </c>
      <c r="O281" s="18">
        <f t="shared" si="980"/>
        <v>-8.3821509253215724E-6</v>
      </c>
      <c r="P281" s="18">
        <f t="shared" si="980"/>
        <v>2.9841267843164505E-5</v>
      </c>
      <c r="Q281" s="18">
        <f t="shared" si="980"/>
        <v>3.2139595142559039E-5</v>
      </c>
      <c r="R281" s="18">
        <f t="shared" si="980"/>
        <v>3.2889355805947032E-5</v>
      </c>
      <c r="S281" s="18">
        <f t="shared" si="980"/>
        <v>-3.9966235614557619E-5</v>
      </c>
      <c r="T281" s="18">
        <f t="shared" si="980"/>
        <v>-3.9621580034366362E-5</v>
      </c>
      <c r="U281" s="18">
        <f t="shared" si="980"/>
        <v>-3.6916996120136765E-5</v>
      </c>
      <c r="V281" s="18">
        <f t="shared" si="980"/>
        <v>1.7791275481246267E-6</v>
      </c>
      <c r="W281" s="18">
        <f t="shared" si="980"/>
        <v>1.8805526155303133E-6</v>
      </c>
      <c r="X281" s="18">
        <f t="shared" si="980"/>
        <v>3.5625611436736181E-5</v>
      </c>
      <c r="Y281" s="18">
        <f t="shared" si="980"/>
        <v>3.0505408993774629E-5</v>
      </c>
      <c r="Z281" s="18">
        <f t="shared" si="980"/>
        <v>-2.3287396820963369E-5</v>
      </c>
      <c r="AA281" s="18">
        <f t="shared" si="980"/>
        <v>-3.701839706998446E-5</v>
      </c>
      <c r="AB281" s="18">
        <f t="shared" si="980"/>
        <v>-1.761210255923724E-5</v>
      </c>
      <c r="AC281" s="18">
        <f t="shared" si="980"/>
        <v>6.34061205051286E-6</v>
      </c>
      <c r="AD281" s="18">
        <f t="shared" si="980"/>
        <v>1.6795341218082273E-5</v>
      </c>
      <c r="AE281" s="18">
        <f t="shared" si="980"/>
        <v>3.0505408993774629E-5</v>
      </c>
      <c r="AF281" s="18">
        <f t="shared" si="980"/>
        <v>2.9818473909754018E-5</v>
      </c>
      <c r="AG281" s="18">
        <f t="shared" si="980"/>
        <v>3.1472033357593583E-5</v>
      </c>
      <c r="AH281" s="18">
        <f t="shared" si="980"/>
        <v>3.999085983125426E-5</v>
      </c>
      <c r="AI281" s="18">
        <f t="shared" si="980"/>
        <v>3.6192545395758105E-5</v>
      </c>
      <c r="AJ281" s="18">
        <f t="shared" si="980"/>
        <v>2.5160274444731284E-5</v>
      </c>
      <c r="AK281" s="18">
        <f t="shared" ref="AK281:BG281" si="981">0.00004 * SIN( AK266  * Deg2Rad )</f>
        <v>3.9321893665149144E-5</v>
      </c>
      <c r="AL281" s="18">
        <f t="shared" si="981"/>
        <v>3.9411386681071751E-5</v>
      </c>
      <c r="AM281" s="18">
        <f t="shared" si="981"/>
        <v>-6.6550317833864872E-6</v>
      </c>
      <c r="AN281" s="18">
        <f t="shared" si="981"/>
        <v>-3.5384760579214761E-5</v>
      </c>
      <c r="AO281" s="18">
        <f t="shared" si="981"/>
        <v>3.1449722737935813E-5</v>
      </c>
      <c r="AP281" s="18">
        <f t="shared" si="981"/>
        <v>3.9998271265716885E-5</v>
      </c>
      <c r="AQ281" s="18">
        <f t="shared" si="981"/>
        <v>3.9998271265716885E-5</v>
      </c>
      <c r="AR281" s="18">
        <f t="shared" si="981"/>
        <v>3.9965580428031167E-5</v>
      </c>
      <c r="AS281" s="18">
        <f t="shared" si="981"/>
        <v>3.9965580428031167E-5</v>
      </c>
      <c r="AT281" s="18">
        <f t="shared" si="981"/>
        <v>3.9965580428031167E-5</v>
      </c>
      <c r="AU281" s="18">
        <f t="shared" si="981"/>
        <v>2.8511171703561548E-5</v>
      </c>
      <c r="AV281" s="18">
        <f t="shared" si="981"/>
        <v>-3.4205597712041329E-5</v>
      </c>
      <c r="AW281" s="18">
        <f t="shared" si="981"/>
        <v>-3.7437828774560496E-5</v>
      </c>
      <c r="AX281" s="18">
        <f t="shared" si="981"/>
        <v>2.4862363826217922E-5</v>
      </c>
      <c r="AY281" s="18">
        <f t="shared" si="981"/>
        <v>3.9891479736786139E-5</v>
      </c>
      <c r="AZ281" s="18">
        <f t="shared" si="981"/>
        <v>3.9891479736786139E-5</v>
      </c>
      <c r="BA281" s="18">
        <f t="shared" si="981"/>
        <v>3.9776045970518225E-5</v>
      </c>
      <c r="BB281" s="18">
        <f t="shared" si="981"/>
        <v>3.9776045970518225E-5</v>
      </c>
      <c r="BC281" s="18">
        <f t="shared" si="981"/>
        <v>3.9776045970518225E-5</v>
      </c>
      <c r="BD281" s="18">
        <f t="shared" si="981"/>
        <v>3.9776045970518225E-5</v>
      </c>
      <c r="BE281" s="18">
        <f t="shared" si="981"/>
        <v>3.9776045970518225E-5</v>
      </c>
      <c r="BF281" s="18">
        <f t="shared" si="981"/>
        <v>3.9776045970518225E-5</v>
      </c>
      <c r="BG281" s="18">
        <f t="shared" si="981"/>
        <v>3.0505408993774629E-5</v>
      </c>
    </row>
    <row r="282" spans="1:59" x14ac:dyDescent="0.25">
      <c r="C282" t="s">
        <v>154</v>
      </c>
      <c r="D282" s="7" t="s">
        <v>450</v>
      </c>
      <c r="E282" s="18">
        <f t="shared" ref="E282:AJ282" si="982">0.000037 * SIN( E267  * Deg2Rad )</f>
        <v>2.2584227004904036E-5</v>
      </c>
      <c r="F282" s="18">
        <f t="shared" si="982"/>
        <v>-3.6840391755633602E-5</v>
      </c>
      <c r="G282" s="18">
        <f t="shared" si="982"/>
        <v>3.983728607330789E-6</v>
      </c>
      <c r="H282" s="18">
        <f t="shared" si="982"/>
        <v>-3.3095619570390097E-5</v>
      </c>
      <c r="I282" s="18">
        <f t="shared" si="982"/>
        <v>-3.6650130372953694E-5</v>
      </c>
      <c r="J282" s="18">
        <f t="shared" si="982"/>
        <v>1.4519566185333061E-5</v>
      </c>
      <c r="K282" s="18">
        <f t="shared" si="982"/>
        <v>-8.0034016098734152E-6</v>
      </c>
      <c r="L282" s="18">
        <f t="shared" si="982"/>
        <v>-2.6846382944825098E-5</v>
      </c>
      <c r="M282" s="18">
        <f t="shared" si="982"/>
        <v>3.1813683735432403E-5</v>
      </c>
      <c r="N282" s="18">
        <f t="shared" si="982"/>
        <v>-9.2320217005890803E-6</v>
      </c>
      <c r="O282" s="18">
        <f t="shared" si="982"/>
        <v>-3.2001776632229956E-5</v>
      </c>
      <c r="P282" s="18">
        <f t="shared" si="982"/>
        <v>-3.198907569269439E-5</v>
      </c>
      <c r="Q282" s="18">
        <f t="shared" si="982"/>
        <v>2.6942049091093506E-5</v>
      </c>
      <c r="R282" s="18">
        <f t="shared" si="982"/>
        <v>3.496961446414759E-5</v>
      </c>
      <c r="S282" s="18">
        <f t="shared" si="982"/>
        <v>-3.5475627470516065E-5</v>
      </c>
      <c r="T282" s="18">
        <f t="shared" si="982"/>
        <v>-2.0641590526734799E-5</v>
      </c>
      <c r="U282" s="18">
        <f t="shared" si="982"/>
        <v>1.2851236838389332E-5</v>
      </c>
      <c r="V282" s="18">
        <f t="shared" si="982"/>
        <v>3.3348677630357622E-5</v>
      </c>
      <c r="W282" s="18">
        <f t="shared" si="982"/>
        <v>-1.5807045242231547E-5</v>
      </c>
      <c r="X282" s="18">
        <f t="shared" si="982"/>
        <v>2.1219390589899608E-5</v>
      </c>
      <c r="Y282" s="18">
        <f t="shared" si="982"/>
        <v>9.1129950383207416E-6</v>
      </c>
      <c r="Z282" s="18">
        <f t="shared" si="982"/>
        <v>1.1196828251956673E-5</v>
      </c>
      <c r="AA282" s="18">
        <f t="shared" si="982"/>
        <v>3.983728607330789E-6</v>
      </c>
      <c r="AB282" s="18">
        <f t="shared" si="982"/>
        <v>-2.845060578570919E-5</v>
      </c>
      <c r="AC282" s="18">
        <f t="shared" si="982"/>
        <v>-1.3800018886105585E-5</v>
      </c>
      <c r="AD282" s="18">
        <f t="shared" si="982"/>
        <v>-3.686404393948211E-5</v>
      </c>
      <c r="AE282" s="18">
        <f t="shared" si="982"/>
        <v>9.1129950383207416E-6</v>
      </c>
      <c r="AF282" s="18">
        <f t="shared" si="982"/>
        <v>-2.7745429614380721E-5</v>
      </c>
      <c r="AG282" s="18">
        <f t="shared" si="982"/>
        <v>-1.1841562284881493E-7</v>
      </c>
      <c r="AH282" s="18">
        <f t="shared" si="982"/>
        <v>3.0753712774439923E-5</v>
      </c>
      <c r="AI282" s="18">
        <f t="shared" si="982"/>
        <v>6.9307571511416323E-6</v>
      </c>
      <c r="AJ282" s="18">
        <f t="shared" si="982"/>
        <v>-6.6979771792567031E-6</v>
      </c>
      <c r="AK282" s="18">
        <f t="shared" ref="AK282:BG282" si="983">0.000037 * SIN( AK267  * Deg2Rad )</f>
        <v>3.3191264059727888E-5</v>
      </c>
      <c r="AL282" s="18">
        <f t="shared" si="983"/>
        <v>-3.6994005662388505E-5</v>
      </c>
      <c r="AM282" s="18">
        <f t="shared" si="983"/>
        <v>3.479738645671665E-5</v>
      </c>
      <c r="AN282" s="18">
        <f t="shared" si="983"/>
        <v>-3.3908920340683202E-5</v>
      </c>
      <c r="AO282" s="18">
        <f t="shared" si="983"/>
        <v>-2.3113602163491152E-5</v>
      </c>
      <c r="AP282" s="18">
        <f t="shared" si="983"/>
        <v>2.6838695700434991E-5</v>
      </c>
      <c r="AQ282" s="18">
        <f t="shared" si="983"/>
        <v>2.6838695700434991E-5</v>
      </c>
      <c r="AR282" s="18">
        <f t="shared" si="983"/>
        <v>1.4040771121971987E-5</v>
      </c>
      <c r="AS282" s="18">
        <f t="shared" si="983"/>
        <v>1.4040771121971987E-5</v>
      </c>
      <c r="AT282" s="18">
        <f t="shared" si="983"/>
        <v>1.4040771121971987E-5</v>
      </c>
      <c r="AU282" s="18">
        <f t="shared" si="983"/>
        <v>2.7224044885978668E-5</v>
      </c>
      <c r="AV282" s="18">
        <f t="shared" si="983"/>
        <v>-7.7385918463601518E-6</v>
      </c>
      <c r="AW282" s="18">
        <f t="shared" si="983"/>
        <v>1.3558586035913912E-5</v>
      </c>
      <c r="AX282" s="18">
        <f t="shared" si="983"/>
        <v>-1.8114630520916538E-6</v>
      </c>
      <c r="AY282" s="18">
        <f t="shared" si="983"/>
        <v>-1.2245852608015488E-6</v>
      </c>
      <c r="AZ282" s="18">
        <f t="shared" si="983"/>
        <v>-1.2245852608015488E-6</v>
      </c>
      <c r="BA282" s="18">
        <f t="shared" si="983"/>
        <v>-1.6274741168234832E-5</v>
      </c>
      <c r="BB282" s="18">
        <f t="shared" si="983"/>
        <v>-1.6274741168234832E-5</v>
      </c>
      <c r="BC282" s="18">
        <f t="shared" si="983"/>
        <v>-1.6274741168234832E-5</v>
      </c>
      <c r="BD282" s="18">
        <f t="shared" si="983"/>
        <v>-1.6274741168234832E-5</v>
      </c>
      <c r="BE282" s="18">
        <f t="shared" si="983"/>
        <v>-1.6274741168234832E-5</v>
      </c>
      <c r="BF282" s="18">
        <f t="shared" si="983"/>
        <v>-1.6274741168234832E-5</v>
      </c>
      <c r="BG282" s="18">
        <f t="shared" si="983"/>
        <v>9.1129950383207416E-6</v>
      </c>
    </row>
    <row r="283" spans="1:59" x14ac:dyDescent="0.25">
      <c r="C283" t="s">
        <v>155</v>
      </c>
      <c r="D283" s="7" t="s">
        <v>451</v>
      </c>
      <c r="E283" s="18">
        <f t="shared" ref="E283:AJ283" si="984">0.000035 * SIN( E268  * Deg2Rad )</f>
        <v>-3.3723614412674948E-5</v>
      </c>
      <c r="F283" s="18">
        <f t="shared" si="984"/>
        <v>-2.8411357122284747E-5</v>
      </c>
      <c r="G283" s="18">
        <f t="shared" si="984"/>
        <v>-3.3346224079480823E-5</v>
      </c>
      <c r="H283" s="18">
        <f t="shared" si="984"/>
        <v>-2.8258265396724856E-5</v>
      </c>
      <c r="I283" s="18">
        <f t="shared" si="984"/>
        <v>2.6724693755747549E-5</v>
      </c>
      <c r="J283" s="18">
        <f t="shared" si="984"/>
        <v>-3.4207774433900451E-5</v>
      </c>
      <c r="K283" s="18">
        <f t="shared" si="984"/>
        <v>3.4015457682880688E-5</v>
      </c>
      <c r="L283" s="18">
        <f t="shared" si="984"/>
        <v>-1.4204185570427472E-5</v>
      </c>
      <c r="M283" s="18">
        <f t="shared" si="984"/>
        <v>7.6428148140781808E-6</v>
      </c>
      <c r="N283" s="18">
        <f t="shared" si="984"/>
        <v>2.2033711944931242E-5</v>
      </c>
      <c r="O283" s="18">
        <f t="shared" si="984"/>
        <v>6.4899780512731095E-6</v>
      </c>
      <c r="P283" s="18">
        <f t="shared" si="984"/>
        <v>-5.136974814588585E-6</v>
      </c>
      <c r="Q283" s="18">
        <f t="shared" si="984"/>
        <v>-3.4572267719056288E-5</v>
      </c>
      <c r="R283" s="18">
        <f t="shared" si="984"/>
        <v>-2.8851402409996305E-5</v>
      </c>
      <c r="S283" s="18">
        <f t="shared" si="984"/>
        <v>-1.1340246034140774E-6</v>
      </c>
      <c r="T283" s="18">
        <f t="shared" si="984"/>
        <v>3.3756695057548849E-5</v>
      </c>
      <c r="U283" s="18">
        <f t="shared" si="984"/>
        <v>-3.4589175583847284E-5</v>
      </c>
      <c r="V283" s="18">
        <f t="shared" si="984"/>
        <v>3.2592107137291235E-5</v>
      </c>
      <c r="W283" s="18">
        <f t="shared" si="984"/>
        <v>-1.5758903639664859E-5</v>
      </c>
      <c r="X283" s="18">
        <f t="shared" si="984"/>
        <v>-6.9346863468427208E-6</v>
      </c>
      <c r="Y283" s="18">
        <f t="shared" si="984"/>
        <v>-2.762151961445469E-5</v>
      </c>
      <c r="Z283" s="18">
        <f t="shared" si="984"/>
        <v>3.4988909667003695E-5</v>
      </c>
      <c r="AA283" s="18">
        <f t="shared" si="984"/>
        <v>-3.3346224079480823E-5</v>
      </c>
      <c r="AB283" s="18">
        <f t="shared" si="984"/>
        <v>-3.3202589319523213E-5</v>
      </c>
      <c r="AC283" s="18">
        <f t="shared" si="984"/>
        <v>3.3540890522617813E-5</v>
      </c>
      <c r="AD283" s="18">
        <f t="shared" si="984"/>
        <v>1.5934720665269885E-5</v>
      </c>
      <c r="AE283" s="18">
        <f t="shared" si="984"/>
        <v>-2.762151961445469E-5</v>
      </c>
      <c r="AF283" s="18">
        <f t="shared" si="984"/>
        <v>-7.6808725251422191E-6</v>
      </c>
      <c r="AG283" s="18">
        <f t="shared" si="984"/>
        <v>2.1715873691098372E-5</v>
      </c>
      <c r="AH283" s="18">
        <f t="shared" si="984"/>
        <v>-5.240526750926753E-6</v>
      </c>
      <c r="AI283" s="18">
        <f t="shared" si="984"/>
        <v>-2.103470877142747E-5</v>
      </c>
      <c r="AJ283" s="18">
        <f t="shared" si="984"/>
        <v>-2.2383919486291826E-5</v>
      </c>
      <c r="AK283" s="18">
        <f t="shared" ref="AK283:BG283" si="985">0.000035 * SIN( AK268  * Deg2Rad )</f>
        <v>3.0997490038900037E-5</v>
      </c>
      <c r="AL283" s="18">
        <f t="shared" si="985"/>
        <v>-1.0995630901330928E-5</v>
      </c>
      <c r="AM283" s="18">
        <f t="shared" si="985"/>
        <v>3.3702646798493518E-5</v>
      </c>
      <c r="AN283" s="18">
        <f t="shared" si="985"/>
        <v>-1.8101756237279868E-5</v>
      </c>
      <c r="AO283" s="18">
        <f t="shared" si="985"/>
        <v>-3.9359362283909722E-6</v>
      </c>
      <c r="AP283" s="18">
        <f t="shared" si="985"/>
        <v>-2.3190497722855199E-5</v>
      </c>
      <c r="AQ283" s="18">
        <f t="shared" si="985"/>
        <v>-2.3190497722855199E-5</v>
      </c>
      <c r="AR283" s="18">
        <f t="shared" si="985"/>
        <v>-3.2220167758603822E-5</v>
      </c>
      <c r="AS283" s="18">
        <f t="shared" si="985"/>
        <v>-3.2220167758603822E-5</v>
      </c>
      <c r="AT283" s="18">
        <f t="shared" si="985"/>
        <v>-3.2220167758603822E-5</v>
      </c>
      <c r="AU283" s="18">
        <f t="shared" si="985"/>
        <v>2.3188508774920999E-5</v>
      </c>
      <c r="AV283" s="18">
        <f t="shared" si="985"/>
        <v>-2.7743802515592854E-5</v>
      </c>
      <c r="AW283" s="18">
        <f t="shared" si="985"/>
        <v>-3.4445217437322887E-5</v>
      </c>
      <c r="AX283" s="18">
        <f t="shared" si="985"/>
        <v>3.4309457605453475E-5</v>
      </c>
      <c r="AY283" s="18">
        <f t="shared" si="985"/>
        <v>-3.4966056854813233E-5</v>
      </c>
      <c r="AZ283" s="18">
        <f t="shared" si="985"/>
        <v>-3.4966056854813233E-5</v>
      </c>
      <c r="BA283" s="18">
        <f t="shared" si="985"/>
        <v>-3.0892644349576667E-5</v>
      </c>
      <c r="BB283" s="18">
        <f t="shared" si="985"/>
        <v>-3.0892644349576667E-5</v>
      </c>
      <c r="BC283" s="18">
        <f t="shared" si="985"/>
        <v>-3.0892644349576667E-5</v>
      </c>
      <c r="BD283" s="18">
        <f t="shared" si="985"/>
        <v>-3.0892644349576667E-5</v>
      </c>
      <c r="BE283" s="18">
        <f t="shared" si="985"/>
        <v>-3.0892644349576667E-5</v>
      </c>
      <c r="BF283" s="18">
        <f t="shared" si="985"/>
        <v>-3.0892644349576667E-5</v>
      </c>
      <c r="BG283" s="18">
        <f t="shared" si="985"/>
        <v>-2.762151961445469E-5</v>
      </c>
    </row>
    <row r="284" spans="1:59" x14ac:dyDescent="0.25">
      <c r="C284" t="s">
        <v>156</v>
      </c>
      <c r="D284" s="86" t="s">
        <v>452</v>
      </c>
      <c r="E284" s="87">
        <f t="shared" ref="E284:AJ284" si="986">0.000023 * SIN( E269  * Deg2Rad )</f>
        <v>-2.2501714142779841E-5</v>
      </c>
      <c r="F284" s="87">
        <f t="shared" si="986"/>
        <v>2.1612267200451935E-5</v>
      </c>
      <c r="G284" s="87">
        <f t="shared" si="986"/>
        <v>-1.0317744094632284E-5</v>
      </c>
      <c r="H284" s="87">
        <f t="shared" si="986"/>
        <v>-2.158033927562937E-5</v>
      </c>
      <c r="I284" s="87">
        <f t="shared" si="986"/>
        <v>2.0204478820314061E-5</v>
      </c>
      <c r="J284" s="87">
        <f t="shared" si="986"/>
        <v>1.5830417078137119E-5</v>
      </c>
      <c r="K284" s="87">
        <f t="shared" si="986"/>
        <v>7.2395101672300762E-6</v>
      </c>
      <c r="L284" s="87">
        <f t="shared" si="986"/>
        <v>1.5407206345529291E-7</v>
      </c>
      <c r="M284" s="87">
        <f t="shared" si="986"/>
        <v>-1.1291308472679038E-5</v>
      </c>
      <c r="N284" s="87">
        <f t="shared" si="986"/>
        <v>-8.3022852943600707E-6</v>
      </c>
      <c r="O284" s="87">
        <f t="shared" si="986"/>
        <v>-2.1304482450165052E-5</v>
      </c>
      <c r="P284" s="87">
        <f t="shared" si="986"/>
        <v>1.1726985172225233E-5</v>
      </c>
      <c r="Q284" s="87">
        <f t="shared" si="986"/>
        <v>3.0861969061612596E-6</v>
      </c>
      <c r="R284" s="87">
        <f t="shared" si="986"/>
        <v>1.6519810328268128E-6</v>
      </c>
      <c r="S284" s="87">
        <f t="shared" si="986"/>
        <v>-2.2165749274521241E-5</v>
      </c>
      <c r="T284" s="87">
        <f t="shared" si="986"/>
        <v>-2.0626905198910412E-5</v>
      </c>
      <c r="U284" s="87">
        <f t="shared" si="986"/>
        <v>-1.3193336243799113E-5</v>
      </c>
      <c r="V284" s="87">
        <f t="shared" si="986"/>
        <v>2.6916185458656181E-6</v>
      </c>
      <c r="W284" s="87">
        <f t="shared" si="986"/>
        <v>1.7793001308138853E-5</v>
      </c>
      <c r="X284" s="87">
        <f t="shared" si="986"/>
        <v>-3.1783016730795031E-6</v>
      </c>
      <c r="Y284" s="87">
        <f t="shared" si="986"/>
        <v>1.3733681075001937E-5</v>
      </c>
      <c r="Z284" s="87">
        <f t="shared" si="986"/>
        <v>1.8204018733217079E-5</v>
      </c>
      <c r="AA284" s="87">
        <f t="shared" si="986"/>
        <v>-1.0317744094632284E-5</v>
      </c>
      <c r="AB284" s="87">
        <f t="shared" si="986"/>
        <v>2.1506882918324864E-5</v>
      </c>
      <c r="AC284" s="87">
        <f t="shared" si="986"/>
        <v>2.0724934950541856E-5</v>
      </c>
      <c r="AD284" s="87">
        <f t="shared" si="986"/>
        <v>3.0295023579679977E-6</v>
      </c>
      <c r="AE284" s="87">
        <f t="shared" si="986"/>
        <v>1.3733681075001937E-5</v>
      </c>
      <c r="AF284" s="87">
        <f t="shared" si="986"/>
        <v>8.166406762126983E-6</v>
      </c>
      <c r="AG284" s="87">
        <f t="shared" si="986"/>
        <v>5.4130117781236336E-6</v>
      </c>
      <c r="AH284" s="87">
        <f t="shared" si="986"/>
        <v>-1.9555608811529217E-5</v>
      </c>
      <c r="AI284" s="87">
        <f t="shared" si="986"/>
        <v>-4.5994139457686473E-6</v>
      </c>
      <c r="AJ284" s="87">
        <f t="shared" si="986"/>
        <v>1.4399302372071545E-5</v>
      </c>
      <c r="AK284" s="87">
        <f t="shared" ref="AK284:BG284" si="987">0.000023 * SIN( AK269  * Deg2Rad )</f>
        <v>5.3347935254172148E-6</v>
      </c>
      <c r="AL284" s="87">
        <f t="shared" si="987"/>
        <v>-2.2636023332298324E-5</v>
      </c>
      <c r="AM284" s="87">
        <f t="shared" si="987"/>
        <v>-1.2318222321044058E-5</v>
      </c>
      <c r="AN284" s="87">
        <f t="shared" si="987"/>
        <v>-6.2918680557141975E-6</v>
      </c>
      <c r="AO284" s="87">
        <f t="shared" si="987"/>
        <v>2.1865753009157024E-5</v>
      </c>
      <c r="AP284" s="87">
        <f t="shared" si="987"/>
        <v>-2.2820835977572758E-5</v>
      </c>
      <c r="AQ284" s="87">
        <f t="shared" si="987"/>
        <v>-2.2820835977572758E-5</v>
      </c>
      <c r="AR284" s="87">
        <f t="shared" si="987"/>
        <v>-2.2955525988209219E-5</v>
      </c>
      <c r="AS284" s="87">
        <f t="shared" si="987"/>
        <v>-2.2955525988209219E-5</v>
      </c>
      <c r="AT284" s="87">
        <f t="shared" si="987"/>
        <v>-2.2955525988209219E-5</v>
      </c>
      <c r="AU284" s="87">
        <f t="shared" si="987"/>
        <v>-1.7976933406113132E-5</v>
      </c>
      <c r="AV284" s="87">
        <f t="shared" si="987"/>
        <v>-1.7401239767578786E-5</v>
      </c>
      <c r="AW284" s="87">
        <f t="shared" si="987"/>
        <v>-1.3204820632432177E-5</v>
      </c>
      <c r="AX284" s="87">
        <f t="shared" si="987"/>
        <v>-1.9178654909048709E-5</v>
      </c>
      <c r="AY284" s="87">
        <f t="shared" si="987"/>
        <v>-2.2999997083684421E-5</v>
      </c>
      <c r="AZ284" s="87">
        <f t="shared" si="987"/>
        <v>-2.2999997083684421E-5</v>
      </c>
      <c r="BA284" s="87">
        <f t="shared" si="987"/>
        <v>-2.2954074485429073E-5</v>
      </c>
      <c r="BB284" s="87">
        <f t="shared" si="987"/>
        <v>-2.2954074485429073E-5</v>
      </c>
      <c r="BC284" s="87">
        <f t="shared" si="987"/>
        <v>-2.2954074485429073E-5</v>
      </c>
      <c r="BD284" s="87">
        <f t="shared" si="987"/>
        <v>-2.2954074485429073E-5</v>
      </c>
      <c r="BE284" s="87">
        <f t="shared" si="987"/>
        <v>-2.2954074485429073E-5</v>
      </c>
      <c r="BF284" s="87">
        <f t="shared" si="987"/>
        <v>-2.2954074485429073E-5</v>
      </c>
      <c r="BG284" s="87">
        <f t="shared" si="987"/>
        <v>1.3733681075001937E-5</v>
      </c>
    </row>
    <row r="285" spans="1:59" x14ac:dyDescent="0.25">
      <c r="C285" s="8" t="s">
        <v>467</v>
      </c>
    </row>
    <row r="286" spans="1:59" x14ac:dyDescent="0.25">
      <c r="A286" s="35"/>
      <c r="B286" s="35"/>
      <c r="C286" s="35" t="s">
        <v>471</v>
      </c>
      <c r="D286" s="86" t="s">
        <v>469</v>
      </c>
      <c r="E286" s="94">
        <f>SUM(E271:E284)</f>
        <v>-2.9980566316231737E-4</v>
      </c>
      <c r="F286" s="94">
        <f t="shared" ref="F286:X286" si="988">SUM(F271:F284)</f>
        <v>-6.7280915222423779E-4</v>
      </c>
      <c r="G286" s="94">
        <f t="shared" si="988"/>
        <v>-5.3213235041489344E-4</v>
      </c>
      <c r="H286" s="94">
        <f t="shared" si="988"/>
        <v>-8.8281720388753515E-4</v>
      </c>
      <c r="I286" s="94">
        <f t="shared" si="988"/>
        <v>-5.8270298636012069E-4</v>
      </c>
      <c r="J286" s="94">
        <f t="shared" si="988"/>
        <v>-8.8818896425906137E-5</v>
      </c>
      <c r="K286" s="94">
        <f t="shared" si="988"/>
        <v>-7.0517747695575004E-4</v>
      </c>
      <c r="L286" s="94">
        <f t="shared" si="988"/>
        <v>-3.363645491478109E-4</v>
      </c>
      <c r="M286" s="94">
        <f t="shared" si="988"/>
        <v>1.3968473709411472E-4</v>
      </c>
      <c r="N286" s="94">
        <f t="shared" si="988"/>
        <v>1.7475879004731428E-4</v>
      </c>
      <c r="O286" s="94">
        <f t="shared" si="988"/>
        <v>1.052663272152128E-4</v>
      </c>
      <c r="P286" s="94">
        <f t="shared" si="988"/>
        <v>6.4549375533849726E-5</v>
      </c>
      <c r="Q286" s="94">
        <f t="shared" si="988"/>
        <v>-3.3102129162419173E-4</v>
      </c>
      <c r="R286" s="94">
        <f t="shared" si="988"/>
        <v>-2.0944275757682528E-4</v>
      </c>
      <c r="S286" s="94">
        <f t="shared" si="988"/>
        <v>-3.3284311417137189E-4</v>
      </c>
      <c r="T286" s="94">
        <f t="shared" si="988"/>
        <v>-3.9640485833667295E-4</v>
      </c>
      <c r="U286" s="94">
        <f t="shared" si="988"/>
        <v>-3.2247070933596084E-4</v>
      </c>
      <c r="V286" s="94">
        <f t="shared" si="988"/>
        <v>-2.8773168009534831E-4</v>
      </c>
      <c r="W286" s="94">
        <f t="shared" si="988"/>
        <v>-2.3940001796931901E-5</v>
      </c>
      <c r="X286" s="94">
        <f t="shared" si="988"/>
        <v>-4.9792512354939172E-4</v>
      </c>
      <c r="Y286" s="94">
        <f>SUM(Y271:Y284)</f>
        <v>-7.3623826711820728E-4</v>
      </c>
      <c r="Z286" s="94">
        <f t="shared" ref="Z286:AE286" si="989">SUM(Z271:Z284)</f>
        <v>-1.2463758779492052E-4</v>
      </c>
      <c r="AA286" s="94">
        <f t="shared" si="989"/>
        <v>-5.3213235041489344E-4</v>
      </c>
      <c r="AB286" s="94">
        <f t="shared" si="989"/>
        <v>-4.6553550418322647E-4</v>
      </c>
      <c r="AC286" s="94">
        <f t="shared" si="989"/>
        <v>-4.2384049315689648E-4</v>
      </c>
      <c r="AD286" s="94">
        <f t="shared" si="989"/>
        <v>-4.1819811134219636E-4</v>
      </c>
      <c r="AE286" s="94">
        <f t="shared" si="989"/>
        <v>-7.3623826711820728E-4</v>
      </c>
      <c r="AF286" s="94">
        <f t="shared" ref="AF286:BG286" si="990">SUM(AF271:AF284)</f>
        <v>-3.7298365770550883E-4</v>
      </c>
      <c r="AG286" s="94">
        <f t="shared" si="990"/>
        <v>-3.4026576219192424E-4</v>
      </c>
      <c r="AH286" s="94">
        <f t="shared" si="990"/>
        <v>-6.5700000920513462E-4</v>
      </c>
      <c r="AI286" s="94">
        <f t="shared" si="990"/>
        <v>-3.9417938951720889E-4</v>
      </c>
      <c r="AJ286" s="94">
        <f t="shared" si="990"/>
        <v>-6.6962152231916233E-4</v>
      </c>
      <c r="AK286" s="94">
        <f t="shared" si="990"/>
        <v>5.1155763163010818E-4</v>
      </c>
      <c r="AL286" s="94">
        <f t="shared" si="990"/>
        <v>-2.050542116925967E-4</v>
      </c>
      <c r="AM286" s="94">
        <f t="shared" si="990"/>
        <v>-6.0646399077858451E-4</v>
      </c>
      <c r="AN286" s="94">
        <f t="shared" si="990"/>
        <v>-4.5511364220400633E-4</v>
      </c>
      <c r="AO286" s="94">
        <f t="shared" si="990"/>
        <v>1.8533013557359683E-4</v>
      </c>
      <c r="AP286" s="94">
        <f t="shared" si="990"/>
        <v>-2.1727078793832126E-4</v>
      </c>
      <c r="AQ286" s="94">
        <f t="shared" si="990"/>
        <v>-2.1727078793832126E-4</v>
      </c>
      <c r="AR286" s="94">
        <f t="shared" si="990"/>
        <v>-4.0566710597749822E-4</v>
      </c>
      <c r="AS286" s="94">
        <f t="shared" si="990"/>
        <v>-4.0566710597749822E-4</v>
      </c>
      <c r="AT286" s="94">
        <f t="shared" si="990"/>
        <v>-4.0566710597749822E-4</v>
      </c>
      <c r="AU286" s="94">
        <f t="shared" si="990"/>
        <v>-5.1451557789020629E-4</v>
      </c>
      <c r="AV286" s="94">
        <f t="shared" si="990"/>
        <v>-6.4502277937012961E-4</v>
      </c>
      <c r="AW286" s="94">
        <f t="shared" si="990"/>
        <v>-2.2716690290145331E-4</v>
      </c>
      <c r="AX286" s="94">
        <f t="shared" si="990"/>
        <v>-5.9233279796393299E-4</v>
      </c>
      <c r="AY286" s="94">
        <f t="shared" si="990"/>
        <v>-6.0299678651127143E-4</v>
      </c>
      <c r="AZ286" s="94">
        <f t="shared" si="990"/>
        <v>-6.0299678651127143E-4</v>
      </c>
      <c r="BA286" s="94">
        <f t="shared" si="990"/>
        <v>-7.5021973846495455E-4</v>
      </c>
      <c r="BB286" s="94">
        <f t="shared" si="990"/>
        <v>-7.5021973846495455E-4</v>
      </c>
      <c r="BC286" s="94">
        <f t="shared" si="990"/>
        <v>-7.5021973846495455E-4</v>
      </c>
      <c r="BD286" s="94">
        <f t="shared" si="990"/>
        <v>-7.5021973846495455E-4</v>
      </c>
      <c r="BE286" s="94">
        <f t="shared" si="990"/>
        <v>-7.5021973846495455E-4</v>
      </c>
      <c r="BF286" s="94">
        <f t="shared" si="990"/>
        <v>-7.5021973846495455E-4</v>
      </c>
      <c r="BG286" s="94">
        <f t="shared" si="990"/>
        <v>-7.3623826711820728E-4</v>
      </c>
    </row>
    <row r="287" spans="1:59" x14ac:dyDescent="0.25">
      <c r="C287" s="51" t="s">
        <v>474</v>
      </c>
      <c r="D287"/>
    </row>
    <row r="288" spans="1:59" x14ac:dyDescent="0.25">
      <c r="B288" s="35">
        <v>353</v>
      </c>
      <c r="C288" s="96" t="s">
        <v>475</v>
      </c>
      <c r="D288" s="86" t="s">
        <v>477</v>
      </c>
      <c r="E288" s="113">
        <f>E208+E229+E286</f>
        <v>2436150.1059627426</v>
      </c>
      <c r="F288" s="113">
        <f t="shared" ref="F288:X288" si="991">F208+F229+F286</f>
        <v>1842762.8286666248</v>
      </c>
      <c r="G288" s="113">
        <f t="shared" si="991"/>
        <v>2451564.6954663121</v>
      </c>
      <c r="H288" s="113">
        <f t="shared" si="991"/>
        <v>2451210.1720523504</v>
      </c>
      <c r="I288" s="113">
        <f t="shared" si="991"/>
        <v>2446840.3742329287</v>
      </c>
      <c r="J288" s="113">
        <f t="shared" si="991"/>
        <v>2446987.6482064184</v>
      </c>
      <c r="K288" s="113">
        <f t="shared" si="991"/>
        <v>2447194.3697666386</v>
      </c>
      <c r="L288" s="113">
        <f t="shared" si="991"/>
        <v>2447342.3240074916</v>
      </c>
      <c r="M288" s="113">
        <f t="shared" si="991"/>
        <v>2415035.296870125</v>
      </c>
      <c r="N288" s="113">
        <f t="shared" si="991"/>
        <v>2305476.775015105</v>
      </c>
      <c r="O288" s="113">
        <f t="shared" si="991"/>
        <v>2305860.6836937973</v>
      </c>
      <c r="P288" s="113">
        <f t="shared" si="991"/>
        <v>2026885.9954934428</v>
      </c>
      <c r="Q288" s="113">
        <f t="shared" si="991"/>
        <v>1676534.8313325094</v>
      </c>
      <c r="R288" s="113">
        <f t="shared" si="991"/>
        <v>1676505.3994050864</v>
      </c>
      <c r="S288" s="113">
        <f t="shared" si="991"/>
        <v>1356009.8059621658</v>
      </c>
      <c r="T288" s="113">
        <f t="shared" si="991"/>
        <v>1355920.9425203097</v>
      </c>
      <c r="U288" s="113">
        <f t="shared" si="991"/>
        <v>1355685.0127469809</v>
      </c>
      <c r="V288" s="113">
        <f t="shared" si="991"/>
        <v>25.313434739518026</v>
      </c>
      <c r="W288" s="113">
        <f t="shared" si="991"/>
        <v>2446929.0354424869</v>
      </c>
      <c r="X288" s="113">
        <f t="shared" si="991"/>
        <v>2448759.1691028569</v>
      </c>
      <c r="Y288" s="113">
        <f>Y208+Y229+Y286</f>
        <v>2443208.2180670211</v>
      </c>
      <c r="Z288" s="113">
        <f t="shared" ref="Z288:AE288" si="992">Z208+Z229+Z286</f>
        <v>2467629.2863477641</v>
      </c>
      <c r="AA288" s="113">
        <f t="shared" si="992"/>
        <v>2451564.6954663121</v>
      </c>
      <c r="AB288" s="113">
        <f t="shared" si="992"/>
        <v>2434939.5205712328</v>
      </c>
      <c r="AC288" s="113">
        <f t="shared" si="992"/>
        <v>2443857.0218862444</v>
      </c>
      <c r="AD288" s="113">
        <f t="shared" si="992"/>
        <v>2447283.4872523341</v>
      </c>
      <c r="AE288" s="113">
        <f t="shared" si="992"/>
        <v>2443208.2180670211</v>
      </c>
      <c r="AF288" s="113">
        <f t="shared" ref="AF288:BG288" si="993">AF208+AF229+AF286</f>
        <v>2448996.0265379548</v>
      </c>
      <c r="AG288" s="113">
        <f t="shared" si="993"/>
        <v>2448936.8897060826</v>
      </c>
      <c r="AH288" s="113">
        <f t="shared" si="993"/>
        <v>2448345.8044523541</v>
      </c>
      <c r="AI288" s="113">
        <f t="shared" si="993"/>
        <v>2448729.6967893937</v>
      </c>
      <c r="AJ288" s="113">
        <f t="shared" si="993"/>
        <v>2449143.0438344372</v>
      </c>
      <c r="AK288" s="113">
        <f t="shared" si="993"/>
        <v>2385091.9429987543</v>
      </c>
      <c r="AL288" s="113">
        <f t="shared" si="993"/>
        <v>2448169.0018966477</v>
      </c>
      <c r="AM288" s="113">
        <f t="shared" si="993"/>
        <v>1948451.7260367393</v>
      </c>
      <c r="AN288" s="113">
        <f t="shared" si="993"/>
        <v>2451653.237949037</v>
      </c>
      <c r="AO288" s="113">
        <f t="shared" si="993"/>
        <v>1721450.6680829788</v>
      </c>
      <c r="AP288" s="113">
        <f t="shared" si="993"/>
        <v>2459862.3722320269</v>
      </c>
      <c r="AQ288" s="113">
        <f t="shared" si="993"/>
        <v>2459862.3722320269</v>
      </c>
      <c r="AR288" s="113">
        <f t="shared" si="993"/>
        <v>2459891.9605884058</v>
      </c>
      <c r="AS288" s="113">
        <f t="shared" si="993"/>
        <v>2459891.9605884058</v>
      </c>
      <c r="AT288" s="113">
        <f t="shared" si="993"/>
        <v>2459891.9605884058</v>
      </c>
      <c r="AU288" s="113">
        <f t="shared" si="993"/>
        <v>2441849.3578156908</v>
      </c>
      <c r="AV288" s="113">
        <f t="shared" si="993"/>
        <v>2450708.2857349515</v>
      </c>
      <c r="AW288" s="113">
        <f t="shared" si="993"/>
        <v>2427822.1559663252</v>
      </c>
      <c r="AX288" s="113">
        <f t="shared" si="993"/>
        <v>2435972.4407812562</v>
      </c>
      <c r="AY288" s="113">
        <f t="shared" si="993"/>
        <v>2459921.6731720353</v>
      </c>
      <c r="AZ288" s="113">
        <f t="shared" si="993"/>
        <v>2459921.6731720353</v>
      </c>
      <c r="BA288" s="113">
        <f t="shared" si="993"/>
        <v>2459951.4647083571</v>
      </c>
      <c r="BB288" s="113">
        <f t="shared" si="993"/>
        <v>2459951.4647083571</v>
      </c>
      <c r="BC288" s="113">
        <f t="shared" si="993"/>
        <v>2459951.4647083571</v>
      </c>
      <c r="BD288" s="113">
        <f t="shared" si="993"/>
        <v>2459951.4647083571</v>
      </c>
      <c r="BE288" s="113">
        <f t="shared" si="993"/>
        <v>2459951.4647083571</v>
      </c>
      <c r="BF288" s="113">
        <f t="shared" si="993"/>
        <v>2459951.4647083571</v>
      </c>
      <c r="BG288" s="113">
        <f t="shared" si="993"/>
        <v>2443208.2180670211</v>
      </c>
    </row>
    <row r="289" spans="1:59" ht="15.75" thickBot="1" x14ac:dyDescent="0.3">
      <c r="A289" s="46"/>
      <c r="B289" s="115"/>
      <c r="C289" s="109" t="str">
        <f>'07JD'!C140</f>
        <v>DATE OF FULL MOON</v>
      </c>
      <c r="D289" s="114"/>
      <c r="E289" s="110">
        <f>'07JD'!E140</f>
        <v>21131.605962742586</v>
      </c>
      <c r="F289" s="110" t="str">
        <f>'07JD'!F140</f>
        <v>333-3-18 7:53:16.16</v>
      </c>
      <c r="G289" s="110">
        <f>'07JD'!G140</f>
        <v>36546.195466312114</v>
      </c>
      <c r="H289" s="110">
        <f>'07JD'!H140</f>
        <v>36191.672052350361</v>
      </c>
      <c r="I289" s="110">
        <f>'07JD'!I140</f>
        <v>31821.874232928734</v>
      </c>
      <c r="J289" s="110">
        <f>'07JD'!J140</f>
        <v>31969.14820641838</v>
      </c>
      <c r="K289" s="110">
        <f>'07JD'!K140</f>
        <v>32175.869766638614</v>
      </c>
      <c r="L289" s="110">
        <f>'07JD'!L140</f>
        <v>32323.824007491581</v>
      </c>
      <c r="M289" s="110">
        <f>'07JD'!M140</f>
        <v>15.796870124991983</v>
      </c>
      <c r="N289" s="110" t="str">
        <f>'07JD'!N140</f>
        <v>1600-1-30 6:36:1.13</v>
      </c>
      <c r="O289" s="110" t="str">
        <f>'07JD'!O140</f>
        <v>1601-2-17 4:24:31.31</v>
      </c>
      <c r="P289" s="110" t="str">
        <f>'07JD'!P140</f>
        <v>837-4-24 11:53:30.30</v>
      </c>
      <c r="Q289" s="110" t="str">
        <f>'07JD'!Q140</f>
        <v>-122-2-7 7:57:7.71</v>
      </c>
      <c r="R289" s="110" t="str">
        <f>'07JD'!R140</f>
        <v>-122-1-8 21:35:8.85</v>
      </c>
      <c r="S289" s="110" t="str">
        <f>'07JD'!S140</f>
        <v>-1000-7-21 7:20:35.35</v>
      </c>
      <c r="T289" s="110" t="str">
        <f>'07JD'!T140</f>
        <v>-1000-4-23 10:37:13.13</v>
      </c>
      <c r="U289" s="110" t="str">
        <f>'07JD'!U140</f>
        <v>-1001-8-31 12:18:21.21</v>
      </c>
      <c r="V289" s="110" t="str">
        <f>'07JD'!V140</f>
        <v>-4712-1-26 19:31:20.20</v>
      </c>
      <c r="W289" s="110">
        <f>'07JD'!W140</f>
        <v>31910.535442486871</v>
      </c>
      <c r="X289" s="110">
        <f>'07JD'!X140</f>
        <v>33740.669102856889</v>
      </c>
      <c r="Y289" s="110">
        <f>'07JD'!Y140</f>
        <v>28189.718067021109</v>
      </c>
      <c r="Z289" s="110">
        <f>'07JD'!Z140</f>
        <v>52610.786347764079</v>
      </c>
      <c r="AA289" s="110">
        <f>'07JD'!AA140</f>
        <v>36546.195466312114</v>
      </c>
      <c r="AB289" s="110">
        <f>'07JD'!AB140</f>
        <v>19921.020571232773</v>
      </c>
      <c r="AC289" s="110">
        <f>'07JD'!AC140</f>
        <v>28838.521886244416</v>
      </c>
      <c r="AD289" s="110">
        <f>'07JD'!AD140</f>
        <v>32264.987252334133</v>
      </c>
      <c r="AE289" s="110">
        <f>'07JD'!AE140</f>
        <v>28189.718067021109</v>
      </c>
      <c r="AF289" s="110">
        <f>'07JD'!AF140</f>
        <v>33977.526537954807</v>
      </c>
      <c r="AG289" s="110">
        <f>'07JD'!AG140</f>
        <v>33918.389706082642</v>
      </c>
      <c r="AH289" s="110">
        <f>'07JD'!AH140</f>
        <v>33327.304452354088</v>
      </c>
      <c r="AI289" s="110">
        <f>'07JD'!AI140</f>
        <v>33711.196789393667</v>
      </c>
      <c r="AJ289" s="110">
        <f>'07JD'!AJ140</f>
        <v>34124.543834437151</v>
      </c>
      <c r="AK289" s="110" t="str">
        <f>'07JD'!AK140</f>
        <v>1818-1-22 10:37:55.55</v>
      </c>
      <c r="AL289" s="110">
        <f>'07JD'!AL140</f>
        <v>33150.501896647736</v>
      </c>
      <c r="AM289" s="110" t="str">
        <f>'07JD'!AM140</f>
        <v>622-7-28 5:25:29.29</v>
      </c>
      <c r="AN289" s="110">
        <f>'07JD'!AN140</f>
        <v>36634.737949036993</v>
      </c>
      <c r="AO289" s="110" t="str">
        <f>'07JD'!AO140</f>
        <v>1-1-28 4:2:2.23</v>
      </c>
      <c r="AP289" s="110">
        <f>'07JD'!AP140</f>
        <v>44843.872232026886</v>
      </c>
      <c r="AQ289" s="110">
        <f>'07JD'!AQ140</f>
        <v>44843.872232026886</v>
      </c>
      <c r="AR289" s="110">
        <f>'07JD'!AR140</f>
        <v>44873.46058840584</v>
      </c>
      <c r="AS289" s="110">
        <f>'07JD'!AS140</f>
        <v>44873.46058840584</v>
      </c>
      <c r="AT289" s="110">
        <f>'07JD'!AT140</f>
        <v>44873.46058840584</v>
      </c>
      <c r="AU289" s="110">
        <f>'07JD'!AU140</f>
        <v>26830.857815690804</v>
      </c>
      <c r="AV289" s="110">
        <f>'07JD'!AV140</f>
        <v>35689.785734951496</v>
      </c>
      <c r="AW289" s="110">
        <f>'07JD'!AW140</f>
        <v>12803.655966325197</v>
      </c>
      <c r="AX289" s="110">
        <f>'07JD'!AX140</f>
        <v>20953.940781256184</v>
      </c>
      <c r="AY289" s="110">
        <f>'07JD'!AY140</f>
        <v>44903.173172035255</v>
      </c>
      <c r="AZ289" s="110">
        <f>'07JD'!AZ140</f>
        <v>44903.173172035255</v>
      </c>
      <c r="BA289" s="110">
        <f>'07JD'!BA140</f>
        <v>44932.964708357118</v>
      </c>
      <c r="BB289" s="110">
        <f>'07JD'!BB140</f>
        <v>44932.964708357118</v>
      </c>
      <c r="BC289" s="110">
        <f>'07JD'!BC140</f>
        <v>44932.964708357118</v>
      </c>
      <c r="BD289" s="110">
        <f>'07JD'!BD140</f>
        <v>44932.964708357118</v>
      </c>
      <c r="BE289" s="110">
        <f>'07JD'!BE140</f>
        <v>44932.964708357118</v>
      </c>
      <c r="BF289" s="110">
        <f>'07JD'!BF140</f>
        <v>44932.964708357118</v>
      </c>
      <c r="BG289" s="110">
        <f>'07JD'!BG140</f>
        <v>28189.718067021109</v>
      </c>
    </row>
    <row r="290" spans="1:59" ht="15.75" thickTop="1" x14ac:dyDescent="0.25">
      <c r="A290" s="101"/>
      <c r="B290" s="101"/>
      <c r="C290" s="100" t="s">
        <v>578</v>
      </c>
      <c r="D290" s="101" t="s">
        <v>579</v>
      </c>
      <c r="E290" s="101" t="str">
        <f>D290</f>
        <v>LAST QTR</v>
      </c>
      <c r="F290" s="101" t="str">
        <f t="shared" ref="F290:X290" si="994">E290</f>
        <v>LAST QTR</v>
      </c>
      <c r="G290" s="101" t="str">
        <f t="shared" si="994"/>
        <v>LAST QTR</v>
      </c>
      <c r="H290" s="101" t="str">
        <f t="shared" si="994"/>
        <v>LAST QTR</v>
      </c>
      <c r="I290" s="101" t="str">
        <f t="shared" si="994"/>
        <v>LAST QTR</v>
      </c>
      <c r="J290" s="101" t="str">
        <f t="shared" si="994"/>
        <v>LAST QTR</v>
      </c>
      <c r="K290" s="101" t="str">
        <f t="shared" si="994"/>
        <v>LAST QTR</v>
      </c>
      <c r="L290" s="101" t="str">
        <f t="shared" si="994"/>
        <v>LAST QTR</v>
      </c>
      <c r="M290" s="101" t="str">
        <f t="shared" si="994"/>
        <v>LAST QTR</v>
      </c>
      <c r="N290" s="101" t="str">
        <f t="shared" si="994"/>
        <v>LAST QTR</v>
      </c>
      <c r="O290" s="101" t="str">
        <f t="shared" si="994"/>
        <v>LAST QTR</v>
      </c>
      <c r="P290" s="101" t="str">
        <f t="shared" si="994"/>
        <v>LAST QTR</v>
      </c>
      <c r="Q290" s="101" t="str">
        <f t="shared" si="994"/>
        <v>LAST QTR</v>
      </c>
      <c r="R290" s="101" t="str">
        <f t="shared" si="994"/>
        <v>LAST QTR</v>
      </c>
      <c r="S290" s="101" t="str">
        <f t="shared" si="994"/>
        <v>LAST QTR</v>
      </c>
      <c r="T290" s="101" t="str">
        <f t="shared" si="994"/>
        <v>LAST QTR</v>
      </c>
      <c r="U290" s="101" t="str">
        <f t="shared" si="994"/>
        <v>LAST QTR</v>
      </c>
      <c r="V290" s="101" t="str">
        <f t="shared" si="994"/>
        <v>LAST QTR</v>
      </c>
      <c r="W290" s="101" t="str">
        <f t="shared" si="994"/>
        <v>LAST QTR</v>
      </c>
      <c r="X290" s="101" t="str">
        <f t="shared" si="994"/>
        <v>LAST QTR</v>
      </c>
      <c r="Y290" s="101" t="str">
        <f>X290</f>
        <v>LAST QTR</v>
      </c>
      <c r="Z290" s="101" t="str">
        <f t="shared" ref="Z290:AE290" si="995">Y290</f>
        <v>LAST QTR</v>
      </c>
      <c r="AA290" s="101" t="str">
        <f t="shared" si="995"/>
        <v>LAST QTR</v>
      </c>
      <c r="AB290" s="101" t="str">
        <f t="shared" si="995"/>
        <v>LAST QTR</v>
      </c>
      <c r="AC290" s="101" t="str">
        <f t="shared" si="995"/>
        <v>LAST QTR</v>
      </c>
      <c r="AD290" s="101" t="str">
        <f t="shared" si="995"/>
        <v>LAST QTR</v>
      </c>
      <c r="AE290" s="101" t="str">
        <f t="shared" si="995"/>
        <v>LAST QTR</v>
      </c>
      <c r="AF290" s="101" t="str">
        <f t="shared" ref="AF290:BG290" si="996">AE290</f>
        <v>LAST QTR</v>
      </c>
      <c r="AG290" s="101" t="str">
        <f t="shared" si="996"/>
        <v>LAST QTR</v>
      </c>
      <c r="AH290" s="101" t="str">
        <f t="shared" si="996"/>
        <v>LAST QTR</v>
      </c>
      <c r="AI290" s="101" t="str">
        <f t="shared" si="996"/>
        <v>LAST QTR</v>
      </c>
      <c r="AJ290" s="101" t="str">
        <f t="shared" si="996"/>
        <v>LAST QTR</v>
      </c>
      <c r="AK290" s="101" t="str">
        <f t="shared" si="996"/>
        <v>LAST QTR</v>
      </c>
      <c r="AL290" s="101" t="str">
        <f t="shared" si="996"/>
        <v>LAST QTR</v>
      </c>
      <c r="AM290" s="101" t="str">
        <f t="shared" si="996"/>
        <v>LAST QTR</v>
      </c>
      <c r="AN290" s="101" t="str">
        <f t="shared" si="996"/>
        <v>LAST QTR</v>
      </c>
      <c r="AO290" s="101" t="str">
        <f t="shared" si="996"/>
        <v>LAST QTR</v>
      </c>
      <c r="AP290" s="101" t="str">
        <f t="shared" si="996"/>
        <v>LAST QTR</v>
      </c>
      <c r="AQ290" s="101" t="str">
        <f t="shared" si="996"/>
        <v>LAST QTR</v>
      </c>
      <c r="AR290" s="101" t="str">
        <f t="shared" si="996"/>
        <v>LAST QTR</v>
      </c>
      <c r="AS290" s="101" t="str">
        <f t="shared" si="996"/>
        <v>LAST QTR</v>
      </c>
      <c r="AT290" s="101" t="str">
        <f t="shared" si="996"/>
        <v>LAST QTR</v>
      </c>
      <c r="AU290" s="101" t="str">
        <f t="shared" si="996"/>
        <v>LAST QTR</v>
      </c>
      <c r="AV290" s="101" t="str">
        <f t="shared" si="996"/>
        <v>LAST QTR</v>
      </c>
      <c r="AW290" s="101" t="str">
        <f t="shared" si="996"/>
        <v>LAST QTR</v>
      </c>
      <c r="AX290" s="101" t="str">
        <f t="shared" si="996"/>
        <v>LAST QTR</v>
      </c>
      <c r="AY290" s="101" t="str">
        <f t="shared" si="996"/>
        <v>LAST QTR</v>
      </c>
      <c r="AZ290" s="101" t="str">
        <f t="shared" si="996"/>
        <v>LAST QTR</v>
      </c>
      <c r="BA290" s="101" t="str">
        <f t="shared" si="996"/>
        <v>LAST QTR</v>
      </c>
      <c r="BB290" s="101" t="str">
        <f t="shared" si="996"/>
        <v>LAST QTR</v>
      </c>
      <c r="BC290" s="101" t="str">
        <f t="shared" si="996"/>
        <v>LAST QTR</v>
      </c>
      <c r="BD290" s="101" t="str">
        <f t="shared" si="996"/>
        <v>LAST QTR</v>
      </c>
      <c r="BE290" s="101" t="str">
        <f t="shared" si="996"/>
        <v>LAST QTR</v>
      </c>
      <c r="BF290" s="101" t="str">
        <f t="shared" si="996"/>
        <v>LAST QTR</v>
      </c>
      <c r="BG290" s="101" t="str">
        <f t="shared" si="996"/>
        <v>LAST QTR</v>
      </c>
    </row>
    <row r="291" spans="1:59" x14ac:dyDescent="0.25">
      <c r="A291">
        <v>49.2</v>
      </c>
      <c r="B291">
        <v>350</v>
      </c>
      <c r="C291" t="s">
        <v>112</v>
      </c>
      <c r="D291"/>
    </row>
    <row r="292" spans="1:59" x14ac:dyDescent="0.25">
      <c r="C292" t="s">
        <v>113</v>
      </c>
      <c r="D292" s="1"/>
    </row>
    <row r="293" spans="1:59" x14ac:dyDescent="0.25">
      <c r="C293" t="s">
        <v>115</v>
      </c>
      <c r="D293"/>
    </row>
    <row r="294" spans="1:59" x14ac:dyDescent="0.25">
      <c r="C294" t="s">
        <v>114</v>
      </c>
      <c r="D294" s="1"/>
    </row>
    <row r="295" spans="1:59" x14ac:dyDescent="0.25">
      <c r="C295" t="s">
        <v>119</v>
      </c>
      <c r="D295" s="7" t="s">
        <v>556</v>
      </c>
      <c r="E295" s="102">
        <f>E15</f>
        <v>-522</v>
      </c>
      <c r="F295" s="102">
        <f t="shared" ref="F295:X295" si="997">F15</f>
        <v>-20616</v>
      </c>
      <c r="G295" s="102">
        <f t="shared" si="997"/>
        <v>0</v>
      </c>
      <c r="H295" s="102">
        <f t="shared" si="997"/>
        <v>-12</v>
      </c>
      <c r="I295" s="102">
        <f t="shared" si="997"/>
        <v>-160</v>
      </c>
      <c r="J295" s="102">
        <f t="shared" si="997"/>
        <v>-155</v>
      </c>
      <c r="K295" s="102">
        <f t="shared" si="997"/>
        <v>-148</v>
      </c>
      <c r="L295" s="102">
        <f t="shared" si="997"/>
        <v>-143</v>
      </c>
      <c r="M295" s="102">
        <f t="shared" si="997"/>
        <v>-1237</v>
      </c>
      <c r="N295" s="102">
        <f t="shared" si="997"/>
        <v>-4947</v>
      </c>
      <c r="O295" s="102">
        <f t="shared" si="997"/>
        <v>-4934</v>
      </c>
      <c r="P295" s="102">
        <f t="shared" si="997"/>
        <v>-14381</v>
      </c>
      <c r="Q295" s="102">
        <f t="shared" si="997"/>
        <v>-26245</v>
      </c>
      <c r="R295" s="102">
        <f t="shared" si="997"/>
        <v>-26246</v>
      </c>
      <c r="S295" s="102">
        <f t="shared" si="997"/>
        <v>-37099</v>
      </c>
      <c r="T295" s="102">
        <f t="shared" si="997"/>
        <v>-37102</v>
      </c>
      <c r="U295" s="102">
        <f t="shared" si="997"/>
        <v>-37110</v>
      </c>
      <c r="V295" s="102">
        <f t="shared" si="997"/>
        <v>-83017</v>
      </c>
      <c r="W295" s="102">
        <f t="shared" si="997"/>
        <v>-157</v>
      </c>
      <c r="X295" s="102">
        <f t="shared" si="997"/>
        <v>-95</v>
      </c>
      <c r="Y295" s="102">
        <f>Y15</f>
        <v>-283</v>
      </c>
      <c r="Z295" s="102">
        <f t="shared" ref="Z295:AE295" si="998">Z15</f>
        <v>544</v>
      </c>
      <c r="AA295" s="102">
        <f t="shared" si="998"/>
        <v>0</v>
      </c>
      <c r="AB295" s="102">
        <f t="shared" si="998"/>
        <v>-563</v>
      </c>
      <c r="AC295" s="102">
        <f t="shared" si="998"/>
        <v>-261</v>
      </c>
      <c r="AD295" s="102">
        <f t="shared" si="998"/>
        <v>-145</v>
      </c>
      <c r="AE295" s="102">
        <f t="shared" si="998"/>
        <v>-283</v>
      </c>
      <c r="AF295" s="102">
        <f t="shared" ref="AF295:BG295" si="999">AF15</f>
        <v>-87</v>
      </c>
      <c r="AG295" s="102">
        <f t="shared" si="999"/>
        <v>-89</v>
      </c>
      <c r="AH295" s="102">
        <f t="shared" si="999"/>
        <v>-109</v>
      </c>
      <c r="AI295" s="102">
        <f t="shared" si="999"/>
        <v>-96</v>
      </c>
      <c r="AJ295" s="102">
        <f t="shared" si="999"/>
        <v>-82</v>
      </c>
      <c r="AK295" s="102">
        <f t="shared" si="999"/>
        <v>-2251</v>
      </c>
      <c r="AL295" s="102">
        <f t="shared" si="999"/>
        <v>-115</v>
      </c>
      <c r="AM295" s="102">
        <f t="shared" si="999"/>
        <v>-17037</v>
      </c>
      <c r="AN295" s="102">
        <f t="shared" si="999"/>
        <v>3</v>
      </c>
      <c r="AO295" s="102">
        <f t="shared" si="999"/>
        <v>-24724</v>
      </c>
      <c r="AP295" s="102">
        <f t="shared" si="999"/>
        <v>281</v>
      </c>
      <c r="AQ295" s="102">
        <f t="shared" si="999"/>
        <v>281</v>
      </c>
      <c r="AR295" s="102">
        <f t="shared" si="999"/>
        <v>282</v>
      </c>
      <c r="AS295" s="102">
        <f t="shared" si="999"/>
        <v>282</v>
      </c>
      <c r="AT295" s="102">
        <f t="shared" si="999"/>
        <v>282</v>
      </c>
      <c r="AU295" s="102">
        <f t="shared" si="999"/>
        <v>-329</v>
      </c>
      <c r="AV295" s="102">
        <f t="shared" si="999"/>
        <v>-29</v>
      </c>
      <c r="AW295" s="102">
        <f t="shared" si="999"/>
        <v>-804</v>
      </c>
      <c r="AX295" s="102">
        <f t="shared" si="999"/>
        <v>-528</v>
      </c>
      <c r="AY295" s="102">
        <f t="shared" si="999"/>
        <v>283</v>
      </c>
      <c r="AZ295" s="102">
        <f t="shared" si="999"/>
        <v>283</v>
      </c>
      <c r="BA295" s="102">
        <f t="shared" si="999"/>
        <v>284</v>
      </c>
      <c r="BB295" s="102">
        <f t="shared" si="999"/>
        <v>284</v>
      </c>
      <c r="BC295" s="102">
        <f t="shared" si="999"/>
        <v>284</v>
      </c>
      <c r="BD295" s="102">
        <f t="shared" si="999"/>
        <v>284</v>
      </c>
      <c r="BE295" s="102">
        <f t="shared" si="999"/>
        <v>284</v>
      </c>
      <c r="BF295" s="102">
        <f t="shared" si="999"/>
        <v>284</v>
      </c>
      <c r="BG295" s="102">
        <f t="shared" si="999"/>
        <v>-283</v>
      </c>
    </row>
    <row r="296" spans="1:59" x14ac:dyDescent="0.25">
      <c r="A296" s="35"/>
      <c r="B296" s="35"/>
      <c r="C296" s="35" t="s">
        <v>120</v>
      </c>
      <c r="D296" s="86" t="s">
        <v>374</v>
      </c>
      <c r="E296" s="91">
        <f>E295+0.75</f>
        <v>-521.25</v>
      </c>
      <c r="F296" s="91">
        <f t="shared" ref="F296:X296" si="1000">F295+0.75</f>
        <v>-20615.25</v>
      </c>
      <c r="G296" s="91">
        <f t="shared" si="1000"/>
        <v>0.75</v>
      </c>
      <c r="H296" s="91">
        <f t="shared" si="1000"/>
        <v>-11.25</v>
      </c>
      <c r="I296" s="91">
        <f t="shared" si="1000"/>
        <v>-159.25</v>
      </c>
      <c r="J296" s="91">
        <f t="shared" si="1000"/>
        <v>-154.25</v>
      </c>
      <c r="K296" s="91">
        <f t="shared" si="1000"/>
        <v>-147.25</v>
      </c>
      <c r="L296" s="91">
        <f t="shared" si="1000"/>
        <v>-142.25</v>
      </c>
      <c r="M296" s="91">
        <f t="shared" si="1000"/>
        <v>-1236.25</v>
      </c>
      <c r="N296" s="91">
        <f t="shared" si="1000"/>
        <v>-4946.25</v>
      </c>
      <c r="O296" s="91">
        <f t="shared" si="1000"/>
        <v>-4933.25</v>
      </c>
      <c r="P296" s="91">
        <f t="shared" si="1000"/>
        <v>-14380.25</v>
      </c>
      <c r="Q296" s="91">
        <f t="shared" si="1000"/>
        <v>-26244.25</v>
      </c>
      <c r="R296" s="91">
        <f t="shared" si="1000"/>
        <v>-26245.25</v>
      </c>
      <c r="S296" s="91">
        <f t="shared" si="1000"/>
        <v>-37098.25</v>
      </c>
      <c r="T296" s="91">
        <f t="shared" si="1000"/>
        <v>-37101.25</v>
      </c>
      <c r="U296" s="91">
        <f t="shared" si="1000"/>
        <v>-37109.25</v>
      </c>
      <c r="V296" s="91">
        <f t="shared" si="1000"/>
        <v>-83016.25</v>
      </c>
      <c r="W296" s="91">
        <f t="shared" si="1000"/>
        <v>-156.25</v>
      </c>
      <c r="X296" s="91">
        <f t="shared" si="1000"/>
        <v>-94.25</v>
      </c>
      <c r="Y296" s="91">
        <f>Y295+0.75</f>
        <v>-282.25</v>
      </c>
      <c r="Z296" s="91">
        <f t="shared" ref="Z296:AE296" si="1001">Z295+0.75</f>
        <v>544.75</v>
      </c>
      <c r="AA296" s="91">
        <f t="shared" si="1001"/>
        <v>0.75</v>
      </c>
      <c r="AB296" s="91">
        <f t="shared" si="1001"/>
        <v>-562.25</v>
      </c>
      <c r="AC296" s="91">
        <f t="shared" si="1001"/>
        <v>-260.25</v>
      </c>
      <c r="AD296" s="91">
        <f t="shared" si="1001"/>
        <v>-144.25</v>
      </c>
      <c r="AE296" s="91">
        <f t="shared" si="1001"/>
        <v>-282.25</v>
      </c>
      <c r="AF296" s="91">
        <f t="shared" ref="AF296" si="1002">AF295+0.75</f>
        <v>-86.25</v>
      </c>
      <c r="AG296" s="91">
        <f t="shared" ref="AG296" si="1003">AG295+0.75</f>
        <v>-88.25</v>
      </c>
      <c r="AH296" s="91">
        <f t="shared" ref="AH296" si="1004">AH295+0.75</f>
        <v>-108.25</v>
      </c>
      <c r="AI296" s="91">
        <f t="shared" ref="AI296" si="1005">AI295+0.75</f>
        <v>-95.25</v>
      </c>
      <c r="AJ296" s="91">
        <f t="shared" ref="AJ296" si="1006">AJ295+0.75</f>
        <v>-81.25</v>
      </c>
      <c r="AK296" s="91">
        <f t="shared" ref="AK296" si="1007">AK295+0.75</f>
        <v>-2250.25</v>
      </c>
      <c r="AL296" s="91">
        <f t="shared" ref="AL296" si="1008">AL295+0.75</f>
        <v>-114.25</v>
      </c>
      <c r="AM296" s="91">
        <f t="shared" ref="AM296" si="1009">AM295+0.75</f>
        <v>-17036.25</v>
      </c>
      <c r="AN296" s="91">
        <f t="shared" ref="AN296" si="1010">AN295+0.75</f>
        <v>3.75</v>
      </c>
      <c r="AO296" s="91">
        <f t="shared" ref="AO296" si="1011">AO295+0.75</f>
        <v>-24723.25</v>
      </c>
      <c r="AP296" s="91">
        <f t="shared" ref="AP296" si="1012">AP295+0.75</f>
        <v>281.75</v>
      </c>
      <c r="AQ296" s="91">
        <f t="shared" ref="AQ296" si="1013">AQ295+0.75</f>
        <v>281.75</v>
      </c>
      <c r="AR296" s="91">
        <f t="shared" ref="AR296" si="1014">AR295+0.75</f>
        <v>282.75</v>
      </c>
      <c r="AS296" s="91">
        <f t="shared" ref="AS296" si="1015">AS295+0.75</f>
        <v>282.75</v>
      </c>
      <c r="AT296" s="91">
        <f t="shared" ref="AT296" si="1016">AT295+0.75</f>
        <v>282.75</v>
      </c>
      <c r="AU296" s="91">
        <f t="shared" ref="AU296" si="1017">AU295+0.75</f>
        <v>-328.25</v>
      </c>
      <c r="AV296" s="91">
        <f t="shared" ref="AV296" si="1018">AV295+0.75</f>
        <v>-28.25</v>
      </c>
      <c r="AW296" s="91">
        <f t="shared" ref="AW296" si="1019">AW295+0.75</f>
        <v>-803.25</v>
      </c>
      <c r="AX296" s="91">
        <f t="shared" ref="AX296" si="1020">AX295+0.75</f>
        <v>-527.25</v>
      </c>
      <c r="AY296" s="91">
        <f t="shared" ref="AY296" si="1021">AY295+0.75</f>
        <v>283.75</v>
      </c>
      <c r="AZ296" s="91">
        <f t="shared" ref="AZ296" si="1022">AZ295+0.75</f>
        <v>283.75</v>
      </c>
      <c r="BA296" s="91">
        <f t="shared" ref="BA296" si="1023">BA295+0.75</f>
        <v>284.75</v>
      </c>
      <c r="BB296" s="91">
        <f t="shared" ref="BB296" si="1024">BB295+0.75</f>
        <v>284.75</v>
      </c>
      <c r="BC296" s="91">
        <f t="shared" ref="BC296" si="1025">BC295+0.75</f>
        <v>284.75</v>
      </c>
      <c r="BD296" s="91">
        <f t="shared" ref="BD296" si="1026">BD295+0.75</f>
        <v>284.75</v>
      </c>
      <c r="BE296" s="91">
        <f t="shared" ref="BE296:BG296" si="1027">BE295+0.75</f>
        <v>284.75</v>
      </c>
      <c r="BF296" s="91">
        <f t="shared" si="1027"/>
        <v>284.75</v>
      </c>
      <c r="BG296" s="91">
        <f t="shared" si="1027"/>
        <v>-282.25</v>
      </c>
    </row>
    <row r="297" spans="1:59" x14ac:dyDescent="0.25">
      <c r="A297">
        <v>49.3</v>
      </c>
      <c r="B297">
        <v>350</v>
      </c>
      <c r="C297" t="s">
        <v>116</v>
      </c>
      <c r="D297"/>
    </row>
    <row r="298" spans="1:59" x14ac:dyDescent="0.25">
      <c r="A298" s="35"/>
      <c r="B298" s="35"/>
      <c r="C298" s="35" t="s">
        <v>117</v>
      </c>
      <c r="D298" s="86" t="s">
        <v>378</v>
      </c>
      <c r="E298" s="93">
        <f>E296/1236.85</f>
        <v>-0.42143348021182847</v>
      </c>
      <c r="F298" s="93">
        <f t="shared" ref="F298:X298" si="1028">F296/1236.85</f>
        <v>-16.66754254760076</v>
      </c>
      <c r="G298" s="93">
        <f t="shared" si="1028"/>
        <v>6.0637910821845827E-4</v>
      </c>
      <c r="H298" s="93">
        <f t="shared" si="1028"/>
        <v>-9.0956866232768732E-3</v>
      </c>
      <c r="I298" s="93">
        <f t="shared" si="1028"/>
        <v>-0.12875449731171928</v>
      </c>
      <c r="J298" s="93">
        <f t="shared" si="1028"/>
        <v>-0.12471196992359625</v>
      </c>
      <c r="K298" s="93">
        <f t="shared" si="1028"/>
        <v>-0.11905243158022397</v>
      </c>
      <c r="L298" s="93">
        <f t="shared" si="1028"/>
        <v>-0.11500990419210091</v>
      </c>
      <c r="M298" s="93">
        <f t="shared" si="1028"/>
        <v>-0.9995148967134253</v>
      </c>
      <c r="N298" s="93">
        <f t="shared" si="1028"/>
        <v>-3.9990702187007319</v>
      </c>
      <c r="O298" s="93">
        <f t="shared" si="1028"/>
        <v>-3.9885596474916118</v>
      </c>
      <c r="P298" s="93">
        <f t="shared" si="1028"/>
        <v>-11.626510894611313</v>
      </c>
      <c r="Q298" s="93">
        <f t="shared" si="1028"/>
        <v>-21.218619881149696</v>
      </c>
      <c r="R298" s="93">
        <f t="shared" si="1028"/>
        <v>-21.219428386627321</v>
      </c>
      <c r="S298" s="93">
        <f t="shared" si="1028"/>
        <v>-29.994138335287225</v>
      </c>
      <c r="T298" s="93">
        <f t="shared" si="1028"/>
        <v>-29.996563851720097</v>
      </c>
      <c r="U298" s="93">
        <f t="shared" si="1028"/>
        <v>-30.003031895541096</v>
      </c>
      <c r="V298" s="93">
        <f t="shared" si="1028"/>
        <v>-67.11909285685411</v>
      </c>
      <c r="W298" s="93">
        <f t="shared" si="1028"/>
        <v>-0.12632898087884548</v>
      </c>
      <c r="X298" s="93">
        <f t="shared" si="1028"/>
        <v>-7.6201641266119585E-2</v>
      </c>
      <c r="Y298" s="93">
        <f>Y296/1236.85</f>
        <v>-0.22820067105954644</v>
      </c>
      <c r="Z298" s="93">
        <f t="shared" ref="Z298:AE298" si="1029">Z296/1236.85</f>
        <v>0.44043335893600682</v>
      </c>
      <c r="AA298" s="93">
        <f t="shared" si="1029"/>
        <v>6.0637910821845827E-4</v>
      </c>
      <c r="AB298" s="93">
        <f t="shared" si="1029"/>
        <v>-0.45458220479443751</v>
      </c>
      <c r="AC298" s="93">
        <f t="shared" si="1029"/>
        <v>-0.210413550551805</v>
      </c>
      <c r="AD298" s="93">
        <f t="shared" si="1029"/>
        <v>-0.11662691514735013</v>
      </c>
      <c r="AE298" s="93">
        <f t="shared" si="1029"/>
        <v>-0.22820067105954644</v>
      </c>
      <c r="AF298" s="93">
        <f t="shared" ref="AF298:BG298" si="1030">AF296/1236.85</f>
        <v>-6.9733597445122697E-2</v>
      </c>
      <c r="AG298" s="93">
        <f t="shared" si="1030"/>
        <v>-7.1350608400371912E-2</v>
      </c>
      <c r="AH298" s="93">
        <f t="shared" si="1030"/>
        <v>-8.7520717952864133E-2</v>
      </c>
      <c r="AI298" s="93">
        <f t="shared" si="1030"/>
        <v>-7.7010146743744193E-2</v>
      </c>
      <c r="AJ298" s="93">
        <f t="shared" si="1030"/>
        <v>-6.5691070056999645E-2</v>
      </c>
      <c r="AK298" s="93">
        <f t="shared" si="1030"/>
        <v>-1.8193394510247809</v>
      </c>
      <c r="AL298" s="93">
        <f t="shared" si="1030"/>
        <v>-9.2371750818611806E-2</v>
      </c>
      <c r="AM298" s="93">
        <f t="shared" si="1030"/>
        <v>-13.773901443182279</v>
      </c>
      <c r="AN298" s="93">
        <f t="shared" si="1030"/>
        <v>3.0318955410922909E-3</v>
      </c>
      <c r="AO298" s="93">
        <f t="shared" si="1030"/>
        <v>-19.988883049682663</v>
      </c>
      <c r="AP298" s="93">
        <f t="shared" si="1030"/>
        <v>0.22779641832073413</v>
      </c>
      <c r="AQ298" s="93">
        <f t="shared" si="1030"/>
        <v>0.22779641832073413</v>
      </c>
      <c r="AR298" s="93">
        <f t="shared" si="1030"/>
        <v>0.22860492379835876</v>
      </c>
      <c r="AS298" s="93">
        <f t="shared" si="1030"/>
        <v>0.22860492379835876</v>
      </c>
      <c r="AT298" s="93">
        <f t="shared" si="1030"/>
        <v>0.22860492379835876</v>
      </c>
      <c r="AU298" s="93">
        <f t="shared" si="1030"/>
        <v>-0.26539192303027853</v>
      </c>
      <c r="AV298" s="93">
        <f t="shared" si="1030"/>
        <v>-2.2840279742895261E-2</v>
      </c>
      <c r="AW298" s="93">
        <f t="shared" si="1030"/>
        <v>-0.64943202490196872</v>
      </c>
      <c r="AX298" s="93">
        <f t="shared" si="1030"/>
        <v>-0.42628451307757614</v>
      </c>
      <c r="AY298" s="93">
        <f t="shared" si="1030"/>
        <v>0.22941342927598335</v>
      </c>
      <c r="AZ298" s="93">
        <f t="shared" si="1030"/>
        <v>0.22941342927598335</v>
      </c>
      <c r="BA298" s="93">
        <f t="shared" si="1030"/>
        <v>0.23022193475360797</v>
      </c>
      <c r="BB298" s="93">
        <f t="shared" si="1030"/>
        <v>0.23022193475360797</v>
      </c>
      <c r="BC298" s="93">
        <f t="shared" si="1030"/>
        <v>0.23022193475360797</v>
      </c>
      <c r="BD298" s="93">
        <f t="shared" si="1030"/>
        <v>0.23022193475360797</v>
      </c>
      <c r="BE298" s="93">
        <f t="shared" si="1030"/>
        <v>0.23022193475360797</v>
      </c>
      <c r="BF298" s="93">
        <f t="shared" si="1030"/>
        <v>0.23022193475360797</v>
      </c>
      <c r="BG298" s="93">
        <f t="shared" si="1030"/>
        <v>-0.22820067105954644</v>
      </c>
    </row>
    <row r="299" spans="1:59" x14ac:dyDescent="0.25">
      <c r="A299">
        <v>49.1</v>
      </c>
      <c r="B299">
        <v>349</v>
      </c>
      <c r="C299" t="s">
        <v>121</v>
      </c>
      <c r="D299"/>
    </row>
    <row r="300" spans="1:59" x14ac:dyDescent="0.25">
      <c r="C300" t="s">
        <v>122</v>
      </c>
      <c r="D300"/>
    </row>
    <row r="301" spans="1:59" x14ac:dyDescent="0.25">
      <c r="C301" t="s">
        <v>123</v>
      </c>
      <c r="D301"/>
    </row>
    <row r="302" spans="1:59" x14ac:dyDescent="0.25">
      <c r="A302" s="35"/>
      <c r="B302" s="35"/>
      <c r="C302" s="35" t="s">
        <v>124</v>
      </c>
      <c r="D302" s="86" t="s">
        <v>382</v>
      </c>
      <c r="E302" s="93">
        <f xml:space="preserve"> 2451550.09766 + 29.530588861 *E296    + 0.00015437* E298^2    - 0.00000015* E298^3   + 0.00000000073* E298^4</f>
        <v>2436157.2782436321</v>
      </c>
      <c r="F302" s="93">
        <f t="shared" ref="F302:X302" si="1031" xml:space="preserve"> 2451550.09766 + 29.530588861 *F296    + 0.00015437* F298^2    - 0.00000015* F298^3   + 0.00000000073* F298^4</f>
        <v>1842769.6692792252</v>
      </c>
      <c r="G302" s="93">
        <f t="shared" si="1031"/>
        <v>2451572.2456016457</v>
      </c>
      <c r="H302" s="93">
        <f t="shared" si="1031"/>
        <v>2451217.8785353261</v>
      </c>
      <c r="I302" s="93">
        <f t="shared" si="1031"/>
        <v>2446847.3513864456</v>
      </c>
      <c r="J302" s="93">
        <f t="shared" si="1031"/>
        <v>2446995.0043305922</v>
      </c>
      <c r="K302" s="93">
        <f t="shared" si="1031"/>
        <v>2447201.7184524061</v>
      </c>
      <c r="L302" s="93">
        <f t="shared" si="1031"/>
        <v>2447349.3713965644</v>
      </c>
      <c r="M302" s="93">
        <f t="shared" si="1031"/>
        <v>2415042.9073349596</v>
      </c>
      <c r="N302" s="93">
        <f t="shared" si="1031"/>
        <v>2305484.4249848304</v>
      </c>
      <c r="O302" s="93">
        <f t="shared" si="1031"/>
        <v>2305868.3226269861</v>
      </c>
      <c r="P302" s="93">
        <f t="shared" si="1031"/>
        <v>2026892.8683077684</v>
      </c>
      <c r="Q302" s="93">
        <f t="shared" si="1031"/>
        <v>1676542.0120276439</v>
      </c>
      <c r="R302" s="93">
        <f t="shared" si="1031"/>
        <v>1676512.4814442662</v>
      </c>
      <c r="S302" s="93">
        <f t="shared" si="1031"/>
        <v>1356017.0729645845</v>
      </c>
      <c r="T302" s="93">
        <f t="shared" si="1031"/>
        <v>1355928.481221637</v>
      </c>
      <c r="U302" s="93">
        <f t="shared" si="1031"/>
        <v>1355692.2365737865</v>
      </c>
      <c r="V302" s="93">
        <f t="shared" si="1031"/>
        <v>32.105731272851017</v>
      </c>
      <c r="W302" s="93">
        <f t="shared" si="1031"/>
        <v>2446935.9431529329</v>
      </c>
      <c r="X302" s="93">
        <f t="shared" si="1031"/>
        <v>2448766.839660747</v>
      </c>
      <c r="Y302" s="93">
        <f xml:space="preserve"> 2451550.09766 + 29.530588861 *Y296    + 0.00015437* Y298^2    - 0.00000015* Y298^3   + 0.00000000073* Y298^4</f>
        <v>2443215.0889620231</v>
      </c>
      <c r="Z302" s="93">
        <f t="shared" ref="Z302:AE302" si="1032" xml:space="preserve"> 2451550.09766 + 29.530588861 *Z296    + 0.00015437* Z298^2    - 0.00000015* Z298^3   + 0.00000000073* Z298^4</f>
        <v>2467636.8859719615</v>
      </c>
      <c r="AA302" s="93">
        <f t="shared" si="1032"/>
        <v>2451572.2456016457</v>
      </c>
      <c r="AB302" s="93">
        <f t="shared" si="1032"/>
        <v>2434946.5241048164</v>
      </c>
      <c r="AC302" s="93">
        <f t="shared" si="1032"/>
        <v>2443864.7619157606</v>
      </c>
      <c r="AD302" s="93">
        <f t="shared" si="1032"/>
        <v>2447290.3102189009</v>
      </c>
      <c r="AE302" s="93">
        <f t="shared" si="1032"/>
        <v>2443215.0889620231</v>
      </c>
      <c r="AF302" s="93">
        <f t="shared" ref="AF302:BG302" si="1033" xml:space="preserve"> 2451550.09766 + 29.530588861 *AF296    + 0.00015437* AF298^2    - 0.00000015* AF298^3   + 0.00000000073* AF298^4</f>
        <v>2449003.0843714895</v>
      </c>
      <c r="AG302" s="93">
        <f t="shared" si="1033"/>
        <v>2448944.0231938027</v>
      </c>
      <c r="AH302" s="93">
        <f t="shared" si="1033"/>
        <v>2448353.411416979</v>
      </c>
      <c r="AI302" s="93">
        <f t="shared" si="1033"/>
        <v>2448737.309071905</v>
      </c>
      <c r="AJ302" s="93">
        <f t="shared" si="1033"/>
        <v>2449150.7373157102</v>
      </c>
      <c r="AK302" s="93">
        <f t="shared" si="1033"/>
        <v>2385098.89058741</v>
      </c>
      <c r="AL302" s="93">
        <f t="shared" si="1033"/>
        <v>2448176.227883948</v>
      </c>
      <c r="AM302" s="93">
        <f t="shared" si="1033"/>
        <v>1948459.632882175</v>
      </c>
      <c r="AN302" s="93">
        <f t="shared" si="1033"/>
        <v>2451660.8373682303</v>
      </c>
      <c r="AO302" s="93">
        <f t="shared" si="1033"/>
        <v>1721458.0295961965</v>
      </c>
      <c r="AP302" s="93">
        <f t="shared" si="1033"/>
        <v>2459870.341079595</v>
      </c>
      <c r="AQ302" s="93">
        <f t="shared" si="1033"/>
        <v>2459870.341079595</v>
      </c>
      <c r="AR302" s="93">
        <f t="shared" si="1033"/>
        <v>2459899.8716685134</v>
      </c>
      <c r="AS302" s="93">
        <f t="shared" si="1033"/>
        <v>2459899.8716685134</v>
      </c>
      <c r="AT302" s="93">
        <f t="shared" si="1033"/>
        <v>2459899.8716685134</v>
      </c>
      <c r="AU302" s="93">
        <f t="shared" si="1033"/>
        <v>2441856.6818772522</v>
      </c>
      <c r="AV302" s="93">
        <f t="shared" si="1033"/>
        <v>2450715.8585247574</v>
      </c>
      <c r="AW302" s="93">
        <f t="shared" si="1033"/>
        <v>2427829.65222255</v>
      </c>
      <c r="AX302" s="93">
        <f t="shared" si="1033"/>
        <v>2435980.0947111011</v>
      </c>
      <c r="AY302" s="93">
        <f t="shared" si="1033"/>
        <v>2459929.4022574313</v>
      </c>
      <c r="AZ302" s="93">
        <f t="shared" si="1033"/>
        <v>2459929.4022574313</v>
      </c>
      <c r="BA302" s="93">
        <f t="shared" si="1033"/>
        <v>2459958.9328463501</v>
      </c>
      <c r="BB302" s="93">
        <f t="shared" si="1033"/>
        <v>2459958.9328463501</v>
      </c>
      <c r="BC302" s="93">
        <f t="shared" si="1033"/>
        <v>2459958.9328463501</v>
      </c>
      <c r="BD302" s="93">
        <f t="shared" si="1033"/>
        <v>2459958.9328463501</v>
      </c>
      <c r="BE302" s="93">
        <f t="shared" si="1033"/>
        <v>2459958.9328463501</v>
      </c>
      <c r="BF302" s="93">
        <f t="shared" si="1033"/>
        <v>2459958.9328463501</v>
      </c>
      <c r="BG302" s="93">
        <f t="shared" si="1033"/>
        <v>2443215.0889620231</v>
      </c>
    </row>
    <row r="303" spans="1:59" x14ac:dyDescent="0.25">
      <c r="A303" s="35">
        <v>47.6</v>
      </c>
      <c r="B303" s="35">
        <v>338</v>
      </c>
      <c r="C303" s="35" t="s">
        <v>125</v>
      </c>
      <c r="D303" s="86" t="s">
        <v>387</v>
      </c>
      <c r="E303" s="93">
        <f xml:space="preserve"> 1 - 0.002516 *E298 - 0.0000074 *E298^2</f>
        <v>1.0010590123504941</v>
      </c>
      <c r="F303" s="93">
        <f t="shared" ref="F303:X303" si="1034" xml:space="preserve"> 1 - 0.002516 *F298 - 0.0000074 *F298^2</f>
        <v>1.0398797654379006</v>
      </c>
      <c r="G303" s="93">
        <f t="shared" si="1034"/>
        <v>0.99999847434744282</v>
      </c>
      <c r="H303" s="93">
        <f t="shared" si="1034"/>
        <v>1.0000228841353309</v>
      </c>
      <c r="I303" s="93">
        <f t="shared" si="1034"/>
        <v>1.000323823640104</v>
      </c>
      <c r="J303" s="93">
        <f t="shared" si="1034"/>
        <v>1.0003136602235696</v>
      </c>
      <c r="K303" s="93">
        <f t="shared" si="1034"/>
        <v>1.0002994310340931</v>
      </c>
      <c r="L303" s="93">
        <f t="shared" si="1034"/>
        <v>1.0002892670370895</v>
      </c>
      <c r="M303" s="93">
        <f t="shared" si="1034"/>
        <v>1.0025073866579182</v>
      </c>
      <c r="N303" s="93">
        <f t="shared" si="1034"/>
        <v>1.0099433157069067</v>
      </c>
      <c r="O303" s="93">
        <f t="shared" si="1034"/>
        <v>1.0099174923734331</v>
      </c>
      <c r="P303" s="93">
        <f t="shared" si="1034"/>
        <v>1.0282520008195315</v>
      </c>
      <c r="Q303" s="93">
        <f t="shared" si="1034"/>
        <v>1.0500543468814834</v>
      </c>
      <c r="R303" s="93">
        <f t="shared" si="1034"/>
        <v>1.050056127176946</v>
      </c>
      <c r="S303" s="93">
        <f t="shared" si="1034"/>
        <v>1.0688078543764576</v>
      </c>
      <c r="T303" s="93">
        <f t="shared" si="1034"/>
        <v>1.0688128802133914</v>
      </c>
      <c r="U303" s="93">
        <f t="shared" si="1034"/>
        <v>1.0688262820195376</v>
      </c>
      <c r="V303" s="93">
        <f t="shared" si="1034"/>
        <v>1.1355348401959851</v>
      </c>
      <c r="W303" s="93">
        <f t="shared" si="1034"/>
        <v>1.0003177256192068</v>
      </c>
      <c r="X303" s="93">
        <f t="shared" si="1034"/>
        <v>1.0001916803599185</v>
      </c>
      <c r="Y303" s="93">
        <f xml:space="preserve"> 1 - 0.002516 *Y298 - 0.0000074 *Y298^2</f>
        <v>1.0005737675293433</v>
      </c>
      <c r="Z303" s="93">
        <f t="shared" ref="Z303:AE303" si="1035" xml:space="preserve"> 1 - 0.002516 *Z298 - 0.0000074 *Z298^2</f>
        <v>0.99889043420549384</v>
      </c>
      <c r="AA303" s="93">
        <f t="shared" si="1035"/>
        <v>0.99999847434744282</v>
      </c>
      <c r="AB303" s="93">
        <f t="shared" si="1035"/>
        <v>1.0011421996544041</v>
      </c>
      <c r="AC303" s="93">
        <f t="shared" si="1035"/>
        <v>1.0005290728666076</v>
      </c>
      <c r="AD303" s="93">
        <f t="shared" si="1035"/>
        <v>1.0002933326649144</v>
      </c>
      <c r="AE303" s="93">
        <f t="shared" si="1035"/>
        <v>1.0005737675293433</v>
      </c>
      <c r="AF303" s="93">
        <f t="shared" ref="AF303:BG303" si="1036" xml:space="preserve"> 1 - 0.002516 *AF298 - 0.0000074 *AF298^2</f>
        <v>1.0001754137466397</v>
      </c>
      <c r="AG303" s="93">
        <f t="shared" si="1036"/>
        <v>1.0001794804580064</v>
      </c>
      <c r="AH303" s="93">
        <f t="shared" si="1036"/>
        <v>1.0002201454432864</v>
      </c>
      <c r="AI303" s="93">
        <f t="shared" si="1036"/>
        <v>1.0001937136430432</v>
      </c>
      <c r="AJ303" s="93">
        <f t="shared" si="1036"/>
        <v>1.0001652467989199</v>
      </c>
      <c r="AK303" s="93">
        <f t="shared" si="1036"/>
        <v>1.0045529640880966</v>
      </c>
      <c r="AL303" s="93">
        <f t="shared" si="1036"/>
        <v>1.0002323441842611</v>
      </c>
      <c r="AM303" s="93">
        <f t="shared" si="1036"/>
        <v>1.0332512053598943</v>
      </c>
      <c r="AN303" s="93">
        <f t="shared" si="1036"/>
        <v>0.99999237168279487</v>
      </c>
      <c r="AO303" s="93">
        <f t="shared" si="1036"/>
        <v>1.0473353194557549</v>
      </c>
      <c r="AP303" s="93">
        <f t="shared" si="1036"/>
        <v>0.99942648021656433</v>
      </c>
      <c r="AQ303" s="93">
        <f t="shared" si="1036"/>
        <v>0.99942648021656433</v>
      </c>
      <c r="AR303" s="93">
        <f t="shared" si="1036"/>
        <v>0.99942444328616054</v>
      </c>
      <c r="AS303" s="93">
        <f t="shared" si="1036"/>
        <v>0.99942444328616054</v>
      </c>
      <c r="AT303" s="93">
        <f t="shared" si="1036"/>
        <v>0.99942444328616054</v>
      </c>
      <c r="AU303" s="93">
        <f t="shared" si="1036"/>
        <v>1.0006672048750853</v>
      </c>
      <c r="AV303" s="93">
        <f t="shared" si="1036"/>
        <v>1.0000574622834131</v>
      </c>
      <c r="AW303" s="93">
        <f t="shared" si="1036"/>
        <v>1.0016308499361866</v>
      </c>
      <c r="AX303" s="93">
        <f t="shared" si="1036"/>
        <v>1.0010711871181062</v>
      </c>
      <c r="AY303" s="93">
        <f t="shared" si="1036"/>
        <v>0.99942240634608226</v>
      </c>
      <c r="AZ303" s="93">
        <f t="shared" si="1036"/>
        <v>0.99942240634608226</v>
      </c>
      <c r="BA303" s="93">
        <f t="shared" si="1036"/>
        <v>0.9994203693963295</v>
      </c>
      <c r="BB303" s="93">
        <f t="shared" si="1036"/>
        <v>0.9994203693963295</v>
      </c>
      <c r="BC303" s="93">
        <f t="shared" si="1036"/>
        <v>0.9994203693963295</v>
      </c>
      <c r="BD303" s="93">
        <f t="shared" si="1036"/>
        <v>0.9994203693963295</v>
      </c>
      <c r="BE303" s="93">
        <f t="shared" si="1036"/>
        <v>0.9994203693963295</v>
      </c>
      <c r="BF303" s="93">
        <f t="shared" si="1036"/>
        <v>0.9994203693963295</v>
      </c>
      <c r="BG303" s="93">
        <f t="shared" si="1036"/>
        <v>1.0005737675293433</v>
      </c>
    </row>
    <row r="304" spans="1:59" x14ac:dyDescent="0.25">
      <c r="A304">
        <v>49.4</v>
      </c>
      <c r="B304">
        <v>350</v>
      </c>
      <c r="C304" t="s">
        <v>126</v>
      </c>
      <c r="D304"/>
    </row>
    <row r="305" spans="1:59" x14ac:dyDescent="0.25">
      <c r="C305" t="s">
        <v>0</v>
      </c>
      <c r="D305"/>
    </row>
    <row r="306" spans="1:59" x14ac:dyDescent="0.25">
      <c r="C306" t="s">
        <v>127</v>
      </c>
      <c r="D306" s="7" t="s">
        <v>390</v>
      </c>
      <c r="E306" s="15">
        <f xml:space="preserve"> 2.5534 + 29.1053567 *E296   - 0.0000014 *E298^2   - 0.00000011 *E298^3</f>
        <v>-15168.613780115416</v>
      </c>
      <c r="F306" s="15">
        <f t="shared" ref="F306:X306" si="1037" xml:space="preserve"> 2.5534 + 29.1053567 *F296   - 0.0000014 *F298^2   - 0.00000011 *F298^3</f>
        <v>-600011.65118926531</v>
      </c>
      <c r="G306" s="15">
        <f t="shared" si="1037"/>
        <v>24.382417524999486</v>
      </c>
      <c r="H306" s="15">
        <f t="shared" si="1037"/>
        <v>-324.88186287511581</v>
      </c>
      <c r="I306" s="15">
        <f t="shared" si="1037"/>
        <v>-4632.4746544979744</v>
      </c>
      <c r="J306" s="15">
        <f t="shared" si="1037"/>
        <v>-4486.9478709965606</v>
      </c>
      <c r="K306" s="15">
        <f t="shared" si="1037"/>
        <v>-4283.2103740946577</v>
      </c>
      <c r="L306" s="15">
        <f t="shared" si="1037"/>
        <v>-4137.6835905933513</v>
      </c>
      <c r="M306" s="15">
        <f t="shared" si="1037"/>
        <v>-35978.943821663808</v>
      </c>
      <c r="N306" s="15">
        <f t="shared" si="1037"/>
        <v>-143959.81719272948</v>
      </c>
      <c r="O306" s="15">
        <f t="shared" si="1037"/>
        <v>-143581.44755556728</v>
      </c>
      <c r="P306" s="15">
        <f t="shared" si="1037"/>
        <v>-418539.75230154267</v>
      </c>
      <c r="Q306" s="15">
        <f t="shared" si="1037"/>
        <v>-763845.70375343878</v>
      </c>
      <c r="R306" s="15">
        <f t="shared" si="1037"/>
        <v>-763874.80911006662</v>
      </c>
      <c r="S306" s="15">
        <f t="shared" si="1037"/>
        <v>-1079755.2440870232</v>
      </c>
      <c r="T306" s="15">
        <f t="shared" si="1037"/>
        <v>-1079842.5601566068</v>
      </c>
      <c r="U306" s="15">
        <f t="shared" si="1037"/>
        <v>-1080075.4030088291</v>
      </c>
      <c r="V306" s="15">
        <f t="shared" si="1037"/>
        <v>-2416214.9877926721</v>
      </c>
      <c r="W306" s="15">
        <f t="shared" si="1037"/>
        <v>-4545.1585843971216</v>
      </c>
      <c r="X306" s="15">
        <f t="shared" si="1037"/>
        <v>-2740.6264689830814</v>
      </c>
      <c r="Y306" s="15">
        <f xml:space="preserve"> 2.5534 + 29.1053567 *Y296   - 0.0000014 *Y298^2   - 0.00000011 *Y298^3</f>
        <v>-8212.4335286465976</v>
      </c>
      <c r="Z306" s="15">
        <f t="shared" ref="Z306:AE306" si="1038" xml:space="preserve"> 2.5534 + 29.1053567 *Z296   - 0.0000014 *Z298^2   - 0.00000011 *Z298^3</f>
        <v>15857.69646204403</v>
      </c>
      <c r="AA306" s="15">
        <f t="shared" si="1038"/>
        <v>24.382417524999486</v>
      </c>
      <c r="AB306" s="15">
        <f t="shared" si="1038"/>
        <v>-16361.933404853969</v>
      </c>
      <c r="AC306" s="15">
        <f t="shared" si="1038"/>
        <v>-7572.1156812359586</v>
      </c>
      <c r="AD306" s="15">
        <f t="shared" si="1038"/>
        <v>-4195.8943039938686</v>
      </c>
      <c r="AE306" s="15">
        <f t="shared" si="1038"/>
        <v>-8212.4335286465976</v>
      </c>
      <c r="AF306" s="15">
        <f t="shared" ref="AF306:BG306" si="1039" xml:space="preserve"> 2.5534 + 29.1053567 *AF296   - 0.0000014 *AF298^2   - 0.00000011 *AF298^3</f>
        <v>-2507.7836153817711</v>
      </c>
      <c r="AG306" s="15">
        <f t="shared" si="1039"/>
        <v>-2565.9943287820875</v>
      </c>
      <c r="AH306" s="15">
        <f t="shared" si="1039"/>
        <v>-3148.1014627856507</v>
      </c>
      <c r="AI306" s="15">
        <f t="shared" si="1039"/>
        <v>-2769.7318256832532</v>
      </c>
      <c r="AJ306" s="15">
        <f t="shared" si="1039"/>
        <v>-2362.2568318810104</v>
      </c>
      <c r="AK306" s="15">
        <f t="shared" si="1039"/>
        <v>-65491.775518146584</v>
      </c>
      <c r="AL306" s="15">
        <f t="shared" si="1039"/>
        <v>-3322.7336029868593</v>
      </c>
      <c r="AM306" s="15">
        <f t="shared" si="1039"/>
        <v>-495843.57965853269</v>
      </c>
      <c r="AN306" s="15">
        <f t="shared" si="1039"/>
        <v>111.69848762498712</v>
      </c>
      <c r="AO306" s="15">
        <f t="shared" si="1039"/>
        <v>-719576.45631411928</v>
      </c>
      <c r="AP306" s="15">
        <f t="shared" si="1039"/>
        <v>8202.9876501510535</v>
      </c>
      <c r="AQ306" s="15">
        <f t="shared" si="1039"/>
        <v>8202.9876501510535</v>
      </c>
      <c r="AR306" s="15">
        <f t="shared" si="1039"/>
        <v>8232.093006850524</v>
      </c>
      <c r="AS306" s="15">
        <f t="shared" si="1039"/>
        <v>8232.093006850524</v>
      </c>
      <c r="AT306" s="15">
        <f t="shared" si="1039"/>
        <v>8232.093006850524</v>
      </c>
      <c r="AU306" s="15">
        <f t="shared" si="1039"/>
        <v>-9551.2799368715496</v>
      </c>
      <c r="AV306" s="15">
        <f t="shared" si="1039"/>
        <v>-819.67292677572902</v>
      </c>
      <c r="AW306" s="15">
        <f t="shared" si="1039"/>
        <v>-23376.324369835336</v>
      </c>
      <c r="AX306" s="15">
        <f t="shared" si="1039"/>
        <v>-15343.245920320885</v>
      </c>
      <c r="AY306" s="15">
        <f t="shared" si="1039"/>
        <v>8261.1983635499892</v>
      </c>
      <c r="AZ306" s="15">
        <f t="shared" si="1039"/>
        <v>8261.1983635499892</v>
      </c>
      <c r="BA306" s="15">
        <f t="shared" si="1039"/>
        <v>8290.3037202494543</v>
      </c>
      <c r="BB306" s="15">
        <f t="shared" si="1039"/>
        <v>8290.3037202494543</v>
      </c>
      <c r="BC306" s="15">
        <f t="shared" si="1039"/>
        <v>8290.3037202494543</v>
      </c>
      <c r="BD306" s="15">
        <f t="shared" si="1039"/>
        <v>8290.3037202494543</v>
      </c>
      <c r="BE306" s="15">
        <f t="shared" si="1039"/>
        <v>8290.3037202494543</v>
      </c>
      <c r="BF306" s="15">
        <f t="shared" si="1039"/>
        <v>8290.3037202494543</v>
      </c>
      <c r="BG306" s="15">
        <f t="shared" si="1039"/>
        <v>-8212.4335286465976</v>
      </c>
    </row>
    <row r="307" spans="1:59" x14ac:dyDescent="0.25">
      <c r="A307" s="35"/>
      <c r="B307" s="35"/>
      <c r="C307" s="35" t="s">
        <v>128</v>
      </c>
      <c r="D307" s="86" t="s">
        <v>391</v>
      </c>
      <c r="E307" s="94">
        <f>MOD(E306,360)</f>
        <v>311.38621988458362</v>
      </c>
      <c r="F307" s="94">
        <f t="shared" ref="F307:X307" si="1040">MOD(F306,360)</f>
        <v>108.34881073469296</v>
      </c>
      <c r="G307" s="94">
        <f t="shared" si="1040"/>
        <v>24.382417524999486</v>
      </c>
      <c r="H307" s="94">
        <f t="shared" si="1040"/>
        <v>35.118137124884186</v>
      </c>
      <c r="I307" s="94">
        <f t="shared" si="1040"/>
        <v>47.52534550202563</v>
      </c>
      <c r="J307" s="94">
        <f t="shared" si="1040"/>
        <v>193.0521290034394</v>
      </c>
      <c r="K307" s="94">
        <f t="shared" si="1040"/>
        <v>36.789625905342291</v>
      </c>
      <c r="L307" s="94">
        <f t="shared" si="1040"/>
        <v>182.31640940664875</v>
      </c>
      <c r="M307" s="94">
        <f t="shared" si="1040"/>
        <v>21.056178336191806</v>
      </c>
      <c r="N307" s="94">
        <f t="shared" si="1040"/>
        <v>40.182807270524791</v>
      </c>
      <c r="O307" s="94">
        <f t="shared" si="1040"/>
        <v>58.552444432716584</v>
      </c>
      <c r="P307" s="94">
        <f t="shared" si="1040"/>
        <v>140.24769845732953</v>
      </c>
      <c r="Q307" s="94">
        <f t="shared" si="1040"/>
        <v>74.296246561221778</v>
      </c>
      <c r="R307" s="94">
        <f t="shared" si="1040"/>
        <v>45.190889933379367</v>
      </c>
      <c r="S307" s="94">
        <f t="shared" si="1040"/>
        <v>244.75591297680512</v>
      </c>
      <c r="T307" s="94">
        <f t="shared" si="1040"/>
        <v>157.43984339316376</v>
      </c>
      <c r="U307" s="94">
        <f t="shared" si="1040"/>
        <v>284.59699117089622</v>
      </c>
      <c r="V307" s="94">
        <f t="shared" si="1040"/>
        <v>105.01220732787624</v>
      </c>
      <c r="W307" s="94">
        <f t="shared" si="1040"/>
        <v>134.84141560287844</v>
      </c>
      <c r="X307" s="94">
        <f t="shared" si="1040"/>
        <v>139.37353101691861</v>
      </c>
      <c r="Y307" s="94">
        <f>MOD(Y306,360)</f>
        <v>67.566471353402449</v>
      </c>
      <c r="Z307" s="94">
        <f t="shared" ref="Z307:AE307" si="1041">MOD(Z306,360)</f>
        <v>17.696462044030341</v>
      </c>
      <c r="AA307" s="94">
        <f t="shared" si="1041"/>
        <v>24.382417524999486</v>
      </c>
      <c r="AB307" s="94">
        <f t="shared" si="1041"/>
        <v>198.06659514603052</v>
      </c>
      <c r="AC307" s="94">
        <f t="shared" si="1041"/>
        <v>347.88431876404138</v>
      </c>
      <c r="AD307" s="94">
        <f t="shared" si="1041"/>
        <v>124.10569600613144</v>
      </c>
      <c r="AE307" s="94">
        <f t="shared" si="1041"/>
        <v>67.566471353402449</v>
      </c>
      <c r="AF307" s="94">
        <f t="shared" ref="AF307" si="1042">MOD(AF306,360)</f>
        <v>12.216384618228858</v>
      </c>
      <c r="AG307" s="94">
        <f t="shared" ref="AG307" si="1043">MOD(AG306,360)</f>
        <v>314.00567121791255</v>
      </c>
      <c r="AH307" s="94">
        <f t="shared" ref="AH307" si="1044">MOD(AH306,360)</f>
        <v>91.89853721434929</v>
      </c>
      <c r="AI307" s="94">
        <f t="shared" ref="AI307" si="1045">MOD(AI306,360)</f>
        <v>110.26817431674681</v>
      </c>
      <c r="AJ307" s="94">
        <f t="shared" ref="AJ307" si="1046">MOD(AJ306,360)</f>
        <v>157.74316811898962</v>
      </c>
      <c r="AK307" s="94">
        <f t="shared" ref="AK307" si="1047">MOD(AK306,360)</f>
        <v>28.224481853416364</v>
      </c>
      <c r="AL307" s="94">
        <f t="shared" ref="AL307" si="1048">MOD(AL306,360)</f>
        <v>277.2663970131407</v>
      </c>
      <c r="AM307" s="94">
        <f t="shared" ref="AM307" si="1049">MOD(AM306,360)</f>
        <v>236.42034146731021</v>
      </c>
      <c r="AN307" s="94">
        <f t="shared" ref="AN307" si="1050">MOD(AN306,360)</f>
        <v>111.69848762498712</v>
      </c>
      <c r="AO307" s="94">
        <f t="shared" ref="AO307" si="1051">MOD(AO306,360)</f>
        <v>63.543685880722478</v>
      </c>
      <c r="AP307" s="94">
        <f t="shared" ref="AP307" si="1052">MOD(AP306,360)</f>
        <v>282.98765015105346</v>
      </c>
      <c r="AQ307" s="94">
        <f t="shared" ref="AQ307" si="1053">MOD(AQ306,360)</f>
        <v>282.98765015105346</v>
      </c>
      <c r="AR307" s="94">
        <f t="shared" ref="AR307" si="1054">MOD(AR306,360)</f>
        <v>312.09300685052403</v>
      </c>
      <c r="AS307" s="94">
        <f t="shared" ref="AS307" si="1055">MOD(AS306,360)</f>
        <v>312.09300685052403</v>
      </c>
      <c r="AT307" s="94">
        <f t="shared" ref="AT307" si="1056">MOD(AT306,360)</f>
        <v>312.09300685052403</v>
      </c>
      <c r="AU307" s="94">
        <f t="shared" ref="AU307" si="1057">MOD(AU306,360)</f>
        <v>168.72006312845042</v>
      </c>
      <c r="AV307" s="94">
        <f t="shared" ref="AV307" si="1058">MOD(AV306,360)</f>
        <v>260.32707322427098</v>
      </c>
      <c r="AW307" s="94">
        <f t="shared" ref="AW307" si="1059">MOD(AW306,360)</f>
        <v>23.675630164663744</v>
      </c>
      <c r="AX307" s="94">
        <f t="shared" ref="AX307" si="1060">MOD(AX306,360)</f>
        <v>136.75407967911451</v>
      </c>
      <c r="AY307" s="94">
        <f t="shared" ref="AY307" si="1061">MOD(AY306,360)</f>
        <v>341.19836354998915</v>
      </c>
      <c r="AZ307" s="94">
        <f t="shared" ref="AZ307" si="1062">MOD(AZ306,360)</f>
        <v>341.19836354998915</v>
      </c>
      <c r="BA307" s="94">
        <f t="shared" ref="BA307" si="1063">MOD(BA306,360)</f>
        <v>10.303720249454273</v>
      </c>
      <c r="BB307" s="94">
        <f t="shared" ref="BB307" si="1064">MOD(BB306,360)</f>
        <v>10.303720249454273</v>
      </c>
      <c r="BC307" s="94">
        <f t="shared" ref="BC307" si="1065">MOD(BC306,360)</f>
        <v>10.303720249454273</v>
      </c>
      <c r="BD307" s="94">
        <f t="shared" ref="BD307" si="1066">MOD(BD306,360)</f>
        <v>10.303720249454273</v>
      </c>
      <c r="BE307" s="94">
        <f t="shared" ref="BE307:BG307" si="1067">MOD(BE306,360)</f>
        <v>10.303720249454273</v>
      </c>
      <c r="BF307" s="94">
        <f t="shared" si="1067"/>
        <v>10.303720249454273</v>
      </c>
      <c r="BG307" s="94">
        <f t="shared" si="1067"/>
        <v>67.566471353402449</v>
      </c>
    </row>
    <row r="308" spans="1:59" x14ac:dyDescent="0.25">
      <c r="A308">
        <v>49.5</v>
      </c>
      <c r="B308">
        <v>350</v>
      </c>
      <c r="C308" t="s">
        <v>129</v>
      </c>
      <c r="D308"/>
    </row>
    <row r="309" spans="1:59" x14ac:dyDescent="0.25">
      <c r="C309" t="s">
        <v>130</v>
      </c>
      <c r="D309"/>
    </row>
    <row r="310" spans="1:59" x14ac:dyDescent="0.25">
      <c r="C310" t="s">
        <v>132</v>
      </c>
      <c r="D310"/>
    </row>
    <row r="311" spans="1:59" x14ac:dyDescent="0.25">
      <c r="C311" t="s">
        <v>133</v>
      </c>
      <c r="D311" s="7" t="s">
        <v>395</v>
      </c>
      <c r="E311" s="13">
        <f xml:space="preserve"> 201.5643 + 385.81693528 *E296    + 0.0107582 *E298^2    + 0.00001238 *E298^3    - 0.000000058 *E298^4</f>
        <v>-200905.5113049057</v>
      </c>
      <c r="F311" s="13">
        <f t="shared" ref="F311:X311" si="1068" xml:space="preserve"> 201.5643 + 385.81693528 *F296    + 0.0107582 *F298^2    + 0.00001238 *F298^3    - 0.000000058 *F298^4</f>
        <v>-7953508.083828127</v>
      </c>
      <c r="G311" s="13">
        <f t="shared" si="1068"/>
        <v>490.92700146395572</v>
      </c>
      <c r="H311" s="13">
        <f t="shared" si="1068"/>
        <v>-4138.8762210099667</v>
      </c>
      <c r="I311" s="13">
        <f t="shared" si="1068"/>
        <v>-61239.782465020013</v>
      </c>
      <c r="J311" s="13">
        <f t="shared" si="1068"/>
        <v>-59310.697799640933</v>
      </c>
      <c r="K311" s="13">
        <f t="shared" si="1068"/>
        <v>-56609.97926751976</v>
      </c>
      <c r="L311" s="13">
        <f t="shared" si="1068"/>
        <v>-54680.894601297136</v>
      </c>
      <c r="M311" s="13">
        <f t="shared" si="1068"/>
        <v>-476764.61120455503</v>
      </c>
      <c r="N311" s="13">
        <f t="shared" si="1068"/>
        <v>-1908145.2805841146</v>
      </c>
      <c r="O311" s="13">
        <f t="shared" si="1068"/>
        <v>-1903129.6613222926</v>
      </c>
      <c r="P311" s="13">
        <f t="shared" si="1068"/>
        <v>-5547940.9855288966</v>
      </c>
      <c r="Q311" s="13">
        <f t="shared" si="1068"/>
        <v>-10125269.82578589</v>
      </c>
      <c r="R311" s="13">
        <f t="shared" si="1068"/>
        <v>-10125655.642367354</v>
      </c>
      <c r="S311" s="13">
        <f t="shared" si="1068"/>
        <v>-14312922.257361947</v>
      </c>
      <c r="T311" s="13">
        <f t="shared" si="1068"/>
        <v>-14314079.706698615</v>
      </c>
      <c r="U311" s="13">
        <f t="shared" si="1068"/>
        <v>-14317166.238262525</v>
      </c>
      <c r="V311" s="13">
        <f t="shared" si="1068"/>
        <v>-32028830.044175528</v>
      </c>
      <c r="W311" s="13">
        <f t="shared" si="1068"/>
        <v>-60082.331665834739</v>
      </c>
      <c r="X311" s="13">
        <f t="shared" si="1068"/>
        <v>-36161.681787675952</v>
      </c>
      <c r="Y311" s="13">
        <f xml:space="preserve"> 201.5643 + 385.81693528 *Y296    + 0.0107582 *Y298^2    + 0.00001238 *Y298^3    - 0.000000058 *Y298^4</f>
        <v>-108695.26512268813</v>
      </c>
      <c r="Z311" s="13">
        <f t="shared" ref="Z311:AE311" si="1069" xml:space="preserve"> 201.5643 + 385.81693528 *Z296    + 0.0107582 *Z298^2    + 0.00001238 *Z298^3    - 0.000000058 *Z298^4</f>
        <v>210375.34188172774</v>
      </c>
      <c r="AA311" s="13">
        <f t="shared" si="1069"/>
        <v>490.92700146395572</v>
      </c>
      <c r="AB311" s="13">
        <f t="shared" si="1069"/>
        <v>-216724.00533921737</v>
      </c>
      <c r="AC311" s="13">
        <f t="shared" si="1069"/>
        <v>-100207.29263042838</v>
      </c>
      <c r="AD311" s="13">
        <f t="shared" si="1069"/>
        <v>-55452.528467828357</v>
      </c>
      <c r="AE311" s="13">
        <f t="shared" si="1069"/>
        <v>-108695.26512268813</v>
      </c>
      <c r="AF311" s="13">
        <f t="shared" ref="AF311:BG311" si="1070" xml:space="preserve"> 201.5643 + 385.81693528 *AF296    + 0.0107582 *AF298^2    + 0.00001238 *AF298^3    - 0.000000058 *AF298^4</f>
        <v>-33075.146315589496</v>
      </c>
      <c r="AG311" s="13">
        <f t="shared" si="1070"/>
        <v>-33846.780183695475</v>
      </c>
      <c r="AH311" s="13">
        <f t="shared" si="1070"/>
        <v>-41563.118861661824</v>
      </c>
      <c r="AI311" s="13">
        <f t="shared" si="1070"/>
        <v>-36547.498721623473</v>
      </c>
      <c r="AJ311" s="13">
        <f t="shared" si="1070"/>
        <v>-31146.061645078469</v>
      </c>
      <c r="AK311" s="13">
        <f t="shared" si="1070"/>
        <v>-867982.9587794086</v>
      </c>
      <c r="AL311" s="13">
        <f t="shared" si="1070"/>
        <v>-43878.020463954992</v>
      </c>
      <c r="AM311" s="13">
        <f t="shared" si="1070"/>
        <v>-6572670.1927532414</v>
      </c>
      <c r="AN311" s="13">
        <f t="shared" si="1070"/>
        <v>1648.3778073988942</v>
      </c>
      <c r="AO311" s="13">
        <f t="shared" si="1070"/>
        <v>-9538442.7904981878</v>
      </c>
      <c r="AP311" s="13">
        <f t="shared" si="1070"/>
        <v>108905.48637354217</v>
      </c>
      <c r="AQ311" s="13">
        <f t="shared" si="1070"/>
        <v>108905.48637354217</v>
      </c>
      <c r="AR311" s="13">
        <f t="shared" si="1070"/>
        <v>109291.30331279355</v>
      </c>
      <c r="AS311" s="13">
        <f t="shared" si="1070"/>
        <v>109291.30331279355</v>
      </c>
      <c r="AT311" s="13">
        <f t="shared" si="1070"/>
        <v>109291.30331279355</v>
      </c>
      <c r="AU311" s="13">
        <f t="shared" si="1070"/>
        <v>-126442.84394816076</v>
      </c>
      <c r="AV311" s="13">
        <f t="shared" si="1070"/>
        <v>-10697.764116047827</v>
      </c>
      <c r="AW311" s="13">
        <f t="shared" si="1070"/>
        <v>-309705.88442966179</v>
      </c>
      <c r="AX311" s="13">
        <f t="shared" si="1070"/>
        <v>-203220.41287237711</v>
      </c>
      <c r="AY311" s="13">
        <f t="shared" si="1070"/>
        <v>109677.120252059</v>
      </c>
      <c r="AZ311" s="13">
        <f t="shared" si="1070"/>
        <v>109677.120252059</v>
      </c>
      <c r="BA311" s="13">
        <f t="shared" si="1070"/>
        <v>110062.93719133851</v>
      </c>
      <c r="BB311" s="13">
        <f t="shared" si="1070"/>
        <v>110062.93719133851</v>
      </c>
      <c r="BC311" s="13">
        <f t="shared" si="1070"/>
        <v>110062.93719133851</v>
      </c>
      <c r="BD311" s="13">
        <f t="shared" si="1070"/>
        <v>110062.93719133851</v>
      </c>
      <c r="BE311" s="13">
        <f t="shared" si="1070"/>
        <v>110062.93719133851</v>
      </c>
      <c r="BF311" s="13">
        <f t="shared" si="1070"/>
        <v>110062.93719133851</v>
      </c>
      <c r="BG311" s="13">
        <f t="shared" si="1070"/>
        <v>-108695.26512268813</v>
      </c>
    </row>
    <row r="312" spans="1:59" x14ac:dyDescent="0.25">
      <c r="A312" s="35"/>
      <c r="B312" s="35"/>
      <c r="C312" s="35" t="s">
        <v>134</v>
      </c>
      <c r="D312" s="86" t="s">
        <v>391</v>
      </c>
      <c r="E312" s="94">
        <f>MOD(E311,360)</f>
        <v>334.48869509430369</v>
      </c>
      <c r="F312" s="94">
        <f t="shared" ref="F312:X312" si="1071">MOD(F311,360)</f>
        <v>331.91617187298834</v>
      </c>
      <c r="G312" s="94">
        <f t="shared" si="1071"/>
        <v>130.92700146395572</v>
      </c>
      <c r="H312" s="94">
        <f t="shared" si="1071"/>
        <v>181.12377899003332</v>
      </c>
      <c r="I312" s="94">
        <f t="shared" si="1071"/>
        <v>320.21753497998725</v>
      </c>
      <c r="J312" s="94">
        <f t="shared" si="1071"/>
        <v>89.302200359066774</v>
      </c>
      <c r="K312" s="94">
        <f t="shared" si="1071"/>
        <v>270.02073248023953</v>
      </c>
      <c r="L312" s="94">
        <f t="shared" si="1071"/>
        <v>39.105398702864477</v>
      </c>
      <c r="M312" s="94">
        <f t="shared" si="1071"/>
        <v>235.38879544497468</v>
      </c>
      <c r="N312" s="94">
        <f t="shared" si="1071"/>
        <v>214.7194158853963</v>
      </c>
      <c r="O312" s="94">
        <f t="shared" si="1071"/>
        <v>190.33867770736106</v>
      </c>
      <c r="P312" s="94">
        <f t="shared" si="1071"/>
        <v>19.014471103437245</v>
      </c>
      <c r="Q312" s="94">
        <f t="shared" si="1071"/>
        <v>90.174214109778404</v>
      </c>
      <c r="R312" s="94">
        <f t="shared" si="1071"/>
        <v>64.357632646337152</v>
      </c>
      <c r="S312" s="94">
        <f t="shared" si="1071"/>
        <v>317.7426380533725</v>
      </c>
      <c r="T312" s="94">
        <f t="shared" si="1071"/>
        <v>240.29330138489604</v>
      </c>
      <c r="U312" s="94">
        <f t="shared" si="1071"/>
        <v>33.761737475171685</v>
      </c>
      <c r="V312" s="94">
        <f t="shared" si="1071"/>
        <v>9.9558244720101357</v>
      </c>
      <c r="W312" s="94">
        <f t="shared" si="1071"/>
        <v>37.668334165260603</v>
      </c>
      <c r="X312" s="94">
        <f t="shared" si="1071"/>
        <v>198.31821232404764</v>
      </c>
      <c r="Y312" s="94">
        <f>MOD(Y311,360)</f>
        <v>24.734877311871969</v>
      </c>
      <c r="Z312" s="94">
        <f t="shared" ref="Z312:AE312" si="1072">MOD(Z311,360)</f>
        <v>135.34188172774157</v>
      </c>
      <c r="AA312" s="94">
        <f t="shared" si="1072"/>
        <v>130.92700146395572</v>
      </c>
      <c r="AB312" s="94">
        <f t="shared" si="1072"/>
        <v>355.99466078262776</v>
      </c>
      <c r="AC312" s="94">
        <f t="shared" si="1072"/>
        <v>232.70736957162444</v>
      </c>
      <c r="AD312" s="94">
        <f t="shared" si="1072"/>
        <v>347.47153217164305</v>
      </c>
      <c r="AE312" s="94">
        <f t="shared" si="1072"/>
        <v>24.734877311871969</v>
      </c>
      <c r="AF312" s="94">
        <f t="shared" ref="AF312" si="1073">MOD(AF311,360)</f>
        <v>44.853684410503774</v>
      </c>
      <c r="AG312" s="94">
        <f t="shared" ref="AG312" si="1074">MOD(AG311,360)</f>
        <v>353.21981630452501</v>
      </c>
      <c r="AH312" s="94">
        <f t="shared" ref="AH312" si="1075">MOD(AH311,360)</f>
        <v>196.88113833817624</v>
      </c>
      <c r="AI312" s="94">
        <f t="shared" ref="AI312" si="1076">MOD(AI311,360)</f>
        <v>172.5012783765269</v>
      </c>
      <c r="AJ312" s="94">
        <f t="shared" ref="AJ312" si="1077">MOD(AJ311,360)</f>
        <v>173.93835492153084</v>
      </c>
      <c r="AK312" s="94">
        <f t="shared" ref="AK312" si="1078">MOD(AK311,360)</f>
        <v>337.04122059140354</v>
      </c>
      <c r="AL312" s="94">
        <f t="shared" ref="AL312" si="1079">MOD(AL311,360)</f>
        <v>41.97953604500799</v>
      </c>
      <c r="AM312" s="94">
        <f t="shared" ref="AM312" si="1080">MOD(AM311,360)</f>
        <v>209.80724675860256</v>
      </c>
      <c r="AN312" s="94">
        <f t="shared" ref="AN312" si="1081">MOD(AN311,360)</f>
        <v>208.37780739889422</v>
      </c>
      <c r="AO312" s="94">
        <f t="shared" ref="AO312" si="1082">MOD(AO311,360)</f>
        <v>117.20950181223452</v>
      </c>
      <c r="AP312" s="94">
        <f t="shared" ref="AP312" si="1083">MOD(AP311,360)</f>
        <v>185.48637354216771</v>
      </c>
      <c r="AQ312" s="94">
        <f t="shared" ref="AQ312" si="1084">MOD(AQ311,360)</f>
        <v>185.48637354216771</v>
      </c>
      <c r="AR312" s="94">
        <f t="shared" ref="AR312" si="1085">MOD(AR311,360)</f>
        <v>211.30331279354868</v>
      </c>
      <c r="AS312" s="94">
        <f t="shared" ref="AS312" si="1086">MOD(AS311,360)</f>
        <v>211.30331279354868</v>
      </c>
      <c r="AT312" s="94">
        <f t="shared" ref="AT312" si="1087">MOD(AT311,360)</f>
        <v>211.30331279354868</v>
      </c>
      <c r="AU312" s="94">
        <f t="shared" ref="AU312" si="1088">MOD(AU311,360)</f>
        <v>277.15605183923617</v>
      </c>
      <c r="AV312" s="94">
        <f t="shared" ref="AV312" si="1089">MOD(AV311,360)</f>
        <v>102.23588395217303</v>
      </c>
      <c r="AW312" s="94">
        <f t="shared" ref="AW312" si="1090">MOD(AW311,360)</f>
        <v>254.11557033821009</v>
      </c>
      <c r="AX312" s="94">
        <f t="shared" ref="AX312" si="1091">MOD(AX311,360)</f>
        <v>179.58712762288633</v>
      </c>
      <c r="AY312" s="94">
        <f t="shared" ref="AY312" si="1092">MOD(AY311,360)</f>
        <v>237.12025205900136</v>
      </c>
      <c r="AZ312" s="94">
        <f t="shared" ref="AZ312" si="1093">MOD(AZ311,360)</f>
        <v>237.12025205900136</v>
      </c>
      <c r="BA312" s="94">
        <f t="shared" ref="BA312" si="1094">MOD(BA311,360)</f>
        <v>262.93719133851118</v>
      </c>
      <c r="BB312" s="94">
        <f t="shared" ref="BB312" si="1095">MOD(BB311,360)</f>
        <v>262.93719133851118</v>
      </c>
      <c r="BC312" s="94">
        <f t="shared" ref="BC312" si="1096">MOD(BC311,360)</f>
        <v>262.93719133851118</v>
      </c>
      <c r="BD312" s="94">
        <f t="shared" ref="BD312" si="1097">MOD(BD311,360)</f>
        <v>262.93719133851118</v>
      </c>
      <c r="BE312" s="94">
        <f t="shared" ref="BE312:BG312" si="1098">MOD(BE311,360)</f>
        <v>262.93719133851118</v>
      </c>
      <c r="BF312" s="94">
        <f t="shared" si="1098"/>
        <v>262.93719133851118</v>
      </c>
      <c r="BG312" s="94">
        <f t="shared" si="1098"/>
        <v>24.734877311871969</v>
      </c>
    </row>
    <row r="313" spans="1:59" x14ac:dyDescent="0.25">
      <c r="A313">
        <v>49.6</v>
      </c>
      <c r="B313">
        <v>350</v>
      </c>
      <c r="C313" t="s">
        <v>135</v>
      </c>
      <c r="D313"/>
    </row>
    <row r="314" spans="1:59" x14ac:dyDescent="0.25">
      <c r="C314" t="s">
        <v>136</v>
      </c>
      <c r="D314"/>
    </row>
    <row r="315" spans="1:59" x14ac:dyDescent="0.25">
      <c r="C315" t="s">
        <v>131</v>
      </c>
      <c r="D315"/>
    </row>
    <row r="316" spans="1:59" x14ac:dyDescent="0.25">
      <c r="C316" t="s">
        <v>137</v>
      </c>
      <c r="D316" s="7" t="s">
        <v>399</v>
      </c>
      <c r="E316">
        <f xml:space="preserve"> 160.7108 + 390.67050284 *E296    - 0.0016118 *E298^2    - 0.00000227 *E298^3    + 0.000000011 *E298^4</f>
        <v>-203476.28909144536</v>
      </c>
      <c r="F316">
        <f t="shared" ref="F316:X316" si="1099" xml:space="preserve"> 160.7108 + 390.67050284 *F296    - 0.0016118 *F298^2    - 0.00000227 *F298^3    + 0.000000011 *F298^4</f>
        <v>-8053609.809281731</v>
      </c>
      <c r="G316">
        <f t="shared" si="1099"/>
        <v>453.71367712940736</v>
      </c>
      <c r="H316">
        <f t="shared" si="1099"/>
        <v>-4234.3323570833445</v>
      </c>
      <c r="I316">
        <f t="shared" si="1099"/>
        <v>-62053.566803985123</v>
      </c>
      <c r="J316">
        <f t="shared" si="1099"/>
        <v>-60100.214288134041</v>
      </c>
      <c r="K316">
        <f t="shared" si="1099"/>
        <v>-57365.52076603099</v>
      </c>
      <c r="L316">
        <f t="shared" si="1099"/>
        <v>-55412.168250306269</v>
      </c>
      <c r="M316">
        <f t="shared" si="1099"/>
        <v>-482805.69994390884</v>
      </c>
      <c r="N316">
        <f t="shared" si="1099"/>
        <v>-1932193.2895011702</v>
      </c>
      <c r="O316">
        <f t="shared" si="1099"/>
        <v>-1927114.5728301033</v>
      </c>
      <c r="P316">
        <f t="shared" si="1099"/>
        <v>-5617779.0017726123</v>
      </c>
      <c r="Q316">
        <f t="shared" si="1099"/>
        <v>-10252694.335123442</v>
      </c>
      <c r="R316">
        <f t="shared" si="1099"/>
        <v>-10253085.005678767</v>
      </c>
      <c r="S316">
        <f t="shared" si="1099"/>
        <v>-14493032.651080096</v>
      </c>
      <c r="T316">
        <f t="shared" si="1099"/>
        <v>-14494204.662805405</v>
      </c>
      <c r="U316">
        <f t="shared" si="1099"/>
        <v>-14497330.027406305</v>
      </c>
      <c r="V316">
        <f t="shared" si="1099"/>
        <v>-32431845.772084299</v>
      </c>
      <c r="W316">
        <f t="shared" si="1099"/>
        <v>-60881.555294468155</v>
      </c>
      <c r="X316">
        <f t="shared" si="1099"/>
        <v>-36659.984102028218</v>
      </c>
      <c r="Y316">
        <f xml:space="preserve"> 160.7108 + 390.67050284 *Y296    - 0.0016118 *Y298^2    - 0.00000227 *Y298^3    + 0.000000011 *Y298^4</f>
        <v>-110106.03871049835</v>
      </c>
      <c r="Z316">
        <f t="shared" ref="Z316:AE316" si="1100" xml:space="preserve"> 160.7108 + 390.67050284 *Z296    - 0.0016118 *Z298^2    - 0.00000227 *Z298^3    + 0.000000011 *Z298^4</f>
        <v>212978.466909237</v>
      </c>
      <c r="AA316">
        <f t="shared" si="1100"/>
        <v>453.71367712940736</v>
      </c>
      <c r="AB316">
        <f t="shared" si="1100"/>
        <v>-219493.77975464665</v>
      </c>
      <c r="AC316">
        <f t="shared" si="1100"/>
        <v>-101511.28763544945</v>
      </c>
      <c r="AD316">
        <f t="shared" si="1100"/>
        <v>-56193.509256589838</v>
      </c>
      <c r="AE316">
        <f t="shared" si="1100"/>
        <v>-110106.03871049835</v>
      </c>
      <c r="AF316">
        <f t="shared" ref="AF316:BG316" si="1101" xml:space="preserve"> 160.7108 + 390.67050284 *AF296    - 0.0016118 *AF298^2    - 0.00000227 *AF298^3    + 0.000000011 *AF298^4</f>
        <v>-33534.620077787047</v>
      </c>
      <c r="AG316">
        <f t="shared" si="1101"/>
        <v>-34315.9610838347</v>
      </c>
      <c r="AH316">
        <f t="shared" si="1101"/>
        <v>-42129.371144774661</v>
      </c>
      <c r="AI316">
        <f t="shared" si="1101"/>
        <v>-37050.654605067852</v>
      </c>
      <c r="AJ316">
        <f t="shared" si="1101"/>
        <v>-31581.267562704779</v>
      </c>
      <c r="AK316">
        <f t="shared" si="1101"/>
        <v>-878945.59353697114</v>
      </c>
      <c r="AL316">
        <f t="shared" si="1101"/>
        <v>-44473.394163220953</v>
      </c>
      <c r="AM316">
        <f t="shared" si="1101"/>
        <v>-6655399.9426713558</v>
      </c>
      <c r="AN316">
        <f t="shared" si="1101"/>
        <v>1625.7251856351836</v>
      </c>
      <c r="AO316">
        <f t="shared" si="1101"/>
        <v>-9658484.4226566721</v>
      </c>
      <c r="AP316">
        <f t="shared" si="1101"/>
        <v>110232.12489150494</v>
      </c>
      <c r="AQ316">
        <f t="shared" si="1101"/>
        <v>110232.12489150494</v>
      </c>
      <c r="AR316">
        <f t="shared" si="1101"/>
        <v>110622.7953937499</v>
      </c>
      <c r="AS316">
        <f t="shared" si="1101"/>
        <v>110622.7953937499</v>
      </c>
      <c r="AT316">
        <f t="shared" si="1101"/>
        <v>110622.7953937499</v>
      </c>
      <c r="AU316">
        <f t="shared" si="1101"/>
        <v>-128076.88187071121</v>
      </c>
      <c r="AV316">
        <f t="shared" si="1101"/>
        <v>-10875.730906070812</v>
      </c>
      <c r="AW316">
        <f t="shared" si="1101"/>
        <v>-313645.37128540216</v>
      </c>
      <c r="AX316">
        <f t="shared" si="1101"/>
        <v>-205820.31211510763</v>
      </c>
      <c r="AY316">
        <f t="shared" si="1101"/>
        <v>111013.46589599275</v>
      </c>
      <c r="AZ316">
        <f t="shared" si="1101"/>
        <v>111013.46589599275</v>
      </c>
      <c r="BA316">
        <f t="shared" si="1101"/>
        <v>111404.13639823349</v>
      </c>
      <c r="BB316">
        <f t="shared" si="1101"/>
        <v>111404.13639823349</v>
      </c>
      <c r="BC316">
        <f t="shared" si="1101"/>
        <v>111404.13639823349</v>
      </c>
      <c r="BD316">
        <f t="shared" si="1101"/>
        <v>111404.13639823349</v>
      </c>
      <c r="BE316">
        <f t="shared" si="1101"/>
        <v>111404.13639823349</v>
      </c>
      <c r="BF316">
        <f t="shared" si="1101"/>
        <v>111404.13639823349</v>
      </c>
      <c r="BG316">
        <f t="shared" si="1101"/>
        <v>-110106.03871049835</v>
      </c>
    </row>
    <row r="317" spans="1:59" x14ac:dyDescent="0.25">
      <c r="A317" s="35"/>
      <c r="B317" s="35"/>
      <c r="C317" s="35" t="s">
        <v>138</v>
      </c>
      <c r="D317" s="86" t="s">
        <v>391</v>
      </c>
      <c r="E317" s="95">
        <f>MOD(E316,360)</f>
        <v>283.7109085546399</v>
      </c>
      <c r="F317" s="95">
        <f t="shared" ref="F317:X317" si="1102">MOD(F316,360)</f>
        <v>310.19071826897562</v>
      </c>
      <c r="G317" s="95">
        <f t="shared" si="1102"/>
        <v>93.713677129407358</v>
      </c>
      <c r="H317" s="95">
        <f t="shared" si="1102"/>
        <v>85.667642916655495</v>
      </c>
      <c r="I317" s="95">
        <f t="shared" si="1102"/>
        <v>226.43319601487747</v>
      </c>
      <c r="J317" s="95">
        <f t="shared" si="1102"/>
        <v>19.785711865959456</v>
      </c>
      <c r="K317" s="95">
        <f t="shared" si="1102"/>
        <v>234.47923396901024</v>
      </c>
      <c r="L317" s="95">
        <f t="shared" si="1102"/>
        <v>27.831749693730671</v>
      </c>
      <c r="M317" s="95">
        <f t="shared" si="1102"/>
        <v>314.30005609116051</v>
      </c>
      <c r="N317" s="95">
        <f t="shared" si="1102"/>
        <v>286.71049882983789</v>
      </c>
      <c r="O317" s="95">
        <f t="shared" si="1102"/>
        <v>325.42716989666224</v>
      </c>
      <c r="P317" s="95">
        <f t="shared" si="1102"/>
        <v>20.998227387666702</v>
      </c>
      <c r="Q317" s="95">
        <f t="shared" si="1102"/>
        <v>105.6648765578866</v>
      </c>
      <c r="R317" s="95">
        <f t="shared" si="1102"/>
        <v>74.994321232661605</v>
      </c>
      <c r="S317" s="95">
        <f t="shared" si="1102"/>
        <v>207.3489199038595</v>
      </c>
      <c r="T317" s="95">
        <f t="shared" si="1102"/>
        <v>115.33719459548593</v>
      </c>
      <c r="U317" s="95">
        <f t="shared" si="1102"/>
        <v>229.97259369492531</v>
      </c>
      <c r="V317" s="95">
        <f t="shared" si="1102"/>
        <v>194.22791570052505</v>
      </c>
      <c r="W317" s="95">
        <f t="shared" si="1102"/>
        <v>318.4447055318451</v>
      </c>
      <c r="X317" s="95">
        <f t="shared" si="1102"/>
        <v>60.015897971781669</v>
      </c>
      <c r="Y317" s="95">
        <f>MOD(Y316,360)</f>
        <v>53.961289501647116</v>
      </c>
      <c r="Z317" s="95">
        <f t="shared" ref="Z317:AE317" si="1103">MOD(Z316,360)</f>
        <v>218.46690923700226</v>
      </c>
      <c r="AA317" s="95">
        <f t="shared" si="1103"/>
        <v>93.713677129407358</v>
      </c>
      <c r="AB317" s="95">
        <f t="shared" si="1103"/>
        <v>106.22024535335368</v>
      </c>
      <c r="AC317" s="95">
        <f t="shared" si="1103"/>
        <v>8.7123645505489549</v>
      </c>
      <c r="AD317" s="95">
        <f t="shared" si="1103"/>
        <v>326.49074341016239</v>
      </c>
      <c r="AE317" s="95">
        <f t="shared" si="1103"/>
        <v>53.961289501647116</v>
      </c>
      <c r="AF317" s="95">
        <f t="shared" ref="AF317" si="1104">MOD(AF316,360)</f>
        <v>305.37992221295281</v>
      </c>
      <c r="AG317" s="95">
        <f t="shared" ref="AG317" si="1105">MOD(AG316,360)</f>
        <v>244.03891616530018</v>
      </c>
      <c r="AH317" s="95">
        <f t="shared" ref="AH317" si="1106">MOD(AH316,360)</f>
        <v>350.62885522533907</v>
      </c>
      <c r="AI317" s="95">
        <f t="shared" ref="AI317" si="1107">MOD(AI316,360)</f>
        <v>29.345394932148338</v>
      </c>
      <c r="AJ317" s="95">
        <f t="shared" ref="AJ317" si="1108">MOD(AJ316,360)</f>
        <v>98.732437295220734</v>
      </c>
      <c r="AK317" s="95">
        <f t="shared" ref="AK317" si="1109">MOD(AK316,360)</f>
        <v>174.40646302886307</v>
      </c>
      <c r="AL317" s="95">
        <f t="shared" ref="AL317" si="1110">MOD(AL316,360)</f>
        <v>166.60583677904651</v>
      </c>
      <c r="AM317" s="95">
        <f t="shared" ref="AM317" si="1111">MOD(AM316,360)</f>
        <v>280.05732864420861</v>
      </c>
      <c r="AN317" s="95">
        <f t="shared" ref="AN317" si="1112">MOD(AN316,360)</f>
        <v>185.72518563518361</v>
      </c>
      <c r="AO317" s="95">
        <f t="shared" ref="AO317" si="1113">MOD(AO316,360)</f>
        <v>315.57734332792461</v>
      </c>
      <c r="AP317" s="95">
        <f t="shared" ref="AP317" si="1114">MOD(AP316,360)</f>
        <v>72.124891504936386</v>
      </c>
      <c r="AQ317" s="95">
        <f t="shared" ref="AQ317" si="1115">MOD(AQ316,360)</f>
        <v>72.124891504936386</v>
      </c>
      <c r="AR317" s="95">
        <f t="shared" ref="AR317" si="1116">MOD(AR316,360)</f>
        <v>102.7953937498969</v>
      </c>
      <c r="AS317" s="95">
        <f t="shared" ref="AS317" si="1117">MOD(AS316,360)</f>
        <v>102.7953937498969</v>
      </c>
      <c r="AT317" s="95">
        <f t="shared" ref="AT317" si="1118">MOD(AT316,360)</f>
        <v>102.7953937498969</v>
      </c>
      <c r="AU317" s="95">
        <f t="shared" ref="AU317" si="1119">MOD(AU316,360)</f>
        <v>83.118129288792261</v>
      </c>
      <c r="AV317" s="95">
        <f t="shared" ref="AV317" si="1120">MOD(AV316,360)</f>
        <v>284.26909392918787</v>
      </c>
      <c r="AW317" s="95">
        <f t="shared" ref="AW317" si="1121">MOD(AW316,360)</f>
        <v>274.62871459784219</v>
      </c>
      <c r="AX317" s="95">
        <f t="shared" ref="AX317" si="1122">MOD(AX316,360)</f>
        <v>99.687884892366128</v>
      </c>
      <c r="AY317" s="95">
        <f t="shared" ref="AY317" si="1123">MOD(AY316,360)</f>
        <v>133.46589599274739</v>
      </c>
      <c r="AZ317" s="95">
        <f t="shared" ref="AZ317" si="1124">MOD(AZ316,360)</f>
        <v>133.46589599274739</v>
      </c>
      <c r="BA317" s="95">
        <f t="shared" ref="BA317" si="1125">MOD(BA316,360)</f>
        <v>164.13639823348785</v>
      </c>
      <c r="BB317" s="95">
        <f t="shared" ref="BB317" si="1126">MOD(BB316,360)</f>
        <v>164.13639823348785</v>
      </c>
      <c r="BC317" s="95">
        <f t="shared" ref="BC317" si="1127">MOD(BC316,360)</f>
        <v>164.13639823348785</v>
      </c>
      <c r="BD317" s="95">
        <f t="shared" ref="BD317" si="1128">MOD(BD316,360)</f>
        <v>164.13639823348785</v>
      </c>
      <c r="BE317" s="95">
        <f t="shared" ref="BE317:BG317" si="1129">MOD(BE316,360)</f>
        <v>164.13639823348785</v>
      </c>
      <c r="BF317" s="95">
        <f t="shared" si="1129"/>
        <v>164.13639823348785</v>
      </c>
      <c r="BG317" s="95">
        <f t="shared" si="1129"/>
        <v>53.961289501647116</v>
      </c>
    </row>
    <row r="318" spans="1:59" x14ac:dyDescent="0.25">
      <c r="A318">
        <v>49.7</v>
      </c>
      <c r="B318">
        <v>350</v>
      </c>
      <c r="C318" t="s">
        <v>8</v>
      </c>
      <c r="D318"/>
    </row>
    <row r="319" spans="1:59" x14ac:dyDescent="0.25">
      <c r="C319" t="s">
        <v>139</v>
      </c>
      <c r="D319"/>
    </row>
    <row r="320" spans="1:59" x14ac:dyDescent="0.25">
      <c r="C320" t="s">
        <v>140</v>
      </c>
      <c r="D320" s="7" t="s">
        <v>403</v>
      </c>
      <c r="E320">
        <f xml:space="preserve"> 124.7746 - 1.56375588 *E296    + 0.0020672 *E298^2    + 0.00000215 *E298^3</f>
        <v>939.88271943656594</v>
      </c>
      <c r="F320">
        <f t="shared" ref="F320:X320" si="1130" xml:space="preserve"> 124.7746 - 1.56375588 *F296    + 0.0020672 *F298^2    + 0.00000215 *F298^3</f>
        <v>32362.557332474771</v>
      </c>
      <c r="G320">
        <f t="shared" si="1130"/>
        <v>123.60178309076011</v>
      </c>
      <c r="H320">
        <f t="shared" si="1130"/>
        <v>142.36685382102095</v>
      </c>
      <c r="I320">
        <f t="shared" si="1130"/>
        <v>373.80275815487488</v>
      </c>
      <c r="J320">
        <f t="shared" si="1130"/>
        <v>365.98397663714729</v>
      </c>
      <c r="K320">
        <f t="shared" si="1130"/>
        <v>355.03768262579302</v>
      </c>
      <c r="L320">
        <f t="shared" si="1130"/>
        <v>347.21890127015854</v>
      </c>
      <c r="M320">
        <f t="shared" si="1130"/>
        <v>2057.9698696980026</v>
      </c>
      <c r="N320">
        <f t="shared" si="1130"/>
        <v>7859.535043771366</v>
      </c>
      <c r="O320">
        <f t="shared" si="1130"/>
        <v>7839.2060448618549</v>
      </c>
      <c r="P320">
        <f t="shared" si="1130"/>
        <v>22612.251149703792</v>
      </c>
      <c r="Q320">
        <f t="shared" si="1130"/>
        <v>41165.285029294297</v>
      </c>
      <c r="R320">
        <f t="shared" si="1130"/>
        <v>41166.84885375484</v>
      </c>
      <c r="S320">
        <f t="shared" si="1130"/>
        <v>58139.182912267344</v>
      </c>
      <c r="T320">
        <f t="shared" si="1130"/>
        <v>58143.874466626614</v>
      </c>
      <c r="U320">
        <f t="shared" si="1130"/>
        <v>58156.385278359136</v>
      </c>
      <c r="V320">
        <f t="shared" si="1130"/>
        <v>129950.58625765891</v>
      </c>
      <c r="W320">
        <f t="shared" si="1130"/>
        <v>369.11148923613382</v>
      </c>
      <c r="X320">
        <f t="shared" si="1130"/>
        <v>272.15860369263851</v>
      </c>
      <c r="Y320">
        <f xml:space="preserve"> 124.7746 - 1.56375588 *Y296    + 0.0020672 *Y298^2    + 0.00000215 *Y298^3</f>
        <v>566.14480475501932</v>
      </c>
      <c r="Z320">
        <f t="shared" ref="Z320:AE320" si="1131" xml:space="preserve"> 124.7746 - 1.56375588 *Z296    + 0.0020672 *Z298^2    + 0.00000215 *Z298^3</f>
        <v>-727.08101444766578</v>
      </c>
      <c r="AA320">
        <f t="shared" si="1131"/>
        <v>123.60178309076011</v>
      </c>
      <c r="AB320">
        <f t="shared" si="1131"/>
        <v>1003.9967705045398</v>
      </c>
      <c r="AC320">
        <f t="shared" si="1131"/>
        <v>531.74215927289902</v>
      </c>
      <c r="AD320">
        <f t="shared" si="1131"/>
        <v>350.34641380430753</v>
      </c>
      <c r="AE320">
        <f t="shared" si="1131"/>
        <v>566.14480475501932</v>
      </c>
      <c r="AF320">
        <f t="shared" ref="AF320:BG320" si="1132" xml:space="preserve"> 124.7746 - 1.56375588 *AF296    + 0.0020672 *AF298^2    + 0.00000215 *AF298^3</f>
        <v>259.64855470159864</v>
      </c>
      <c r="AG320">
        <f t="shared" si="1132"/>
        <v>262.77606693314681</v>
      </c>
      <c r="AH320">
        <f t="shared" si="1132"/>
        <v>294.05118984305443</v>
      </c>
      <c r="AI320">
        <f t="shared" si="1132"/>
        <v>273.72235982867733</v>
      </c>
      <c r="AJ320">
        <f t="shared" si="1132"/>
        <v>251.8297741700132</v>
      </c>
      <c r="AK320">
        <f t="shared" si="1132"/>
        <v>3643.623098446496</v>
      </c>
      <c r="AL320">
        <f t="shared" si="1132"/>
        <v>303.43372692677286</v>
      </c>
      <c r="AM320">
        <f t="shared" si="1132"/>
        <v>26765.697282222649</v>
      </c>
      <c r="AN320">
        <f t="shared" si="1132"/>
        <v>118.91051546900258</v>
      </c>
      <c r="AO320">
        <f t="shared" si="1132"/>
        <v>38786.710949892884</v>
      </c>
      <c r="AP320">
        <f t="shared" si="1132"/>
        <v>-315.81351189508007</v>
      </c>
      <c r="AQ320">
        <f t="shared" si="1132"/>
        <v>-315.81351189508007</v>
      </c>
      <c r="AR320">
        <f t="shared" si="1132"/>
        <v>-317.37726701200546</v>
      </c>
      <c r="AS320">
        <f t="shared" si="1132"/>
        <v>-317.37726701200546</v>
      </c>
      <c r="AT320">
        <f t="shared" si="1132"/>
        <v>-317.37726701200546</v>
      </c>
      <c r="AU320">
        <f t="shared" si="1132"/>
        <v>638.07761316864617</v>
      </c>
      <c r="AV320">
        <f t="shared" si="1132"/>
        <v>168.95070468838793</v>
      </c>
      <c r="AW320">
        <f t="shared" si="1132"/>
        <v>1380.8623818874157</v>
      </c>
      <c r="AX320">
        <f t="shared" si="1132"/>
        <v>949.26526321190727</v>
      </c>
      <c r="AY320">
        <f t="shared" si="1132"/>
        <v>-318.94102212622647</v>
      </c>
      <c r="AZ320">
        <f t="shared" si="1132"/>
        <v>-318.94102212622647</v>
      </c>
      <c r="BA320">
        <f t="shared" si="1132"/>
        <v>-320.50477723774293</v>
      </c>
      <c r="BB320">
        <f t="shared" si="1132"/>
        <v>-320.50477723774293</v>
      </c>
      <c r="BC320">
        <f t="shared" si="1132"/>
        <v>-320.50477723774293</v>
      </c>
      <c r="BD320">
        <f t="shared" si="1132"/>
        <v>-320.50477723774293</v>
      </c>
      <c r="BE320">
        <f t="shared" si="1132"/>
        <v>-320.50477723774293</v>
      </c>
      <c r="BF320">
        <f t="shared" si="1132"/>
        <v>-320.50477723774293</v>
      </c>
      <c r="BG320">
        <f t="shared" si="1132"/>
        <v>566.14480475501932</v>
      </c>
    </row>
    <row r="321" spans="1:59" x14ac:dyDescent="0.25">
      <c r="A321" s="35"/>
      <c r="B321" s="35"/>
      <c r="C321" s="35" t="s">
        <v>141</v>
      </c>
      <c r="D321" s="86" t="s">
        <v>391</v>
      </c>
      <c r="E321" s="95">
        <f>MOD(E320,360)</f>
        <v>219.88271943656594</v>
      </c>
      <c r="F321" s="95">
        <f t="shared" ref="F321:X321" si="1133">MOD(F320,360)</f>
        <v>322.5573324747711</v>
      </c>
      <c r="G321" s="95">
        <f t="shared" si="1133"/>
        <v>123.60178309076011</v>
      </c>
      <c r="H321" s="95">
        <f t="shared" si="1133"/>
        <v>142.36685382102095</v>
      </c>
      <c r="I321" s="95">
        <f t="shared" si="1133"/>
        <v>13.80275815487488</v>
      </c>
      <c r="J321" s="95">
        <f t="shared" si="1133"/>
        <v>5.9839766371472933</v>
      </c>
      <c r="K321" s="95">
        <f t="shared" si="1133"/>
        <v>355.03768262579302</v>
      </c>
      <c r="L321" s="95">
        <f t="shared" si="1133"/>
        <v>347.21890127015854</v>
      </c>
      <c r="M321" s="95">
        <f t="shared" si="1133"/>
        <v>257.96986969800264</v>
      </c>
      <c r="N321" s="95">
        <f t="shared" si="1133"/>
        <v>299.53504377136596</v>
      </c>
      <c r="O321" s="95">
        <f t="shared" si="1133"/>
        <v>279.20604486185493</v>
      </c>
      <c r="P321" s="95">
        <f t="shared" si="1133"/>
        <v>292.25114970379218</v>
      </c>
      <c r="Q321" s="95">
        <f t="shared" si="1133"/>
        <v>125.28502929429669</v>
      </c>
      <c r="R321" s="95">
        <f t="shared" si="1133"/>
        <v>126.84885375484009</v>
      </c>
      <c r="S321" s="95">
        <f t="shared" si="1133"/>
        <v>179.18291226734436</v>
      </c>
      <c r="T321" s="95">
        <f t="shared" si="1133"/>
        <v>183.87446662661387</v>
      </c>
      <c r="U321" s="95">
        <f t="shared" si="1133"/>
        <v>196.38527835913555</v>
      </c>
      <c r="V321" s="95">
        <f t="shared" si="1133"/>
        <v>350.58625765891338</v>
      </c>
      <c r="W321" s="95">
        <f t="shared" si="1133"/>
        <v>9.1114892361338207</v>
      </c>
      <c r="X321" s="95">
        <f t="shared" si="1133"/>
        <v>272.15860369263851</v>
      </c>
      <c r="Y321" s="95">
        <f>MOD(Y320,360)</f>
        <v>206.14480475501932</v>
      </c>
      <c r="Z321" s="95">
        <f t="shared" ref="Z321:AE321" si="1134">MOD(Z320,360)</f>
        <v>352.91898555233422</v>
      </c>
      <c r="AA321" s="95">
        <f t="shared" si="1134"/>
        <v>123.60178309076011</v>
      </c>
      <c r="AB321" s="95">
        <f t="shared" si="1134"/>
        <v>283.99677050453977</v>
      </c>
      <c r="AC321" s="95">
        <f t="shared" si="1134"/>
        <v>171.74215927289902</v>
      </c>
      <c r="AD321" s="95">
        <f t="shared" si="1134"/>
        <v>350.34641380430753</v>
      </c>
      <c r="AE321" s="95">
        <f t="shared" si="1134"/>
        <v>206.14480475501932</v>
      </c>
      <c r="AF321" s="95">
        <f t="shared" ref="AF321" si="1135">MOD(AF320,360)</f>
        <v>259.64855470159864</v>
      </c>
      <c r="AG321" s="95">
        <f t="shared" ref="AG321" si="1136">MOD(AG320,360)</f>
        <v>262.77606693314681</v>
      </c>
      <c r="AH321" s="95">
        <f t="shared" ref="AH321" si="1137">MOD(AH320,360)</f>
        <v>294.05118984305443</v>
      </c>
      <c r="AI321" s="95">
        <f t="shared" ref="AI321" si="1138">MOD(AI320,360)</f>
        <v>273.72235982867733</v>
      </c>
      <c r="AJ321" s="95">
        <f t="shared" ref="AJ321" si="1139">MOD(AJ320,360)</f>
        <v>251.8297741700132</v>
      </c>
      <c r="AK321" s="95">
        <f t="shared" ref="AK321" si="1140">MOD(AK320,360)</f>
        <v>43.623098446495987</v>
      </c>
      <c r="AL321" s="95">
        <f t="shared" ref="AL321" si="1141">MOD(AL320,360)</f>
        <v>303.43372692677286</v>
      </c>
      <c r="AM321" s="95">
        <f t="shared" ref="AM321" si="1142">MOD(AM320,360)</f>
        <v>125.69728222264894</v>
      </c>
      <c r="AN321" s="95">
        <f t="shared" ref="AN321" si="1143">MOD(AN320,360)</f>
        <v>118.91051546900258</v>
      </c>
      <c r="AO321" s="95">
        <f t="shared" ref="AO321" si="1144">MOD(AO320,360)</f>
        <v>266.71094989288395</v>
      </c>
      <c r="AP321" s="95">
        <f t="shared" ref="AP321" si="1145">MOD(AP320,360)</f>
        <v>44.186488104919931</v>
      </c>
      <c r="AQ321" s="95">
        <f t="shared" ref="AQ321" si="1146">MOD(AQ320,360)</f>
        <v>44.186488104919931</v>
      </c>
      <c r="AR321" s="95">
        <f t="shared" ref="AR321" si="1147">MOD(AR320,360)</f>
        <v>42.622732987994539</v>
      </c>
      <c r="AS321" s="95">
        <f t="shared" ref="AS321" si="1148">MOD(AS320,360)</f>
        <v>42.622732987994539</v>
      </c>
      <c r="AT321" s="95">
        <f t="shared" ref="AT321" si="1149">MOD(AT320,360)</f>
        <v>42.622732987994539</v>
      </c>
      <c r="AU321" s="95">
        <f t="shared" ref="AU321" si="1150">MOD(AU320,360)</f>
        <v>278.07761316864617</v>
      </c>
      <c r="AV321" s="95">
        <f t="shared" ref="AV321" si="1151">MOD(AV320,360)</f>
        <v>168.95070468838793</v>
      </c>
      <c r="AW321" s="95">
        <f t="shared" ref="AW321" si="1152">MOD(AW320,360)</f>
        <v>300.86238188741572</v>
      </c>
      <c r="AX321" s="95">
        <f t="shared" ref="AX321" si="1153">MOD(AX320,360)</f>
        <v>229.26526321190727</v>
      </c>
      <c r="AY321" s="95">
        <f t="shared" ref="AY321" si="1154">MOD(AY320,360)</f>
        <v>41.058977873773529</v>
      </c>
      <c r="AZ321" s="95">
        <f t="shared" ref="AZ321" si="1155">MOD(AZ320,360)</f>
        <v>41.058977873773529</v>
      </c>
      <c r="BA321" s="95">
        <f t="shared" ref="BA321" si="1156">MOD(BA320,360)</f>
        <v>39.495222762257072</v>
      </c>
      <c r="BB321" s="95">
        <f t="shared" ref="BB321" si="1157">MOD(BB320,360)</f>
        <v>39.495222762257072</v>
      </c>
      <c r="BC321" s="95">
        <f t="shared" ref="BC321" si="1158">MOD(BC320,360)</f>
        <v>39.495222762257072</v>
      </c>
      <c r="BD321" s="95">
        <f t="shared" ref="BD321" si="1159">MOD(BD320,360)</f>
        <v>39.495222762257072</v>
      </c>
      <c r="BE321" s="95">
        <f t="shared" ref="BE321:BG321" si="1160">MOD(BE320,360)</f>
        <v>39.495222762257072</v>
      </c>
      <c r="BF321" s="95">
        <f t="shared" si="1160"/>
        <v>39.495222762257072</v>
      </c>
      <c r="BG321" s="95">
        <f t="shared" si="1160"/>
        <v>206.14480475501932</v>
      </c>
    </row>
    <row r="322" spans="1:59" x14ac:dyDescent="0.25">
      <c r="C322" t="s">
        <v>142</v>
      </c>
      <c r="D322"/>
    </row>
    <row r="323" spans="1:59" x14ac:dyDescent="0.25">
      <c r="B323">
        <v>352</v>
      </c>
      <c r="C323" s="8" t="s">
        <v>408</v>
      </c>
      <c r="D323" s="7" t="s">
        <v>405</v>
      </c>
      <c r="E323" s="112">
        <f>SUM(E324:E348)</f>
        <v>0.14179626033482837</v>
      </c>
      <c r="F323" s="112">
        <f t="shared" ref="F323:X323" si="1161">SUM(F324:F348)</f>
        <v>0.43302097862568484</v>
      </c>
      <c r="G323" s="112">
        <f t="shared" si="1161"/>
        <v>-0.41071758678250342</v>
      </c>
      <c r="H323" s="112">
        <f t="shared" si="1161"/>
        <v>0.12415030076063478</v>
      </c>
      <c r="I323" s="112">
        <f t="shared" si="1161"/>
        <v>0.52489483506011037</v>
      </c>
      <c r="J323" s="112">
        <f t="shared" si="1161"/>
        <v>-0.6551442070516863</v>
      </c>
      <c r="K323" s="112">
        <f t="shared" si="1161"/>
        <v>0.74455632720255627</v>
      </c>
      <c r="L323" s="112">
        <f t="shared" si="1161"/>
        <v>-0.38327133998884749</v>
      </c>
      <c r="M323" s="112">
        <f t="shared" si="1161"/>
        <v>0.59010991308138017</v>
      </c>
      <c r="N323" s="112">
        <f t="shared" si="1161"/>
        <v>0.4871371874180227</v>
      </c>
      <c r="O323" s="112">
        <f t="shared" si="1161"/>
        <v>0.2751166351577421</v>
      </c>
      <c r="P323" s="112">
        <f t="shared" si="1161"/>
        <v>-9.0449504386264978E-2</v>
      </c>
      <c r="Q323" s="112">
        <f t="shared" si="1161"/>
        <v>-0.45811056573595105</v>
      </c>
      <c r="R323" s="112">
        <f t="shared" si="1161"/>
        <v>-0.43406691642112366</v>
      </c>
      <c r="S323" s="112">
        <f t="shared" si="1161"/>
        <v>0.26675719834158262</v>
      </c>
      <c r="T323" s="112">
        <f t="shared" si="1161"/>
        <v>0.61143025145446572</v>
      </c>
      <c r="U323" s="112">
        <f t="shared" si="1161"/>
        <v>-0.49801820430859456</v>
      </c>
      <c r="V323" s="112">
        <f t="shared" si="1161"/>
        <v>6.9385060948282645E-2</v>
      </c>
      <c r="W323" s="112">
        <f t="shared" si="1161"/>
        <v>-0.2706963381629327</v>
      </c>
      <c r="X323" s="112">
        <f t="shared" si="1161"/>
        <v>0.32673709287093872</v>
      </c>
      <c r="Y323" s="112">
        <f>SUM(Y324:Y348)</f>
        <v>-0.10221389993229302</v>
      </c>
      <c r="Z323" s="112">
        <f t="shared" ref="Z323:AE323" si="1162">SUM(Z324:Z348)</f>
        <v>-0.39152541051484824</v>
      </c>
      <c r="AA323" s="112">
        <f t="shared" si="1162"/>
        <v>-0.41071758678250342</v>
      </c>
      <c r="AB323" s="112">
        <f t="shared" si="1162"/>
        <v>-9.883764148677969E-3</v>
      </c>
      <c r="AC323" s="112">
        <f t="shared" si="1162"/>
        <v>0.4788667130699143</v>
      </c>
      <c r="AD323" s="112">
        <f t="shared" si="1162"/>
        <v>0.25178893041892553</v>
      </c>
      <c r="AE323" s="112">
        <f t="shared" si="1162"/>
        <v>-0.10221389993229302</v>
      </c>
      <c r="AF323" s="112">
        <f t="shared" ref="AF323" si="1163">SUM(AF324:AF348)</f>
        <v>-0.41285866267184629</v>
      </c>
      <c r="AG323" s="112">
        <f t="shared" ref="AG323" si="1164">SUM(AG324:AG348)</f>
        <v>-3.3622393545824407E-2</v>
      </c>
      <c r="AH323" s="112">
        <f t="shared" ref="AH323" si="1165">SUM(AH324:AH348)</f>
        <v>0.37420851762964097</v>
      </c>
      <c r="AI323" s="112">
        <f t="shared" ref="AI323" si="1166">SUM(AI324:AI348)</f>
        <v>9.7641642872542331E-2</v>
      </c>
      <c r="AJ323" s="112">
        <f t="shared" ref="AJ323" si="1167">SUM(AJ324:AJ348)</f>
        <v>3.6468940435239268E-4</v>
      </c>
      <c r="AK323" s="112">
        <f t="shared" ref="AK323" si="1168">SUM(AK324:AK348)</f>
        <v>0.31725759853095958</v>
      </c>
      <c r="AL323" s="112">
        <f t="shared" ref="AL323" si="1169">SUM(AL324:AL348)</f>
        <v>-0.57691591833500011</v>
      </c>
      <c r="AM323" s="112">
        <f t="shared" ref="AM323" si="1170">SUM(AM324:AM348)</f>
        <v>0.1565719265377285</v>
      </c>
      <c r="AN323" s="112">
        <f t="shared" ref="AN323" si="1171">SUM(AN324:AN348)</f>
        <v>0.4793976204882695</v>
      </c>
      <c r="AO323" s="112">
        <f t="shared" ref="AO323" si="1172">SUM(AO324:AO348)</f>
        <v>-0.40623317469634201</v>
      </c>
      <c r="AP323" s="112">
        <f t="shared" ref="AP323" si="1173">SUM(AP324:AP348)</f>
        <v>-0.11853449965036487</v>
      </c>
      <c r="AQ323" s="112">
        <f t="shared" ref="AQ323" si="1174">SUM(AQ324:AQ348)</f>
        <v>-0.11853449965036487</v>
      </c>
      <c r="AR323" s="112">
        <f t="shared" ref="AR323" si="1175">SUM(AR324:AR348)</f>
        <v>0.19256889426564533</v>
      </c>
      <c r="AS323" s="112">
        <f t="shared" ref="AS323" si="1176">SUM(AS324:AS348)</f>
        <v>0.19256889426564533</v>
      </c>
      <c r="AT323" s="112">
        <f t="shared" ref="AT323" si="1177">SUM(AT324:AT348)</f>
        <v>0.19256889426564533</v>
      </c>
      <c r="AU323" s="112">
        <f t="shared" ref="AU323" si="1178">SUM(AU324:AU348)</f>
        <v>0.64570800823918262</v>
      </c>
      <c r="AV323" s="112">
        <f t="shared" ref="AV323" si="1179">SUM(AV324:AV348)</f>
        <v>-0.78798400019319792</v>
      </c>
      <c r="AW323" s="112">
        <f t="shared" ref="AW323" si="1180">SUM(AW324:AW348)</f>
        <v>0.68331689509853877</v>
      </c>
      <c r="AX323" s="112">
        <f t="shared" ref="AX323" si="1181">SUM(AX324:AX348)</f>
        <v>0.11991410593172207</v>
      </c>
      <c r="AY323" s="112">
        <f t="shared" ref="AY323" si="1182">SUM(AY324:AY348)</f>
        <v>0.47408290282533982</v>
      </c>
      <c r="AZ323" s="112">
        <f t="shared" ref="AZ323" si="1183">SUM(AZ324:AZ348)</f>
        <v>0.47408290282533982</v>
      </c>
      <c r="BA323" s="112">
        <f t="shared" ref="BA323" si="1184">SUM(BA324:BA348)</f>
        <v>0.66198414247424431</v>
      </c>
      <c r="BB323" s="112">
        <f t="shared" ref="BB323" si="1185">SUM(BB324:BB348)</f>
        <v>0.66198414247424431</v>
      </c>
      <c r="BC323" s="112">
        <f t="shared" ref="BC323" si="1186">SUM(BC324:BC348)</f>
        <v>0.66198414247424431</v>
      </c>
      <c r="BD323" s="112">
        <f t="shared" ref="BD323" si="1187">SUM(BD324:BD348)</f>
        <v>0.66198414247424431</v>
      </c>
      <c r="BE323" s="112">
        <f t="shared" ref="BE323:BG323" si="1188">SUM(BE324:BE348)</f>
        <v>0.66198414247424431</v>
      </c>
      <c r="BF323" s="112">
        <f t="shared" si="1188"/>
        <v>0.66198414247424431</v>
      </c>
      <c r="BG323" s="112">
        <f t="shared" si="1188"/>
        <v>-0.10221389993229302</v>
      </c>
    </row>
    <row r="324" spans="1:59" x14ac:dyDescent="0.25">
      <c r="C324" t="s">
        <v>64</v>
      </c>
      <c r="D324" s="84" t="s">
        <v>410</v>
      </c>
      <c r="E324" s="18">
        <f t="shared" ref="E324:AJ324" si="1189" xml:space="preserve"> -0.62801 * SIN( (E312 ) * Deg2Rad )</f>
        <v>0.27047710914809514</v>
      </c>
      <c r="F324" s="18">
        <f t="shared" si="1189"/>
        <v>0.2956437962747151</v>
      </c>
      <c r="G324" s="18">
        <f t="shared" si="1189"/>
        <v>-0.47448970817113745</v>
      </c>
      <c r="H324" s="18">
        <f t="shared" si="1189"/>
        <v>1.2316774481545644E-2</v>
      </c>
      <c r="I324" s="18">
        <f t="shared" si="1189"/>
        <v>0.40184761087860221</v>
      </c>
      <c r="J324" s="18">
        <f t="shared" si="1189"/>
        <v>-0.62796342558443441</v>
      </c>
      <c r="K324" s="18">
        <f t="shared" si="1189"/>
        <v>0.62800995888561351</v>
      </c>
      <c r="L324" s="18">
        <f t="shared" si="1189"/>
        <v>-0.39611663409309855</v>
      </c>
      <c r="M324" s="18">
        <f t="shared" si="1189"/>
        <v>0.51686812325674403</v>
      </c>
      <c r="N324" s="18">
        <f t="shared" si="1189"/>
        <v>0.35768817711659601</v>
      </c>
      <c r="O324" s="18">
        <f t="shared" si="1189"/>
        <v>0.11270666196591944</v>
      </c>
      <c r="P324" s="18">
        <f t="shared" si="1189"/>
        <v>-0.20461002404208029</v>
      </c>
      <c r="Q324" s="18">
        <f t="shared" si="1189"/>
        <v>-0.62800709692927548</v>
      </c>
      <c r="R324" s="18">
        <f t="shared" si="1189"/>
        <v>-0.5661590372950378</v>
      </c>
      <c r="S324" s="18">
        <f t="shared" si="1189"/>
        <v>0.42231280577292174</v>
      </c>
      <c r="T324" s="18">
        <f t="shared" si="1189"/>
        <v>0.54547289585830605</v>
      </c>
      <c r="U324" s="18">
        <f t="shared" si="1189"/>
        <v>-0.34901062545548772</v>
      </c>
      <c r="V324" s="18">
        <f t="shared" si="1189"/>
        <v>-0.10857591479853382</v>
      </c>
      <c r="W324" s="18">
        <f t="shared" si="1189"/>
        <v>-0.38377041666641087</v>
      </c>
      <c r="X324" s="18">
        <f t="shared" si="1189"/>
        <v>0.19737991890957735</v>
      </c>
      <c r="Y324" s="18">
        <f t="shared" si="1189"/>
        <v>-0.26277196116423701</v>
      </c>
      <c r="Z324" s="18">
        <f t="shared" si="1189"/>
        <v>-0.44141249042243225</v>
      </c>
      <c r="AA324" s="18">
        <f t="shared" si="1189"/>
        <v>-0.47448970817113745</v>
      </c>
      <c r="AB324" s="18">
        <f t="shared" si="1189"/>
        <v>4.3866142647603912E-2</v>
      </c>
      <c r="AC324" s="18">
        <f t="shared" si="1189"/>
        <v>0.49961424632959034</v>
      </c>
      <c r="AD324" s="18">
        <f t="shared" si="1189"/>
        <v>0.13623086014477356</v>
      </c>
      <c r="AE324" s="18">
        <f t="shared" si="1189"/>
        <v>-0.26277196116423701</v>
      </c>
      <c r="AF324" s="18">
        <f t="shared" si="1189"/>
        <v>-0.44293466601389492</v>
      </c>
      <c r="AG324" s="18">
        <f t="shared" si="1189"/>
        <v>7.4143196220980173E-2</v>
      </c>
      <c r="AH324" s="18">
        <f t="shared" si="1189"/>
        <v>0.18236606335996849</v>
      </c>
      <c r="AI324" s="18">
        <f t="shared" si="1189"/>
        <v>-8.1957861747599434E-2</v>
      </c>
      <c r="AJ324" s="18">
        <f t="shared" si="1189"/>
        <v>-6.6316862615516434E-2</v>
      </c>
      <c r="AK324" s="18">
        <f t="shared" ref="AK324:BG324" si="1190" xml:space="preserve"> -0.62801 * SIN( (AK312 ) * Deg2Rad )</f>
        <v>0.24496709702857819</v>
      </c>
      <c r="AL324" s="18">
        <f t="shared" si="1190"/>
        <v>-0.42005399629406753</v>
      </c>
      <c r="AM324" s="18">
        <f t="shared" si="1190"/>
        <v>0.31217354187966295</v>
      </c>
      <c r="AN324" s="18">
        <f t="shared" si="1190"/>
        <v>0.29848276297413229</v>
      </c>
      <c r="AO324" s="18">
        <f t="shared" si="1190"/>
        <v>-0.5585147631369034</v>
      </c>
      <c r="AP324" s="18">
        <f t="shared" si="1190"/>
        <v>6.0043419496915953E-2</v>
      </c>
      <c r="AQ324" s="18">
        <f t="shared" si="1190"/>
        <v>6.0043419496915953E-2</v>
      </c>
      <c r="AR324" s="18">
        <f t="shared" si="1190"/>
        <v>0.32629422316701845</v>
      </c>
      <c r="AS324" s="18">
        <f t="shared" si="1190"/>
        <v>0.32629422316701845</v>
      </c>
      <c r="AT324" s="18">
        <f t="shared" si="1190"/>
        <v>0.32629422316701845</v>
      </c>
      <c r="AU324" s="18">
        <f t="shared" si="1190"/>
        <v>0.62311814440700053</v>
      </c>
      <c r="AV324" s="18">
        <f t="shared" si="1190"/>
        <v>-0.61374371747352863</v>
      </c>
      <c r="AW324" s="18">
        <f t="shared" si="1190"/>
        <v>0.60402989248909245</v>
      </c>
      <c r="AX324" s="18">
        <f t="shared" si="1190"/>
        <v>-4.5253898243115655E-3</v>
      </c>
      <c r="AY324" s="18">
        <f t="shared" si="1190"/>
        <v>0.5274102118445777</v>
      </c>
      <c r="AZ324" s="18">
        <f t="shared" si="1190"/>
        <v>0.5274102118445777</v>
      </c>
      <c r="BA324" s="18">
        <f t="shared" si="1190"/>
        <v>0.62324463496134297</v>
      </c>
      <c r="BB324" s="18">
        <f t="shared" si="1190"/>
        <v>0.62324463496134297</v>
      </c>
      <c r="BC324" s="18">
        <f t="shared" si="1190"/>
        <v>0.62324463496134297</v>
      </c>
      <c r="BD324" s="18">
        <f t="shared" si="1190"/>
        <v>0.62324463496134297</v>
      </c>
      <c r="BE324" s="18">
        <f t="shared" si="1190"/>
        <v>0.62324463496134297</v>
      </c>
      <c r="BF324" s="18">
        <f t="shared" si="1190"/>
        <v>0.62324463496134297</v>
      </c>
      <c r="BG324" s="18">
        <f t="shared" si="1190"/>
        <v>-0.26277196116423701</v>
      </c>
    </row>
    <row r="325" spans="1:59" x14ac:dyDescent="0.25">
      <c r="C325" t="s">
        <v>65</v>
      </c>
      <c r="E325" s="18">
        <f t="shared" ref="E325:AJ325" si="1191" xml:space="preserve"> 0.17172 *E303 * SIN( (E307 ) * Deg2Rad )</f>
        <v>-0.12897282071645874</v>
      </c>
      <c r="F325" s="18">
        <f t="shared" si="1191"/>
        <v>0.1694893270670946</v>
      </c>
      <c r="G325" s="18">
        <f t="shared" si="1191"/>
        <v>7.0890191743006661E-2</v>
      </c>
      <c r="H325" s="18">
        <f t="shared" si="1191"/>
        <v>9.8786630840112535E-2</v>
      </c>
      <c r="I325" s="18">
        <f t="shared" si="1191"/>
        <v>0.12669758578884965</v>
      </c>
      <c r="J325" s="18">
        <f t="shared" si="1191"/>
        <v>-3.8792973515454444E-2</v>
      </c>
      <c r="K325" s="18">
        <f t="shared" si="1191"/>
        <v>0.10287022764125334</v>
      </c>
      <c r="L325" s="18">
        <f t="shared" si="1191"/>
        <v>-6.9425794836386239E-3</v>
      </c>
      <c r="M325" s="18">
        <f t="shared" si="1191"/>
        <v>6.1850798482053222E-2</v>
      </c>
      <c r="N325" s="18">
        <f t="shared" si="1191"/>
        <v>0.11190033806439201</v>
      </c>
      <c r="O325" s="18">
        <f t="shared" si="1191"/>
        <v>0.14795032125279847</v>
      </c>
      <c r="P325" s="18">
        <f t="shared" si="1191"/>
        <v>0.11291211440644383</v>
      </c>
      <c r="Q325" s="18">
        <f t="shared" si="1191"/>
        <v>0.17358488547824416</v>
      </c>
      <c r="R325" s="18">
        <f t="shared" si="1191"/>
        <v>0.12792649648242782</v>
      </c>
      <c r="S325" s="18">
        <f t="shared" si="1191"/>
        <v>-0.16600787322581501</v>
      </c>
      <c r="T325" s="18">
        <f t="shared" si="1191"/>
        <v>7.0414389545932099E-2</v>
      </c>
      <c r="U325" s="18">
        <f t="shared" si="1191"/>
        <v>-0.17761465674952445</v>
      </c>
      <c r="V325" s="18">
        <f t="shared" si="1191"/>
        <v>0.18833902494701268</v>
      </c>
      <c r="W325" s="18">
        <f t="shared" si="1191"/>
        <v>0.12179867800188168</v>
      </c>
      <c r="X325" s="18">
        <f t="shared" si="1191"/>
        <v>0.11183260138944603</v>
      </c>
      <c r="Y325" s="18">
        <f t="shared" si="1191"/>
        <v>0.15881579579770211</v>
      </c>
      <c r="Z325" s="18">
        <f t="shared" si="1191"/>
        <v>5.2140537922512775E-2</v>
      </c>
      <c r="AA325" s="18">
        <f t="shared" si="1191"/>
        <v>7.0890191743006661E-2</v>
      </c>
      <c r="AB325" s="18">
        <f t="shared" si="1191"/>
        <v>-5.3315011562746185E-2</v>
      </c>
      <c r="AC325" s="18">
        <f t="shared" si="1191"/>
        <v>-3.6060720700995468E-2</v>
      </c>
      <c r="AD325" s="18">
        <f t="shared" si="1191"/>
        <v>0.14222665656597705</v>
      </c>
      <c r="AE325" s="18">
        <f t="shared" si="1191"/>
        <v>0.15881579579770211</v>
      </c>
      <c r="AF325" s="18">
        <f t="shared" si="1191"/>
        <v>3.6343063504241865E-2</v>
      </c>
      <c r="AG325" s="18">
        <f t="shared" si="1191"/>
        <v>-0.12353539094778054</v>
      </c>
      <c r="AH325" s="18">
        <f t="shared" si="1191"/>
        <v>0.17166351900451166</v>
      </c>
      <c r="AI325" s="18">
        <f t="shared" si="1191"/>
        <v>0.16111855996717042</v>
      </c>
      <c r="AJ325" s="18">
        <f t="shared" si="1191"/>
        <v>6.5051238922690019E-2</v>
      </c>
      <c r="AK325" s="18">
        <f t="shared" ref="AK325:BG325" si="1192" xml:space="preserve"> 0.17172 *AK303 * SIN( (AK307 ) * Deg2Rad )</f>
        <v>8.1580825851433711E-2</v>
      </c>
      <c r="AL325" s="18">
        <f t="shared" si="1192"/>
        <v>-0.17038045888155715</v>
      </c>
      <c r="AM325" s="18">
        <f t="shared" si="1192"/>
        <v>-0.14781997994548723</v>
      </c>
      <c r="AN325" s="18">
        <f t="shared" si="1192"/>
        <v>0.15955110396660738</v>
      </c>
      <c r="AO325" s="18">
        <f t="shared" si="1192"/>
        <v>0.16101367115889073</v>
      </c>
      <c r="AP325" s="18">
        <f t="shared" si="1192"/>
        <v>-0.16723118442814877</v>
      </c>
      <c r="AQ325" s="18">
        <f t="shared" si="1192"/>
        <v>-0.16723118442814877</v>
      </c>
      <c r="AR325" s="18">
        <f t="shared" si="1192"/>
        <v>-0.12735280097946228</v>
      </c>
      <c r="AS325" s="18">
        <f t="shared" si="1192"/>
        <v>-0.12735280097946228</v>
      </c>
      <c r="AT325" s="18">
        <f t="shared" si="1192"/>
        <v>-0.12735280097946228</v>
      </c>
      <c r="AU325" s="18">
        <f t="shared" si="1192"/>
        <v>3.3611315375648911E-2</v>
      </c>
      <c r="AV325" s="18">
        <f t="shared" si="1192"/>
        <v>-0.16928837928300541</v>
      </c>
      <c r="AW325" s="18">
        <f t="shared" si="1192"/>
        <v>6.9068043713643765E-2</v>
      </c>
      <c r="AX325" s="18">
        <f t="shared" si="1192"/>
        <v>0.11777674285212966</v>
      </c>
      <c r="AY325" s="18">
        <f t="shared" si="1192"/>
        <v>-5.5312141664940008E-2</v>
      </c>
      <c r="AZ325" s="18">
        <f t="shared" si="1192"/>
        <v>-5.5312141664940008E-2</v>
      </c>
      <c r="BA325" s="18">
        <f t="shared" si="1192"/>
        <v>3.0697083229863722E-2</v>
      </c>
      <c r="BB325" s="18">
        <f t="shared" si="1192"/>
        <v>3.0697083229863722E-2</v>
      </c>
      <c r="BC325" s="18">
        <f t="shared" si="1192"/>
        <v>3.0697083229863722E-2</v>
      </c>
      <c r="BD325" s="18">
        <f t="shared" si="1192"/>
        <v>3.0697083229863722E-2</v>
      </c>
      <c r="BE325" s="18">
        <f t="shared" si="1192"/>
        <v>3.0697083229863722E-2</v>
      </c>
      <c r="BF325" s="18">
        <f t="shared" si="1192"/>
        <v>3.0697083229863722E-2</v>
      </c>
      <c r="BG325" s="18">
        <f t="shared" si="1192"/>
        <v>0.15881579579770211</v>
      </c>
    </row>
    <row r="326" spans="1:59" x14ac:dyDescent="0.25">
      <c r="C326" t="s">
        <v>66</v>
      </c>
      <c r="E326" s="18">
        <f t="shared" ref="E326:AJ326" si="1193" xml:space="preserve"> -0.01183 *E303 * SIN( (E312+E307 ) * Deg2Rad )</f>
        <v>1.1390867844802257E-2</v>
      </c>
      <c r="F326" s="18">
        <f t="shared" si="1193"/>
        <v>-1.2124635835358758E-2</v>
      </c>
      <c r="G326" s="18">
        <f t="shared" si="1193"/>
        <v>-4.9415930451763655E-3</v>
      </c>
      <c r="H326" s="18">
        <f t="shared" si="1193"/>
        <v>6.9940070823264703E-3</v>
      </c>
      <c r="I326" s="18">
        <f t="shared" si="1193"/>
        <v>-1.5943460552998571E-3</v>
      </c>
      <c r="J326" s="18">
        <f t="shared" si="1193"/>
        <v>1.1559678952307521E-2</v>
      </c>
      <c r="K326" s="18">
        <f t="shared" si="1193"/>
        <v>9.4742068413836821E-3</v>
      </c>
      <c r="L326" s="18">
        <f t="shared" si="1193"/>
        <v>7.8289603857518084E-3</v>
      </c>
      <c r="M326" s="18">
        <f t="shared" si="1193"/>
        <v>1.1529314734598381E-2</v>
      </c>
      <c r="N326" s="18">
        <f t="shared" si="1193"/>
        <v>1.153522997074846E-2</v>
      </c>
      <c r="O326" s="18">
        <f t="shared" si="1193"/>
        <v>1.1145631532230572E-2</v>
      </c>
      <c r="P326" s="18">
        <f t="shared" si="1193"/>
        <v>-4.3072583692421252E-3</v>
      </c>
      <c r="Q326" s="18">
        <f t="shared" si="1193"/>
        <v>-3.3258442798343143E-3</v>
      </c>
      <c r="R326" s="18">
        <f t="shared" si="1193"/>
        <v>-1.1706131311721739E-2</v>
      </c>
      <c r="S326" s="18">
        <f t="shared" si="1193"/>
        <v>4.8383527199211364E-3</v>
      </c>
      <c r="T326" s="18">
        <f t="shared" si="1193"/>
        <v>-7.7379684036536127E-3</v>
      </c>
      <c r="U326" s="18">
        <f t="shared" si="1193"/>
        <v>8.4016344083796407E-3</v>
      </c>
      <c r="V326" s="18">
        <f t="shared" si="1193"/>
        <v>-1.2177940021068843E-2</v>
      </c>
      <c r="W326" s="18">
        <f t="shared" si="1193"/>
        <v>-1.5426189689817366E-3</v>
      </c>
      <c r="X326" s="18">
        <f t="shared" si="1193"/>
        <v>4.4914043418238124E-3</v>
      </c>
      <c r="Y326" s="18">
        <f t="shared" si="1193"/>
        <v>-1.18272407110193E-2</v>
      </c>
      <c r="Z326" s="18">
        <f t="shared" si="1193"/>
        <v>-5.3577010460457292E-3</v>
      </c>
      <c r="AA326" s="18">
        <f t="shared" si="1193"/>
        <v>-4.9415930451763655E-3</v>
      </c>
      <c r="AB326" s="18">
        <f t="shared" si="1193"/>
        <v>2.8774892765953911E-3</v>
      </c>
      <c r="AC326" s="18">
        <f t="shared" si="1193"/>
        <v>7.7014283633627095E-3</v>
      </c>
      <c r="AD326" s="18">
        <f t="shared" si="1193"/>
        <v>-1.1004212738828519E-2</v>
      </c>
      <c r="AE326" s="18">
        <f t="shared" si="1193"/>
        <v>-1.18272407110193E-2</v>
      </c>
      <c r="AF326" s="18">
        <f t="shared" si="1193"/>
        <v>-9.9310866107036322E-3</v>
      </c>
      <c r="AG326" s="18">
        <f t="shared" si="1193"/>
        <v>9.4214569765407232E-3</v>
      </c>
      <c r="AH326" s="18">
        <f t="shared" si="1193"/>
        <v>1.1202678086439781E-2</v>
      </c>
      <c r="AI326" s="18">
        <f t="shared" si="1193"/>
        <v>1.1539647521681348E-2</v>
      </c>
      <c r="AJ326" s="18">
        <f t="shared" si="1193"/>
        <v>5.6127495632251915E-3</v>
      </c>
      <c r="AK326" s="18">
        <f t="shared" ref="AK326:BG326" si="1194" xml:space="preserve"> -0.01183 *AK303 * SIN( (AK312+AK307 ) * Deg2Rad )</f>
        <v>-1.0906357489722334E-3</v>
      </c>
      <c r="AL326" s="18">
        <f t="shared" si="1194"/>
        <v>7.7245783321174856E-3</v>
      </c>
      <c r="AM326" s="18">
        <f t="shared" si="1194"/>
        <v>-1.2196876959747796E-2</v>
      </c>
      <c r="AN326" s="18">
        <f t="shared" si="1194"/>
        <v>7.5920454088467208E-3</v>
      </c>
      <c r="AO326" s="18">
        <f t="shared" si="1194"/>
        <v>1.6286905202476959E-4</v>
      </c>
      <c r="AP326" s="18">
        <f t="shared" si="1194"/>
        <v>-1.1213934413323421E-2</v>
      </c>
      <c r="AQ326" s="18">
        <f t="shared" si="1194"/>
        <v>-1.1213934413323421E-2</v>
      </c>
      <c r="AR326" s="18">
        <f t="shared" si="1194"/>
        <v>-3.3784759768401254E-3</v>
      </c>
      <c r="AS326" s="18">
        <f t="shared" si="1194"/>
        <v>-3.3784759768401254E-3</v>
      </c>
      <c r="AT326" s="18">
        <f t="shared" si="1194"/>
        <v>-3.3784759768401254E-3</v>
      </c>
      <c r="AU326" s="18">
        <f t="shared" si="1194"/>
        <v>-1.1807243437658106E-2</v>
      </c>
      <c r="AV326" s="18">
        <f t="shared" si="1194"/>
        <v>-5.2903398656115183E-4</v>
      </c>
      <c r="AW326" s="18">
        <f t="shared" si="1194"/>
        <v>1.1739908245047288E-2</v>
      </c>
      <c r="AX326" s="18">
        <f t="shared" si="1194"/>
        <v>8.1757340503554304E-3</v>
      </c>
      <c r="AY326" s="18">
        <f t="shared" si="1194"/>
        <v>7.3307652831482379E-3</v>
      </c>
      <c r="AZ326" s="18">
        <f t="shared" si="1194"/>
        <v>7.3307652831482379E-3</v>
      </c>
      <c r="BA326" s="18">
        <f t="shared" si="1194"/>
        <v>1.1804233635244354E-2</v>
      </c>
      <c r="BB326" s="18">
        <f t="shared" si="1194"/>
        <v>1.1804233635244354E-2</v>
      </c>
      <c r="BC326" s="18">
        <f t="shared" si="1194"/>
        <v>1.1804233635244354E-2</v>
      </c>
      <c r="BD326" s="18">
        <f t="shared" si="1194"/>
        <v>1.1804233635244354E-2</v>
      </c>
      <c r="BE326" s="18">
        <f t="shared" si="1194"/>
        <v>1.1804233635244354E-2</v>
      </c>
      <c r="BF326" s="18">
        <f t="shared" si="1194"/>
        <v>1.1804233635244354E-2</v>
      </c>
      <c r="BG326" s="18">
        <f t="shared" si="1194"/>
        <v>-1.18272407110193E-2</v>
      </c>
    </row>
    <row r="327" spans="1:59" x14ac:dyDescent="0.25">
      <c r="C327" t="s">
        <v>67</v>
      </c>
      <c r="E327" s="18">
        <f t="shared" ref="E327:AJ327" si="1195" xml:space="preserve"> 0.00862 * SIN( (2 * E312 ) * Deg2Rad )</f>
        <v>-6.7011383541256079E-3</v>
      </c>
      <c r="F327" s="18">
        <f t="shared" si="1195"/>
        <v>-7.1603780317677154E-3</v>
      </c>
      <c r="G327" s="18">
        <f t="shared" si="1195"/>
        <v>-8.5330261234704986E-3</v>
      </c>
      <c r="H327" s="18">
        <f t="shared" si="1195"/>
        <v>3.3805249927992077E-4</v>
      </c>
      <c r="I327" s="18">
        <f t="shared" si="1195"/>
        <v>-8.4774320380965572E-3</v>
      </c>
      <c r="J327" s="18">
        <f t="shared" si="1195"/>
        <v>2.0994349617190571E-4</v>
      </c>
      <c r="K327" s="18">
        <f t="shared" si="1195"/>
        <v>-6.2382941844371852E-6</v>
      </c>
      <c r="L327" s="18">
        <f t="shared" si="1195"/>
        <v>8.4381689331518277E-3</v>
      </c>
      <c r="M327" s="18">
        <f t="shared" si="1195"/>
        <v>8.0593939189223113E-3</v>
      </c>
      <c r="N327" s="18">
        <f t="shared" si="1195"/>
        <v>8.0708868523126937E-3</v>
      </c>
      <c r="O327" s="18">
        <f t="shared" si="1195"/>
        <v>3.0437660274050481E-3</v>
      </c>
      <c r="P327" s="18">
        <f t="shared" si="1195"/>
        <v>5.3104324589506157E-3</v>
      </c>
      <c r="Q327" s="18">
        <f t="shared" si="1195"/>
        <v>-5.2419790187863236E-5</v>
      </c>
      <c r="R327" s="18">
        <f t="shared" si="1195"/>
        <v>6.7258739256456264E-3</v>
      </c>
      <c r="S327" s="18">
        <f t="shared" si="1195"/>
        <v>-8.5805272613545952E-3</v>
      </c>
      <c r="T327" s="18">
        <f t="shared" si="1195"/>
        <v>7.4206220827160467E-3</v>
      </c>
      <c r="U327" s="18">
        <f t="shared" si="1195"/>
        <v>7.9651924420046094E-3</v>
      </c>
      <c r="V327" s="18">
        <f t="shared" si="1195"/>
        <v>2.935719567079545E-3</v>
      </c>
      <c r="W327" s="18">
        <f t="shared" si="1195"/>
        <v>8.3392462161905861E-3</v>
      </c>
      <c r="X327" s="18">
        <f t="shared" si="1195"/>
        <v>5.1438568174315084E-3</v>
      </c>
      <c r="Y327" s="18">
        <f t="shared" si="1195"/>
        <v>6.5517433024341962E-3</v>
      </c>
      <c r="Z327" s="18">
        <f t="shared" si="1195"/>
        <v>-8.6193861834096136E-3</v>
      </c>
      <c r="AA327" s="18">
        <f t="shared" si="1195"/>
        <v>-8.5330261234704986E-3</v>
      </c>
      <c r="AB327" s="18">
        <f t="shared" si="1195"/>
        <v>-1.2012630172155544E-3</v>
      </c>
      <c r="AC327" s="18">
        <f t="shared" si="1195"/>
        <v>8.3099132479965664E-3</v>
      </c>
      <c r="AD327" s="18">
        <f t="shared" si="1195"/>
        <v>-3.6507308860602664E-3</v>
      </c>
      <c r="AE327" s="18">
        <f t="shared" si="1195"/>
        <v>6.5517433024341962E-3</v>
      </c>
      <c r="AF327" s="18">
        <f t="shared" si="1195"/>
        <v>8.6198875725771867E-3</v>
      </c>
      <c r="AG327" s="18">
        <f t="shared" si="1195"/>
        <v>-2.0211290941966132E-3</v>
      </c>
      <c r="AH327" s="18">
        <f t="shared" si="1195"/>
        <v>4.7905510179110577E-3</v>
      </c>
      <c r="AI327" s="18">
        <f t="shared" si="1195"/>
        <v>-2.2306486166231107E-3</v>
      </c>
      <c r="AJ327" s="18">
        <f t="shared" si="1195"/>
        <v>-1.810337959706639E-3</v>
      </c>
      <c r="AK327" s="18">
        <f t="shared" ref="AK327:BG327" si="1196" xml:space="preserve"> 0.00862 * SIN( (2 * AK312 ) * Deg2Rad )</f>
        <v>-6.1920867735773223E-3</v>
      </c>
      <c r="AL327" s="18">
        <f t="shared" si="1196"/>
        <v>8.5721329172571865E-3</v>
      </c>
      <c r="AM327" s="18">
        <f t="shared" si="1196"/>
        <v>7.4359710032311744E-3</v>
      </c>
      <c r="AN327" s="18">
        <f t="shared" si="1196"/>
        <v>7.2092497894234503E-3</v>
      </c>
      <c r="AO327" s="18">
        <f t="shared" si="1196"/>
        <v>-7.0105924907548122E-3</v>
      </c>
      <c r="AP327" s="18">
        <f t="shared" si="1196"/>
        <v>1.6407485553680565E-3</v>
      </c>
      <c r="AQ327" s="18">
        <f t="shared" si="1196"/>
        <v>1.6407485553680565E-3</v>
      </c>
      <c r="AR327" s="18">
        <f t="shared" si="1196"/>
        <v>7.6534272968778157E-3</v>
      </c>
      <c r="AS327" s="18">
        <f t="shared" si="1196"/>
        <v>7.6534272968778157E-3</v>
      </c>
      <c r="AT327" s="18">
        <f t="shared" si="1196"/>
        <v>7.6534272968778157E-3</v>
      </c>
      <c r="AU327" s="18">
        <f t="shared" si="1196"/>
        <v>-2.130895987560031E-3</v>
      </c>
      <c r="AV327" s="18">
        <f t="shared" si="1196"/>
        <v>-3.5707903075694355E-3</v>
      </c>
      <c r="AW327" s="18">
        <f t="shared" si="1196"/>
        <v>4.5383765109651038E-3</v>
      </c>
      <c r="AX327" s="18">
        <f t="shared" si="1196"/>
        <v>-1.2422683555790548E-4</v>
      </c>
      <c r="AY327" s="18">
        <f t="shared" si="1196"/>
        <v>7.8599754732047288E-3</v>
      </c>
      <c r="AZ327" s="18">
        <f t="shared" si="1196"/>
        <v>7.8599754732047288E-3</v>
      </c>
      <c r="BA327" s="18">
        <f t="shared" si="1196"/>
        <v>2.1036991357032886E-3</v>
      </c>
      <c r="BB327" s="18">
        <f t="shared" si="1196"/>
        <v>2.1036991357032886E-3</v>
      </c>
      <c r="BC327" s="18">
        <f t="shared" si="1196"/>
        <v>2.1036991357032886E-3</v>
      </c>
      <c r="BD327" s="18">
        <f t="shared" si="1196"/>
        <v>2.1036991357032886E-3</v>
      </c>
      <c r="BE327" s="18">
        <f t="shared" si="1196"/>
        <v>2.1036991357032886E-3</v>
      </c>
      <c r="BF327" s="18">
        <f t="shared" si="1196"/>
        <v>2.1036991357032886E-3</v>
      </c>
      <c r="BG327" s="18">
        <f t="shared" si="1196"/>
        <v>6.5517433024341962E-3</v>
      </c>
    </row>
    <row r="328" spans="1:59" x14ac:dyDescent="0.25">
      <c r="C328" t="s">
        <v>68</v>
      </c>
      <c r="E328" s="18">
        <f t="shared" ref="E328:AJ328" si="1197" xml:space="preserve"> 0.00804 * SIN( (2 * E317 ) * Deg2Rad )</f>
        <v>-3.702724025375454E-3</v>
      </c>
      <c r="F328" s="18">
        <f t="shared" si="1197"/>
        <v>-7.9269733047334871E-3</v>
      </c>
      <c r="G328" s="18">
        <f t="shared" si="1197"/>
        <v>-1.0393229802374763E-3</v>
      </c>
      <c r="H328" s="18">
        <f t="shared" si="1197"/>
        <v>1.2112422706750511E-3</v>
      </c>
      <c r="I328" s="18">
        <f t="shared" si="1197"/>
        <v>8.029940847732427E-3</v>
      </c>
      <c r="J328" s="18">
        <f t="shared" si="1197"/>
        <v>5.1217985209286877E-3</v>
      </c>
      <c r="K328" s="18">
        <f t="shared" si="1197"/>
        <v>7.6038647501689531E-3</v>
      </c>
      <c r="L328" s="18">
        <f t="shared" si="1197"/>
        <v>6.6389425996683342E-3</v>
      </c>
      <c r="M328" s="18">
        <f t="shared" si="1197"/>
        <v>-8.0376003624348206E-3</v>
      </c>
      <c r="N328" s="18">
        <f t="shared" si="1197"/>
        <v>-4.4283247201448274E-3</v>
      </c>
      <c r="O328" s="18">
        <f t="shared" si="1197"/>
        <v>-7.5132872957875295E-3</v>
      </c>
      <c r="P328" s="18">
        <f t="shared" si="1197"/>
        <v>5.3794403638170243E-3</v>
      </c>
      <c r="Q328" s="18">
        <f t="shared" si="1197"/>
        <v>-4.1805005389076956E-3</v>
      </c>
      <c r="R328" s="18">
        <f t="shared" si="1197"/>
        <v>4.0213801403854261E-3</v>
      </c>
      <c r="S328" s="18">
        <f t="shared" si="1197"/>
        <v>6.5615710548467907E-3</v>
      </c>
      <c r="T328" s="18">
        <f t="shared" si="1197"/>
        <v>-6.2193984058165385E-3</v>
      </c>
      <c r="U328" s="18">
        <f t="shared" si="1197"/>
        <v>7.9191863345471417E-3</v>
      </c>
      <c r="V328" s="18">
        <f t="shared" si="1197"/>
        <v>3.8309084414930223E-3</v>
      </c>
      <c r="W328" s="18">
        <f t="shared" si="1197"/>
        <v>-7.9819474025559188E-3</v>
      </c>
      <c r="X328" s="18">
        <f t="shared" si="1197"/>
        <v>6.9606122998992215E-3</v>
      </c>
      <c r="Y328" s="18">
        <f t="shared" si="1197"/>
        <v>7.6498445885158275E-3</v>
      </c>
      <c r="Z328" s="18">
        <f t="shared" si="1197"/>
        <v>7.8318410000560064E-3</v>
      </c>
      <c r="AA328" s="18">
        <f t="shared" si="1197"/>
        <v>-1.0393229802374763E-3</v>
      </c>
      <c r="AB328" s="18">
        <f t="shared" si="1197"/>
        <v>-4.312843689146458E-3</v>
      </c>
      <c r="AC328" s="18">
        <f t="shared" si="1197"/>
        <v>2.4075990532023972E-3</v>
      </c>
      <c r="AD328" s="18">
        <f t="shared" si="1197"/>
        <v>-7.4018736971069223E-3</v>
      </c>
      <c r="AE328" s="18">
        <f t="shared" si="1197"/>
        <v>7.6498445885158275E-3</v>
      </c>
      <c r="AF328" s="18">
        <f t="shared" si="1197"/>
        <v>-7.5909310511442264E-3</v>
      </c>
      <c r="AG328" s="18">
        <f t="shared" si="1197"/>
        <v>6.328876495804576E-3</v>
      </c>
      <c r="AH328" s="18">
        <f t="shared" si="1197"/>
        <v>-2.5833487324581732E-3</v>
      </c>
      <c r="AI328" s="18">
        <f t="shared" si="1197"/>
        <v>6.8691774751540305E-3</v>
      </c>
      <c r="AJ328" s="18">
        <f t="shared" si="1197"/>
        <v>-2.4129733464859277E-3</v>
      </c>
      <c r="AK328" s="18">
        <f t="shared" ref="AK328:BG328" si="1198" xml:space="preserve"> 0.00804 * SIN( (2 * AK317 ) * Deg2Rad )</f>
        <v>-1.5598648462023621E-3</v>
      </c>
      <c r="AL328" s="18">
        <f t="shared" si="1198"/>
        <v>-3.6235932196929856E-3</v>
      </c>
      <c r="AM328" s="18">
        <f t="shared" si="1198"/>
        <v>-2.7649553607971538E-3</v>
      </c>
      <c r="AN328" s="18">
        <f t="shared" si="1198"/>
        <v>1.5960932738492619E-3</v>
      </c>
      <c r="AO328" s="18">
        <f t="shared" si="1198"/>
        <v>-8.0383673451488204E-3</v>
      </c>
      <c r="AP328" s="18">
        <f t="shared" si="1198"/>
        <v>4.6973920233277554E-3</v>
      </c>
      <c r="AQ328" s="18">
        <f t="shared" si="1198"/>
        <v>4.6973920233277554E-3</v>
      </c>
      <c r="AR328" s="18">
        <f t="shared" si="1198"/>
        <v>-3.4728035411846986E-3</v>
      </c>
      <c r="AS328" s="18">
        <f t="shared" si="1198"/>
        <v>-3.4728035411846986E-3</v>
      </c>
      <c r="AT328" s="18">
        <f t="shared" si="1198"/>
        <v>-3.4728035411846986E-3</v>
      </c>
      <c r="AU328" s="18">
        <f t="shared" si="1198"/>
        <v>1.9128675172887812E-3</v>
      </c>
      <c r="AV328" s="18">
        <f t="shared" si="1198"/>
        <v>-3.8410648894345823E-3</v>
      </c>
      <c r="AW328" s="18">
        <f t="shared" si="1198"/>
        <v>-1.2933991582871598E-3</v>
      </c>
      <c r="AX328" s="18">
        <f t="shared" si="1198"/>
        <v>-2.6673682176702666E-3</v>
      </c>
      <c r="AY328" s="18">
        <f t="shared" si="1198"/>
        <v>-8.028474849572538E-3</v>
      </c>
      <c r="AZ328" s="18">
        <f t="shared" si="1198"/>
        <v>-8.028474849572538E-3</v>
      </c>
      <c r="BA328" s="18">
        <f t="shared" si="1198"/>
        <v>-4.2280394177676263E-3</v>
      </c>
      <c r="BB328" s="18">
        <f t="shared" si="1198"/>
        <v>-4.2280394177676263E-3</v>
      </c>
      <c r="BC328" s="18">
        <f t="shared" si="1198"/>
        <v>-4.2280394177676263E-3</v>
      </c>
      <c r="BD328" s="18">
        <f t="shared" si="1198"/>
        <v>-4.2280394177676263E-3</v>
      </c>
      <c r="BE328" s="18">
        <f t="shared" si="1198"/>
        <v>-4.2280394177676263E-3</v>
      </c>
      <c r="BF328" s="18">
        <f t="shared" si="1198"/>
        <v>-4.2280394177676263E-3</v>
      </c>
      <c r="BG328" s="18">
        <f t="shared" si="1198"/>
        <v>7.6498445885158275E-3</v>
      </c>
    </row>
    <row r="329" spans="1:59" x14ac:dyDescent="0.25">
      <c r="C329" t="s">
        <v>69</v>
      </c>
      <c r="E329" s="18">
        <f t="shared" ref="E329:AJ329" si="1199" xml:space="preserve"> 0.00454 *E303 * SIN( (E312-E307 ) * Deg2Rad )</f>
        <v>1.783277427781931E-3</v>
      </c>
      <c r="F329" s="18">
        <f t="shared" si="1199"/>
        <v>-3.2537831007924431E-3</v>
      </c>
      <c r="G329" s="18">
        <f t="shared" si="1199"/>
        <v>4.3520302865080523E-3</v>
      </c>
      <c r="H329" s="18">
        <f t="shared" si="1199"/>
        <v>2.5384232366458159E-3</v>
      </c>
      <c r="I329" s="18">
        <f t="shared" si="1199"/>
        <v>-4.536457680582179E-3</v>
      </c>
      <c r="J329" s="18">
        <f t="shared" si="1199"/>
        <v>-4.4112775492871573E-3</v>
      </c>
      <c r="K329" s="18">
        <f t="shared" si="1199"/>
        <v>-3.6378853440161918E-3</v>
      </c>
      <c r="L329" s="18">
        <f t="shared" si="1199"/>
        <v>-2.7196549555205843E-3</v>
      </c>
      <c r="M329" s="18">
        <f t="shared" si="1199"/>
        <v>-2.5669631802225563E-3</v>
      </c>
      <c r="N329" s="18">
        <f t="shared" si="1199"/>
        <v>4.3655021096184848E-4</v>
      </c>
      <c r="O329" s="18">
        <f t="shared" si="1199"/>
        <v>3.4187606022776382E-3</v>
      </c>
      <c r="P329" s="18">
        <f t="shared" si="1199"/>
        <v>-3.9916631536232464E-3</v>
      </c>
      <c r="Q329" s="18">
        <f t="shared" si="1199"/>
        <v>1.3042680383429871E-3</v>
      </c>
      <c r="R329" s="18">
        <f t="shared" si="1199"/>
        <v>1.565177611800896E-3</v>
      </c>
      <c r="S329" s="18">
        <f t="shared" si="1199"/>
        <v>4.6400325710147959E-3</v>
      </c>
      <c r="T329" s="18">
        <f t="shared" si="1199"/>
        <v>4.8147131066720904E-3</v>
      </c>
      <c r="U329" s="18">
        <f t="shared" si="1199"/>
        <v>4.5835402792024976E-3</v>
      </c>
      <c r="V329" s="18">
        <f t="shared" si="1199"/>
        <v>-5.13526595048216E-3</v>
      </c>
      <c r="W329" s="18">
        <f t="shared" si="1199"/>
        <v>-4.5058987638395397E-3</v>
      </c>
      <c r="X329" s="18">
        <f t="shared" si="1199"/>
        <v>3.8900256435073018E-3</v>
      </c>
      <c r="Y329" s="18">
        <f t="shared" si="1199"/>
        <v>-3.0882708395556387E-3</v>
      </c>
      <c r="Z329" s="18">
        <f t="shared" si="1199"/>
        <v>4.0172332647748976E-3</v>
      </c>
      <c r="AA329" s="18">
        <f t="shared" si="1199"/>
        <v>4.3520302865080523E-3</v>
      </c>
      <c r="AB329" s="18">
        <f t="shared" si="1199"/>
        <v>1.7079460663850861E-3</v>
      </c>
      <c r="AC329" s="18">
        <f t="shared" si="1199"/>
        <v>-4.110865968595518E-3</v>
      </c>
      <c r="AD329" s="18">
        <f t="shared" si="1199"/>
        <v>-3.1183242927269685E-3</v>
      </c>
      <c r="AE329" s="18">
        <f t="shared" si="1199"/>
        <v>-3.0882708395556387E-3</v>
      </c>
      <c r="AF329" s="18">
        <f t="shared" si="1199"/>
        <v>2.4489382652976462E-3</v>
      </c>
      <c r="AG329" s="18">
        <f t="shared" si="1199"/>
        <v>2.8707966852895418E-3</v>
      </c>
      <c r="AH329" s="18">
        <f t="shared" si="1199"/>
        <v>4.3866253533889092E-3</v>
      </c>
      <c r="AI329" s="18">
        <f t="shared" si="1199"/>
        <v>4.0179985252323481E-3</v>
      </c>
      <c r="AJ329" s="18">
        <f t="shared" si="1199"/>
        <v>1.2664626168829803E-3</v>
      </c>
      <c r="AK329" s="18">
        <f t="shared" ref="AK329:BG329" si="1200" xml:space="preserve"> 0.00454 *AK303 * SIN( (AK312-AK307 ) * Deg2Rad )</f>
        <v>-3.5534686053163992E-3</v>
      </c>
      <c r="AL329" s="18">
        <f t="shared" si="1200"/>
        <v>3.732808260406892E-3</v>
      </c>
      <c r="AM329" s="18">
        <f t="shared" si="1200"/>
        <v>-2.1013787493822235E-3</v>
      </c>
      <c r="AN329" s="18">
        <f t="shared" si="1200"/>
        <v>4.5091512412108129E-3</v>
      </c>
      <c r="AO329" s="18">
        <f t="shared" si="1200"/>
        <v>3.8304301243880564E-3</v>
      </c>
      <c r="AP329" s="18">
        <f t="shared" si="1200"/>
        <v>-4.4985649694830598E-3</v>
      </c>
      <c r="AQ329" s="18">
        <f t="shared" si="1200"/>
        <v>-4.4985649694830598E-3</v>
      </c>
      <c r="AR329" s="18">
        <f t="shared" si="1200"/>
        <v>-4.4571702342164248E-3</v>
      </c>
      <c r="AS329" s="18">
        <f t="shared" si="1200"/>
        <v>-4.4571702342164248E-3</v>
      </c>
      <c r="AT329" s="18">
        <f t="shared" si="1200"/>
        <v>-4.4571702342164248E-3</v>
      </c>
      <c r="AU329" s="18">
        <f t="shared" si="1200"/>
        <v>4.3098697645263034E-3</v>
      </c>
      <c r="AV329" s="18">
        <f t="shared" si="1200"/>
        <v>-1.6941096179969039E-3</v>
      </c>
      <c r="AW329" s="18">
        <f t="shared" si="1200"/>
        <v>-3.5058547909702928E-3</v>
      </c>
      <c r="AX329" s="18">
        <f t="shared" si="1200"/>
        <v>3.0898907001840423E-3</v>
      </c>
      <c r="AY329" s="18">
        <f t="shared" si="1200"/>
        <v>-4.4010976388933719E-3</v>
      </c>
      <c r="AZ329" s="18">
        <f t="shared" si="1200"/>
        <v>-4.4010976388933719E-3</v>
      </c>
      <c r="BA329" s="18">
        <f t="shared" si="1200"/>
        <v>-4.3305318977262999E-3</v>
      </c>
      <c r="BB329" s="18">
        <f t="shared" si="1200"/>
        <v>-4.3305318977262999E-3</v>
      </c>
      <c r="BC329" s="18">
        <f t="shared" si="1200"/>
        <v>-4.3305318977262999E-3</v>
      </c>
      <c r="BD329" s="18">
        <f t="shared" si="1200"/>
        <v>-4.3305318977262999E-3</v>
      </c>
      <c r="BE329" s="18">
        <f t="shared" si="1200"/>
        <v>-4.3305318977262999E-3</v>
      </c>
      <c r="BF329" s="18">
        <f t="shared" si="1200"/>
        <v>-4.3305318977262999E-3</v>
      </c>
      <c r="BG329" s="18">
        <f t="shared" si="1200"/>
        <v>-3.0882708395556387E-3</v>
      </c>
    </row>
    <row r="330" spans="1:59" x14ac:dyDescent="0.25">
      <c r="C330" t="s">
        <v>70</v>
      </c>
      <c r="E330" s="18">
        <f t="shared" ref="E330:AJ330" si="1201" xml:space="preserve"> 0.00204 *E303^2 * SIN( (2 * E307 ) * Deg2Rad )</f>
        <v>-2.0280794788094616E-3</v>
      </c>
      <c r="F330" s="18">
        <f t="shared" si="1201"/>
        <v>-1.3182600692564917E-3</v>
      </c>
      <c r="G330" s="18">
        <f t="shared" si="1201"/>
        <v>1.5340967398120387E-3</v>
      </c>
      <c r="H330" s="18">
        <f t="shared" si="1201"/>
        <v>1.9199217441234679E-3</v>
      </c>
      <c r="I330" s="18">
        <f t="shared" si="1201"/>
        <v>2.0333953702842615E-3</v>
      </c>
      <c r="J330" s="18">
        <f t="shared" si="1201"/>
        <v>8.981752283157441E-4</v>
      </c>
      <c r="K330" s="18">
        <f t="shared" si="1201"/>
        <v>1.9579638285173759E-3</v>
      </c>
      <c r="L330" s="18">
        <f t="shared" si="1201"/>
        <v>1.6486585853116984E-4</v>
      </c>
      <c r="M330" s="18">
        <f t="shared" si="1201"/>
        <v>1.3748655014203899E-3</v>
      </c>
      <c r="N330" s="18">
        <f t="shared" si="1201"/>
        <v>2.0514227677299367E-3</v>
      </c>
      <c r="O330" s="18">
        <f t="shared" si="1201"/>
        <v>1.8521528670009124E-3</v>
      </c>
      <c r="P330" s="18">
        <f t="shared" si="1201"/>
        <v>-2.120810582633761E-3</v>
      </c>
      <c r="Q330" s="18">
        <f t="shared" si="1201"/>
        <v>1.1721756059553281E-3</v>
      </c>
      <c r="R330" s="18">
        <f t="shared" si="1201"/>
        <v>2.2492905203311212E-3</v>
      </c>
      <c r="S330" s="18">
        <f t="shared" si="1201"/>
        <v>1.7978836703118741E-3</v>
      </c>
      <c r="T330" s="18">
        <f t="shared" si="1201"/>
        <v>-1.651309856958151E-3</v>
      </c>
      <c r="U330" s="18">
        <f t="shared" si="1201"/>
        <v>-1.1367309877536686E-3</v>
      </c>
      <c r="V330" s="18">
        <f t="shared" si="1201"/>
        <v>-1.3161987517662994E-3</v>
      </c>
      <c r="W330" s="18">
        <f t="shared" si="1201"/>
        <v>-2.0412652505048981E-3</v>
      </c>
      <c r="X330" s="18">
        <f t="shared" si="1201"/>
        <v>-2.0170464257386633E-3</v>
      </c>
      <c r="Y330" s="18">
        <f t="shared" si="1201"/>
        <v>1.4407988886224144E-3</v>
      </c>
      <c r="Z330" s="18">
        <f t="shared" si="1201"/>
        <v>1.1789077106816928E-3</v>
      </c>
      <c r="AA330" s="18">
        <f t="shared" si="1201"/>
        <v>1.5340967398120387E-3</v>
      </c>
      <c r="AB330" s="18">
        <f t="shared" si="1201"/>
        <v>1.2056647019151861E-3</v>
      </c>
      <c r="AC330" s="18">
        <f t="shared" si="1201"/>
        <v>-8.3814756332029668E-4</v>
      </c>
      <c r="AD330" s="18">
        <f t="shared" si="1201"/>
        <v>-1.8953731403132334E-3</v>
      </c>
      <c r="AE330" s="18">
        <f t="shared" si="1201"/>
        <v>1.4407988886224144E-3</v>
      </c>
      <c r="AF330" s="18">
        <f t="shared" si="1201"/>
        <v>8.4409148204341044E-4</v>
      </c>
      <c r="AG330" s="18">
        <f t="shared" si="1201"/>
        <v>-2.0395032460335501E-3</v>
      </c>
      <c r="AH330" s="18">
        <f t="shared" si="1201"/>
        <v>-1.3515430907643915E-4</v>
      </c>
      <c r="AI330" s="18">
        <f t="shared" si="1201"/>
        <v>-1.3263715795031885E-3</v>
      </c>
      <c r="AJ330" s="18">
        <f t="shared" si="1201"/>
        <v>-1.4306745624509387E-3</v>
      </c>
      <c r="AK330" s="18">
        <f t="shared" ref="AK330:BG330" si="1202" xml:space="preserve"> 0.00204 *AK303^2 * SIN( (2 * AK307 ) * Deg2Rad )</f>
        <v>1.7156399042933881E-3</v>
      </c>
      <c r="AL330" s="18">
        <f t="shared" si="1202"/>
        <v>-5.1214345923629098E-4</v>
      </c>
      <c r="AM330" s="18">
        <f t="shared" si="1202"/>
        <v>2.0071448167750098E-3</v>
      </c>
      <c r="AN330" s="18">
        <f t="shared" si="1202"/>
        <v>-1.4015588880451439E-3</v>
      </c>
      <c r="AO330" s="18">
        <f t="shared" si="1202"/>
        <v>1.7850502128215981E-3</v>
      </c>
      <c r="AP330" s="18">
        <f t="shared" si="1202"/>
        <v>-8.9246206312122657E-4</v>
      </c>
      <c r="AQ330" s="18">
        <f t="shared" si="1202"/>
        <v>-8.9246206312122657E-4</v>
      </c>
      <c r="AR330" s="18">
        <f t="shared" si="1202"/>
        <v>-2.0271707421042353E-3</v>
      </c>
      <c r="AS330" s="18">
        <f t="shared" si="1202"/>
        <v>-2.0271707421042353E-3</v>
      </c>
      <c r="AT330" s="18">
        <f t="shared" si="1202"/>
        <v>-2.0271707421042353E-3</v>
      </c>
      <c r="AU330" s="18">
        <f t="shared" si="1202"/>
        <v>-7.8368800564410633E-4</v>
      </c>
      <c r="AV330" s="18">
        <f t="shared" si="1202"/>
        <v>6.7586766414780047E-4</v>
      </c>
      <c r="AW330" s="18">
        <f t="shared" si="1202"/>
        <v>1.5053609399500532E-3</v>
      </c>
      <c r="AX330" s="18">
        <f t="shared" si="1202"/>
        <v>-2.0405418228613748E-3</v>
      </c>
      <c r="AY330" s="18">
        <f t="shared" si="1202"/>
        <v>-1.2433509098285984E-3</v>
      </c>
      <c r="AZ330" s="18">
        <f t="shared" si="1202"/>
        <v>-1.2433509098285984E-3</v>
      </c>
      <c r="BA330" s="18">
        <f t="shared" si="1202"/>
        <v>7.1717282060395726E-4</v>
      </c>
      <c r="BB330" s="18">
        <f t="shared" si="1202"/>
        <v>7.1717282060395726E-4</v>
      </c>
      <c r="BC330" s="18">
        <f t="shared" si="1202"/>
        <v>7.1717282060395726E-4</v>
      </c>
      <c r="BD330" s="18">
        <f t="shared" si="1202"/>
        <v>7.1717282060395726E-4</v>
      </c>
      <c r="BE330" s="18">
        <f t="shared" si="1202"/>
        <v>7.1717282060395726E-4</v>
      </c>
      <c r="BF330" s="18">
        <f t="shared" si="1202"/>
        <v>7.1717282060395726E-4</v>
      </c>
      <c r="BG330" s="18">
        <f t="shared" si="1202"/>
        <v>1.4407988886224144E-3</v>
      </c>
    </row>
    <row r="331" spans="1:59" x14ac:dyDescent="0.25">
      <c r="C331" t="s">
        <v>71</v>
      </c>
      <c r="E331" s="18">
        <f t="shared" ref="E331:AJ331" si="1203" xml:space="preserve"> -0.0018 * SIN( (E312-2 * E317 ) * Deg2Rad )</f>
        <v>-1.4362785053365942E-3</v>
      </c>
      <c r="F331" s="18">
        <f t="shared" si="1203"/>
        <v>-1.7073285220634265E-3</v>
      </c>
      <c r="G331" s="18">
        <f t="shared" si="1203"/>
        <v>1.5010005970183423E-3</v>
      </c>
      <c r="H331" s="18">
        <f t="shared" si="1203"/>
        <v>-3.0602086919713571E-4</v>
      </c>
      <c r="I331" s="18">
        <f t="shared" si="1203"/>
        <v>1.3239353454208014E-3</v>
      </c>
      <c r="J331" s="18">
        <f t="shared" si="1203"/>
        <v>-1.3734281610535014E-3</v>
      </c>
      <c r="K331" s="18">
        <f t="shared" si="1203"/>
        <v>-5.8417280508801176E-4</v>
      </c>
      <c r="L331" s="18">
        <f t="shared" si="1203"/>
        <v>5.1297747836404647E-4</v>
      </c>
      <c r="M331" s="18">
        <f t="shared" si="1203"/>
        <v>9.8591127435214984E-4</v>
      </c>
      <c r="N331" s="18">
        <f t="shared" si="1203"/>
        <v>-4.0787520301381211E-5</v>
      </c>
      <c r="O331" s="18">
        <f t="shared" si="1203"/>
        <v>1.7697691005165467E-3</v>
      </c>
      <c r="P331" s="18">
        <f t="shared" si="1203"/>
        <v>7.027949911032114E-4</v>
      </c>
      <c r="Q331" s="18">
        <f t="shared" si="1203"/>
        <v>1.540378776142259E-3</v>
      </c>
      <c r="R331" s="18">
        <f t="shared" si="1203"/>
        <v>1.7947694309968774E-3</v>
      </c>
      <c r="S331" s="18">
        <f t="shared" si="1203"/>
        <v>1.7867540431205553E-3</v>
      </c>
      <c r="T331" s="18">
        <f t="shared" si="1203"/>
        <v>-3.007695514484849E-4</v>
      </c>
      <c r="U331" s="18">
        <f t="shared" si="1203"/>
        <v>1.6467175155918249E-3</v>
      </c>
      <c r="V331" s="18">
        <f t="shared" si="1203"/>
        <v>5.7114858796235074E-4</v>
      </c>
      <c r="W331" s="18">
        <f t="shared" si="1203"/>
        <v>-1.5464667591878934E-3</v>
      </c>
      <c r="X331" s="18">
        <f t="shared" si="1203"/>
        <v>-1.7625144717307269E-3</v>
      </c>
      <c r="Y331" s="18">
        <f t="shared" si="1203"/>
        <v>1.7872921265343544E-3</v>
      </c>
      <c r="Z331" s="18">
        <f t="shared" si="1203"/>
        <v>-1.5332411995488094E-3</v>
      </c>
      <c r="AA331" s="18">
        <f t="shared" si="1203"/>
        <v>1.5010005970183423E-3</v>
      </c>
      <c r="AB331" s="18">
        <f t="shared" si="1203"/>
        <v>-1.0693125317143455E-3</v>
      </c>
      <c r="AC331" s="18">
        <f t="shared" si="1203"/>
        <v>1.0396985827055849E-3</v>
      </c>
      <c r="AD331" s="18">
        <f t="shared" si="1203"/>
        <v>-1.4652263050695499E-3</v>
      </c>
      <c r="AE331" s="18">
        <f t="shared" si="1203"/>
        <v>1.7872921265343544E-3</v>
      </c>
      <c r="AF331" s="18">
        <f t="shared" si="1203"/>
        <v>-7.8641729926988576E-4</v>
      </c>
      <c r="AG331" s="18">
        <f t="shared" si="1203"/>
        <v>1.275942385728718E-3</v>
      </c>
      <c r="AH331" s="18">
        <f t="shared" si="1203"/>
        <v>1.0484197079810075E-3</v>
      </c>
      <c r="AI331" s="18">
        <f t="shared" si="1203"/>
        <v>-1.646794403806178E-3</v>
      </c>
      <c r="AJ331" s="18">
        <f t="shared" si="1203"/>
        <v>7.1851228655776095E-4</v>
      </c>
      <c r="AK331" s="18">
        <f t="shared" ref="AK331:BG331" si="1204" xml:space="preserve"> -0.0018 * SIN( (AK312-2 * AK317 ) * Deg2Rad )</f>
        <v>3.6722273423247208E-4</v>
      </c>
      <c r="AL331" s="18">
        <f t="shared" si="1204"/>
        <v>-1.6778174712920903E-3</v>
      </c>
      <c r="AM331" s="18">
        <f t="shared" si="1204"/>
        <v>-3.0305140037690685E-4</v>
      </c>
      <c r="AN331" s="18">
        <f t="shared" si="1204"/>
        <v>5.2408859612398863E-4</v>
      </c>
      <c r="AO331" s="18">
        <f t="shared" si="1204"/>
        <v>7.9061548817147399E-4</v>
      </c>
      <c r="AP331" s="18">
        <f t="shared" si="1204"/>
        <v>-1.1865057064827619E-3</v>
      </c>
      <c r="AQ331" s="18">
        <f t="shared" si="1204"/>
        <v>-1.1865057064827619E-3</v>
      </c>
      <c r="AR331" s="18">
        <f t="shared" si="1204"/>
        <v>-1.7916709336998507E-4</v>
      </c>
      <c r="AS331" s="18">
        <f t="shared" si="1204"/>
        <v>-1.7916709336998507E-4</v>
      </c>
      <c r="AT331" s="18">
        <f t="shared" si="1204"/>
        <v>-1.7916709336998507E-4</v>
      </c>
      <c r="AU331" s="18">
        <f t="shared" si="1204"/>
        <v>-1.6813461253160661E-3</v>
      </c>
      <c r="AV331" s="18">
        <f t="shared" si="1204"/>
        <v>1.7276292096852202E-3</v>
      </c>
      <c r="AW331" s="18">
        <f t="shared" si="1204"/>
        <v>-1.6294655662661532E-3</v>
      </c>
      <c r="AX331" s="18">
        <f t="shared" si="1204"/>
        <v>6.0939252220198917E-4</v>
      </c>
      <c r="AY331" s="18">
        <f t="shared" si="1204"/>
        <v>8.9486770920656135E-4</v>
      </c>
      <c r="AZ331" s="18">
        <f t="shared" si="1204"/>
        <v>8.9486770920656135E-4</v>
      </c>
      <c r="BA331" s="18">
        <f t="shared" si="1204"/>
        <v>1.6357818165411793E-3</v>
      </c>
      <c r="BB331" s="18">
        <f t="shared" si="1204"/>
        <v>1.6357818165411793E-3</v>
      </c>
      <c r="BC331" s="18">
        <f t="shared" si="1204"/>
        <v>1.6357818165411793E-3</v>
      </c>
      <c r="BD331" s="18">
        <f t="shared" si="1204"/>
        <v>1.6357818165411793E-3</v>
      </c>
      <c r="BE331" s="18">
        <f t="shared" si="1204"/>
        <v>1.6357818165411793E-3</v>
      </c>
      <c r="BF331" s="18">
        <f t="shared" si="1204"/>
        <v>1.6357818165411793E-3</v>
      </c>
      <c r="BG331" s="18">
        <f t="shared" si="1204"/>
        <v>1.7872921265343544E-3</v>
      </c>
    </row>
    <row r="332" spans="1:59" x14ac:dyDescent="0.25">
      <c r="C332" t="s">
        <v>72</v>
      </c>
      <c r="E332" s="18">
        <f t="shared" ref="E332:AJ332" si="1205" xml:space="preserve"> -0.0007 * SIN( (E312+2 * E317 ) * Deg2Rad )</f>
        <v>2.3336984666338261E-5</v>
      </c>
      <c r="F332" s="18">
        <f t="shared" si="1205"/>
        <v>5.538386045253346E-4</v>
      </c>
      <c r="G332" s="18">
        <f t="shared" si="1205"/>
        <v>4.6516521097783413E-4</v>
      </c>
      <c r="H332" s="18">
        <f t="shared" si="1205"/>
        <v>9.1864150146627892E-5</v>
      </c>
      <c r="I332" s="18">
        <f t="shared" si="1205"/>
        <v>-5.5966133522521047E-4</v>
      </c>
      <c r="J332" s="18">
        <f t="shared" si="1205"/>
        <v>-5.4497250263497283E-4</v>
      </c>
      <c r="K332" s="18">
        <f t="shared" si="1205"/>
        <v>-2.2765742281737766E-4</v>
      </c>
      <c r="L332" s="18">
        <f t="shared" si="1205"/>
        <v>-6.9757669473517433E-4</v>
      </c>
      <c r="M332" s="18">
        <f t="shared" si="1205"/>
        <v>-4.1155930598485473E-4</v>
      </c>
      <c r="N332" s="18">
        <f t="shared" si="1205"/>
        <v>-6.4966937685100468E-4</v>
      </c>
      <c r="O332" s="18">
        <f t="shared" si="1205"/>
        <v>-5.9879916916294245E-4</v>
      </c>
      <c r="P332" s="18">
        <f t="shared" si="1205"/>
        <v>-6.1229849857637121E-4</v>
      </c>
      <c r="Q332" s="18">
        <f t="shared" si="1205"/>
        <v>5.968227887368085E-4</v>
      </c>
      <c r="R332" s="18">
        <f t="shared" si="1205"/>
        <v>3.9493514611993713E-4</v>
      </c>
      <c r="S332" s="18">
        <f t="shared" si="1205"/>
        <v>-1.5079768556396596E-4</v>
      </c>
      <c r="T332" s="18">
        <f t="shared" si="1205"/>
        <v>-6.5364765467973906E-4</v>
      </c>
      <c r="U332" s="18">
        <f t="shared" si="1205"/>
        <v>-5.0601854758714404E-4</v>
      </c>
      <c r="V332" s="18">
        <f t="shared" si="1205"/>
        <v>-4.3491503777326148E-4</v>
      </c>
      <c r="W332" s="18">
        <f t="shared" si="1205"/>
        <v>4.9878057570177531E-4</v>
      </c>
      <c r="X332" s="18">
        <f t="shared" si="1205"/>
        <v>4.6520490021923828E-4</v>
      </c>
      <c r="Y332" s="18">
        <f t="shared" si="1205"/>
        <v>-5.1479256123933401E-4</v>
      </c>
      <c r="Z332" s="18">
        <f t="shared" si="1205"/>
        <v>3.7379567126325902E-4</v>
      </c>
      <c r="AA332" s="18">
        <f t="shared" si="1205"/>
        <v>4.6516521097783413E-4</v>
      </c>
      <c r="AB332" s="18">
        <f t="shared" si="1205"/>
        <v>3.3331465442832195E-4</v>
      </c>
      <c r="AC332" s="18">
        <f t="shared" si="1205"/>
        <v>6.5833506860537802E-4</v>
      </c>
      <c r="AD332" s="18">
        <f t="shared" si="1205"/>
        <v>6.8838280368152982E-4</v>
      </c>
      <c r="AE332" s="18">
        <f t="shared" si="1205"/>
        <v>-5.1479256123933401E-4</v>
      </c>
      <c r="AF332" s="18">
        <f t="shared" si="1205"/>
        <v>6.3121133319655391E-4</v>
      </c>
      <c r="AG332" s="18">
        <f t="shared" si="1205"/>
        <v>-5.9813610499211286E-4</v>
      </c>
      <c r="AH332" s="18">
        <f t="shared" si="1205"/>
        <v>-2.2734253022865426E-5</v>
      </c>
      <c r="AI332" s="18">
        <f t="shared" si="1205"/>
        <v>5.4547584935842985E-4</v>
      </c>
      <c r="AJ332" s="18">
        <f t="shared" si="1205"/>
        <v>-1.3839881555838902E-4</v>
      </c>
      <c r="AK332" s="18">
        <f t="shared" ref="AK332:BG332" si="1206" xml:space="preserve"> -0.0007 * SIN( (AK312+2 * AK317 ) * Deg2Rad )</f>
        <v>3.9291105348142937E-4</v>
      </c>
      <c r="AL332" s="18">
        <f t="shared" si="1206"/>
        <v>-1.8342878498320097E-4</v>
      </c>
      <c r="AM332" s="18">
        <f t="shared" si="1206"/>
        <v>-5.3561731441620396E-4</v>
      </c>
      <c r="AN332" s="18">
        <f t="shared" si="1206"/>
        <v>4.4834123040254144E-4</v>
      </c>
      <c r="AO332" s="18">
        <f t="shared" si="1206"/>
        <v>-3.3255201714643435E-4</v>
      </c>
      <c r="AP332" s="18">
        <f t="shared" si="1206"/>
        <v>3.5278787381040134E-4</v>
      </c>
      <c r="AQ332" s="18">
        <f t="shared" si="1206"/>
        <v>3.5278787381040134E-4</v>
      </c>
      <c r="AR332" s="18">
        <f t="shared" si="1206"/>
        <v>-5.8636373630767456E-4</v>
      </c>
      <c r="AS332" s="18">
        <f t="shared" si="1206"/>
        <v>-5.8636373630767456E-4</v>
      </c>
      <c r="AT332" s="18">
        <f t="shared" si="1206"/>
        <v>-5.8636373630767456E-4</v>
      </c>
      <c r="AU332" s="18">
        <f t="shared" si="1206"/>
        <v>-6.95350131774532E-4</v>
      </c>
      <c r="AV332" s="18">
        <f t="shared" si="1206"/>
        <v>5.3010347043033334E-4</v>
      </c>
      <c r="AW332" s="18">
        <f t="shared" si="1206"/>
        <v>-6.9532294405715608E-4</v>
      </c>
      <c r="AX332" s="18">
        <f t="shared" si="1206"/>
        <v>-2.2746906277361657E-4</v>
      </c>
      <c r="AY332" s="18">
        <f t="shared" si="1206"/>
        <v>-4.1093510322628534E-4</v>
      </c>
      <c r="AZ332" s="18">
        <f t="shared" si="1206"/>
        <v>-4.1093510322628534E-4</v>
      </c>
      <c r="BA332" s="18">
        <f t="shared" si="1206"/>
        <v>5.4561302790620265E-4</v>
      </c>
      <c r="BB332" s="18">
        <f t="shared" si="1206"/>
        <v>5.4561302790620265E-4</v>
      </c>
      <c r="BC332" s="18">
        <f t="shared" si="1206"/>
        <v>5.4561302790620265E-4</v>
      </c>
      <c r="BD332" s="18">
        <f t="shared" si="1206"/>
        <v>5.4561302790620265E-4</v>
      </c>
      <c r="BE332" s="18">
        <f t="shared" si="1206"/>
        <v>5.4561302790620265E-4</v>
      </c>
      <c r="BF332" s="18">
        <f t="shared" si="1206"/>
        <v>5.4561302790620265E-4</v>
      </c>
      <c r="BG332" s="18">
        <f t="shared" si="1206"/>
        <v>-5.1479256123933401E-4</v>
      </c>
    </row>
    <row r="333" spans="1:59" x14ac:dyDescent="0.25">
      <c r="C333" t="s">
        <v>73</v>
      </c>
      <c r="E333" s="18">
        <f t="shared" ref="E333:AJ333" si="1207" xml:space="preserve"> -0.0004 * SIN( (3 * E312 ) * Deg2Rad )</f>
        <v>3.890031727340197E-4</v>
      </c>
      <c r="F333" s="18">
        <f t="shared" si="1207"/>
        <v>3.9798844540912874E-4</v>
      </c>
      <c r="G333" s="18">
        <f t="shared" si="1207"/>
        <v>-2.1657180100269786E-4</v>
      </c>
      <c r="H333" s="18">
        <f t="shared" si="1207"/>
        <v>2.3522792992583415E-5</v>
      </c>
      <c r="I333" s="18">
        <f t="shared" si="1207"/>
        <v>3.4866566281131534E-4</v>
      </c>
      <c r="J333" s="18">
        <f t="shared" si="1207"/>
        <v>3.9973304355500828E-4</v>
      </c>
      <c r="K333" s="18">
        <f t="shared" si="1207"/>
        <v>-3.999997643162076E-4</v>
      </c>
      <c r="L333" s="18">
        <f t="shared" si="1207"/>
        <v>-3.5539501927925245E-4</v>
      </c>
      <c r="M333" s="18">
        <f t="shared" si="1207"/>
        <v>9.5641260399586647E-5</v>
      </c>
      <c r="N333" s="18">
        <f t="shared" si="1207"/>
        <v>3.8784954074547591E-4</v>
      </c>
      <c r="O333" s="18">
        <f t="shared" si="1207"/>
        <v>2.0611116661094716E-4</v>
      </c>
      <c r="P333" s="18">
        <f t="shared" si="1207"/>
        <v>-3.3563320119582487E-4</v>
      </c>
      <c r="Q333" s="18">
        <f t="shared" si="1207"/>
        <v>3.9998335856086266E-4</v>
      </c>
      <c r="R333" s="18">
        <f t="shared" si="1207"/>
        <v>9.0476228716971082E-5</v>
      </c>
      <c r="S333" s="18">
        <f t="shared" si="1207"/>
        <v>3.204092466445737E-4</v>
      </c>
      <c r="T333" s="18">
        <f t="shared" si="1207"/>
        <v>-6.142648382386816E-6</v>
      </c>
      <c r="U333" s="18">
        <f t="shared" si="1207"/>
        <v>-3.9226607919657329E-4</v>
      </c>
      <c r="V333" s="18">
        <f t="shared" si="1207"/>
        <v>-1.9919821026030075E-4</v>
      </c>
      <c r="W333" s="18">
        <f t="shared" si="1207"/>
        <v>-3.681882940801819E-4</v>
      </c>
      <c r="X333" s="18">
        <f t="shared" si="1207"/>
        <v>3.2747906700743697E-4</v>
      </c>
      <c r="Y333" s="18">
        <f t="shared" si="1207"/>
        <v>-3.8489600088330181E-4</v>
      </c>
      <c r="Z333" s="18">
        <f t="shared" si="1207"/>
        <v>-2.8786026096641262E-4</v>
      </c>
      <c r="AA333" s="18">
        <f t="shared" si="1207"/>
        <v>-2.1657180100269786E-4</v>
      </c>
      <c r="AB333" s="18">
        <f t="shared" si="1207"/>
        <v>8.3274053753587155E-5</v>
      </c>
      <c r="AC333" s="18">
        <f t="shared" si="1207"/>
        <v>1.4905189230553445E-4</v>
      </c>
      <c r="AD333" s="18">
        <f t="shared" si="1207"/>
        <v>2.4397732103088391E-4</v>
      </c>
      <c r="AE333" s="18">
        <f t="shared" si="1207"/>
        <v>-3.8489600088330181E-4</v>
      </c>
      <c r="AF333" s="18">
        <f t="shared" si="1207"/>
        <v>-2.8500126781268886E-4</v>
      </c>
      <c r="AG333" s="18">
        <f t="shared" si="1207"/>
        <v>1.3903974219782919E-4</v>
      </c>
      <c r="AH333" s="18">
        <f t="shared" si="1207"/>
        <v>3.0928572364269445E-4</v>
      </c>
      <c r="AI333" s="18">
        <f t="shared" si="1207"/>
        <v>-1.5304863641660708E-4</v>
      </c>
      <c r="AJ333" s="18">
        <f t="shared" si="1207"/>
        <v>-1.2483405272456025E-4</v>
      </c>
      <c r="AK333" s="18">
        <f t="shared" ref="AK333:BG333" si="1208" xml:space="preserve"> -0.0004 * SIN( (3 * AK312 ) * Deg2Rad )</f>
        <v>3.7312191411145859E-4</v>
      </c>
      <c r="AL333" s="18">
        <f t="shared" si="1208"/>
        <v>-3.2385853438652136E-4</v>
      </c>
      <c r="AM333" s="18">
        <f t="shared" si="1208"/>
        <v>3.9997962831585937E-4</v>
      </c>
      <c r="AN333" s="18">
        <f t="shared" si="1208"/>
        <v>3.9855798108162074E-4</v>
      </c>
      <c r="AO333" s="18">
        <f t="shared" si="1208"/>
        <v>5.8236333575952575E-5</v>
      </c>
      <c r="AP333" s="18">
        <f t="shared" si="1208"/>
        <v>1.1333246963621831E-4</v>
      </c>
      <c r="AQ333" s="18">
        <f t="shared" si="1208"/>
        <v>1.1333246963621831E-4</v>
      </c>
      <c r="AR333" s="18">
        <f t="shared" si="1208"/>
        <v>3.9906898642675341E-4</v>
      </c>
      <c r="AS333" s="18">
        <f t="shared" si="1208"/>
        <v>3.9906898642675341E-4</v>
      </c>
      <c r="AT333" s="18">
        <f t="shared" si="1208"/>
        <v>3.9906898642675341E-4</v>
      </c>
      <c r="AU333" s="18">
        <f t="shared" si="1208"/>
        <v>-3.7224844894951764E-4</v>
      </c>
      <c r="AV333" s="18">
        <f t="shared" si="1208"/>
        <v>3.2067832968066089E-4</v>
      </c>
      <c r="AW333" s="18">
        <f t="shared" si="1208"/>
        <v>-2.6944611286868815E-4</v>
      </c>
      <c r="AX333" s="18">
        <f t="shared" si="1208"/>
        <v>-8.6465053386678091E-6</v>
      </c>
      <c r="AY333" s="18">
        <f t="shared" si="1208"/>
        <v>6.0085016440393661E-5</v>
      </c>
      <c r="AZ333" s="18">
        <f t="shared" si="1208"/>
        <v>6.0085016440393661E-5</v>
      </c>
      <c r="BA333" s="18">
        <f t="shared" si="1208"/>
        <v>-3.7295873281918674E-4</v>
      </c>
      <c r="BB333" s="18">
        <f t="shared" si="1208"/>
        <v>-3.7295873281918674E-4</v>
      </c>
      <c r="BC333" s="18">
        <f t="shared" si="1208"/>
        <v>-3.7295873281918674E-4</v>
      </c>
      <c r="BD333" s="18">
        <f t="shared" si="1208"/>
        <v>-3.7295873281918674E-4</v>
      </c>
      <c r="BE333" s="18">
        <f t="shared" si="1208"/>
        <v>-3.7295873281918674E-4</v>
      </c>
      <c r="BF333" s="18">
        <f t="shared" si="1208"/>
        <v>-3.7295873281918674E-4</v>
      </c>
      <c r="BG333" s="18">
        <f t="shared" si="1208"/>
        <v>-3.8489600088330181E-4</v>
      </c>
    </row>
    <row r="334" spans="1:59" x14ac:dyDescent="0.25">
      <c r="C334" t="s">
        <v>74</v>
      </c>
      <c r="E334" s="18">
        <f t="shared" ref="E334:AJ334" si="1209" xml:space="preserve"> -0.00034 *E303 * SIN( (2 * E312-E307 ) * Deg2Rad )</f>
        <v>1.4305205972119663E-5</v>
      </c>
      <c r="F334" s="18">
        <f t="shared" si="1209"/>
        <v>9.4386642885360995E-5</v>
      </c>
      <c r="G334" s="18">
        <f t="shared" si="1209"/>
        <v>2.8666202186699728E-4</v>
      </c>
      <c r="H334" s="18">
        <f t="shared" si="1209"/>
        <v>1.845369249100969E-4</v>
      </c>
      <c r="I334" s="18">
        <f t="shared" si="1209"/>
        <v>2.7130116596334284E-4</v>
      </c>
      <c r="J334" s="18">
        <f t="shared" si="1209"/>
        <v>8.4855467007933369E-5</v>
      </c>
      <c r="K334" s="18">
        <f t="shared" si="1209"/>
        <v>-2.034825306138573E-4</v>
      </c>
      <c r="L334" s="18">
        <f t="shared" si="1209"/>
        <v>3.2984375601291852E-4</v>
      </c>
      <c r="M334" s="18">
        <f t="shared" si="1209"/>
        <v>-3.4084848231340605E-4</v>
      </c>
      <c r="N334" s="18">
        <f t="shared" si="1209"/>
        <v>-1.6781461834496997E-4</v>
      </c>
      <c r="O334" s="18">
        <f t="shared" si="1209"/>
        <v>2.1081048249943946E-4</v>
      </c>
      <c r="P334" s="18">
        <f t="shared" si="1209"/>
        <v>3.4168594498062608E-4</v>
      </c>
      <c r="Q334" s="18">
        <f t="shared" si="1209"/>
        <v>-3.4309842133304599E-4</v>
      </c>
      <c r="R334" s="18">
        <f t="shared" si="1209"/>
        <v>-3.5474127501108237E-4</v>
      </c>
      <c r="S334" s="18">
        <f t="shared" si="1209"/>
        <v>-1.8568868452265765E-4</v>
      </c>
      <c r="T334" s="18">
        <f t="shared" si="1209"/>
        <v>2.1795330110757334E-4</v>
      </c>
      <c r="U334" s="18">
        <f t="shared" si="1209"/>
        <v>-2.190723501022309E-4</v>
      </c>
      <c r="V334" s="18">
        <f t="shared" si="1209"/>
        <v>3.8467115224725018E-4</v>
      </c>
      <c r="W334" s="18">
        <f t="shared" si="1209"/>
        <v>2.930612948538494E-4</v>
      </c>
      <c r="X334" s="18">
        <f t="shared" si="1209"/>
        <v>3.3169683423878578E-4</v>
      </c>
      <c r="Y334" s="18">
        <f t="shared" si="1209"/>
        <v>1.0567206313068945E-4</v>
      </c>
      <c r="Z334" s="18">
        <f t="shared" si="1209"/>
        <v>3.2476083360795626E-4</v>
      </c>
      <c r="AA334" s="18">
        <f t="shared" si="1209"/>
        <v>2.8666202186699728E-4</v>
      </c>
      <c r="AB334" s="18">
        <f t="shared" si="1209"/>
        <v>-1.496289079339743E-4</v>
      </c>
      <c r="AC334" s="18">
        <f t="shared" si="1209"/>
        <v>-3.0165980238642582E-4</v>
      </c>
      <c r="AD334" s="18">
        <f t="shared" si="1209"/>
        <v>1.7433613329285617E-4</v>
      </c>
      <c r="AE334" s="18">
        <f t="shared" si="1209"/>
        <v>1.0567206313068945E-4</v>
      </c>
      <c r="AF334" s="18">
        <f t="shared" si="1209"/>
        <v>-3.3198728353474284E-4</v>
      </c>
      <c r="AG334" s="18">
        <f t="shared" si="1209"/>
        <v>-1.8238396497329085E-4</v>
      </c>
      <c r="AH334" s="18">
        <f t="shared" si="1209"/>
        <v>2.8882759244764391E-4</v>
      </c>
      <c r="AI334" s="18">
        <f t="shared" si="1209"/>
        <v>2.776584064555287E-4</v>
      </c>
      <c r="AJ334" s="18">
        <f t="shared" si="1209"/>
        <v>5.9830517912309422E-5</v>
      </c>
      <c r="AK334" s="18">
        <f t="shared" ref="AK334:BG334" si="1210" xml:space="preserve"> -0.00034 *AK303 * SIN( (2 * AK312-AK307 ) * Deg2Rad )</f>
        <v>3.2854939683200853E-4</v>
      </c>
      <c r="AL334" s="18">
        <f t="shared" si="1210"/>
        <v>-7.8277394212954106E-5</v>
      </c>
      <c r="AM334" s="18">
        <f t="shared" si="1210"/>
        <v>1.9574596162642055E-5</v>
      </c>
      <c r="AN334" s="18">
        <f t="shared" si="1210"/>
        <v>2.7831499145521794E-4</v>
      </c>
      <c r="AO334" s="18">
        <f t="shared" si="1210"/>
        <v>-5.6470604745074303E-5</v>
      </c>
      <c r="AP334" s="18">
        <f t="shared" si="1210"/>
        <v>-3.3959490713702124E-4</v>
      </c>
      <c r="AQ334" s="18">
        <f t="shared" si="1210"/>
        <v>-3.3959490713702124E-4</v>
      </c>
      <c r="AR334" s="18">
        <f t="shared" si="1210"/>
        <v>-3.1825695285124186E-4</v>
      </c>
      <c r="AS334" s="18">
        <f t="shared" si="1210"/>
        <v>-3.1825695285124186E-4</v>
      </c>
      <c r="AT334" s="18">
        <f t="shared" si="1210"/>
        <v>-3.1825695285124186E-4</v>
      </c>
      <c r="AU334" s="18">
        <f t="shared" si="1210"/>
        <v>-1.4696454760965678E-4</v>
      </c>
      <c r="AV334" s="18">
        <f t="shared" si="1210"/>
        <v>2.814079028624389E-4</v>
      </c>
      <c r="AW334" s="18">
        <f t="shared" si="1210"/>
        <v>-2.8047285943046699E-4</v>
      </c>
      <c r="AX334" s="18">
        <f t="shared" si="1210"/>
        <v>2.2959688661460036E-4</v>
      </c>
      <c r="AY334" s="18">
        <f t="shared" si="1210"/>
        <v>-2.4834611987107887E-4</v>
      </c>
      <c r="AZ334" s="18">
        <f t="shared" si="1210"/>
        <v>-2.4834611987107887E-4</v>
      </c>
      <c r="BA334" s="18">
        <f t="shared" si="1210"/>
        <v>-1.4053252686561279E-4</v>
      </c>
      <c r="BB334" s="18">
        <f t="shared" si="1210"/>
        <v>-1.4053252686561279E-4</v>
      </c>
      <c r="BC334" s="18">
        <f t="shared" si="1210"/>
        <v>-1.4053252686561279E-4</v>
      </c>
      <c r="BD334" s="18">
        <f t="shared" si="1210"/>
        <v>-1.4053252686561279E-4</v>
      </c>
      <c r="BE334" s="18">
        <f t="shared" si="1210"/>
        <v>-1.4053252686561279E-4</v>
      </c>
      <c r="BF334" s="18">
        <f t="shared" si="1210"/>
        <v>-1.4053252686561279E-4</v>
      </c>
      <c r="BG334" s="18">
        <f t="shared" si="1210"/>
        <v>1.0567206313068945E-4</v>
      </c>
    </row>
    <row r="335" spans="1:59" x14ac:dyDescent="0.25">
      <c r="C335" t="s">
        <v>75</v>
      </c>
      <c r="E335" s="18">
        <f t="shared" ref="E335:AJ335" si="1211" xml:space="preserve"> 0.00032 *E303 * SIN( (E307+2 * E317 ) * Deg2Rad )</f>
        <v>1.1580051647414875E-4</v>
      </c>
      <c r="F335" s="18">
        <f t="shared" si="1211"/>
        <v>5.0507422545744707E-5</v>
      </c>
      <c r="G335" s="18">
        <f t="shared" si="1211"/>
        <v>-1.6867197846064092E-4</v>
      </c>
      <c r="H335" s="18">
        <f t="shared" si="1211"/>
        <v>-1.4255371118931438E-4</v>
      </c>
      <c r="I335" s="18">
        <f t="shared" si="1211"/>
        <v>2.0407729461474801E-4</v>
      </c>
      <c r="J335" s="18">
        <f t="shared" si="1211"/>
        <v>-2.5437231476562366E-4</v>
      </c>
      <c r="K335" s="18">
        <f t="shared" si="1211"/>
        <v>1.8016030606507808E-4</v>
      </c>
      <c r="L335" s="18">
        <f t="shared" si="1211"/>
        <v>-2.7139439435145367E-4</v>
      </c>
      <c r="M335" s="18">
        <f t="shared" si="1211"/>
        <v>-3.021083862272997E-4</v>
      </c>
      <c r="N335" s="18">
        <f t="shared" si="1211"/>
        <v>-3.1003893454085432E-4</v>
      </c>
      <c r="O335" s="18">
        <f t="shared" si="1211"/>
        <v>-5.9410606290903491E-5</v>
      </c>
      <c r="P335" s="18">
        <f t="shared" si="1211"/>
        <v>-1.2884523669223584E-5</v>
      </c>
      <c r="Q335" s="18">
        <f t="shared" si="1211"/>
        <v>-3.2359833514040954E-4</v>
      </c>
      <c r="R335" s="18">
        <f t="shared" si="1211"/>
        <v>-8.7984432040348623E-5</v>
      </c>
      <c r="S335" s="18">
        <f t="shared" si="1211"/>
        <v>-2.9781360556183756E-4</v>
      </c>
      <c r="T335" s="18">
        <f t="shared" si="1211"/>
        <v>1.6117048115273777E-4</v>
      </c>
      <c r="U335" s="18">
        <f t="shared" si="1211"/>
        <v>1.4206428598511597E-4</v>
      </c>
      <c r="V335" s="18">
        <f t="shared" si="1211"/>
        <v>2.6371960639663732E-4</v>
      </c>
      <c r="W335" s="18">
        <f t="shared" si="1211"/>
        <v>2.5131493252757966E-4</v>
      </c>
      <c r="X335" s="18">
        <f t="shared" si="1211"/>
        <v>-3.1460507522848981E-4</v>
      </c>
      <c r="Y335" s="18">
        <f t="shared" si="1211"/>
        <v>2.5182316510477482E-5</v>
      </c>
      <c r="Z335" s="18">
        <f t="shared" si="1211"/>
        <v>3.186017311936002E-4</v>
      </c>
      <c r="AA335" s="18">
        <f t="shared" si="1211"/>
        <v>-1.6867197846064092E-4</v>
      </c>
      <c r="AB335" s="18">
        <f t="shared" si="1211"/>
        <v>2.4722709804344525E-4</v>
      </c>
      <c r="AC335" s="18">
        <f t="shared" si="1211"/>
        <v>2.9624569650860164E-5</v>
      </c>
      <c r="AD335" s="18">
        <f t="shared" si="1211"/>
        <v>2.6871826773297179E-4</v>
      </c>
      <c r="AE335" s="18">
        <f t="shared" si="1211"/>
        <v>2.5182316510477482E-5</v>
      </c>
      <c r="AF335" s="18">
        <f t="shared" si="1211"/>
        <v>-3.1765427271890112E-4</v>
      </c>
      <c r="AG335" s="18">
        <f t="shared" si="1211"/>
        <v>3.1700723823706106E-4</v>
      </c>
      <c r="AH335" s="18">
        <f t="shared" si="1211"/>
        <v>3.0633894661994521E-4</v>
      </c>
      <c r="AI335" s="18">
        <f t="shared" si="1211"/>
        <v>6.1295710790115935E-5</v>
      </c>
      <c r="AJ335" s="18">
        <f t="shared" si="1211"/>
        <v>-2.6736565578406679E-5</v>
      </c>
      <c r="AK335" s="18">
        <f t="shared" ref="AK335:BG335" si="1212" xml:space="preserve"> 0.00032 *AK303 * SIN( (AK307+2 * AK317 ) * Deg2Rad )</f>
        <v>9.418560180133715E-5</v>
      </c>
      <c r="AL335" s="18">
        <f t="shared" si="1212"/>
        <v>-3.0167444740360064E-4</v>
      </c>
      <c r="AM335" s="18">
        <f t="shared" si="1212"/>
        <v>3.2155185440586436E-4</v>
      </c>
      <c r="AN335" s="18">
        <f t="shared" si="1212"/>
        <v>2.6791882802640842E-4</v>
      </c>
      <c r="AO335" s="18">
        <f t="shared" si="1212"/>
        <v>-1.4323644155731139E-4</v>
      </c>
      <c r="AP335" s="18">
        <f t="shared" si="1212"/>
        <v>2.9490792936920547E-4</v>
      </c>
      <c r="AQ335" s="18">
        <f t="shared" si="1212"/>
        <v>2.9490792936920547E-4</v>
      </c>
      <c r="AR335" s="18">
        <f t="shared" si="1212"/>
        <v>1.214397706608703E-4</v>
      </c>
      <c r="AS335" s="18">
        <f t="shared" si="1212"/>
        <v>1.214397706608703E-4</v>
      </c>
      <c r="AT335" s="18">
        <f t="shared" si="1212"/>
        <v>1.214397706608703E-4</v>
      </c>
      <c r="AU335" s="18">
        <f t="shared" si="1212"/>
        <v>-1.3554927308257145E-4</v>
      </c>
      <c r="AV335" s="18">
        <f t="shared" si="1212"/>
        <v>3.0282750537603885E-4</v>
      </c>
      <c r="AW335" s="18">
        <f t="shared" si="1212"/>
        <v>-1.7425454132856402E-4</v>
      </c>
      <c r="AX335" s="18">
        <f t="shared" si="1212"/>
        <v>-1.2963158522229316E-4</v>
      </c>
      <c r="AY335" s="18">
        <f t="shared" si="1212"/>
        <v>-2.9679885062358234E-4</v>
      </c>
      <c r="AZ335" s="18">
        <f t="shared" si="1212"/>
        <v>-2.9679885062358234E-4</v>
      </c>
      <c r="BA335" s="18">
        <f t="shared" si="1212"/>
        <v>-1.1681492539828545E-4</v>
      </c>
      <c r="BB335" s="18">
        <f t="shared" si="1212"/>
        <v>-1.1681492539828545E-4</v>
      </c>
      <c r="BC335" s="18">
        <f t="shared" si="1212"/>
        <v>-1.1681492539828545E-4</v>
      </c>
      <c r="BD335" s="18">
        <f t="shared" si="1212"/>
        <v>-1.1681492539828545E-4</v>
      </c>
      <c r="BE335" s="18">
        <f t="shared" si="1212"/>
        <v>-1.1681492539828545E-4</v>
      </c>
      <c r="BF335" s="18">
        <f t="shared" si="1212"/>
        <v>-1.1681492539828545E-4</v>
      </c>
      <c r="BG335" s="18">
        <f t="shared" si="1212"/>
        <v>2.5182316510477482E-5</v>
      </c>
    </row>
    <row r="336" spans="1:59" x14ac:dyDescent="0.25">
      <c r="C336" t="s">
        <v>76</v>
      </c>
      <c r="E336" s="18">
        <f t="shared" ref="E336:AJ336" si="1213" xml:space="preserve"> 0.00032 *E303 * SIN( (E307-2 * E317 ) * Deg2Rad )</f>
        <v>3.1087153807686843E-4</v>
      </c>
      <c r="F336" s="18">
        <f t="shared" si="1213"/>
        <v>-1.5605474371908334E-4</v>
      </c>
      <c r="G336" s="18">
        <f t="shared" si="1213"/>
        <v>-9.3318766694662513E-5</v>
      </c>
      <c r="H336" s="18">
        <f t="shared" si="1213"/>
        <v>-2.2142174501167341E-4</v>
      </c>
      <c r="I336" s="18">
        <f t="shared" si="1213"/>
        <v>-2.2769073219702345E-4</v>
      </c>
      <c r="J336" s="18">
        <f t="shared" si="1213"/>
        <v>1.4292454778565665E-4</v>
      </c>
      <c r="K336" s="18">
        <f t="shared" si="1213"/>
        <v>-3.0471937898862754E-4</v>
      </c>
      <c r="L336" s="18">
        <f t="shared" si="1213"/>
        <v>2.5679955710631729E-4</v>
      </c>
      <c r="M336" s="18">
        <f t="shared" si="1213"/>
        <v>2.9647678627306749E-4</v>
      </c>
      <c r="N336" s="18">
        <f t="shared" si="1213"/>
        <v>-3.8052105455374509E-5</v>
      </c>
      <c r="O336" s="18">
        <f t="shared" si="1213"/>
        <v>2.5570909311922339E-4</v>
      </c>
      <c r="P336" s="18">
        <f t="shared" si="1213"/>
        <v>3.2563450101582192E-4</v>
      </c>
      <c r="Q336" s="18">
        <f t="shared" si="1213"/>
        <v>-2.2901955733778572E-4</v>
      </c>
      <c r="R336" s="18">
        <f t="shared" si="1213"/>
        <v>-3.2487339005718988E-4</v>
      </c>
      <c r="S336" s="18">
        <f t="shared" si="1213"/>
        <v>-5.9732253508860107E-5</v>
      </c>
      <c r="T336" s="18">
        <f t="shared" si="1213"/>
        <v>-3.2748207474393796E-4</v>
      </c>
      <c r="U336" s="18">
        <f t="shared" si="1213"/>
        <v>-2.7738222630550098E-5</v>
      </c>
      <c r="V336" s="18">
        <f t="shared" si="1213"/>
        <v>3.5341446949598758E-4</v>
      </c>
      <c r="W336" s="18">
        <f t="shared" si="1213"/>
        <v>-1.9686289955342734E-4</v>
      </c>
      <c r="X336" s="18">
        <f t="shared" si="1213"/>
        <v>1.0600488578913656E-4</v>
      </c>
      <c r="Y336" s="18">
        <f t="shared" si="1213"/>
        <v>-2.0733051444299125E-4</v>
      </c>
      <c r="Z336" s="18">
        <f t="shared" si="1213"/>
        <v>-2.7466883833693475E-4</v>
      </c>
      <c r="AA336" s="18">
        <f t="shared" si="1213"/>
        <v>-9.3318766694662513E-5</v>
      </c>
      <c r="AB336" s="18">
        <f t="shared" si="1213"/>
        <v>-7.9530277170063572E-5</v>
      </c>
      <c r="AC336" s="18">
        <f t="shared" si="1213"/>
        <v>-1.5785540684440209E-4</v>
      </c>
      <c r="AD336" s="18">
        <f t="shared" si="1213"/>
        <v>-6.1757814245908449E-5</v>
      </c>
      <c r="AE336" s="18">
        <f t="shared" si="1213"/>
        <v>-2.0733051444299125E-4</v>
      </c>
      <c r="AF336" s="18">
        <f t="shared" si="1213"/>
        <v>2.7301948071143696E-4</v>
      </c>
      <c r="AG336" s="18">
        <f t="shared" si="1213"/>
        <v>-3.3054197464083969E-5</v>
      </c>
      <c r="AH336" s="18">
        <f t="shared" si="1213"/>
        <v>2.9952467306332866E-4</v>
      </c>
      <c r="AI336" s="18">
        <f t="shared" si="1213"/>
        <v>2.507519949019396E-4</v>
      </c>
      <c r="AJ336" s="18">
        <f t="shared" si="1213"/>
        <v>-2.0453275543096762E-4</v>
      </c>
      <c r="AK336" s="18">
        <f t="shared" ref="AK336:BG336" si="1214" xml:space="preserve"> 0.00032 *AK303 * SIN( (AK307-2 * AK317 ) * Deg2Rad )</f>
        <v>2.0408862883701905E-4</v>
      </c>
      <c r="AL336" s="18">
        <f t="shared" si="1214"/>
        <v>-2.6518259351668473E-4</v>
      </c>
      <c r="AM336" s="18">
        <f t="shared" si="1214"/>
        <v>1.957699009242212E-4</v>
      </c>
      <c r="AN336" s="18">
        <f t="shared" si="1214"/>
        <v>3.1489249297093452E-4</v>
      </c>
      <c r="AO336" s="18">
        <f t="shared" si="1214"/>
        <v>1.5532943904250553E-4</v>
      </c>
      <c r="AP336" s="18">
        <f t="shared" si="1214"/>
        <v>2.1092056623718512E-4</v>
      </c>
      <c r="AQ336" s="18">
        <f t="shared" si="1214"/>
        <v>2.1092056623718512E-4</v>
      </c>
      <c r="AR336" s="18">
        <f t="shared" si="1214"/>
        <v>3.0664220288558098E-4</v>
      </c>
      <c r="AS336" s="18">
        <f t="shared" si="1214"/>
        <v>3.0664220288558098E-4</v>
      </c>
      <c r="AT336" s="18">
        <f t="shared" si="1214"/>
        <v>3.0664220288558098E-4</v>
      </c>
      <c r="AU336" s="18">
        <f t="shared" si="1214"/>
        <v>1.3877089728066012E-5</v>
      </c>
      <c r="AV336" s="18">
        <f t="shared" si="1214"/>
        <v>2.5145026094795819E-4</v>
      </c>
      <c r="AW336" s="18">
        <f t="shared" si="1214"/>
        <v>-7.9809164485363299E-5</v>
      </c>
      <c r="AX336" s="18">
        <f t="shared" si="1214"/>
        <v>-2.8446103661699385E-4</v>
      </c>
      <c r="AY336" s="18">
        <f t="shared" si="1214"/>
        <v>3.0783288035644108E-4</v>
      </c>
      <c r="AZ336" s="18">
        <f t="shared" si="1214"/>
        <v>3.0783288035644108E-4</v>
      </c>
      <c r="BA336" s="18">
        <f t="shared" si="1214"/>
        <v>2.1412592619319296E-4</v>
      </c>
      <c r="BB336" s="18">
        <f t="shared" si="1214"/>
        <v>2.1412592619319296E-4</v>
      </c>
      <c r="BC336" s="18">
        <f t="shared" si="1214"/>
        <v>2.1412592619319296E-4</v>
      </c>
      <c r="BD336" s="18">
        <f t="shared" si="1214"/>
        <v>2.1412592619319296E-4</v>
      </c>
      <c r="BE336" s="18">
        <f t="shared" si="1214"/>
        <v>2.1412592619319296E-4</v>
      </c>
      <c r="BF336" s="18">
        <f t="shared" si="1214"/>
        <v>2.1412592619319296E-4</v>
      </c>
      <c r="BG336" s="18">
        <f t="shared" si="1214"/>
        <v>-2.0733051444299125E-4</v>
      </c>
    </row>
    <row r="337" spans="2:59" x14ac:dyDescent="0.25">
      <c r="C337" t="s">
        <v>77</v>
      </c>
      <c r="E337" s="18">
        <f t="shared" ref="E337:AJ337" si="1215" xml:space="preserve"> -0.00028 *E303^2 * SIN( (E312+2 * E307 ) * Deg2Rad )</f>
        <v>2.3601945849157659E-4</v>
      </c>
      <c r="F337" s="18">
        <f t="shared" si="1215"/>
        <v>4.5348078816865259E-5</v>
      </c>
      <c r="G337" s="18">
        <f t="shared" si="1215"/>
        <v>-1.5059590345498848E-6</v>
      </c>
      <c r="H337" s="18">
        <f t="shared" si="1215"/>
        <v>2.6532496717454835E-4</v>
      </c>
      <c r="I337" s="18">
        <f t="shared" si="1215"/>
        <v>-2.3026095547836397E-4</v>
      </c>
      <c r="J337" s="18">
        <f t="shared" si="1215"/>
        <v>-2.530790295311815E-4</v>
      </c>
      <c r="K337" s="18">
        <f t="shared" si="1215"/>
        <v>7.9103032098613811E-5</v>
      </c>
      <c r="L337" s="18">
        <f t="shared" si="1215"/>
        <v>-1.9369406776631503E-4</v>
      </c>
      <c r="M337" s="18">
        <f t="shared" si="1215"/>
        <v>2.7899769177795226E-4</v>
      </c>
      <c r="N337" s="18">
        <f t="shared" si="1215"/>
        <v>2.5865841636368056E-4</v>
      </c>
      <c r="O337" s="18">
        <f t="shared" si="1215"/>
        <v>2.2673803088205531E-4</v>
      </c>
      <c r="P337" s="18">
        <f t="shared" si="1215"/>
        <v>2.5763900091827846E-4</v>
      </c>
      <c r="Q337" s="18">
        <f t="shared" si="1215"/>
        <v>2.6398530609519102E-4</v>
      </c>
      <c r="R337" s="18">
        <f t="shared" si="1215"/>
        <v>-1.3174744497780887E-4</v>
      </c>
      <c r="S337" s="18">
        <f t="shared" si="1215"/>
        <v>-3.1949090608871558E-4</v>
      </c>
      <c r="T337" s="18">
        <f t="shared" si="1215"/>
        <v>8.3718580934415333E-5</v>
      </c>
      <c r="U337" s="18">
        <f t="shared" si="1215"/>
        <v>2.8489313527736666E-4</v>
      </c>
      <c r="V337" s="18">
        <f t="shared" si="1215"/>
        <v>2.319785803425402E-4</v>
      </c>
      <c r="W337" s="18">
        <f t="shared" si="1215"/>
        <v>2.227224256182114E-4</v>
      </c>
      <c r="X337" s="18">
        <f t="shared" si="1215"/>
        <v>-2.4943244127463186E-4</v>
      </c>
      <c r="Y337" s="18">
        <f t="shared" si="1215"/>
        <v>-9.6483004666748505E-5</v>
      </c>
      <c r="Z337" s="18">
        <f t="shared" si="1215"/>
        <v>-4.49812183983225E-5</v>
      </c>
      <c r="AA337" s="18">
        <f t="shared" si="1215"/>
        <v>-1.5059590345498848E-6</v>
      </c>
      <c r="AB337" s="18">
        <f t="shared" si="1215"/>
        <v>-1.4924724012859827E-4</v>
      </c>
      <c r="AC337" s="18">
        <f t="shared" si="1215"/>
        <v>1.3364269990311876E-4</v>
      </c>
      <c r="AD337" s="18">
        <f t="shared" si="1215"/>
        <v>2.3139617937241826E-4</v>
      </c>
      <c r="AE337" s="18">
        <f t="shared" si="1215"/>
        <v>-9.6483004666748505E-5</v>
      </c>
      <c r="AF337" s="18">
        <f t="shared" si="1215"/>
        <v>-2.6199281139054943E-4</v>
      </c>
      <c r="AG337" s="18">
        <f t="shared" si="1215"/>
        <v>2.7682654425501696E-4</v>
      </c>
      <c r="AH337" s="18">
        <f t="shared" si="1215"/>
        <v>-9.8916887860793281E-5</v>
      </c>
      <c r="AI337" s="18">
        <f t="shared" si="1215"/>
        <v>-1.5271225957947258E-4</v>
      </c>
      <c r="AJ337" s="18">
        <f t="shared" si="1215"/>
        <v>-2.1636027948231148E-4</v>
      </c>
      <c r="AK337" s="18">
        <f t="shared" ref="AK337:BG337" si="1216" xml:space="preserve"> -0.00028 *AK303^2 * SIN( (AK312+2 * AK307 ) * Deg2Rad )</f>
        <v>-1.5591244339703799E-4</v>
      </c>
      <c r="AL337" s="18">
        <f t="shared" si="1216"/>
        <v>2.3362980956975974E-4</v>
      </c>
      <c r="AM337" s="18">
        <f t="shared" si="1216"/>
        <v>1.813642962871168E-4</v>
      </c>
      <c r="AN337" s="18">
        <f t="shared" si="1216"/>
        <v>-2.659496004589635E-4</v>
      </c>
      <c r="AO337" s="18">
        <f t="shared" si="1216"/>
        <v>2.7674516327771801E-4</v>
      </c>
      <c r="AP337" s="18">
        <f t="shared" si="1216"/>
        <v>-1.4597228837385143E-4</v>
      </c>
      <c r="AQ337" s="18">
        <f t="shared" si="1216"/>
        <v>-1.4597228837385143E-4</v>
      </c>
      <c r="AR337" s="18">
        <f t="shared" si="1216"/>
        <v>-2.5245547497515129E-4</v>
      </c>
      <c r="AS337" s="18">
        <f t="shared" si="1216"/>
        <v>-2.5245547497515129E-4</v>
      </c>
      <c r="AT337" s="18">
        <f t="shared" si="1216"/>
        <v>-2.5245547497515129E-4</v>
      </c>
      <c r="AU337" s="18">
        <f t="shared" si="1216"/>
        <v>2.7030208577626179E-4</v>
      </c>
      <c r="AV337" s="18">
        <f t="shared" si="1216"/>
        <v>2.7787884881098576E-4</v>
      </c>
      <c r="AW337" s="18">
        <f t="shared" si="1216"/>
        <v>2.3960350798356495E-4</v>
      </c>
      <c r="AX337" s="18">
        <f t="shared" si="1216"/>
        <v>-2.80190822764662E-4</v>
      </c>
      <c r="AY337" s="18">
        <f t="shared" si="1216"/>
        <v>9.3436103147284907E-5</v>
      </c>
      <c r="AZ337" s="18">
        <f t="shared" si="1216"/>
        <v>9.3436103147284907E-5</v>
      </c>
      <c r="BA337" s="18">
        <f t="shared" si="1216"/>
        <v>2.7189710377992389E-4</v>
      </c>
      <c r="BB337" s="18">
        <f t="shared" si="1216"/>
        <v>2.7189710377992389E-4</v>
      </c>
      <c r="BC337" s="18">
        <f t="shared" si="1216"/>
        <v>2.7189710377992389E-4</v>
      </c>
      <c r="BD337" s="18">
        <f t="shared" si="1216"/>
        <v>2.7189710377992389E-4</v>
      </c>
      <c r="BE337" s="18">
        <f t="shared" si="1216"/>
        <v>2.7189710377992389E-4</v>
      </c>
      <c r="BF337" s="18">
        <f t="shared" si="1216"/>
        <v>2.7189710377992389E-4</v>
      </c>
      <c r="BG337" s="18">
        <f t="shared" si="1216"/>
        <v>-9.6483004666748505E-5</v>
      </c>
    </row>
    <row r="338" spans="2:59" x14ac:dyDescent="0.25">
      <c r="C338" t="s">
        <v>78</v>
      </c>
      <c r="E338" s="18">
        <f t="shared" ref="E338:AJ338" si="1217" xml:space="preserve"> 0.00027 *E303 * SIN( (2 * E312+E307 ) * Deg2Rad )</f>
        <v>-2.6647217702242853E-4</v>
      </c>
      <c r="F338" s="18">
        <f t="shared" si="1217"/>
        <v>2.2179326303534442E-4</v>
      </c>
      <c r="G338" s="18">
        <f t="shared" si="1217"/>
        <v>-2.592309647551899E-4</v>
      </c>
      <c r="H338" s="18">
        <f t="shared" si="1217"/>
        <v>1.638667737164111E-4</v>
      </c>
      <c r="I338" s="18">
        <f t="shared" si="1217"/>
        <v>-1.4328274347900595E-4</v>
      </c>
      <c r="J338" s="18">
        <f t="shared" si="1217"/>
        <v>5.4569072109964591E-5</v>
      </c>
      <c r="K338" s="18">
        <f t="shared" si="1217"/>
        <v>-1.6190212874913105E-4</v>
      </c>
      <c r="L338" s="18">
        <f t="shared" si="1217"/>
        <v>-2.6639528008302697E-4</v>
      </c>
      <c r="M338" s="18">
        <f t="shared" si="1217"/>
        <v>2.0167683419823178E-4</v>
      </c>
      <c r="N338" s="18">
        <f t="shared" si="1217"/>
        <v>2.5685008444012013E-4</v>
      </c>
      <c r="O338" s="18">
        <f t="shared" si="1217"/>
        <v>2.6787438921104488E-4</v>
      </c>
      <c r="P338" s="18">
        <f t="shared" si="1217"/>
        <v>8.3493189079540462E-6</v>
      </c>
      <c r="Q338" s="18">
        <f t="shared" si="1217"/>
        <v>-2.7339381534596428E-4</v>
      </c>
      <c r="R338" s="18">
        <f t="shared" si="1217"/>
        <v>3.0097189126663698E-5</v>
      </c>
      <c r="S338" s="18">
        <f t="shared" si="1217"/>
        <v>9.7557137219366147E-5</v>
      </c>
      <c r="T338" s="18">
        <f t="shared" si="1217"/>
        <v>-2.8575247366682545E-4</v>
      </c>
      <c r="U338" s="18">
        <f t="shared" si="1217"/>
        <v>-3.9562066192644991E-5</v>
      </c>
      <c r="V338" s="18">
        <f t="shared" si="1217"/>
        <v>2.5138091777041175E-4</v>
      </c>
      <c r="W338" s="18">
        <f t="shared" si="1217"/>
        <v>-1.3576923958556332E-4</v>
      </c>
      <c r="X338" s="18">
        <f t="shared" si="1217"/>
        <v>1.8791048127812879E-5</v>
      </c>
      <c r="Y338" s="18">
        <f t="shared" si="1217"/>
        <v>2.4063220009629122E-4</v>
      </c>
      <c r="Z338" s="18">
        <f t="shared" si="1217"/>
        <v>-2.5594162216578908E-4</v>
      </c>
      <c r="AA338" s="18">
        <f t="shared" si="1217"/>
        <v>-2.592309647551899E-4</v>
      </c>
      <c r="AB338" s="18">
        <f t="shared" si="1217"/>
        <v>-4.7198332131636366E-5</v>
      </c>
      <c r="AC338" s="18">
        <f t="shared" si="1217"/>
        <v>2.6969515894348416E-4</v>
      </c>
      <c r="AD338" s="18">
        <f t="shared" si="1217"/>
        <v>2.667180244043989E-4</v>
      </c>
      <c r="AE338" s="18">
        <f t="shared" si="1217"/>
        <v>2.4063220009629122E-4</v>
      </c>
      <c r="AF338" s="18">
        <f t="shared" si="1217"/>
        <v>2.6422066152415795E-4</v>
      </c>
      <c r="AG338" s="18">
        <f t="shared" si="1217"/>
        <v>-2.3281236289836066E-4</v>
      </c>
      <c r="AH338" s="18">
        <f t="shared" si="1217"/>
        <v>2.194185511651422E-4</v>
      </c>
      <c r="AI338" s="18">
        <f t="shared" si="1217"/>
        <v>2.6891045532539715E-4</v>
      </c>
      <c r="AJ338" s="18">
        <f t="shared" si="1217"/>
        <v>1.5248898529907456E-4</v>
      </c>
      <c r="AK338" s="18">
        <f t="shared" ref="AK338:BG338" si="1218" xml:space="preserve"> 0.00027 *AK303 * SIN( (2 * AK312+AK307 ) * Deg2Rad )</f>
        <v>-8.2431452611641943E-5</v>
      </c>
      <c r="AL338" s="18">
        <f t="shared" si="1218"/>
        <v>5.7757884636492999E-6</v>
      </c>
      <c r="AM338" s="18">
        <f t="shared" si="1218"/>
        <v>-2.5066920817168515E-4</v>
      </c>
      <c r="AN338" s="18">
        <f t="shared" si="1218"/>
        <v>5.4040857961759137E-5</v>
      </c>
      <c r="AO338" s="18">
        <f t="shared" si="1218"/>
        <v>-2.4976679128204402E-4</v>
      </c>
      <c r="AP338" s="18">
        <f t="shared" si="1218"/>
        <v>-2.465916149796353E-4</v>
      </c>
      <c r="AQ338" s="18">
        <f t="shared" si="1218"/>
        <v>-2.465916149796353E-4</v>
      </c>
      <c r="AR338" s="18">
        <f t="shared" si="1218"/>
        <v>6.8473536535350538E-5</v>
      </c>
      <c r="AS338" s="18">
        <f t="shared" si="1218"/>
        <v>6.8473536535350538E-5</v>
      </c>
      <c r="AT338" s="18">
        <f t="shared" si="1218"/>
        <v>6.8473536535350538E-5</v>
      </c>
      <c r="AU338" s="18">
        <f t="shared" si="1218"/>
        <v>1.4291609792524792E-5</v>
      </c>
      <c r="AV338" s="18">
        <f t="shared" si="1218"/>
        <v>2.6105871004020317E-4</v>
      </c>
      <c r="AW338" s="18">
        <f t="shared" si="1218"/>
        <v>3.8073735284204616E-5</v>
      </c>
      <c r="AX338" s="18">
        <f t="shared" si="1218"/>
        <v>1.8800171368204822E-4</v>
      </c>
      <c r="AY338" s="18">
        <f t="shared" si="1218"/>
        <v>2.6862918357471407E-4</v>
      </c>
      <c r="AZ338" s="18">
        <f t="shared" si="1218"/>
        <v>2.6862918357471407E-4</v>
      </c>
      <c r="BA338" s="18">
        <f t="shared" si="1218"/>
        <v>1.7986480904396936E-5</v>
      </c>
      <c r="BB338" s="18">
        <f t="shared" si="1218"/>
        <v>1.7986480904396936E-5</v>
      </c>
      <c r="BC338" s="18">
        <f t="shared" si="1218"/>
        <v>1.7986480904396936E-5</v>
      </c>
      <c r="BD338" s="18">
        <f t="shared" si="1218"/>
        <v>1.7986480904396936E-5</v>
      </c>
      <c r="BE338" s="18">
        <f t="shared" si="1218"/>
        <v>1.7986480904396936E-5</v>
      </c>
      <c r="BF338" s="18">
        <f t="shared" si="1218"/>
        <v>1.7986480904396936E-5</v>
      </c>
      <c r="BG338" s="18">
        <f t="shared" si="1218"/>
        <v>2.4063220009629122E-4</v>
      </c>
    </row>
    <row r="339" spans="2:59" x14ac:dyDescent="0.25">
      <c r="C339" t="s">
        <v>79</v>
      </c>
      <c r="E339" s="18">
        <f t="shared" ref="E339:AJ339" si="1219" xml:space="preserve"> -0.00017 * SIN( (E321 ) * Deg2Rad )</f>
        <v>1.0900709796017916E-4</v>
      </c>
      <c r="F339" s="18">
        <f t="shared" si="1219"/>
        <v>1.033544346971868E-4</v>
      </c>
      <c r="G339" s="18">
        <f t="shared" si="1219"/>
        <v>-1.4159368311380039E-4</v>
      </c>
      <c r="H339" s="18">
        <f t="shared" si="1219"/>
        <v>-1.038025795680679E-4</v>
      </c>
      <c r="I339" s="18">
        <f t="shared" si="1219"/>
        <v>-4.0558635125821578E-5</v>
      </c>
      <c r="J339" s="18">
        <f t="shared" si="1219"/>
        <v>-1.7722556228149437E-5</v>
      </c>
      <c r="K339" s="18">
        <f t="shared" si="1219"/>
        <v>1.47050919271163E-5</v>
      </c>
      <c r="L339" s="18">
        <f t="shared" si="1219"/>
        <v>3.7608555003378619E-5</v>
      </c>
      <c r="M339" s="18">
        <f t="shared" si="1219"/>
        <v>1.6626648215948889E-4</v>
      </c>
      <c r="N339" s="18">
        <f t="shared" si="1219"/>
        <v>1.4790923993152389E-4</v>
      </c>
      <c r="O339" s="18">
        <f t="shared" si="1219"/>
        <v>1.6781029658482989E-4</v>
      </c>
      <c r="P339" s="18">
        <f t="shared" si="1219"/>
        <v>1.5734059399006778E-4</v>
      </c>
      <c r="Q339" s="18">
        <f t="shared" si="1219"/>
        <v>-1.387690534223307E-4</v>
      </c>
      <c r="R339" s="18">
        <f t="shared" si="1219"/>
        <v>-1.3603745391498195E-4</v>
      </c>
      <c r="S339" s="18">
        <f t="shared" si="1219"/>
        <v>-2.4242659326918649E-6</v>
      </c>
      <c r="T339" s="18">
        <f t="shared" si="1219"/>
        <v>1.1487014660366701E-5</v>
      </c>
      <c r="U339" s="18">
        <f t="shared" si="1219"/>
        <v>4.7956143256713735E-5</v>
      </c>
      <c r="V339" s="18">
        <f t="shared" si="1219"/>
        <v>2.78056396175238E-5</v>
      </c>
      <c r="W339" s="18">
        <f t="shared" si="1219"/>
        <v>-2.6920531088428768E-5</v>
      </c>
      <c r="X339" s="18">
        <f t="shared" si="1219"/>
        <v>1.698793664461424E-4</v>
      </c>
      <c r="Y339" s="18">
        <f t="shared" si="1219"/>
        <v>7.4909018331000628E-5</v>
      </c>
      <c r="Z339" s="18">
        <f t="shared" si="1219"/>
        <v>2.0956350577245179E-5</v>
      </c>
      <c r="AA339" s="18">
        <f t="shared" si="1219"/>
        <v>-1.4159368311380039E-4</v>
      </c>
      <c r="AB339" s="18">
        <f t="shared" si="1219"/>
        <v>1.6495259132611928E-4</v>
      </c>
      <c r="AC339" s="18">
        <f t="shared" si="1219"/>
        <v>-2.4416768666480508E-5</v>
      </c>
      <c r="AD339" s="18">
        <f t="shared" si="1219"/>
        <v>2.8507441424621218E-5</v>
      </c>
      <c r="AE339" s="18">
        <f t="shared" si="1219"/>
        <v>7.4909018331000628E-5</v>
      </c>
      <c r="AF339" s="18">
        <f t="shared" si="1219"/>
        <v>1.6723309643141928E-4</v>
      </c>
      <c r="AG339" s="18">
        <f t="shared" si="1219"/>
        <v>1.6865058449161982E-4</v>
      </c>
      <c r="AH339" s="18">
        <f t="shared" si="1219"/>
        <v>1.5524088931217212E-4</v>
      </c>
      <c r="AI339" s="18">
        <f t="shared" si="1219"/>
        <v>1.6964136092458801E-4</v>
      </c>
      <c r="AJ339" s="18">
        <f t="shared" si="1219"/>
        <v>1.6152281916297328E-4</v>
      </c>
      <c r="AK339" s="18">
        <f t="shared" ref="AK339:BG339" si="1220" xml:space="preserve"> -0.00017 * SIN( (AK321 ) * Deg2Rad )</f>
        <v>-1.1728494364187445E-4</v>
      </c>
      <c r="AL339" s="18">
        <f t="shared" si="1220"/>
        <v>1.4186902566834766E-4</v>
      </c>
      <c r="AM339" s="18">
        <f t="shared" si="1220"/>
        <v>-1.3805890498042473E-4</v>
      </c>
      <c r="AN339" s="18">
        <f t="shared" si="1220"/>
        <v>-1.4881388866132974E-4</v>
      </c>
      <c r="AO339" s="18">
        <f t="shared" si="1220"/>
        <v>1.6971997592188674E-4</v>
      </c>
      <c r="AP339" s="18">
        <f t="shared" si="1220"/>
        <v>-1.1848932281366154E-4</v>
      </c>
      <c r="AQ339" s="18">
        <f t="shared" si="1220"/>
        <v>-1.1848932281366154E-4</v>
      </c>
      <c r="AR339" s="18">
        <f t="shared" si="1220"/>
        <v>-1.1511855563407432E-4</v>
      </c>
      <c r="AS339" s="18">
        <f t="shared" si="1220"/>
        <v>-1.1511855563407432E-4</v>
      </c>
      <c r="AT339" s="18">
        <f t="shared" si="1220"/>
        <v>-1.1511855563407432E-4</v>
      </c>
      <c r="AU339" s="18">
        <f t="shared" si="1220"/>
        <v>1.6831336805628915E-4</v>
      </c>
      <c r="AV339" s="18">
        <f t="shared" si="1220"/>
        <v>-3.258109207723217E-5</v>
      </c>
      <c r="AW339" s="18">
        <f t="shared" si="1220"/>
        <v>1.459283215313542E-4</v>
      </c>
      <c r="AX339" s="18">
        <f t="shared" si="1220"/>
        <v>1.288156042156843E-4</v>
      </c>
      <c r="AY339" s="18">
        <f t="shared" si="1220"/>
        <v>-1.1166204310684431E-4</v>
      </c>
      <c r="AZ339" s="18">
        <f t="shared" si="1220"/>
        <v>-1.1166204310684431E-4</v>
      </c>
      <c r="BA339" s="18">
        <f t="shared" si="1220"/>
        <v>-1.0812235979466487E-4</v>
      </c>
      <c r="BB339" s="18">
        <f t="shared" si="1220"/>
        <v>-1.0812235979466487E-4</v>
      </c>
      <c r="BC339" s="18">
        <f t="shared" si="1220"/>
        <v>-1.0812235979466487E-4</v>
      </c>
      <c r="BD339" s="18">
        <f t="shared" si="1220"/>
        <v>-1.0812235979466487E-4</v>
      </c>
      <c r="BE339" s="18">
        <f t="shared" si="1220"/>
        <v>-1.0812235979466487E-4</v>
      </c>
      <c r="BF339" s="18">
        <f t="shared" si="1220"/>
        <v>-1.0812235979466487E-4</v>
      </c>
      <c r="BG339" s="18">
        <f t="shared" si="1220"/>
        <v>7.4909018331000628E-5</v>
      </c>
    </row>
    <row r="340" spans="2:59" x14ac:dyDescent="0.25">
      <c r="C340" t="s">
        <v>80</v>
      </c>
      <c r="E340" s="18">
        <f t="shared" ref="E340:AJ340" si="1221" xml:space="preserve"> -0.00005 * SIN( (E312-E307-2 * E317 ) * Deg2Rad )</f>
        <v>-3.765767606819969E-6</v>
      </c>
      <c r="F340" s="18">
        <f t="shared" si="1221"/>
        <v>2.9961014488111838E-5</v>
      </c>
      <c r="G340" s="18">
        <f t="shared" si="1221"/>
        <v>4.9368310082930503E-5</v>
      </c>
      <c r="H340" s="18">
        <f t="shared" si="1221"/>
        <v>2.139127823897865E-5</v>
      </c>
      <c r="I340" s="18">
        <f t="shared" si="1221"/>
        <v>-1.5202017049374505E-7</v>
      </c>
      <c r="J340" s="18">
        <f t="shared" si="1221"/>
        <v>2.9866315416953124E-5</v>
      </c>
      <c r="K340" s="18">
        <f t="shared" si="1221"/>
        <v>-4.1318365491470171E-5</v>
      </c>
      <c r="L340" s="18">
        <f t="shared" si="1221"/>
        <v>-1.617482445107989E-5</v>
      </c>
      <c r="M340" s="18">
        <f t="shared" si="1221"/>
        <v>4.0587617139905507E-5</v>
      </c>
      <c r="N340" s="18">
        <f t="shared" si="1221"/>
        <v>3.1387549610842639E-5</v>
      </c>
      <c r="O340" s="18">
        <f t="shared" si="1221"/>
        <v>1.7862898272498359E-5</v>
      </c>
      <c r="P340" s="18">
        <f t="shared" si="1221"/>
        <v>1.4426790898499748E-5</v>
      </c>
      <c r="Q340" s="18">
        <f t="shared" si="1221"/>
        <v>-1.332136929757349E-5</v>
      </c>
      <c r="R340" s="18">
        <f t="shared" si="1221"/>
        <v>3.7837262405952324E-5</v>
      </c>
      <c r="S340" s="18">
        <f t="shared" si="1221"/>
        <v>-1.569041361449972E-5</v>
      </c>
      <c r="T340" s="18">
        <f t="shared" si="1221"/>
        <v>2.6628355531701522E-5</v>
      </c>
      <c r="U340" s="18">
        <f t="shared" si="1221"/>
        <v>-8.0109077282025687E-6</v>
      </c>
      <c r="V340" s="18">
        <f t="shared" si="1221"/>
        <v>4.1688407087300031E-5</v>
      </c>
      <c r="W340" s="18">
        <f t="shared" si="1221"/>
        <v>1.2149002647430649E-5</v>
      </c>
      <c r="X340" s="18">
        <f t="shared" si="1221"/>
        <v>4.3767790925541298E-5</v>
      </c>
      <c r="Y340" s="18">
        <f t="shared" si="1221"/>
        <v>2.4427884668737187E-5</v>
      </c>
      <c r="Z340" s="18">
        <f t="shared" si="1221"/>
        <v>-3.2612594848836047E-5</v>
      </c>
      <c r="AA340" s="18">
        <f t="shared" si="1221"/>
        <v>4.9368310082930503E-5</v>
      </c>
      <c r="AB340" s="18">
        <f t="shared" si="1221"/>
        <v>4.0712071475825102E-5</v>
      </c>
      <c r="AC340" s="18">
        <f t="shared" si="1221"/>
        <v>3.680386299619277E-5</v>
      </c>
      <c r="AD340" s="18">
        <f t="shared" si="1221"/>
        <v>4.6868858444015606E-5</v>
      </c>
      <c r="AE340" s="18">
        <f t="shared" si="1221"/>
        <v>2.4427884668737187E-5</v>
      </c>
      <c r="AF340" s="18">
        <f t="shared" si="1221"/>
        <v>-3.0867273452616549E-5</v>
      </c>
      <c r="AG340" s="18">
        <f t="shared" si="1221"/>
        <v>4.9990167221117542E-5</v>
      </c>
      <c r="AH340" s="18">
        <f t="shared" si="1221"/>
        <v>-4.1585650289340906E-5</v>
      </c>
      <c r="AI340" s="18">
        <f t="shared" si="1221"/>
        <v>-3.0892833679260282E-6</v>
      </c>
      <c r="AJ340" s="18">
        <f t="shared" si="1221"/>
        <v>-1.1079209344875595E-6</v>
      </c>
      <c r="AK340" s="18">
        <f t="shared" ref="AK340:BG340" si="1222" xml:space="preserve"> -0.00005 * SIN( (AK312-AK307-2 * AK317 ) * Deg2Rad )</f>
        <v>3.2136831636845576E-5</v>
      </c>
      <c r="AL340" s="18">
        <f t="shared" si="1222"/>
        <v>-2.3856814114864007E-5</v>
      </c>
      <c r="AM340" s="18">
        <f t="shared" si="1222"/>
        <v>-3.6405242890239247E-5</v>
      </c>
      <c r="AN340" s="18">
        <f t="shared" si="1222"/>
        <v>-4.9826750500623359E-5</v>
      </c>
      <c r="AO340" s="18">
        <f t="shared" si="1222"/>
        <v>-3.0430365729312E-5</v>
      </c>
      <c r="AP340" s="18">
        <f t="shared" si="1222"/>
        <v>-4.4044974577555769E-5</v>
      </c>
      <c r="AQ340" s="18">
        <f t="shared" si="1222"/>
        <v>-4.4044974577555769E-5</v>
      </c>
      <c r="AR340" s="18">
        <f t="shared" si="1222"/>
        <v>-4.0254795268913485E-5</v>
      </c>
      <c r="AS340" s="18">
        <f t="shared" si="1222"/>
        <v>-4.0254795268913485E-5</v>
      </c>
      <c r="AT340" s="18">
        <f t="shared" si="1222"/>
        <v>-4.0254795268913485E-5</v>
      </c>
      <c r="AU340" s="18">
        <f t="shared" si="1222"/>
        <v>4.2309783799981913E-5</v>
      </c>
      <c r="AV340" s="18">
        <f t="shared" si="1222"/>
        <v>5.7723232523940286E-6</v>
      </c>
      <c r="AW340" s="18">
        <f t="shared" si="1222"/>
        <v>-3.292298807714071E-5</v>
      </c>
      <c r="AX340" s="18">
        <f t="shared" si="1222"/>
        <v>1.9903258220695571E-5</v>
      </c>
      <c r="AY340" s="18">
        <f t="shared" si="1222"/>
        <v>9.548933254388334E-6</v>
      </c>
      <c r="AZ340" s="18">
        <f t="shared" si="1222"/>
        <v>9.548933254388334E-6</v>
      </c>
      <c r="BA340" s="18">
        <f t="shared" si="1222"/>
        <v>4.8437681154880056E-5</v>
      </c>
      <c r="BB340" s="18">
        <f t="shared" si="1222"/>
        <v>4.8437681154880056E-5</v>
      </c>
      <c r="BC340" s="18">
        <f t="shared" si="1222"/>
        <v>4.8437681154880056E-5</v>
      </c>
      <c r="BD340" s="18">
        <f t="shared" si="1222"/>
        <v>4.8437681154880056E-5</v>
      </c>
      <c r="BE340" s="18">
        <f t="shared" si="1222"/>
        <v>4.8437681154880056E-5</v>
      </c>
      <c r="BF340" s="18">
        <f t="shared" si="1222"/>
        <v>4.8437681154880056E-5</v>
      </c>
      <c r="BG340" s="18">
        <f t="shared" si="1222"/>
        <v>2.4427884668737187E-5</v>
      </c>
    </row>
    <row r="341" spans="2:59" x14ac:dyDescent="0.25">
      <c r="C341" t="s">
        <v>81</v>
      </c>
      <c r="E341" s="18">
        <f t="shared" ref="E341:AJ341" si="1223" xml:space="preserve"> 0.00004 * SIN( (2 * E312+2 * E317 ) * Deg2Rad )</f>
        <v>1.6014468425475915E-5</v>
      </c>
      <c r="F341" s="18">
        <f t="shared" si="1223"/>
        <v>-1.6405695888091739E-5</v>
      </c>
      <c r="G341" s="18">
        <f t="shared" si="1223"/>
        <v>3.9996853663192626E-5</v>
      </c>
      <c r="H341" s="18">
        <f t="shared" si="1223"/>
        <v>4.470659722572964E-6</v>
      </c>
      <c r="I341" s="18">
        <f t="shared" si="1223"/>
        <v>9.202982770616085E-6</v>
      </c>
      <c r="J341" s="18">
        <f t="shared" si="1223"/>
        <v>-2.4723070141842252E-5</v>
      </c>
      <c r="K341" s="18">
        <f t="shared" si="1223"/>
        <v>-3.7820758275409816E-5</v>
      </c>
      <c r="L341" s="18">
        <f t="shared" si="1223"/>
        <v>2.8834484123993524E-5</v>
      </c>
      <c r="M341" s="18">
        <f t="shared" si="1223"/>
        <v>1.3271761884593006E-5</v>
      </c>
      <c r="N341" s="18">
        <f t="shared" si="1223"/>
        <v>-3.8996699088143512E-5</v>
      </c>
      <c r="O341" s="18">
        <f t="shared" si="1223"/>
        <v>-2.9943562170079779E-5</v>
      </c>
      <c r="P341" s="18">
        <f t="shared" si="1223"/>
        <v>3.9395385108796142E-5</v>
      </c>
      <c r="Q341" s="18">
        <f t="shared" si="1223"/>
        <v>2.1005904707867849E-5</v>
      </c>
      <c r="R341" s="18">
        <f t="shared" si="1223"/>
        <v>-3.9539342721242697E-5</v>
      </c>
      <c r="S341" s="18">
        <f t="shared" si="1223"/>
        <v>-1.9889186202879784E-5</v>
      </c>
      <c r="T341" s="18">
        <f t="shared" si="1223"/>
        <v>-6.0773508112654203E-6</v>
      </c>
      <c r="U341" s="18">
        <f t="shared" si="1223"/>
        <v>8.6789424837026986E-6</v>
      </c>
      <c r="V341" s="18">
        <f t="shared" si="1223"/>
        <v>2.9896845684678383E-5</v>
      </c>
      <c r="W341" s="18">
        <f t="shared" si="1223"/>
        <v>-5.4105839365026883E-6</v>
      </c>
      <c r="X341" s="18">
        <f t="shared" si="1223"/>
        <v>1.5842194514232163E-5</v>
      </c>
      <c r="Y341" s="18">
        <f t="shared" si="1223"/>
        <v>1.5376753917254018E-5</v>
      </c>
      <c r="Z341" s="18">
        <f t="shared" si="1223"/>
        <v>-8.5774245162987983E-6</v>
      </c>
      <c r="AA341" s="18">
        <f t="shared" si="1223"/>
        <v>3.9996853663192626E-5</v>
      </c>
      <c r="AB341" s="18">
        <f t="shared" si="1223"/>
        <v>-1.6543128916084361E-5</v>
      </c>
      <c r="AC341" s="18">
        <f t="shared" si="1223"/>
        <v>3.360772991811091E-5</v>
      </c>
      <c r="AD341" s="18">
        <f t="shared" si="1223"/>
        <v>-3.99737601525458E-5</v>
      </c>
      <c r="AE341" s="18">
        <f t="shared" si="1223"/>
        <v>1.5376753917254018E-5</v>
      </c>
      <c r="AF341" s="18">
        <f t="shared" si="1223"/>
        <v>-1.3373848747769145E-5</v>
      </c>
      <c r="AG341" s="18">
        <f t="shared" si="1223"/>
        <v>3.639339286075724E-5</v>
      </c>
      <c r="AH341" s="18">
        <f t="shared" si="1223"/>
        <v>1.0366239361909434E-5</v>
      </c>
      <c r="AI341" s="18">
        <f t="shared" si="1223"/>
        <v>2.7631938119660334E-5</v>
      </c>
      <c r="AJ341" s="18">
        <f t="shared" si="1223"/>
        <v>-3.7237298154170187E-6</v>
      </c>
      <c r="AK341" s="18">
        <f t="shared" ref="AK341:BG341" si="1224" xml:space="preserve"> 0.00004 * SIN( (2 * AK312+2 * AK317 ) * Deg2Rad )</f>
        <v>-3.3586551247809511E-5</v>
      </c>
      <c r="AL341" s="18">
        <f t="shared" si="1224"/>
        <v>3.3611596239363817E-5</v>
      </c>
      <c r="AM341" s="18">
        <f t="shared" si="1224"/>
        <v>-3.9359035245551581E-5</v>
      </c>
      <c r="AN341" s="18">
        <f t="shared" si="1224"/>
        <v>3.7140984842469586E-5</v>
      </c>
      <c r="AO341" s="18">
        <f t="shared" si="1224"/>
        <v>2.2613833149334118E-5</v>
      </c>
      <c r="AP341" s="18">
        <f t="shared" si="1224"/>
        <v>1.6763803593616802E-5</v>
      </c>
      <c r="AQ341" s="18">
        <f t="shared" si="1224"/>
        <v>1.6763803593616802E-5</v>
      </c>
      <c r="AR341" s="18">
        <f t="shared" si="1224"/>
        <v>-3.9980205645857798E-5</v>
      </c>
      <c r="AS341" s="18">
        <f t="shared" si="1224"/>
        <v>-3.9980205645857798E-5</v>
      </c>
      <c r="AT341" s="18">
        <f t="shared" si="1224"/>
        <v>-3.9980205645857798E-5</v>
      </c>
      <c r="AU341" s="18">
        <f t="shared" si="1224"/>
        <v>3.8282323005287968E-7</v>
      </c>
      <c r="AV341" s="18">
        <f t="shared" si="1224"/>
        <v>3.1949602794944204E-5</v>
      </c>
      <c r="AW341" s="18">
        <f t="shared" si="1224"/>
        <v>-1.5314709303454641E-5</v>
      </c>
      <c r="AX341" s="18">
        <f t="shared" si="1224"/>
        <v>-1.2725300726211793E-5</v>
      </c>
      <c r="AY341" s="18">
        <f t="shared" si="1224"/>
        <v>1.4446949067898303E-5</v>
      </c>
      <c r="AZ341" s="18">
        <f t="shared" si="1224"/>
        <v>1.4446949067898303E-5</v>
      </c>
      <c r="BA341" s="18">
        <f t="shared" si="1224"/>
        <v>2.8702120716797765E-5</v>
      </c>
      <c r="BB341" s="18">
        <f t="shared" si="1224"/>
        <v>2.8702120716797765E-5</v>
      </c>
      <c r="BC341" s="18">
        <f t="shared" si="1224"/>
        <v>2.8702120716797765E-5</v>
      </c>
      <c r="BD341" s="18">
        <f t="shared" si="1224"/>
        <v>2.8702120716797765E-5</v>
      </c>
      <c r="BE341" s="18">
        <f t="shared" si="1224"/>
        <v>2.8702120716797765E-5</v>
      </c>
      <c r="BF341" s="18">
        <f t="shared" si="1224"/>
        <v>2.8702120716797765E-5</v>
      </c>
      <c r="BG341" s="18">
        <f t="shared" si="1224"/>
        <v>1.5376753917254018E-5</v>
      </c>
    </row>
    <row r="342" spans="2:59" x14ac:dyDescent="0.25">
      <c r="C342" t="s">
        <v>82</v>
      </c>
      <c r="E342" s="18">
        <f t="shared" ref="E342:AJ342" si="1225" xml:space="preserve"> -0.00004 * SIN( (E312+E307+2 * E317 ) * Deg2Rad )</f>
        <v>-2.9112474907454161E-5</v>
      </c>
      <c r="F342" s="18">
        <f t="shared" si="1225"/>
        <v>1.3255874206177069E-5</v>
      </c>
      <c r="G342" s="18">
        <f t="shared" si="1225"/>
        <v>1.1870481351400723E-5</v>
      </c>
      <c r="H342" s="18">
        <f t="shared" si="1225"/>
        <v>-1.8517735084166567E-5</v>
      </c>
      <c r="I342" s="18">
        <f t="shared" si="1225"/>
        <v>-3.9316222654106186E-5</v>
      </c>
      <c r="J342" s="18">
        <f t="shared" si="1225"/>
        <v>2.4667284167549412E-5</v>
      </c>
      <c r="K342" s="18">
        <f t="shared" si="1225"/>
        <v>-3.3070985267820076E-5</v>
      </c>
      <c r="L342" s="18">
        <f t="shared" si="1225"/>
        <v>3.9694544028027417E-5</v>
      </c>
      <c r="M342" s="18">
        <f t="shared" si="1225"/>
        <v>-1.0322355178263957E-5</v>
      </c>
      <c r="N342" s="18">
        <f t="shared" si="1225"/>
        <v>-3.7971925796348945E-5</v>
      </c>
      <c r="O342" s="18">
        <f t="shared" si="1225"/>
        <v>-1.7770050883276018E-7</v>
      </c>
      <c r="P342" s="18">
        <f t="shared" si="1225"/>
        <v>1.4503132914175293E-5</v>
      </c>
      <c r="Q342" s="18">
        <f t="shared" si="1225"/>
        <v>-1.0891353493856385E-5</v>
      </c>
      <c r="R342" s="18">
        <f t="shared" si="1225"/>
        <v>3.9334916328595995E-5</v>
      </c>
      <c r="S342" s="18">
        <f t="shared" si="1225"/>
        <v>3.9005415865626959E-5</v>
      </c>
      <c r="T342" s="18">
        <f t="shared" si="1225"/>
        <v>3.998455111545886E-5</v>
      </c>
      <c r="U342" s="18">
        <f t="shared" si="1225"/>
        <v>-3.4033880889050679E-5</v>
      </c>
      <c r="V342" s="18">
        <f t="shared" si="1225"/>
        <v>-2.3835618266711619E-5</v>
      </c>
      <c r="W342" s="18">
        <f t="shared" si="1225"/>
        <v>-3.999780063543677E-5</v>
      </c>
      <c r="X342" s="18">
        <f t="shared" si="1225"/>
        <v>-3.9637122778578916E-5</v>
      </c>
      <c r="Y342" s="18">
        <f t="shared" si="1225"/>
        <v>1.3827603965628891E-5</v>
      </c>
      <c r="Z342" s="18">
        <f t="shared" si="1225"/>
        <v>3.0629281905052186E-5</v>
      </c>
      <c r="AA342" s="18">
        <f t="shared" si="1225"/>
        <v>1.1870481351400723E-5</v>
      </c>
      <c r="AB342" s="18">
        <f t="shared" si="1225"/>
        <v>-2.9015814193857204E-5</v>
      </c>
      <c r="AC342" s="18">
        <f t="shared" si="1225"/>
        <v>3.3927996140768677E-5</v>
      </c>
      <c r="AD342" s="18">
        <f t="shared" si="1225"/>
        <v>-2.8065592553200588E-5</v>
      </c>
      <c r="AE342" s="18">
        <f t="shared" si="1225"/>
        <v>1.3827603965628891E-5</v>
      </c>
      <c r="AF342" s="18">
        <f t="shared" si="1225"/>
        <v>3.1593396524628129E-5</v>
      </c>
      <c r="AG342" s="18">
        <f t="shared" si="1225"/>
        <v>-3.8691298179516241E-5</v>
      </c>
      <c r="AH342" s="18">
        <f t="shared" si="1225"/>
        <v>3.9999991484644319E-5</v>
      </c>
      <c r="AI342" s="18">
        <f t="shared" si="1225"/>
        <v>1.2718504804327956E-5</v>
      </c>
      <c r="AJ342" s="18">
        <f t="shared" si="1225"/>
        <v>-7.5320079732134329E-6</v>
      </c>
      <c r="AK342" s="18">
        <f t="shared" ref="AK342:BG342" si="1226" xml:space="preserve"> -0.00004 * SIN( (AK312+AK307+2 * AK317 ) * Deg2Rad )</f>
        <v>4.126542270375225E-6</v>
      </c>
      <c r="AL342" s="18">
        <f t="shared" si="1226"/>
        <v>3.696649714575902E-5</v>
      </c>
      <c r="AM342" s="18">
        <f t="shared" si="1226"/>
        <v>3.8383923559500972E-5</v>
      </c>
      <c r="AN342" s="18">
        <f t="shared" si="1226"/>
        <v>1.9069987770028663E-5</v>
      </c>
      <c r="AO342" s="18">
        <f t="shared" si="1226"/>
        <v>-3.9977825995079721E-5</v>
      </c>
      <c r="AP342" s="18">
        <f t="shared" si="1226"/>
        <v>3.8195371117363405E-5</v>
      </c>
      <c r="AQ342" s="18">
        <f t="shared" si="1226"/>
        <v>3.8195371117363405E-5</v>
      </c>
      <c r="AR342" s="18">
        <f t="shared" si="1226"/>
        <v>-6.2484883478393509E-6</v>
      </c>
      <c r="AS342" s="18">
        <f t="shared" si="1226"/>
        <v>-6.2484883478393509E-6</v>
      </c>
      <c r="AT342" s="18">
        <f t="shared" si="1226"/>
        <v>-6.2484883478393509E-6</v>
      </c>
      <c r="AU342" s="18">
        <f t="shared" si="1226"/>
        <v>3.8066430325946688E-5</v>
      </c>
      <c r="AV342" s="18">
        <f t="shared" si="1226"/>
        <v>2.066201763769408E-5</v>
      </c>
      <c r="AW342" s="18">
        <f t="shared" si="1226"/>
        <v>-3.8242250461650095E-5</v>
      </c>
      <c r="AX342" s="18">
        <f t="shared" si="1226"/>
        <v>-1.6449771449174352E-5</v>
      </c>
      <c r="AY342" s="18">
        <f t="shared" si="1226"/>
        <v>-3.2665497976303896E-5</v>
      </c>
      <c r="AZ342" s="18">
        <f t="shared" si="1226"/>
        <v>-3.2665497976303896E-5</v>
      </c>
      <c r="BA342" s="18">
        <f t="shared" si="1226"/>
        <v>3.5157249922907594E-5</v>
      </c>
      <c r="BB342" s="18">
        <f t="shared" si="1226"/>
        <v>3.5157249922907594E-5</v>
      </c>
      <c r="BC342" s="18">
        <f t="shared" si="1226"/>
        <v>3.5157249922907594E-5</v>
      </c>
      <c r="BD342" s="18">
        <f t="shared" si="1226"/>
        <v>3.5157249922907594E-5</v>
      </c>
      <c r="BE342" s="18">
        <f t="shared" si="1226"/>
        <v>3.5157249922907594E-5</v>
      </c>
      <c r="BF342" s="18">
        <f t="shared" si="1226"/>
        <v>3.5157249922907594E-5</v>
      </c>
      <c r="BG342" s="18">
        <f t="shared" si="1226"/>
        <v>1.3827603965628891E-5</v>
      </c>
    </row>
    <row r="343" spans="2:59" x14ac:dyDescent="0.25">
      <c r="C343" t="s">
        <v>83</v>
      </c>
      <c r="E343" s="18">
        <f t="shared" ref="E343:AJ343" si="1227" xml:space="preserve"> 0.00004 * SIN( (E312-2 * E307 ) * Deg2Rad )</f>
        <v>3.7980580875960666E-5</v>
      </c>
      <c r="F343" s="18">
        <f t="shared" si="1227"/>
        <v>3.6187566093922021E-5</v>
      </c>
      <c r="G343" s="18">
        <f t="shared" si="1227"/>
        <v>3.962632034756544E-5</v>
      </c>
      <c r="H343" s="18">
        <f t="shared" si="1227"/>
        <v>3.7371290029958199E-5</v>
      </c>
      <c r="I343" s="18">
        <f t="shared" si="1227"/>
        <v>-2.8366514350709061E-5</v>
      </c>
      <c r="J343" s="18">
        <f t="shared" si="1227"/>
        <v>3.5702785025341131E-5</v>
      </c>
      <c r="K343" s="18">
        <f t="shared" si="1227"/>
        <v>-1.1321436056546691E-5</v>
      </c>
      <c r="L343" s="18">
        <f t="shared" si="1227"/>
        <v>2.2640470760474849E-5</v>
      </c>
      <c r="M343" s="18">
        <f t="shared" si="1227"/>
        <v>-9.1859810465947669E-6</v>
      </c>
      <c r="N343" s="18">
        <f t="shared" si="1227"/>
        <v>2.8601463956621622E-5</v>
      </c>
      <c r="O343" s="18">
        <f t="shared" si="1227"/>
        <v>3.8299591231092588E-5</v>
      </c>
      <c r="P343" s="18">
        <f t="shared" si="1227"/>
        <v>3.9558664068464751E-5</v>
      </c>
      <c r="Q343" s="18">
        <f t="shared" si="1227"/>
        <v>-3.4075762298883191E-5</v>
      </c>
      <c r="R343" s="18">
        <f t="shared" si="1227"/>
        <v>-1.7549996130016097E-5</v>
      </c>
      <c r="S343" s="18">
        <f t="shared" si="1227"/>
        <v>-5.7264475033310154E-6</v>
      </c>
      <c r="T343" s="18">
        <f t="shared" si="1227"/>
        <v>-3.8561291027440264E-5</v>
      </c>
      <c r="U343" s="18">
        <f t="shared" si="1227"/>
        <v>-3.1855178139442935E-6</v>
      </c>
      <c r="V343" s="18">
        <f t="shared" si="1227"/>
        <v>1.3725793083137928E-5</v>
      </c>
      <c r="W343" s="18">
        <f t="shared" si="1227"/>
        <v>3.1526660148702876E-5</v>
      </c>
      <c r="X343" s="18">
        <f t="shared" si="1227"/>
        <v>-3.9443195355135838E-5</v>
      </c>
      <c r="Y343" s="18">
        <f t="shared" si="1227"/>
        <v>-3.749175034289197E-5</v>
      </c>
      <c r="Z343" s="18">
        <f t="shared" si="1227"/>
        <v>3.9398482317767788E-5</v>
      </c>
      <c r="AA343" s="18">
        <f t="shared" si="1227"/>
        <v>3.962632034756544E-5</v>
      </c>
      <c r="AB343" s="18">
        <f t="shared" si="1227"/>
        <v>-2.5785514733133491E-5</v>
      </c>
      <c r="AC343" s="18">
        <f t="shared" si="1227"/>
        <v>-3.8965158455615305E-5</v>
      </c>
      <c r="AD343" s="18">
        <f t="shared" si="1227"/>
        <v>3.9478716120708587E-5</v>
      </c>
      <c r="AE343" s="18">
        <f t="shared" si="1227"/>
        <v>-3.749175034289197E-5</v>
      </c>
      <c r="AF343" s="18">
        <f t="shared" si="1227"/>
        <v>1.3956566729713703E-5</v>
      </c>
      <c r="AG343" s="18">
        <f t="shared" si="1227"/>
        <v>3.9860208961818607E-5</v>
      </c>
      <c r="AH343" s="18">
        <f t="shared" si="1227"/>
        <v>9.0552159870723813E-6</v>
      </c>
      <c r="AI343" s="18">
        <f t="shared" si="1227"/>
        <v>-2.9742170214619886E-5</v>
      </c>
      <c r="AJ343" s="18">
        <f t="shared" si="1227"/>
        <v>-2.4874361494234265E-5</v>
      </c>
      <c r="AK343" s="18">
        <f t="shared" ref="AK343:BG343" si="1228" xml:space="preserve"> 0.00004 * SIN( (AK312-2 * AK307 ) * Deg2Rad )</f>
        <v>-3.9318407995395158E-5</v>
      </c>
      <c r="AL343" s="18">
        <f t="shared" si="1228"/>
        <v>-1.8436956529717745E-5</v>
      </c>
      <c r="AM343" s="18">
        <f t="shared" si="1228"/>
        <v>3.9704684083492704E-5</v>
      </c>
      <c r="AN343" s="18">
        <f t="shared" si="1228"/>
        <v>-1.0365686939161124E-5</v>
      </c>
      <c r="AO343" s="18">
        <f t="shared" si="1228"/>
        <v>-6.8619438648748556E-6</v>
      </c>
      <c r="AP343" s="18">
        <f t="shared" si="1228"/>
        <v>-1.4001053969595693E-5</v>
      </c>
      <c r="AQ343" s="18">
        <f t="shared" si="1228"/>
        <v>-1.4001053969595693E-5</v>
      </c>
      <c r="AR343" s="18">
        <f t="shared" si="1228"/>
        <v>-3.1896070729040884E-5</v>
      </c>
      <c r="AS343" s="18">
        <f t="shared" si="1228"/>
        <v>-3.1896070729040884E-5</v>
      </c>
      <c r="AT343" s="18">
        <f t="shared" si="1228"/>
        <v>-3.1896070729040884E-5</v>
      </c>
      <c r="AU343" s="18">
        <f t="shared" si="1228"/>
        <v>-3.4739750649700216E-5</v>
      </c>
      <c r="AV343" s="18">
        <f t="shared" si="1228"/>
        <v>-3.4075756260169554E-5</v>
      </c>
      <c r="AW343" s="18">
        <f t="shared" si="1228"/>
        <v>-1.8012858181374616E-5</v>
      </c>
      <c r="AX343" s="18">
        <f t="shared" si="1228"/>
        <v>-3.9906369801684135E-5</v>
      </c>
      <c r="AY343" s="18">
        <f t="shared" si="1228"/>
        <v>-3.9864146393740009E-5</v>
      </c>
      <c r="AZ343" s="18">
        <f t="shared" si="1228"/>
        <v>-3.9864146393740009E-5</v>
      </c>
      <c r="BA343" s="18">
        <f t="shared" si="1228"/>
        <v>-3.5425395026600569E-5</v>
      </c>
      <c r="BB343" s="18">
        <f t="shared" si="1228"/>
        <v>-3.5425395026600569E-5</v>
      </c>
      <c r="BC343" s="18">
        <f t="shared" si="1228"/>
        <v>-3.5425395026600569E-5</v>
      </c>
      <c r="BD343" s="18">
        <f t="shared" si="1228"/>
        <v>-3.5425395026600569E-5</v>
      </c>
      <c r="BE343" s="18">
        <f t="shared" si="1228"/>
        <v>-3.5425395026600569E-5</v>
      </c>
      <c r="BF343" s="18">
        <f t="shared" si="1228"/>
        <v>-3.5425395026600569E-5</v>
      </c>
      <c r="BG343" s="18">
        <f t="shared" si="1228"/>
        <v>-3.749175034289197E-5</v>
      </c>
    </row>
    <row r="344" spans="2:59" x14ac:dyDescent="0.25">
      <c r="C344" t="s">
        <v>84</v>
      </c>
      <c r="E344" s="18">
        <f t="shared" ref="E344:AJ344" si="1229" xml:space="preserve"> 0.00003 * SIN( (E312+E307-2 * E317 ) * Deg2Rad )</f>
        <v>2.9392835232046106E-5</v>
      </c>
      <c r="F344" s="18">
        <f t="shared" si="1229"/>
        <v>6.0975093320818343E-8</v>
      </c>
      <c r="G344" s="18">
        <f t="shared" si="1229"/>
        <v>-1.5949911829187902E-5</v>
      </c>
      <c r="H344" s="18">
        <f t="shared" si="1229"/>
        <v>2.1178606056341708E-5</v>
      </c>
      <c r="I344" s="18">
        <f t="shared" si="1229"/>
        <v>-2.9891407904152051E-5</v>
      </c>
      <c r="J344" s="18">
        <f t="shared" si="1229"/>
        <v>-2.6678398714691262E-5</v>
      </c>
      <c r="K344" s="18">
        <f t="shared" si="1229"/>
        <v>-9.1967245254920392E-6</v>
      </c>
      <c r="L344" s="18">
        <f t="shared" si="1229"/>
        <v>7.3803821355246638E-6</v>
      </c>
      <c r="M344" s="18">
        <f t="shared" si="1229"/>
        <v>-6.3167829633129392E-6</v>
      </c>
      <c r="N344" s="18">
        <f t="shared" si="1229"/>
        <v>1.9871237914601363E-5</v>
      </c>
      <c r="O344" s="18">
        <f t="shared" si="1229"/>
        <v>-2.0059601686550727E-5</v>
      </c>
      <c r="P344" s="18">
        <f t="shared" si="1229"/>
        <v>2.6666745743885212E-5</v>
      </c>
      <c r="Q344" s="18">
        <f t="shared" si="1229"/>
        <v>-2.1890299182907034E-5</v>
      </c>
      <c r="R344" s="18">
        <f t="shared" si="1229"/>
        <v>-1.9459589688120655E-5</v>
      </c>
      <c r="S344" s="18">
        <f t="shared" si="1229"/>
        <v>1.5985973162609725E-5</v>
      </c>
      <c r="T344" s="18">
        <f t="shared" si="1229"/>
        <v>6.7185522220989835E-6</v>
      </c>
      <c r="U344" s="18">
        <f t="shared" si="1229"/>
        <v>-1.8639989419604971E-5</v>
      </c>
      <c r="V344" s="18">
        <f t="shared" si="1229"/>
        <v>2.994443325881185E-5</v>
      </c>
      <c r="W344" s="18">
        <f t="shared" si="1229"/>
        <v>-2.9060141381426365E-5</v>
      </c>
      <c r="X344" s="18">
        <f t="shared" si="1229"/>
        <v>-1.8329213585076593E-5</v>
      </c>
      <c r="Y344" s="18">
        <f t="shared" si="1229"/>
        <v>-8.0783007518667376E-6</v>
      </c>
      <c r="Z344" s="18">
        <f t="shared" si="1229"/>
        <v>2.9122063562536328E-5</v>
      </c>
      <c r="AA344" s="18">
        <f t="shared" si="1229"/>
        <v>-1.5949911829187902E-5</v>
      </c>
      <c r="AB344" s="18">
        <f t="shared" si="1229"/>
        <v>-9.4591536949115819E-6</v>
      </c>
      <c r="AC344" s="18">
        <f t="shared" si="1229"/>
        <v>-1.1802354186280329E-5</v>
      </c>
      <c r="AD344" s="18">
        <f t="shared" si="1229"/>
        <v>7.3519449695387992E-7</v>
      </c>
      <c r="AE344" s="18">
        <f t="shared" si="1229"/>
        <v>-8.0783007518667376E-6</v>
      </c>
      <c r="AF344" s="18">
        <f t="shared" si="1229"/>
        <v>7.0999429936746753E-6</v>
      </c>
      <c r="AG344" s="18">
        <f t="shared" si="1229"/>
        <v>4.4627023743255685E-7</v>
      </c>
      <c r="AH344" s="18">
        <f t="shared" si="1229"/>
        <v>-2.3793597155369136E-5</v>
      </c>
      <c r="AI344" s="18">
        <f t="shared" si="1229"/>
        <v>-2.0869359459520298E-5</v>
      </c>
      <c r="AJ344" s="18">
        <f t="shared" si="1229"/>
        <v>2.1501240058107866E-5</v>
      </c>
      <c r="AK344" s="18">
        <f t="shared" ref="AK344:BG344" si="1230" xml:space="preserve"> 0.00003 * SIN( (AK312+AK307-2 * AK317 ) * Deg2Rad )</f>
        <v>8.4967494563919062E-6</v>
      </c>
      <c r="AL344" s="18">
        <f t="shared" si="1230"/>
        <v>-7.2402501814794617E-6</v>
      </c>
      <c r="AM344" s="18">
        <f t="shared" si="1230"/>
        <v>-2.7430361019456161E-5</v>
      </c>
      <c r="AN344" s="18">
        <f t="shared" si="1230"/>
        <v>-2.3437143452472336E-5</v>
      </c>
      <c r="AO344" s="18">
        <f t="shared" si="1230"/>
        <v>-2.9999263431617474E-5</v>
      </c>
      <c r="AP344" s="18">
        <f t="shared" si="1230"/>
        <v>-1.7538434339317591E-5</v>
      </c>
      <c r="AQ344" s="18">
        <f t="shared" si="1230"/>
        <v>-1.7538434339317591E-5</v>
      </c>
      <c r="AR344" s="18">
        <f t="shared" si="1230"/>
        <v>-2.0149471753407951E-5</v>
      </c>
      <c r="AS344" s="18">
        <f t="shared" si="1230"/>
        <v>-2.0149471753407951E-5</v>
      </c>
      <c r="AT344" s="18">
        <f t="shared" si="1230"/>
        <v>-2.0149471753407951E-5</v>
      </c>
      <c r="AU344" s="18">
        <f t="shared" si="1230"/>
        <v>-2.9576393699165749E-5</v>
      </c>
      <c r="AV344" s="18">
        <f t="shared" si="1230"/>
        <v>1.3139476549221333E-5</v>
      </c>
      <c r="AW344" s="18">
        <f t="shared" si="1230"/>
        <v>2.9990177416679173E-5</v>
      </c>
      <c r="AX344" s="18">
        <f t="shared" si="1230"/>
        <v>2.6738406670496754E-5</v>
      </c>
      <c r="AY344" s="18">
        <f t="shared" si="1230"/>
        <v>-2.2507893973384126E-5</v>
      </c>
      <c r="AZ344" s="18">
        <f t="shared" si="1230"/>
        <v>-2.2507893973384126E-5</v>
      </c>
      <c r="BA344" s="18">
        <f t="shared" si="1230"/>
        <v>-2.4584133314799308E-5</v>
      </c>
      <c r="BB344" s="18">
        <f t="shared" si="1230"/>
        <v>-2.4584133314799308E-5</v>
      </c>
      <c r="BC344" s="18">
        <f t="shared" si="1230"/>
        <v>-2.4584133314799308E-5</v>
      </c>
      <c r="BD344" s="18">
        <f t="shared" si="1230"/>
        <v>-2.4584133314799308E-5</v>
      </c>
      <c r="BE344" s="18">
        <f t="shared" si="1230"/>
        <v>-2.4584133314799308E-5</v>
      </c>
      <c r="BF344" s="18">
        <f t="shared" si="1230"/>
        <v>-2.4584133314799308E-5</v>
      </c>
      <c r="BG344" s="18">
        <f t="shared" si="1230"/>
        <v>-8.0783007518667376E-6</v>
      </c>
    </row>
    <row r="345" spans="2:59" x14ac:dyDescent="0.25">
      <c r="C345" t="s">
        <v>85</v>
      </c>
      <c r="E345" s="18">
        <f t="shared" ref="E345:AJ345" si="1231" xml:space="preserve"> 0.00003 * SIN( (3 * E307 ) * Deg2Rad )</f>
        <v>-1.6844594164610186E-5</v>
      </c>
      <c r="F345" s="18">
        <f t="shared" si="1231"/>
        <v>-1.7187372344655139E-5</v>
      </c>
      <c r="G345" s="18">
        <f t="shared" si="1231"/>
        <v>2.8711590135705501E-5</v>
      </c>
      <c r="H345" s="18">
        <f t="shared" si="1231"/>
        <v>2.8929191834856001E-5</v>
      </c>
      <c r="I345" s="18">
        <f t="shared" si="1231"/>
        <v>1.8231241321393575E-5</v>
      </c>
      <c r="J345" s="18">
        <f t="shared" si="1231"/>
        <v>-1.8943177182528962E-5</v>
      </c>
      <c r="K345" s="18">
        <f t="shared" si="1231"/>
        <v>2.812413572337497E-5</v>
      </c>
      <c r="L345" s="18">
        <f t="shared" si="1231"/>
        <v>-3.6296929817127918E-6</v>
      </c>
      <c r="M345" s="18">
        <f t="shared" si="1231"/>
        <v>2.6770142294624755E-5</v>
      </c>
      <c r="N345" s="18">
        <f t="shared" si="1231"/>
        <v>2.58359976585096E-5</v>
      </c>
      <c r="O345" s="18">
        <f t="shared" si="1231"/>
        <v>2.2716385271254867E-6</v>
      </c>
      <c r="P345" s="18">
        <f t="shared" si="1231"/>
        <v>2.6173113531853117E-5</v>
      </c>
      <c r="Q345" s="18">
        <f t="shared" si="1231"/>
        <v>-2.0417306683640707E-5</v>
      </c>
      <c r="R345" s="18">
        <f t="shared" si="1231"/>
        <v>2.1000121973419323E-5</v>
      </c>
      <c r="S345" s="18">
        <f t="shared" si="1231"/>
        <v>7.393600733209466E-6</v>
      </c>
      <c r="T345" s="18">
        <f t="shared" si="1231"/>
        <v>2.775240962878719E-5</v>
      </c>
      <c r="U345" s="18">
        <f t="shared" si="1231"/>
        <v>2.1656077821239782E-5</v>
      </c>
      <c r="V345" s="18">
        <f t="shared" si="1231"/>
        <v>-2.1199640171074586E-5</v>
      </c>
      <c r="W345" s="18">
        <f t="shared" si="1231"/>
        <v>2.1036331187782619E-5</v>
      </c>
      <c r="X345" s="18">
        <f t="shared" si="1231"/>
        <v>2.5474846868011759E-5</v>
      </c>
      <c r="Y345" s="18">
        <f t="shared" si="1231"/>
        <v>-1.1576898236875669E-5</v>
      </c>
      <c r="Z345" s="18">
        <f t="shared" si="1231"/>
        <v>2.398720256268838E-5</v>
      </c>
      <c r="AA345" s="18">
        <f t="shared" si="1231"/>
        <v>2.8711590135705501E-5</v>
      </c>
      <c r="AB345" s="18">
        <f t="shared" si="1231"/>
        <v>-2.4331848852817919E-5</v>
      </c>
      <c r="AC345" s="18">
        <f t="shared" si="1231"/>
        <v>-1.7780241023031563E-5</v>
      </c>
      <c r="AD345" s="18">
        <f t="shared" si="1231"/>
        <v>6.3996531900575598E-6</v>
      </c>
      <c r="AE345" s="18">
        <f t="shared" si="1231"/>
        <v>-1.1576898236875669E-5</v>
      </c>
      <c r="AF345" s="18">
        <f t="shared" si="1231"/>
        <v>1.7907401695807588E-5</v>
      </c>
      <c r="AG345" s="18">
        <f t="shared" si="1231"/>
        <v>-2.0080537483704659E-5</v>
      </c>
      <c r="AH345" s="18">
        <f t="shared" si="1231"/>
        <v>-2.9851895222073903E-5</v>
      </c>
      <c r="AI345" s="18">
        <f t="shared" si="1231"/>
        <v>-1.4633722464714983E-5</v>
      </c>
      <c r="AJ345" s="18">
        <f t="shared" si="1231"/>
        <v>2.7567970732001084E-5</v>
      </c>
      <c r="AK345" s="18">
        <f t="shared" ref="AK345:BG345" si="1232" xml:space="preserve"> 0.00003 * SIN( (3 * AK307 ) * Deg2Rad )</f>
        <v>2.9870453428559968E-5</v>
      </c>
      <c r="AL345" s="18">
        <f t="shared" si="1232"/>
        <v>2.7854732104210389E-5</v>
      </c>
      <c r="AM345" s="18">
        <f t="shared" si="1232"/>
        <v>-5.590049916041907E-6</v>
      </c>
      <c r="AN345" s="18">
        <f t="shared" si="1232"/>
        <v>-1.2633229165216704E-5</v>
      </c>
      <c r="AO345" s="18">
        <f t="shared" si="1232"/>
        <v>-5.5345239492890505E-6</v>
      </c>
      <c r="AP345" s="18">
        <f t="shared" si="1232"/>
        <v>2.3326582216072242E-5</v>
      </c>
      <c r="AQ345" s="18">
        <f t="shared" si="1232"/>
        <v>2.3326582216072242E-5</v>
      </c>
      <c r="AR345" s="18">
        <f t="shared" si="1232"/>
        <v>-1.775154120169288E-5</v>
      </c>
      <c r="AS345" s="18">
        <f t="shared" si="1232"/>
        <v>-1.775154120169288E-5</v>
      </c>
      <c r="AT345" s="18">
        <f t="shared" si="1232"/>
        <v>-1.775154120169288E-5</v>
      </c>
      <c r="AU345" s="18">
        <f t="shared" si="1232"/>
        <v>1.6706186131055277E-5</v>
      </c>
      <c r="AV345" s="18">
        <f t="shared" si="1232"/>
        <v>2.6233822499002732E-5</v>
      </c>
      <c r="AW345" s="18">
        <f t="shared" si="1232"/>
        <v>2.8370138087972566E-5</v>
      </c>
      <c r="AX345" s="18">
        <f t="shared" si="1232"/>
        <v>2.306935218165071E-5</v>
      </c>
      <c r="AY345" s="18">
        <f t="shared" si="1232"/>
        <v>-2.4989059638968346E-5</v>
      </c>
      <c r="AZ345" s="18">
        <f t="shared" si="1232"/>
        <v>-2.4989059638968346E-5</v>
      </c>
      <c r="BA345" s="18">
        <f t="shared" si="1232"/>
        <v>1.5411251589804845E-5</v>
      </c>
      <c r="BB345" s="18">
        <f t="shared" si="1232"/>
        <v>1.5411251589804845E-5</v>
      </c>
      <c r="BC345" s="18">
        <f t="shared" si="1232"/>
        <v>1.5411251589804845E-5</v>
      </c>
      <c r="BD345" s="18">
        <f t="shared" si="1232"/>
        <v>1.5411251589804845E-5</v>
      </c>
      <c r="BE345" s="18">
        <f t="shared" si="1232"/>
        <v>1.5411251589804845E-5</v>
      </c>
      <c r="BF345" s="18">
        <f t="shared" si="1232"/>
        <v>1.5411251589804845E-5</v>
      </c>
      <c r="BG345" s="18">
        <f t="shared" si="1232"/>
        <v>-1.1576898236875669E-5</v>
      </c>
    </row>
    <row r="346" spans="2:59" x14ac:dyDescent="0.25">
      <c r="C346" t="s">
        <v>86</v>
      </c>
      <c r="E346" s="18">
        <f t="shared" ref="E346:AJ346" si="1233" xml:space="preserve"> 0.00002 * SIN( (2 * E312-2 * E317 ) * Deg2Rad )</f>
        <v>1.9594617402570884E-5</v>
      </c>
      <c r="F346" s="18">
        <f t="shared" si="1233"/>
        <v>1.3754655998870948E-5</v>
      </c>
      <c r="G346" s="18">
        <f t="shared" si="1233"/>
        <v>1.9265750782217682E-5</v>
      </c>
      <c r="H346" s="18">
        <f t="shared" si="1233"/>
        <v>-3.7861152753194484E-6</v>
      </c>
      <c r="I346" s="18">
        <f t="shared" si="1233"/>
        <v>-2.6342899900902448E-6</v>
      </c>
      <c r="J346" s="18">
        <f t="shared" si="1233"/>
        <v>1.3112490839551874E-5</v>
      </c>
      <c r="K346" s="18">
        <f t="shared" si="1233"/>
        <v>1.8919783842086564E-5</v>
      </c>
      <c r="L346" s="18">
        <f t="shared" si="1233"/>
        <v>7.6689194024235498E-6</v>
      </c>
      <c r="M346" s="18">
        <f t="shared" si="1233"/>
        <v>-7.5495365007295276E-6</v>
      </c>
      <c r="N346" s="18">
        <f t="shared" si="1233"/>
        <v>-1.1760740832928605E-5</v>
      </c>
      <c r="O346" s="18">
        <f t="shared" si="1233"/>
        <v>1.9999904583328947E-5</v>
      </c>
      <c r="P346" s="18">
        <f t="shared" si="1233"/>
        <v>-1.383816622587279E-6</v>
      </c>
      <c r="Q346" s="18">
        <f t="shared" si="1233"/>
        <v>-1.0295173213803205E-5</v>
      </c>
      <c r="R346" s="18">
        <f t="shared" si="1233"/>
        <v>-7.2563655072337193E-6</v>
      </c>
      <c r="S346" s="18">
        <f t="shared" si="1233"/>
        <v>-1.3065091919193171E-5</v>
      </c>
      <c r="T346" s="18">
        <f t="shared" si="1233"/>
        <v>-1.8783349754405E-5</v>
      </c>
      <c r="U346" s="18">
        <f t="shared" si="1233"/>
        <v>-1.072293435137888E-5</v>
      </c>
      <c r="V346" s="18">
        <f t="shared" si="1233"/>
        <v>-2.9714405252795857E-6</v>
      </c>
      <c r="W346" s="18">
        <f t="shared" si="1233"/>
        <v>7.3471510530250382E-6</v>
      </c>
      <c r="X346" s="18">
        <f t="shared" si="1233"/>
        <v>-1.9867269540615408E-5</v>
      </c>
      <c r="Y346" s="18">
        <f t="shared" si="1233"/>
        <v>-1.704419331582632E-5</v>
      </c>
      <c r="Z346" s="18">
        <f t="shared" si="1233"/>
        <v>-4.7536991918123563E-6</v>
      </c>
      <c r="AA346" s="18">
        <f t="shared" si="1233"/>
        <v>1.9265750782217682E-5</v>
      </c>
      <c r="AB346" s="18">
        <f t="shared" si="1233"/>
        <v>1.2975994990450031E-5</v>
      </c>
      <c r="AC346" s="18">
        <f t="shared" si="1233"/>
        <v>1.9987694536672569E-5</v>
      </c>
      <c r="AD346" s="18">
        <f t="shared" si="1233"/>
        <v>1.3372642079286459E-5</v>
      </c>
      <c r="AE346" s="18">
        <f t="shared" si="1233"/>
        <v>-1.704419331582632E-5</v>
      </c>
      <c r="AF346" s="18">
        <f t="shared" si="1233"/>
        <v>-6.4940408792918864E-6</v>
      </c>
      <c r="AG346" s="18">
        <f t="shared" si="1233"/>
        <v>-1.2412502905686376E-5</v>
      </c>
      <c r="AH346" s="18">
        <f t="shared" si="1233"/>
        <v>1.5868037068463029E-5</v>
      </c>
      <c r="AI346" s="18">
        <f t="shared" si="1233"/>
        <v>-1.9194952618911118E-5</v>
      </c>
      <c r="AJ346" s="18">
        <f t="shared" si="1233"/>
        <v>9.875244991747422E-6</v>
      </c>
      <c r="AK346" s="18">
        <f t="shared" ref="AK346:BG346" si="1234" xml:space="preserve"> 0.00002 * SIN( (2 * AK312-2 * AK317 ) * Deg2Rad )</f>
        <v>-1.1394337479471539E-5</v>
      </c>
      <c r="AL346" s="18">
        <f t="shared" si="1234"/>
        <v>1.8703025900346765E-5</v>
      </c>
      <c r="AM346" s="18">
        <f t="shared" si="1234"/>
        <v>-1.2721520294089043E-5</v>
      </c>
      <c r="AN346" s="18">
        <f t="shared" si="1234"/>
        <v>1.4217276866825112E-5</v>
      </c>
      <c r="AO346" s="18">
        <f t="shared" si="1234"/>
        <v>-1.1962487319994809E-5</v>
      </c>
      <c r="AP346" s="18">
        <f t="shared" si="1234"/>
        <v>-1.4560951486115626E-5</v>
      </c>
      <c r="AQ346" s="18">
        <f t="shared" si="1234"/>
        <v>-1.4560951486115626E-5</v>
      </c>
      <c r="AR346" s="18">
        <f t="shared" si="1234"/>
        <v>-1.2040715287826914E-5</v>
      </c>
      <c r="AS346" s="18">
        <f t="shared" si="1234"/>
        <v>-1.2040715287826914E-5</v>
      </c>
      <c r="AT346" s="18">
        <f t="shared" si="1234"/>
        <v>-1.2040715287826914E-5</v>
      </c>
      <c r="AU346" s="18">
        <f t="shared" si="1234"/>
        <v>9.4127990021279243E-6</v>
      </c>
      <c r="AV346" s="18">
        <f t="shared" si="1234"/>
        <v>-1.4182569926714592E-6</v>
      </c>
      <c r="AW346" s="18">
        <f t="shared" si="1234"/>
        <v>-1.3128104733808057E-5</v>
      </c>
      <c r="AX346" s="18">
        <f t="shared" si="1234"/>
        <v>6.9064601342585698E-6</v>
      </c>
      <c r="AY346" s="18">
        <f t="shared" si="1234"/>
        <v>-9.1756933645564585E-6</v>
      </c>
      <c r="AZ346" s="18">
        <f t="shared" si="1234"/>
        <v>-9.1756933645564585E-6</v>
      </c>
      <c r="BA346" s="18">
        <f t="shared" si="1234"/>
        <v>-6.0479255865087182E-6</v>
      </c>
      <c r="BB346" s="18">
        <f t="shared" si="1234"/>
        <v>-6.0479255865087182E-6</v>
      </c>
      <c r="BC346" s="18">
        <f t="shared" si="1234"/>
        <v>-6.0479255865087182E-6</v>
      </c>
      <c r="BD346" s="18">
        <f t="shared" si="1234"/>
        <v>-6.0479255865087182E-6</v>
      </c>
      <c r="BE346" s="18">
        <f t="shared" si="1234"/>
        <v>-6.0479255865087182E-6</v>
      </c>
      <c r="BF346" s="18">
        <f t="shared" si="1234"/>
        <v>-6.0479255865087182E-6</v>
      </c>
      <c r="BG346" s="18">
        <f t="shared" si="1234"/>
        <v>-1.704419331582632E-5</v>
      </c>
    </row>
    <row r="347" spans="2:59" x14ac:dyDescent="0.25">
      <c r="C347" t="s">
        <v>87</v>
      </c>
      <c r="E347" s="18">
        <f t="shared" ref="E347:AJ347" si="1235" xml:space="preserve"> 0.00002 * SIN( (E312-E307+2 * E317 ) * Deg2Rad )</f>
        <v>-1.5437883981477354E-5</v>
      </c>
      <c r="F347" s="18">
        <f t="shared" si="1235"/>
        <v>1.6590739274084592E-5</v>
      </c>
      <c r="G347" s="18">
        <f t="shared" si="1235"/>
        <v>-1.827489111629192E-5</v>
      </c>
      <c r="H347" s="18">
        <f t="shared" si="1235"/>
        <v>-1.3552690608554266E-5</v>
      </c>
      <c r="I347" s="18">
        <f t="shared" si="1235"/>
        <v>1.9372687064744226E-6</v>
      </c>
      <c r="J347" s="18">
        <f t="shared" si="1235"/>
        <v>-1.8003108534540239E-5</v>
      </c>
      <c r="K347" s="18">
        <f t="shared" si="1235"/>
        <v>-6.1173709697152026E-6</v>
      </c>
      <c r="L347" s="18">
        <f t="shared" si="1235"/>
        <v>-1.9981680971027187E-5</v>
      </c>
      <c r="M347" s="18">
        <f t="shared" si="1235"/>
        <v>1.6786188958180376E-5</v>
      </c>
      <c r="N347" s="18">
        <f t="shared" si="1235"/>
        <v>9.3763626500269852E-6</v>
      </c>
      <c r="O347" s="18">
        <f t="shared" si="1235"/>
        <v>1.776282090902902E-5</v>
      </c>
      <c r="P347" s="18">
        <f t="shared" si="1235"/>
        <v>-1.9648146204450628E-5</v>
      </c>
      <c r="Q347" s="18">
        <f t="shared" si="1235"/>
        <v>-1.467642826490295E-5</v>
      </c>
      <c r="R347" s="18">
        <f t="shared" si="1235"/>
        <v>3.7629228150027637E-6</v>
      </c>
      <c r="S347" s="18">
        <f t="shared" si="1235"/>
        <v>1.5827764914386272E-5</v>
      </c>
      <c r="T347" s="18">
        <f t="shared" si="1235"/>
        <v>-1.4500794556022166E-5</v>
      </c>
      <c r="U347" s="18">
        <f t="shared" si="1235"/>
        <v>-9.7297372791476806E-6</v>
      </c>
      <c r="V347" s="18">
        <f t="shared" si="1235"/>
        <v>-1.8355168961433118E-5</v>
      </c>
      <c r="W347" s="18">
        <f t="shared" si="1235"/>
        <v>9.9019235776580572E-8</v>
      </c>
      <c r="X347" s="18">
        <f t="shared" si="1235"/>
        <v>3.5725783701634223E-7</v>
      </c>
      <c r="Y347" s="18">
        <f t="shared" si="1235"/>
        <v>1.8139555128106E-5</v>
      </c>
      <c r="Z347" s="18">
        <f t="shared" si="1235"/>
        <v>-5.034373603617784E-6</v>
      </c>
      <c r="AA347" s="18">
        <f t="shared" si="1235"/>
        <v>-1.827489111629192E-5</v>
      </c>
      <c r="AB347" s="18">
        <f t="shared" si="1235"/>
        <v>3.5995867731127731E-6</v>
      </c>
      <c r="AC347" s="18">
        <f t="shared" si="1235"/>
        <v>-1.9817213429044925E-5</v>
      </c>
      <c r="AD347" s="18">
        <f t="shared" si="1235"/>
        <v>8.0238271105199677E-6</v>
      </c>
      <c r="AE347" s="18">
        <f t="shared" si="1235"/>
        <v>1.8139555128106E-5</v>
      </c>
      <c r="AF347" s="18">
        <f t="shared" si="1235"/>
        <v>-1.9455748559288207E-5</v>
      </c>
      <c r="AG347" s="18">
        <f t="shared" si="1235"/>
        <v>4.3996559403283306E-6</v>
      </c>
      <c r="AH347" s="18">
        <f t="shared" si="1235"/>
        <v>1.9956956992710775E-5</v>
      </c>
      <c r="AI347" s="18">
        <f t="shared" si="1235"/>
        <v>1.7157013404325625E-5</v>
      </c>
      <c r="AJ347" s="18">
        <f t="shared" si="1235"/>
        <v>-1.1085287411962251E-5</v>
      </c>
      <c r="AK347" s="18">
        <f t="shared" ref="AK347:BG347" si="1236" xml:space="preserve"> 0.00002 * SIN( (AK312-AK307+2 * AK317 ) * Deg2Rad )</f>
        <v>-1.7719271794030625E-5</v>
      </c>
      <c r="AL347" s="18">
        <f t="shared" si="1236"/>
        <v>1.9808996968655324E-5</v>
      </c>
      <c r="AM347" s="18">
        <f t="shared" si="1236"/>
        <v>2.2635223374887995E-6</v>
      </c>
      <c r="AN347" s="18">
        <f t="shared" si="1236"/>
        <v>1.9007092189418107E-5</v>
      </c>
      <c r="AO347" s="18">
        <f t="shared" si="1236"/>
        <v>-1.1522797481133567E-5</v>
      </c>
      <c r="AP347" s="18">
        <f t="shared" si="1236"/>
        <v>1.4567062162673153E-5</v>
      </c>
      <c r="AQ347" s="18">
        <f t="shared" si="1236"/>
        <v>1.4567062162673153E-5</v>
      </c>
      <c r="AR347" s="18">
        <f t="shared" si="1236"/>
        <v>1.933637026912494E-5</v>
      </c>
      <c r="AS347" s="18">
        <f t="shared" si="1236"/>
        <v>1.933637026912494E-5</v>
      </c>
      <c r="AT347" s="18">
        <f t="shared" si="1236"/>
        <v>1.933637026912494E-5</v>
      </c>
      <c r="AU347" s="18">
        <f t="shared" si="1236"/>
        <v>-1.9933539179275667E-5</v>
      </c>
      <c r="AV347" s="18">
        <f t="shared" si="1236"/>
        <v>1.542071699382639E-5</v>
      </c>
      <c r="AW347" s="18">
        <f t="shared" si="1236"/>
        <v>1.7267447704700687E-5</v>
      </c>
      <c r="AX347" s="18">
        <f t="shared" si="1236"/>
        <v>-1.7693054817892946E-5</v>
      </c>
      <c r="AY347" s="18">
        <f t="shared" si="1236"/>
        <v>5.8962583756352765E-6</v>
      </c>
      <c r="AZ347" s="18">
        <f t="shared" si="1236"/>
        <v>5.8962583756352765E-6</v>
      </c>
      <c r="BA347" s="18">
        <f t="shared" si="1236"/>
        <v>-1.3096469844489139E-5</v>
      </c>
      <c r="BB347" s="18">
        <f t="shared" si="1236"/>
        <v>-1.3096469844489139E-5</v>
      </c>
      <c r="BC347" s="18">
        <f t="shared" si="1236"/>
        <v>-1.3096469844489139E-5</v>
      </c>
      <c r="BD347" s="18">
        <f t="shared" si="1236"/>
        <v>-1.3096469844489139E-5</v>
      </c>
      <c r="BE347" s="18">
        <f t="shared" si="1236"/>
        <v>-1.3096469844489139E-5</v>
      </c>
      <c r="BF347" s="18">
        <f t="shared" si="1236"/>
        <v>-1.3096469844489139E-5</v>
      </c>
      <c r="BG347" s="18">
        <f t="shared" si="1236"/>
        <v>1.8139555128106E-5</v>
      </c>
    </row>
    <row r="348" spans="2:59" x14ac:dyDescent="0.25">
      <c r="C348" t="s">
        <v>88</v>
      </c>
      <c r="E348" s="18">
        <f t="shared" ref="E348:AJ348" si="1237" xml:space="preserve"> -0.00002 * SIN( (3 * E312+E307 ) * Deg2Rad )</f>
        <v>1.6353415626428237E-5</v>
      </c>
      <c r="F348" s="18">
        <f t="shared" si="1237"/>
        <v>-8.1657572701024859E-6</v>
      </c>
      <c r="G348" s="18">
        <f t="shared" si="1237"/>
        <v>-1.6804412027593481E-5</v>
      </c>
      <c r="H348" s="18">
        <f t="shared" si="1237"/>
        <v>1.2447417037182658E-5</v>
      </c>
      <c r="I348" s="18">
        <f t="shared" si="1237"/>
        <v>1.9001843586598396E-5</v>
      </c>
      <c r="J348" s="18">
        <f t="shared" si="1237"/>
        <v>-1.963528735480267E-5</v>
      </c>
      <c r="K348" s="18">
        <f t="shared" si="1237"/>
        <v>-1.6003784676331607E-5</v>
      </c>
      <c r="L348" s="18">
        <f t="shared" si="1237"/>
        <v>1.7384273989116573E-5</v>
      </c>
      <c r="M348" s="18">
        <f t="shared" si="1237"/>
        <v>-2.5144789238062827E-6</v>
      </c>
      <c r="N348" s="18">
        <f t="shared" si="1237"/>
        <v>1.1659183366201485E-5</v>
      </c>
      <c r="O348" s="18">
        <f t="shared" si="1237"/>
        <v>1.9999432769646921E-5</v>
      </c>
      <c r="P348" s="18">
        <f t="shared" si="1237"/>
        <v>5.9445351897832514E-6</v>
      </c>
      <c r="Q348" s="18">
        <f t="shared" si="1237"/>
        <v>5.2374204839050106E-6</v>
      </c>
      <c r="R348" s="18">
        <f t="shared" si="1237"/>
        <v>1.7009576609501698E-5</v>
      </c>
      <c r="S348" s="18">
        <f t="shared" si="1237"/>
        <v>-1.7661601505683602E-5</v>
      </c>
      <c r="T348" s="18">
        <f t="shared" si="1237"/>
        <v>-7.3885300147699033E-6</v>
      </c>
      <c r="U348" s="18">
        <f t="shared" si="1237"/>
        <v>-8.7304471880863685E-6</v>
      </c>
      <c r="V348" s="18">
        <f t="shared" si="1237"/>
        <v>-1.4171802440038098E-5</v>
      </c>
      <c r="W348" s="18">
        <f t="shared" si="1237"/>
        <v>1.8523527762762114E-5</v>
      </c>
      <c r="X348" s="18">
        <f t="shared" si="1237"/>
        <v>-4.949507487848342E-6</v>
      </c>
      <c r="Y348" s="18">
        <f t="shared" si="1237"/>
        <v>-1.2376093158347876E-5</v>
      </c>
      <c r="Z348" s="18">
        <f t="shared" si="1237"/>
        <v>-1.7933146399296287E-5</v>
      </c>
      <c r="AA348" s="18">
        <f t="shared" si="1237"/>
        <v>-1.6804412027593481E-5</v>
      </c>
      <c r="AB348" s="18">
        <f t="shared" si="1237"/>
        <v>2.1081266092152451E-6</v>
      </c>
      <c r="AC348" s="18">
        <f t="shared" si="1237"/>
        <v>1.1181997959245869E-5</v>
      </c>
      <c r="AD348" s="18">
        <f t="shared" si="1237"/>
        <v>-1.9963127149214411E-5</v>
      </c>
      <c r="AE348" s="18">
        <f t="shared" si="1237"/>
        <v>-1.2376093158347876E-5</v>
      </c>
      <c r="AF348" s="18">
        <f t="shared" si="1237"/>
        <v>-1.0957853705359152E-5</v>
      </c>
      <c r="AG348" s="18">
        <f t="shared" si="1237"/>
        <v>1.8318142336340295E-5</v>
      </c>
      <c r="AH348" s="18">
        <f t="shared" si="1237"/>
        <v>1.2163607379426219E-5</v>
      </c>
      <c r="AI348" s="18">
        <f t="shared" si="1237"/>
        <v>1.9984880873526391E-5</v>
      </c>
      <c r="AJ348" s="18">
        <f t="shared" si="1237"/>
        <v>1.297349740411624E-5</v>
      </c>
      <c r="AK348" s="18">
        <f t="shared" ref="AK348:BG348" si="1238" xml:space="preserve"> -0.00002 * SIN( (3 * AK312+AK307 ) * Deg2Rad )</f>
        <v>1.3029222801830117E-5</v>
      </c>
      <c r="AL348" s="18">
        <f t="shared" si="1238"/>
        <v>-1.3692215666594689E-5</v>
      </c>
      <c r="AM348" s="18">
        <f t="shared" si="1238"/>
        <v>-1.1229515291816348E-5</v>
      </c>
      <c r="AN348" s="18">
        <f t="shared" si="1238"/>
        <v>-5.7912982685937769E-6</v>
      </c>
      <c r="AO348" s="18">
        <f t="shared" si="1238"/>
        <v>-1.6417442296869E-5</v>
      </c>
      <c r="AP348" s="18">
        <f t="shared" si="1238"/>
        <v>-1.7416255883377408E-5</v>
      </c>
      <c r="AQ348" s="18">
        <f t="shared" si="1238"/>
        <v>-1.7416255883377408E-5</v>
      </c>
      <c r="AR348" s="18">
        <f t="shared" si="1238"/>
        <v>1.4387510151880697E-5</v>
      </c>
      <c r="AS348" s="18">
        <f t="shared" si="1238"/>
        <v>1.4387510151880697E-5</v>
      </c>
      <c r="AT348" s="18">
        <f t="shared" si="1238"/>
        <v>1.4387510151880697E-5</v>
      </c>
      <c r="AU348" s="18">
        <f t="shared" si="1238"/>
        <v>1.9684639998632595E-5</v>
      </c>
      <c r="AV348" s="18">
        <f t="shared" si="1238"/>
        <v>9.0906085194383513E-6</v>
      </c>
      <c r="AW348" s="18">
        <f t="shared" si="1238"/>
        <v>-1.8274079716886848E-5</v>
      </c>
      <c r="AX348" s="18">
        <f t="shared" si="1238"/>
        <v>1.4014335043790167E-5</v>
      </c>
      <c r="AY348" s="18">
        <f t="shared" si="1238"/>
        <v>9.2166623950486115E-6</v>
      </c>
      <c r="AZ348" s="18">
        <f t="shared" si="1238"/>
        <v>9.2166623950486115E-6</v>
      </c>
      <c r="BA348" s="18">
        <f t="shared" si="1238"/>
        <v>-1.9640183079130779E-5</v>
      </c>
      <c r="BB348" s="18">
        <f t="shared" si="1238"/>
        <v>-1.9640183079130779E-5</v>
      </c>
      <c r="BC348" s="18">
        <f t="shared" si="1238"/>
        <v>-1.9640183079130779E-5</v>
      </c>
      <c r="BD348" s="18">
        <f t="shared" si="1238"/>
        <v>-1.9640183079130779E-5</v>
      </c>
      <c r="BE348" s="18">
        <f t="shared" si="1238"/>
        <v>-1.9640183079130779E-5</v>
      </c>
      <c r="BF348" s="18">
        <f t="shared" si="1238"/>
        <v>-1.9640183079130779E-5</v>
      </c>
      <c r="BG348" s="18">
        <f t="shared" si="1238"/>
        <v>-1.2376093158347876E-5</v>
      </c>
    </row>
    <row r="349" spans="2:59" x14ac:dyDescent="0.25">
      <c r="B349">
        <v>351</v>
      </c>
      <c r="C349" s="8" t="s">
        <v>10</v>
      </c>
      <c r="D349"/>
    </row>
    <row r="350" spans="2:59" x14ac:dyDescent="0.25">
      <c r="C350" t="s">
        <v>11</v>
      </c>
      <c r="D350" s="7" t="s">
        <v>453</v>
      </c>
      <c r="E350" s="18">
        <f xml:space="preserve"> 299.77 + 0.107408 * E296 - 0.009173 * E298^2</f>
        <v>243.78195081852695</v>
      </c>
      <c r="F350" s="18">
        <f t="shared" ref="F350:X350" si="1239" xml:space="preserve"> 299.77 + 0.107408 * F296 - 0.009173 * F298^2</f>
        <v>-1917.0210953777864</v>
      </c>
      <c r="G350" s="18">
        <f t="shared" si="1239"/>
        <v>299.85055599662712</v>
      </c>
      <c r="H350" s="18">
        <f t="shared" si="1239"/>
        <v>298.56165924110377</v>
      </c>
      <c r="I350" s="18">
        <f t="shared" si="1239"/>
        <v>282.66512393256914</v>
      </c>
      <c r="J350" s="18">
        <f t="shared" si="1239"/>
        <v>283.20217333163896</v>
      </c>
      <c r="K350" s="18">
        <f t="shared" si="1239"/>
        <v>283.95404198665449</v>
      </c>
      <c r="L350" s="18">
        <f t="shared" si="1239"/>
        <v>284.49109066617831</v>
      </c>
      <c r="M350" s="18">
        <f t="shared" si="1239"/>
        <v>166.97769589754623</v>
      </c>
      <c r="N350" s="18">
        <f t="shared" si="1239"/>
        <v>-231.64351977685919</v>
      </c>
      <c r="O350" s="18">
        <f t="shared" si="1239"/>
        <v>-230.24644566174914</v>
      </c>
      <c r="P350" s="18">
        <f t="shared" si="1239"/>
        <v>-1246.0238592059586</v>
      </c>
      <c r="Q350" s="18">
        <f t="shared" si="1239"/>
        <v>-2523.2023622274778</v>
      </c>
      <c r="R350" s="18">
        <f t="shared" si="1239"/>
        <v>-2523.3100849658999</v>
      </c>
      <c r="S350" s="18">
        <f t="shared" si="1239"/>
        <v>-3693.1313101721516</v>
      </c>
      <c r="T350" s="18">
        <f t="shared" si="1239"/>
        <v>-3693.4548689210169</v>
      </c>
      <c r="U350" s="18">
        <f t="shared" si="1239"/>
        <v>-3694.3176927789896</v>
      </c>
      <c r="V350" s="18">
        <f t="shared" si="1239"/>
        <v>-8658.1634938976276</v>
      </c>
      <c r="W350" s="18">
        <f t="shared" si="1239"/>
        <v>282.98735360798827</v>
      </c>
      <c r="X350" s="18">
        <f t="shared" si="1239"/>
        <v>289.64674273523144</v>
      </c>
      <c r="Y350" s="18">
        <f xml:space="preserve"> 299.77 + 0.107408 * Y296 - 0.009173 * Y298^2</f>
        <v>269.45361431101406</v>
      </c>
      <c r="Z350" s="18">
        <f t="shared" ref="Z350:AE350" si="1240" xml:space="preserve"> 299.77 + 0.107408 * Z296 - 0.009173 * Z298^2</f>
        <v>358.27872860729997</v>
      </c>
      <c r="AA350" s="18">
        <f t="shared" si="1240"/>
        <v>299.85055599662712</v>
      </c>
      <c r="AB350" s="18">
        <f t="shared" si="1240"/>
        <v>239.37795644559003</v>
      </c>
      <c r="AC350" s="18">
        <f t="shared" si="1240"/>
        <v>271.81666187586154</v>
      </c>
      <c r="AD350" s="18">
        <f t="shared" si="1240"/>
        <v>284.27627123034608</v>
      </c>
      <c r="AE350" s="18">
        <f t="shared" si="1240"/>
        <v>269.45361431101406</v>
      </c>
      <c r="AF350" s="18">
        <f t="shared" ref="AF350:BG350" si="1241" xml:space="preserve"> 299.77 + 0.107408 * AF296 - 0.009173 * AF298^2</f>
        <v>290.50601539376845</v>
      </c>
      <c r="AG350" s="18">
        <f t="shared" si="1241"/>
        <v>290.2911973010888</v>
      </c>
      <c r="AH350" s="18">
        <f t="shared" si="1241"/>
        <v>288.1430137359568</v>
      </c>
      <c r="AI350" s="18">
        <f t="shared" si="1241"/>
        <v>289.5393335989483</v>
      </c>
      <c r="AJ350" s="18">
        <f t="shared" si="1241"/>
        <v>291.04306041560005</v>
      </c>
      <c r="AK350" s="18">
        <f t="shared" si="1241"/>
        <v>58.044785406342903</v>
      </c>
      <c r="AL350" s="18">
        <f t="shared" si="1241"/>
        <v>287.49855773100734</v>
      </c>
      <c r="AM350" s="18">
        <f t="shared" si="1241"/>
        <v>-1531.7998448711458</v>
      </c>
      <c r="AN350" s="18">
        <f t="shared" si="1241"/>
        <v>300.17277991567818</v>
      </c>
      <c r="AO350" s="18">
        <f t="shared" si="1241"/>
        <v>-2359.3699581022493</v>
      </c>
      <c r="AP350" s="18">
        <f t="shared" si="1241"/>
        <v>330.03172800194716</v>
      </c>
      <c r="AQ350" s="18">
        <f t="shared" si="1241"/>
        <v>330.03172800194716</v>
      </c>
      <c r="AR350" s="18">
        <f t="shared" si="1241"/>
        <v>330.13913261708279</v>
      </c>
      <c r="AS350" s="18">
        <f t="shared" si="1241"/>
        <v>330.13913261708279</v>
      </c>
      <c r="AT350" s="18">
        <f t="shared" si="1241"/>
        <v>330.13913261708279</v>
      </c>
      <c r="AU350" s="18">
        <f t="shared" si="1241"/>
        <v>264.51267791925773</v>
      </c>
      <c r="AV350" s="18">
        <f t="shared" si="1241"/>
        <v>296.73571921464423</v>
      </c>
      <c r="AW350" s="18">
        <f t="shared" si="1241"/>
        <v>213.49065517758706</v>
      </c>
      <c r="AX350" s="18">
        <f t="shared" si="1241"/>
        <v>243.13746509632708</v>
      </c>
      <c r="AY350" s="18">
        <f t="shared" si="1241"/>
        <v>330.24653722022595</v>
      </c>
      <c r="AZ350" s="18">
        <f t="shared" si="1241"/>
        <v>330.24653722022595</v>
      </c>
      <c r="BA350" s="18">
        <f t="shared" si="1241"/>
        <v>330.35394181137673</v>
      </c>
      <c r="BB350" s="18">
        <f t="shared" si="1241"/>
        <v>330.35394181137673</v>
      </c>
      <c r="BC350" s="18">
        <f t="shared" si="1241"/>
        <v>330.35394181137673</v>
      </c>
      <c r="BD350" s="18">
        <f t="shared" si="1241"/>
        <v>330.35394181137673</v>
      </c>
      <c r="BE350" s="18">
        <f t="shared" si="1241"/>
        <v>330.35394181137673</v>
      </c>
      <c r="BF350" s="18">
        <f t="shared" si="1241"/>
        <v>330.35394181137673</v>
      </c>
      <c r="BG350" s="18">
        <f t="shared" si="1241"/>
        <v>269.45361431101406</v>
      </c>
    </row>
    <row r="351" spans="2:59" x14ac:dyDescent="0.25">
      <c r="C351" t="s">
        <v>12</v>
      </c>
      <c r="D351" s="7" t="s">
        <v>454</v>
      </c>
      <c r="E351" s="18">
        <f xml:space="preserve"> 251.88 + 0.016321 * E296</f>
        <v>243.37267875000001</v>
      </c>
      <c r="F351" s="18">
        <f t="shared" ref="F351:X351" si="1242" xml:space="preserve"> 251.88 + 0.016321 * F296</f>
        <v>-84.581495249999989</v>
      </c>
      <c r="G351" s="18">
        <f t="shared" si="1242"/>
        <v>251.89224074999998</v>
      </c>
      <c r="H351" s="18">
        <f t="shared" si="1242"/>
        <v>251.69638874999998</v>
      </c>
      <c r="I351" s="18">
        <f t="shared" si="1242"/>
        <v>249.28088074999999</v>
      </c>
      <c r="J351" s="18">
        <f t="shared" si="1242"/>
        <v>249.36248574999999</v>
      </c>
      <c r="K351" s="18">
        <f t="shared" si="1242"/>
        <v>249.47673275</v>
      </c>
      <c r="L351" s="18">
        <f t="shared" si="1242"/>
        <v>249.55833774999999</v>
      </c>
      <c r="M351" s="18">
        <f t="shared" si="1242"/>
        <v>231.70316374999999</v>
      </c>
      <c r="N351" s="18">
        <f t="shared" si="1242"/>
        <v>171.15225375</v>
      </c>
      <c r="O351" s="18">
        <f t="shared" si="1242"/>
        <v>171.36442675000001</v>
      </c>
      <c r="P351" s="18">
        <f t="shared" si="1242"/>
        <v>17.179939750000017</v>
      </c>
      <c r="Q351" s="18">
        <f t="shared" si="1242"/>
        <v>-176.45240424999997</v>
      </c>
      <c r="R351" s="18">
        <f t="shared" si="1242"/>
        <v>-176.46872524999998</v>
      </c>
      <c r="S351" s="18">
        <f t="shared" si="1242"/>
        <v>-353.60053825</v>
      </c>
      <c r="T351" s="18">
        <f t="shared" si="1242"/>
        <v>-353.64950124999996</v>
      </c>
      <c r="U351" s="18">
        <f t="shared" si="1242"/>
        <v>-353.78006925</v>
      </c>
      <c r="V351" s="18">
        <f t="shared" si="1242"/>
        <v>-1103.0282162499998</v>
      </c>
      <c r="W351" s="18">
        <f t="shared" si="1242"/>
        <v>249.32984375000001</v>
      </c>
      <c r="X351" s="18">
        <f t="shared" si="1242"/>
        <v>250.34174575</v>
      </c>
      <c r="Y351" s="18">
        <f xml:space="preserve"> 251.88 + 0.016321 * Y296</f>
        <v>247.27339774999999</v>
      </c>
      <c r="Z351" s="18">
        <f t="shared" ref="Z351:AE351" si="1243" xml:space="preserve"> 251.88 + 0.016321 * Z296</f>
        <v>260.77086474999999</v>
      </c>
      <c r="AA351" s="18">
        <f t="shared" si="1243"/>
        <v>251.89224074999998</v>
      </c>
      <c r="AB351" s="18">
        <f t="shared" si="1243"/>
        <v>242.70351775</v>
      </c>
      <c r="AC351" s="18">
        <f t="shared" si="1243"/>
        <v>247.63245975000001</v>
      </c>
      <c r="AD351" s="18">
        <f t="shared" si="1243"/>
        <v>249.52569574999998</v>
      </c>
      <c r="AE351" s="18">
        <f t="shared" si="1243"/>
        <v>247.27339774999999</v>
      </c>
      <c r="AF351" s="18">
        <f t="shared" ref="AF351:BG351" si="1244" xml:space="preserve"> 251.88 + 0.016321 * AF296</f>
        <v>250.47231374999998</v>
      </c>
      <c r="AG351" s="18">
        <f t="shared" si="1244"/>
        <v>250.43967175</v>
      </c>
      <c r="AH351" s="18">
        <f t="shared" si="1244"/>
        <v>250.11325174999999</v>
      </c>
      <c r="AI351" s="18">
        <f t="shared" si="1244"/>
        <v>250.32542475</v>
      </c>
      <c r="AJ351" s="18">
        <f t="shared" si="1244"/>
        <v>250.55391875000001</v>
      </c>
      <c r="AK351" s="18">
        <f t="shared" si="1244"/>
        <v>215.15366975000001</v>
      </c>
      <c r="AL351" s="18">
        <f t="shared" si="1244"/>
        <v>250.01532574999999</v>
      </c>
      <c r="AM351" s="18">
        <f t="shared" si="1244"/>
        <v>-26.168636249999963</v>
      </c>
      <c r="AN351" s="18">
        <f t="shared" si="1244"/>
        <v>251.94120375</v>
      </c>
      <c r="AO351" s="18">
        <f t="shared" si="1244"/>
        <v>-151.62816325</v>
      </c>
      <c r="AP351" s="18">
        <f t="shared" si="1244"/>
        <v>256.47844175</v>
      </c>
      <c r="AQ351" s="18">
        <f t="shared" si="1244"/>
        <v>256.47844175</v>
      </c>
      <c r="AR351" s="18">
        <f t="shared" si="1244"/>
        <v>256.49476275000001</v>
      </c>
      <c r="AS351" s="18">
        <f t="shared" si="1244"/>
        <v>256.49476275000001</v>
      </c>
      <c r="AT351" s="18">
        <f t="shared" si="1244"/>
        <v>256.49476275000001</v>
      </c>
      <c r="AU351" s="18">
        <f t="shared" si="1244"/>
        <v>246.52263174999999</v>
      </c>
      <c r="AV351" s="18">
        <f t="shared" si="1244"/>
        <v>251.41893174999998</v>
      </c>
      <c r="AW351" s="18">
        <f t="shared" si="1244"/>
        <v>238.77015674999998</v>
      </c>
      <c r="AX351" s="18">
        <f t="shared" si="1244"/>
        <v>243.27475275</v>
      </c>
      <c r="AY351" s="18">
        <f t="shared" si="1244"/>
        <v>256.51108375000001</v>
      </c>
      <c r="AZ351" s="18">
        <f t="shared" si="1244"/>
        <v>256.51108375000001</v>
      </c>
      <c r="BA351" s="18">
        <f t="shared" si="1244"/>
        <v>256.52740475000002</v>
      </c>
      <c r="BB351" s="18">
        <f t="shared" si="1244"/>
        <v>256.52740475000002</v>
      </c>
      <c r="BC351" s="18">
        <f t="shared" si="1244"/>
        <v>256.52740475000002</v>
      </c>
      <c r="BD351" s="18">
        <f t="shared" si="1244"/>
        <v>256.52740475000002</v>
      </c>
      <c r="BE351" s="18">
        <f t="shared" si="1244"/>
        <v>256.52740475000002</v>
      </c>
      <c r="BF351" s="18">
        <f t="shared" si="1244"/>
        <v>256.52740475000002</v>
      </c>
      <c r="BG351" s="18">
        <f t="shared" si="1244"/>
        <v>247.27339774999999</v>
      </c>
    </row>
    <row r="352" spans="2:59" x14ac:dyDescent="0.25">
      <c r="C352" t="s">
        <v>13</v>
      </c>
      <c r="D352" s="7" t="s">
        <v>455</v>
      </c>
      <c r="E352" s="18">
        <f xml:space="preserve"> 251.83 + 26.651886 * E296</f>
        <v>-13640.465577500001</v>
      </c>
      <c r="F352" s="18">
        <f t="shared" ref="F352:X352" si="1245" xml:space="preserve"> 251.83 + 26.651886 * F296</f>
        <v>-549183.4628615001</v>
      </c>
      <c r="G352" s="18">
        <f t="shared" si="1245"/>
        <v>271.81891450000001</v>
      </c>
      <c r="H352" s="18">
        <f t="shared" si="1245"/>
        <v>-48.003717500000022</v>
      </c>
      <c r="I352" s="18">
        <f t="shared" si="1245"/>
        <v>-3992.4828455000006</v>
      </c>
      <c r="J352" s="18">
        <f t="shared" si="1245"/>
        <v>-3859.2234155000006</v>
      </c>
      <c r="K352" s="18">
        <f t="shared" si="1245"/>
        <v>-3672.6602135000003</v>
      </c>
      <c r="L352" s="18">
        <f t="shared" si="1245"/>
        <v>-3539.4007835000002</v>
      </c>
      <c r="M352" s="18">
        <f t="shared" si="1245"/>
        <v>-32696.564067500003</v>
      </c>
      <c r="N352" s="18">
        <f t="shared" si="1245"/>
        <v>-131575.06112750003</v>
      </c>
      <c r="O352" s="18">
        <f t="shared" si="1245"/>
        <v>-131228.58660950002</v>
      </c>
      <c r="P352" s="18">
        <f t="shared" si="1245"/>
        <v>-383008.95365149999</v>
      </c>
      <c r="Q352" s="18">
        <f t="shared" si="1245"/>
        <v>-699206.92915550002</v>
      </c>
      <c r="R352" s="18">
        <f t="shared" si="1245"/>
        <v>-699233.58104150009</v>
      </c>
      <c r="S352" s="18">
        <f t="shared" si="1245"/>
        <v>-988486.4997995001</v>
      </c>
      <c r="T352" s="18">
        <f t="shared" si="1245"/>
        <v>-988566.45545750007</v>
      </c>
      <c r="U352" s="18">
        <f t="shared" si="1245"/>
        <v>-988779.67054550012</v>
      </c>
      <c r="V352" s="18">
        <f t="shared" si="1245"/>
        <v>-2212287.8011475001</v>
      </c>
      <c r="W352" s="18">
        <f t="shared" si="1245"/>
        <v>-3912.5271874999999</v>
      </c>
      <c r="X352" s="18">
        <f t="shared" si="1245"/>
        <v>-2260.1102555000002</v>
      </c>
      <c r="Y352" s="18">
        <f xml:space="preserve"> 251.83 + 26.651886 * Y296</f>
        <v>-7270.6648235000002</v>
      </c>
      <c r="Z352" s="18">
        <f t="shared" ref="Z352:AE352" si="1246" xml:space="preserve"> 251.83 + 26.651886 * Z296</f>
        <v>14770.4448985</v>
      </c>
      <c r="AA352" s="18">
        <f t="shared" si="1246"/>
        <v>271.81891450000001</v>
      </c>
      <c r="AB352" s="18">
        <f t="shared" si="1246"/>
        <v>-14733.192903500001</v>
      </c>
      <c r="AC352" s="18">
        <f t="shared" si="1246"/>
        <v>-6684.3233315000007</v>
      </c>
      <c r="AD352" s="18">
        <f t="shared" si="1246"/>
        <v>-3592.7045555000004</v>
      </c>
      <c r="AE352" s="18">
        <f t="shared" si="1246"/>
        <v>-7270.6648235000002</v>
      </c>
      <c r="AF352" s="18">
        <f t="shared" ref="AF352:BG352" si="1247" xml:space="preserve"> 251.83 + 26.651886 * AF296</f>
        <v>-2046.8951675000003</v>
      </c>
      <c r="AG352" s="18">
        <f t="shared" si="1247"/>
        <v>-2100.1989395000001</v>
      </c>
      <c r="AH352" s="18">
        <f t="shared" si="1247"/>
        <v>-2633.2366595000003</v>
      </c>
      <c r="AI352" s="18">
        <f t="shared" si="1247"/>
        <v>-2286.7621415000003</v>
      </c>
      <c r="AJ352" s="18">
        <f t="shared" si="1247"/>
        <v>-1913.6357375000002</v>
      </c>
      <c r="AK352" s="18">
        <f t="shared" si="1247"/>
        <v>-59721.576471500004</v>
      </c>
      <c r="AL352" s="18">
        <f t="shared" si="1247"/>
        <v>-2793.1479755</v>
      </c>
      <c r="AM352" s="18">
        <f t="shared" si="1247"/>
        <v>-453796.36286749999</v>
      </c>
      <c r="AN352" s="18">
        <f t="shared" si="1247"/>
        <v>351.77457250000003</v>
      </c>
      <c r="AO352" s="18">
        <f t="shared" si="1247"/>
        <v>-658669.41054950003</v>
      </c>
      <c r="AP352" s="18">
        <f t="shared" si="1247"/>
        <v>7760.9988805000003</v>
      </c>
      <c r="AQ352" s="18">
        <f t="shared" si="1247"/>
        <v>7760.9988805000003</v>
      </c>
      <c r="AR352" s="18">
        <f t="shared" si="1247"/>
        <v>7787.6507664999999</v>
      </c>
      <c r="AS352" s="18">
        <f t="shared" si="1247"/>
        <v>7787.6507664999999</v>
      </c>
      <c r="AT352" s="18">
        <f t="shared" si="1247"/>
        <v>7787.6507664999999</v>
      </c>
      <c r="AU352" s="18">
        <f t="shared" si="1247"/>
        <v>-8496.6515794999996</v>
      </c>
      <c r="AV352" s="18">
        <f t="shared" si="1247"/>
        <v>-501.08577949999994</v>
      </c>
      <c r="AW352" s="18">
        <f t="shared" si="1247"/>
        <v>-21156.297429499999</v>
      </c>
      <c r="AX352" s="18">
        <f t="shared" si="1247"/>
        <v>-13800.376893500001</v>
      </c>
      <c r="AY352" s="18">
        <f t="shared" si="1247"/>
        <v>7814.3026525000005</v>
      </c>
      <c r="AZ352" s="18">
        <f t="shared" si="1247"/>
        <v>7814.3026525000005</v>
      </c>
      <c r="BA352" s="18">
        <f t="shared" si="1247"/>
        <v>7840.9545385000001</v>
      </c>
      <c r="BB352" s="18">
        <f t="shared" si="1247"/>
        <v>7840.9545385000001</v>
      </c>
      <c r="BC352" s="18">
        <f t="shared" si="1247"/>
        <v>7840.9545385000001</v>
      </c>
      <c r="BD352" s="18">
        <f t="shared" si="1247"/>
        <v>7840.9545385000001</v>
      </c>
      <c r="BE352" s="18">
        <f t="shared" si="1247"/>
        <v>7840.9545385000001</v>
      </c>
      <c r="BF352" s="18">
        <f t="shared" si="1247"/>
        <v>7840.9545385000001</v>
      </c>
      <c r="BG352" s="18">
        <f t="shared" si="1247"/>
        <v>-7270.6648235000002</v>
      </c>
    </row>
    <row r="353" spans="2:59" x14ac:dyDescent="0.25">
      <c r="C353" t="s">
        <v>14</v>
      </c>
      <c r="D353" s="7" t="s">
        <v>456</v>
      </c>
      <c r="E353" s="18">
        <f xml:space="preserve"> 349.42 + 36.412478 * E296</f>
        <v>-18630.584157500001</v>
      </c>
      <c r="F353" s="18">
        <f t="shared" ref="F353:X353" si="1248" xml:space="preserve"> 349.42 + 36.412478 * F296</f>
        <v>-750302.9170895</v>
      </c>
      <c r="G353" s="18">
        <f t="shared" si="1248"/>
        <v>376.72935849999999</v>
      </c>
      <c r="H353" s="18">
        <f t="shared" si="1248"/>
        <v>-60.220377499999984</v>
      </c>
      <c r="I353" s="18">
        <f t="shared" si="1248"/>
        <v>-5449.2671215</v>
      </c>
      <c r="J353" s="18">
        <f t="shared" si="1248"/>
        <v>-5267.2047315</v>
      </c>
      <c r="K353" s="18">
        <f t="shared" si="1248"/>
        <v>-5012.3173854999995</v>
      </c>
      <c r="L353" s="18">
        <f t="shared" si="1248"/>
        <v>-4830.2549954999995</v>
      </c>
      <c r="M353" s="18">
        <f t="shared" si="1248"/>
        <v>-44665.505927500002</v>
      </c>
      <c r="N353" s="18">
        <f t="shared" si="1248"/>
        <v>-179755.79930749998</v>
      </c>
      <c r="O353" s="18">
        <f t="shared" si="1248"/>
        <v>-179282.43709349999</v>
      </c>
      <c r="P353" s="18">
        <f t="shared" si="1248"/>
        <v>-523271.1167595</v>
      </c>
      <c r="Q353" s="18">
        <f t="shared" si="1248"/>
        <v>-955268.75575149991</v>
      </c>
      <c r="R353" s="18">
        <f t="shared" si="1248"/>
        <v>-955305.16822949995</v>
      </c>
      <c r="S353" s="18">
        <f t="shared" si="1248"/>
        <v>-1350489.7919635</v>
      </c>
      <c r="T353" s="18">
        <f t="shared" si="1248"/>
        <v>-1350599.0293975</v>
      </c>
      <c r="U353" s="18">
        <f t="shared" si="1248"/>
        <v>-1350890.3292215001</v>
      </c>
      <c r="V353" s="18">
        <f t="shared" si="1248"/>
        <v>-3022477.9567674999</v>
      </c>
      <c r="W353" s="18">
        <f t="shared" si="1248"/>
        <v>-5340.0296875000004</v>
      </c>
      <c r="X353" s="18">
        <f t="shared" si="1248"/>
        <v>-3082.4560514999998</v>
      </c>
      <c r="Y353" s="18">
        <f xml:space="preserve"> 349.42 + 36.412478 * Y296</f>
        <v>-9928.0019154999991</v>
      </c>
      <c r="Z353" s="18">
        <f t="shared" ref="Z353:AE353" si="1249" xml:space="preserve"> 349.42 + 36.412478 * Z296</f>
        <v>20185.1173905</v>
      </c>
      <c r="AA353" s="18">
        <f t="shared" si="1249"/>
        <v>376.72935849999999</v>
      </c>
      <c r="AB353" s="18">
        <f t="shared" si="1249"/>
        <v>-20123.4957555</v>
      </c>
      <c r="AC353" s="18">
        <f t="shared" si="1249"/>
        <v>-9126.9273995000003</v>
      </c>
      <c r="AD353" s="18">
        <f t="shared" si="1249"/>
        <v>-4903.0799514999999</v>
      </c>
      <c r="AE353" s="18">
        <f t="shared" si="1249"/>
        <v>-9928.0019154999991</v>
      </c>
      <c r="AF353" s="18">
        <f t="shared" ref="AF353:BG353" si="1250" xml:space="preserve"> 349.42 + 36.412478 * AF296</f>
        <v>-2791.1562275000001</v>
      </c>
      <c r="AG353" s="18">
        <f t="shared" si="1250"/>
        <v>-2863.9811835</v>
      </c>
      <c r="AH353" s="18">
        <f t="shared" si="1250"/>
        <v>-3592.2307434999998</v>
      </c>
      <c r="AI353" s="18">
        <f t="shared" si="1250"/>
        <v>-3118.8685295</v>
      </c>
      <c r="AJ353" s="18">
        <f t="shared" si="1250"/>
        <v>-2609.0938375000001</v>
      </c>
      <c r="AK353" s="18">
        <f t="shared" si="1250"/>
        <v>-81587.758619500004</v>
      </c>
      <c r="AL353" s="18">
        <f t="shared" si="1250"/>
        <v>-3810.7056114999996</v>
      </c>
      <c r="AM353" s="18">
        <f t="shared" si="1250"/>
        <v>-619982.65832749999</v>
      </c>
      <c r="AN353" s="18">
        <f t="shared" si="1250"/>
        <v>485.9667925</v>
      </c>
      <c r="AO353" s="18">
        <f t="shared" si="1250"/>
        <v>-899885.37671350001</v>
      </c>
      <c r="AP353" s="18">
        <f t="shared" si="1250"/>
        <v>10608.6356765</v>
      </c>
      <c r="AQ353" s="18">
        <f t="shared" si="1250"/>
        <v>10608.6356765</v>
      </c>
      <c r="AR353" s="18">
        <f t="shared" si="1250"/>
        <v>10645.0481545</v>
      </c>
      <c r="AS353" s="18">
        <f t="shared" si="1250"/>
        <v>10645.0481545</v>
      </c>
      <c r="AT353" s="18">
        <f t="shared" si="1250"/>
        <v>10645.0481545</v>
      </c>
      <c r="AU353" s="18">
        <f t="shared" si="1250"/>
        <v>-11602.975903500001</v>
      </c>
      <c r="AV353" s="18">
        <f t="shared" si="1250"/>
        <v>-679.23250349999989</v>
      </c>
      <c r="AW353" s="18">
        <f t="shared" si="1250"/>
        <v>-28898.902953500001</v>
      </c>
      <c r="AX353" s="18">
        <f t="shared" si="1250"/>
        <v>-18849.059025500002</v>
      </c>
      <c r="AY353" s="18">
        <f t="shared" si="1250"/>
        <v>10681.4606325</v>
      </c>
      <c r="AZ353" s="18">
        <f t="shared" si="1250"/>
        <v>10681.4606325</v>
      </c>
      <c r="BA353" s="18">
        <f t="shared" si="1250"/>
        <v>10717.873110500001</v>
      </c>
      <c r="BB353" s="18">
        <f t="shared" si="1250"/>
        <v>10717.873110500001</v>
      </c>
      <c r="BC353" s="18">
        <f t="shared" si="1250"/>
        <v>10717.873110500001</v>
      </c>
      <c r="BD353" s="18">
        <f t="shared" si="1250"/>
        <v>10717.873110500001</v>
      </c>
      <c r="BE353" s="18">
        <f t="shared" si="1250"/>
        <v>10717.873110500001</v>
      </c>
      <c r="BF353" s="18">
        <f t="shared" si="1250"/>
        <v>10717.873110500001</v>
      </c>
      <c r="BG353" s="18">
        <f t="shared" si="1250"/>
        <v>-9928.0019154999991</v>
      </c>
    </row>
    <row r="354" spans="2:59" x14ac:dyDescent="0.25">
      <c r="C354" t="s">
        <v>15</v>
      </c>
      <c r="D354" s="7" t="s">
        <v>457</v>
      </c>
      <c r="E354" s="18">
        <f xml:space="preserve"> 84.66 + 18.206239 * E296</f>
        <v>-9405.3420787499999</v>
      </c>
      <c r="F354" s="18">
        <f t="shared" ref="F354:X354" si="1251" xml:space="preserve"> 84.66 + 18.206239 * F296</f>
        <v>-375241.50854475005</v>
      </c>
      <c r="G354" s="18">
        <f t="shared" si="1251"/>
        <v>98.314679249999998</v>
      </c>
      <c r="H354" s="18">
        <f t="shared" si="1251"/>
        <v>-120.16018875</v>
      </c>
      <c r="I354" s="18">
        <f t="shared" si="1251"/>
        <v>-2814.6835607500002</v>
      </c>
      <c r="J354" s="18">
        <f t="shared" si="1251"/>
        <v>-2723.6523657500002</v>
      </c>
      <c r="K354" s="18">
        <f t="shared" si="1251"/>
        <v>-2596.20869275</v>
      </c>
      <c r="L354" s="18">
        <f t="shared" si="1251"/>
        <v>-2505.1774977499999</v>
      </c>
      <c r="M354" s="18">
        <f t="shared" si="1251"/>
        <v>-22422.80296375</v>
      </c>
      <c r="N354" s="18">
        <f t="shared" si="1251"/>
        <v>-89967.949653749994</v>
      </c>
      <c r="O354" s="18">
        <f t="shared" si="1251"/>
        <v>-89731.268546749998</v>
      </c>
      <c r="P354" s="18">
        <f t="shared" si="1251"/>
        <v>-261725.60837974999</v>
      </c>
      <c r="Q354" s="18">
        <f t="shared" si="1251"/>
        <v>-477724.42787575</v>
      </c>
      <c r="R354" s="18">
        <f t="shared" si="1251"/>
        <v>-477742.63411475002</v>
      </c>
      <c r="S354" s="18">
        <f t="shared" si="1251"/>
        <v>-675334.94598174992</v>
      </c>
      <c r="T354" s="18">
        <f t="shared" si="1251"/>
        <v>-675389.56469874992</v>
      </c>
      <c r="U354" s="18">
        <f t="shared" si="1251"/>
        <v>-675535.21461074997</v>
      </c>
      <c r="V354" s="18">
        <f t="shared" si="1251"/>
        <v>-1511329.02838375</v>
      </c>
      <c r="W354" s="18">
        <f t="shared" si="1251"/>
        <v>-2760.0648437500004</v>
      </c>
      <c r="X354" s="18">
        <f t="shared" si="1251"/>
        <v>-1631.2780257499999</v>
      </c>
      <c r="Y354" s="18">
        <f xml:space="preserve"> 84.66 + 18.206239 * Y296</f>
        <v>-5054.0509577499997</v>
      </c>
      <c r="Z354" s="18">
        <f t="shared" ref="Z354:AE354" si="1252" xml:space="preserve"> 84.66 + 18.206239 * Z296</f>
        <v>10002.508695250001</v>
      </c>
      <c r="AA354" s="18">
        <f t="shared" si="1252"/>
        <v>98.314679249999998</v>
      </c>
      <c r="AB354" s="18">
        <f t="shared" si="1252"/>
        <v>-10151.797877749999</v>
      </c>
      <c r="AC354" s="18">
        <f t="shared" si="1252"/>
        <v>-4653.5136997500003</v>
      </c>
      <c r="AD354" s="18">
        <f t="shared" si="1252"/>
        <v>-2541.5899757500001</v>
      </c>
      <c r="AE354" s="18">
        <f t="shared" si="1252"/>
        <v>-5054.0509577499997</v>
      </c>
      <c r="AF354" s="18">
        <f t="shared" ref="AF354:BG354" si="1253" xml:space="preserve"> 84.66 + 18.206239 * AF296</f>
        <v>-1485.62811375</v>
      </c>
      <c r="AG354" s="18">
        <f t="shared" si="1253"/>
        <v>-1522.04059175</v>
      </c>
      <c r="AH354" s="18">
        <f t="shared" si="1253"/>
        <v>-1886.1653717499998</v>
      </c>
      <c r="AI354" s="18">
        <f t="shared" si="1253"/>
        <v>-1649.48426475</v>
      </c>
      <c r="AJ354" s="18">
        <f t="shared" si="1253"/>
        <v>-1394.59691875</v>
      </c>
      <c r="AK354" s="18">
        <f t="shared" si="1253"/>
        <v>-40883.929309749998</v>
      </c>
      <c r="AL354" s="18">
        <f t="shared" si="1253"/>
        <v>-1995.4028057499997</v>
      </c>
      <c r="AM354" s="18">
        <f t="shared" si="1253"/>
        <v>-310081.37916375004</v>
      </c>
      <c r="AN354" s="18">
        <f t="shared" si="1253"/>
        <v>152.93339624999999</v>
      </c>
      <c r="AO354" s="18">
        <f t="shared" si="1253"/>
        <v>-450032.73835675005</v>
      </c>
      <c r="AP354" s="18">
        <f t="shared" si="1253"/>
        <v>5214.2678382499998</v>
      </c>
      <c r="AQ354" s="18">
        <f t="shared" si="1253"/>
        <v>5214.2678382499998</v>
      </c>
      <c r="AR354" s="18">
        <f t="shared" si="1253"/>
        <v>5232.4740772499999</v>
      </c>
      <c r="AS354" s="18">
        <f t="shared" si="1253"/>
        <v>5232.4740772499999</v>
      </c>
      <c r="AT354" s="18">
        <f t="shared" si="1253"/>
        <v>5232.4740772499999</v>
      </c>
      <c r="AU354" s="18">
        <f t="shared" si="1253"/>
        <v>-5891.5379517500005</v>
      </c>
      <c r="AV354" s="18">
        <f t="shared" si="1253"/>
        <v>-429.66625175000001</v>
      </c>
      <c r="AW354" s="18">
        <f t="shared" si="1253"/>
        <v>-14539.50147675</v>
      </c>
      <c r="AX354" s="18">
        <f t="shared" si="1253"/>
        <v>-9514.5795127500005</v>
      </c>
      <c r="AY354" s="18">
        <f t="shared" si="1253"/>
        <v>5250.68031625</v>
      </c>
      <c r="AZ354" s="18">
        <f t="shared" si="1253"/>
        <v>5250.68031625</v>
      </c>
      <c r="BA354" s="18">
        <f t="shared" si="1253"/>
        <v>5268.8865552500001</v>
      </c>
      <c r="BB354" s="18">
        <f t="shared" si="1253"/>
        <v>5268.8865552500001</v>
      </c>
      <c r="BC354" s="18">
        <f t="shared" si="1253"/>
        <v>5268.8865552500001</v>
      </c>
      <c r="BD354" s="18">
        <f t="shared" si="1253"/>
        <v>5268.8865552500001</v>
      </c>
      <c r="BE354" s="18">
        <f t="shared" si="1253"/>
        <v>5268.8865552500001</v>
      </c>
      <c r="BF354" s="18">
        <f t="shared" si="1253"/>
        <v>5268.8865552500001</v>
      </c>
      <c r="BG354" s="18">
        <f t="shared" si="1253"/>
        <v>-5054.0509577499997</v>
      </c>
    </row>
    <row r="355" spans="2:59" x14ac:dyDescent="0.25">
      <c r="C355" t="s">
        <v>16</v>
      </c>
      <c r="D355" s="7" t="s">
        <v>458</v>
      </c>
      <c r="E355" s="18">
        <f xml:space="preserve"> 141.74 + 53.303771 * E296</f>
        <v>-27642.850633749997</v>
      </c>
      <c r="F355" s="18">
        <f t="shared" ref="F355:X355" si="1254" xml:space="preserve"> 141.74 + 53.303771 * F296</f>
        <v>-1098728.82510775</v>
      </c>
      <c r="G355" s="18">
        <f t="shared" si="1254"/>
        <v>181.71782825000003</v>
      </c>
      <c r="H355" s="18">
        <f t="shared" si="1254"/>
        <v>-457.92742375</v>
      </c>
      <c r="I355" s="18">
        <f t="shared" si="1254"/>
        <v>-8346.8855317500002</v>
      </c>
      <c r="J355" s="18">
        <f t="shared" si="1254"/>
        <v>-8080.3666767499999</v>
      </c>
      <c r="K355" s="18">
        <f t="shared" si="1254"/>
        <v>-7707.2402797499999</v>
      </c>
      <c r="L355" s="18">
        <f t="shared" si="1254"/>
        <v>-7440.7214247499996</v>
      </c>
      <c r="M355" s="18">
        <f t="shared" si="1254"/>
        <v>-65755.046898749992</v>
      </c>
      <c r="N355" s="18">
        <f t="shared" si="1254"/>
        <v>-263512.03730874998</v>
      </c>
      <c r="O355" s="18">
        <f t="shared" si="1254"/>
        <v>-262819.08828575001</v>
      </c>
      <c r="P355" s="18">
        <f t="shared" si="1254"/>
        <v>-766379.81292275002</v>
      </c>
      <c r="Q355" s="18">
        <f t="shared" si="1254"/>
        <v>-1398775.7520667498</v>
      </c>
      <c r="R355" s="18">
        <f t="shared" si="1254"/>
        <v>-1398829.05583775</v>
      </c>
      <c r="S355" s="18">
        <f t="shared" si="1254"/>
        <v>-1977334.88250075</v>
      </c>
      <c r="T355" s="18">
        <f t="shared" si="1254"/>
        <v>-1977494.7938137499</v>
      </c>
      <c r="U355" s="18">
        <f t="shared" si="1254"/>
        <v>-1977921.22398175</v>
      </c>
      <c r="V355" s="18">
        <f t="shared" si="1254"/>
        <v>-4424937.4392787497</v>
      </c>
      <c r="W355" s="18">
        <f t="shared" si="1254"/>
        <v>-8186.9742187499996</v>
      </c>
      <c r="X355" s="18">
        <f t="shared" si="1254"/>
        <v>-4882.1404167500004</v>
      </c>
      <c r="Y355" s="18">
        <f xml:space="preserve"> 141.74 + 53.303771 * Y296</f>
        <v>-14903.24936475</v>
      </c>
      <c r="Z355" s="18">
        <f t="shared" ref="Z355:AE355" si="1255" xml:space="preserve"> 141.74 + 53.303771 * Z296</f>
        <v>29178.969252250001</v>
      </c>
      <c r="AA355" s="18">
        <f t="shared" si="1255"/>
        <v>181.71782825000003</v>
      </c>
      <c r="AB355" s="18">
        <f t="shared" si="1255"/>
        <v>-29828.305244749998</v>
      </c>
      <c r="AC355" s="18">
        <f t="shared" si="1255"/>
        <v>-13730.566402749999</v>
      </c>
      <c r="AD355" s="18">
        <f t="shared" si="1255"/>
        <v>-7547.3289667500003</v>
      </c>
      <c r="AE355" s="18">
        <f t="shared" si="1255"/>
        <v>-14903.24936475</v>
      </c>
      <c r="AF355" s="18">
        <f t="shared" ref="AF355:BG355" si="1256" xml:space="preserve"> 141.74 + 53.303771 * AF296</f>
        <v>-4455.7102487499997</v>
      </c>
      <c r="AG355" s="18">
        <f t="shared" si="1256"/>
        <v>-4562.3177907500003</v>
      </c>
      <c r="AH355" s="18">
        <f t="shared" si="1256"/>
        <v>-5628.3932107499995</v>
      </c>
      <c r="AI355" s="18">
        <f t="shared" si="1256"/>
        <v>-4935.4441877500003</v>
      </c>
      <c r="AJ355" s="18">
        <f t="shared" si="1256"/>
        <v>-4189.1913937500003</v>
      </c>
      <c r="AK355" s="18">
        <f t="shared" si="1256"/>
        <v>-119805.07069274999</v>
      </c>
      <c r="AL355" s="18">
        <f t="shared" si="1256"/>
        <v>-5948.2158367499997</v>
      </c>
      <c r="AM355" s="18">
        <f t="shared" si="1256"/>
        <v>-907954.62869874993</v>
      </c>
      <c r="AN355" s="18">
        <f t="shared" si="1256"/>
        <v>341.62914124999998</v>
      </c>
      <c r="AO355" s="18">
        <f t="shared" si="1256"/>
        <v>-1317700.71637575</v>
      </c>
      <c r="AP355" s="18">
        <f t="shared" si="1256"/>
        <v>15160.07747925</v>
      </c>
      <c r="AQ355" s="18">
        <f t="shared" si="1256"/>
        <v>15160.07747925</v>
      </c>
      <c r="AR355" s="18">
        <f t="shared" si="1256"/>
        <v>15213.381250249999</v>
      </c>
      <c r="AS355" s="18">
        <f t="shared" si="1256"/>
        <v>15213.381250249999</v>
      </c>
      <c r="AT355" s="18">
        <f t="shared" si="1256"/>
        <v>15213.381250249999</v>
      </c>
      <c r="AU355" s="18">
        <f t="shared" si="1256"/>
        <v>-17355.222830749997</v>
      </c>
      <c r="AV355" s="18">
        <f t="shared" si="1256"/>
        <v>-1364.0915307499999</v>
      </c>
      <c r="AW355" s="18">
        <f t="shared" si="1256"/>
        <v>-42674.514055749998</v>
      </c>
      <c r="AX355" s="18">
        <f t="shared" si="1256"/>
        <v>-27962.673259749998</v>
      </c>
      <c r="AY355" s="18">
        <f t="shared" si="1256"/>
        <v>15266.685021249999</v>
      </c>
      <c r="AZ355" s="18">
        <f t="shared" si="1256"/>
        <v>15266.685021249999</v>
      </c>
      <c r="BA355" s="18">
        <f t="shared" si="1256"/>
        <v>15319.988792249998</v>
      </c>
      <c r="BB355" s="18">
        <f t="shared" si="1256"/>
        <v>15319.988792249998</v>
      </c>
      <c r="BC355" s="18">
        <f t="shared" si="1256"/>
        <v>15319.988792249998</v>
      </c>
      <c r="BD355" s="18">
        <f t="shared" si="1256"/>
        <v>15319.988792249998</v>
      </c>
      <c r="BE355" s="18">
        <f t="shared" si="1256"/>
        <v>15319.988792249998</v>
      </c>
      <c r="BF355" s="18">
        <f t="shared" si="1256"/>
        <v>15319.988792249998</v>
      </c>
      <c r="BG355" s="18">
        <f t="shared" si="1256"/>
        <v>-14903.24936475</v>
      </c>
    </row>
    <row r="356" spans="2:59" x14ac:dyDescent="0.25">
      <c r="C356" t="s">
        <v>17</v>
      </c>
      <c r="D356" s="7" t="s">
        <v>459</v>
      </c>
      <c r="E356" s="18">
        <f xml:space="preserve"> 207.14 + 2.453732 * E296</f>
        <v>-1071.8678049999999</v>
      </c>
      <c r="F356" s="18">
        <f t="shared" ref="F356:X356" si="1257" xml:space="preserve"> 207.14 + 2.453732 * F296</f>
        <v>-50377.158613</v>
      </c>
      <c r="G356" s="18">
        <f t="shared" si="1257"/>
        <v>208.98029899999997</v>
      </c>
      <c r="H356" s="18">
        <f t="shared" si="1257"/>
        <v>179.53551499999998</v>
      </c>
      <c r="I356" s="18">
        <f t="shared" si="1257"/>
        <v>-183.61682100000002</v>
      </c>
      <c r="J356" s="18">
        <f t="shared" si="1257"/>
        <v>-171.348161</v>
      </c>
      <c r="K356" s="18">
        <f t="shared" si="1257"/>
        <v>-154.17203699999999</v>
      </c>
      <c r="L356" s="18">
        <f t="shared" si="1257"/>
        <v>-141.90337700000003</v>
      </c>
      <c r="M356" s="18">
        <f t="shared" si="1257"/>
        <v>-2826.2861849999999</v>
      </c>
      <c r="N356" s="18">
        <f t="shared" si="1257"/>
        <v>-11929.631905</v>
      </c>
      <c r="O356" s="18">
        <f t="shared" si="1257"/>
        <v>-11897.733389000001</v>
      </c>
      <c r="P356" s="18">
        <f t="shared" si="1257"/>
        <v>-35078.139593</v>
      </c>
      <c r="Q356" s="18">
        <f t="shared" si="1257"/>
        <v>-64189.216041</v>
      </c>
      <c r="R356" s="18">
        <f t="shared" si="1257"/>
        <v>-64191.669773000001</v>
      </c>
      <c r="S356" s="18">
        <f t="shared" si="1257"/>
        <v>-90822.023169000007</v>
      </c>
      <c r="T356" s="18">
        <f t="shared" si="1257"/>
        <v>-90829.384365000005</v>
      </c>
      <c r="U356" s="18">
        <f t="shared" si="1257"/>
        <v>-90849.014221000005</v>
      </c>
      <c r="V356" s="18">
        <f t="shared" si="1257"/>
        <v>-203492.489145</v>
      </c>
      <c r="W356" s="18">
        <f t="shared" si="1257"/>
        <v>-176.25562500000001</v>
      </c>
      <c r="X356" s="18">
        <f t="shared" si="1257"/>
        <v>-24.124241000000012</v>
      </c>
      <c r="Y356" s="18">
        <f xml:space="preserve"> 207.14 + 2.453732 * Y296</f>
        <v>-485.42585700000006</v>
      </c>
      <c r="Z356" s="18">
        <f t="shared" ref="Z356:AE356" si="1258" xml:space="preserve"> 207.14 + 2.453732 * Z296</f>
        <v>1543.8105070000001</v>
      </c>
      <c r="AA356" s="18">
        <f t="shared" si="1258"/>
        <v>208.98029899999997</v>
      </c>
      <c r="AB356" s="18">
        <f t="shared" si="1258"/>
        <v>-1172.4708169999999</v>
      </c>
      <c r="AC356" s="18">
        <f t="shared" si="1258"/>
        <v>-431.44375300000002</v>
      </c>
      <c r="AD356" s="18">
        <f t="shared" si="1258"/>
        <v>-146.81084100000004</v>
      </c>
      <c r="AE356" s="18">
        <f t="shared" si="1258"/>
        <v>-485.42585700000006</v>
      </c>
      <c r="AF356" s="18">
        <f t="shared" ref="AF356:BG356" si="1259" xml:space="preserve"> 207.14 + 2.453732 * AF296</f>
        <v>-4.4943850000000225</v>
      </c>
      <c r="AG356" s="18">
        <f t="shared" si="1259"/>
        <v>-9.401849000000027</v>
      </c>
      <c r="AH356" s="18">
        <f t="shared" si="1259"/>
        <v>-58.476489000000015</v>
      </c>
      <c r="AI356" s="18">
        <f t="shared" si="1259"/>
        <v>-26.577973000000014</v>
      </c>
      <c r="AJ356" s="18">
        <f t="shared" si="1259"/>
        <v>7.7742749999999887</v>
      </c>
      <c r="AK356" s="18">
        <f t="shared" si="1259"/>
        <v>-5314.370433</v>
      </c>
      <c r="AL356" s="18">
        <f t="shared" si="1259"/>
        <v>-73.198881000000029</v>
      </c>
      <c r="AM356" s="18">
        <f t="shared" si="1259"/>
        <v>-41595.251785</v>
      </c>
      <c r="AN356" s="18">
        <f t="shared" si="1259"/>
        <v>216.34149499999998</v>
      </c>
      <c r="AO356" s="18">
        <f t="shared" si="1259"/>
        <v>-60457.089669000001</v>
      </c>
      <c r="AP356" s="18">
        <f t="shared" si="1259"/>
        <v>898.47899099999995</v>
      </c>
      <c r="AQ356" s="18">
        <f t="shared" si="1259"/>
        <v>898.47899099999995</v>
      </c>
      <c r="AR356" s="18">
        <f t="shared" si="1259"/>
        <v>900.93272300000001</v>
      </c>
      <c r="AS356" s="18">
        <f t="shared" si="1259"/>
        <v>900.93272300000001</v>
      </c>
      <c r="AT356" s="18">
        <f t="shared" si="1259"/>
        <v>900.93272300000001</v>
      </c>
      <c r="AU356" s="18">
        <f t="shared" si="1259"/>
        <v>-598.29752900000005</v>
      </c>
      <c r="AV356" s="18">
        <f t="shared" si="1259"/>
        <v>137.82207099999999</v>
      </c>
      <c r="AW356" s="18">
        <f t="shared" si="1259"/>
        <v>-1763.8202289999999</v>
      </c>
      <c r="AX356" s="18">
        <f t="shared" si="1259"/>
        <v>-1086.590197</v>
      </c>
      <c r="AY356" s="18">
        <f t="shared" si="1259"/>
        <v>903.38645499999996</v>
      </c>
      <c r="AZ356" s="18">
        <f t="shared" si="1259"/>
        <v>903.38645499999996</v>
      </c>
      <c r="BA356" s="18">
        <f t="shared" si="1259"/>
        <v>905.84018700000001</v>
      </c>
      <c r="BB356" s="18">
        <f t="shared" si="1259"/>
        <v>905.84018700000001</v>
      </c>
      <c r="BC356" s="18">
        <f t="shared" si="1259"/>
        <v>905.84018700000001</v>
      </c>
      <c r="BD356" s="18">
        <f t="shared" si="1259"/>
        <v>905.84018700000001</v>
      </c>
      <c r="BE356" s="18">
        <f t="shared" si="1259"/>
        <v>905.84018700000001</v>
      </c>
      <c r="BF356" s="18">
        <f t="shared" si="1259"/>
        <v>905.84018700000001</v>
      </c>
      <c r="BG356" s="18">
        <f t="shared" si="1259"/>
        <v>-485.42585700000006</v>
      </c>
    </row>
    <row r="357" spans="2:59" x14ac:dyDescent="0.25">
      <c r="C357" t="s">
        <v>18</v>
      </c>
      <c r="D357" s="7" t="s">
        <v>460</v>
      </c>
      <c r="E357" s="18">
        <f xml:space="preserve"> 154.84 + 7.30686 * E296</f>
        <v>-3653.8607750000001</v>
      </c>
      <c r="F357" s="18">
        <f t="shared" ref="F357:X357" si="1260" xml:space="preserve"> 154.84 + 7.30686 * F296</f>
        <v>-150477.90561500003</v>
      </c>
      <c r="G357" s="18">
        <f t="shared" si="1260"/>
        <v>160.320145</v>
      </c>
      <c r="H357" s="18">
        <f t="shared" si="1260"/>
        <v>72.637824999999992</v>
      </c>
      <c r="I357" s="18">
        <f t="shared" si="1260"/>
        <v>-1008.777455</v>
      </c>
      <c r="J357" s="18">
        <f t="shared" si="1260"/>
        <v>-972.243155</v>
      </c>
      <c r="K357" s="18">
        <f t="shared" si="1260"/>
        <v>-921.09513499999991</v>
      </c>
      <c r="L357" s="18">
        <f t="shared" si="1260"/>
        <v>-884.56083500000011</v>
      </c>
      <c r="M357" s="18">
        <f t="shared" si="1260"/>
        <v>-8878.2656750000006</v>
      </c>
      <c r="N357" s="18">
        <f t="shared" si="1260"/>
        <v>-35986.716275000006</v>
      </c>
      <c r="O357" s="18">
        <f t="shared" si="1260"/>
        <v>-35891.727095000002</v>
      </c>
      <c r="P357" s="18">
        <f t="shared" si="1260"/>
        <v>-104919.63351500001</v>
      </c>
      <c r="Q357" s="18">
        <f t="shared" si="1260"/>
        <v>-191608.22055500001</v>
      </c>
      <c r="R357" s="18">
        <f t="shared" si="1260"/>
        <v>-191615.52741500002</v>
      </c>
      <c r="S357" s="18">
        <f t="shared" si="1260"/>
        <v>-270916.87899499998</v>
      </c>
      <c r="T357" s="18">
        <f t="shared" si="1260"/>
        <v>-270938.79957500001</v>
      </c>
      <c r="U357" s="18">
        <f t="shared" si="1260"/>
        <v>-270997.25445499999</v>
      </c>
      <c r="V357" s="18">
        <f t="shared" si="1260"/>
        <v>-606433.27647500008</v>
      </c>
      <c r="W357" s="18">
        <f t="shared" si="1260"/>
        <v>-986.85687500000006</v>
      </c>
      <c r="X357" s="18">
        <f t="shared" si="1260"/>
        <v>-533.83155499999998</v>
      </c>
      <c r="Y357" s="18">
        <f xml:space="preserve"> 154.84 + 7.30686 * Y296</f>
        <v>-1907.5212350000004</v>
      </c>
      <c r="Z357" s="18">
        <f t="shared" ref="Z357:AE357" si="1261" xml:space="preserve"> 154.84 + 7.30686 * Z296</f>
        <v>4135.2519849999999</v>
      </c>
      <c r="AA357" s="18">
        <f t="shared" si="1261"/>
        <v>160.320145</v>
      </c>
      <c r="AB357" s="18">
        <f t="shared" si="1261"/>
        <v>-3953.442035</v>
      </c>
      <c r="AC357" s="18">
        <f t="shared" si="1261"/>
        <v>-1746.7703150000002</v>
      </c>
      <c r="AD357" s="18">
        <f t="shared" si="1261"/>
        <v>-899.17455499999994</v>
      </c>
      <c r="AE357" s="18">
        <f t="shared" si="1261"/>
        <v>-1907.5212350000004</v>
      </c>
      <c r="AF357" s="18">
        <f t="shared" ref="AF357:BG357" si="1262" xml:space="preserve"> 154.84 + 7.30686 * AF296</f>
        <v>-475.37667499999998</v>
      </c>
      <c r="AG357" s="18">
        <f t="shared" si="1262"/>
        <v>-489.99039500000003</v>
      </c>
      <c r="AH357" s="18">
        <f t="shared" si="1262"/>
        <v>-636.12759500000004</v>
      </c>
      <c r="AI357" s="18">
        <f t="shared" si="1262"/>
        <v>-541.13841500000001</v>
      </c>
      <c r="AJ357" s="18">
        <f t="shared" si="1262"/>
        <v>-438.84237499999995</v>
      </c>
      <c r="AK357" s="18">
        <f t="shared" si="1262"/>
        <v>-16287.421715</v>
      </c>
      <c r="AL357" s="18">
        <f t="shared" si="1262"/>
        <v>-679.96875499999999</v>
      </c>
      <c r="AM357" s="18">
        <f t="shared" si="1262"/>
        <v>-124326.65367500001</v>
      </c>
      <c r="AN357" s="18">
        <f t="shared" si="1262"/>
        <v>182.240725</v>
      </c>
      <c r="AO357" s="18">
        <f t="shared" si="1262"/>
        <v>-180494.48649500002</v>
      </c>
      <c r="AP357" s="18">
        <f t="shared" si="1262"/>
        <v>2213.5478050000002</v>
      </c>
      <c r="AQ357" s="18">
        <f t="shared" si="1262"/>
        <v>2213.5478050000002</v>
      </c>
      <c r="AR357" s="18">
        <f t="shared" si="1262"/>
        <v>2220.8546650000003</v>
      </c>
      <c r="AS357" s="18">
        <f t="shared" si="1262"/>
        <v>2220.8546650000003</v>
      </c>
      <c r="AT357" s="18">
        <f t="shared" si="1262"/>
        <v>2220.8546650000003</v>
      </c>
      <c r="AU357" s="18">
        <f t="shared" si="1262"/>
        <v>-2243.6367949999999</v>
      </c>
      <c r="AV357" s="18">
        <f t="shared" si="1262"/>
        <v>-51.578795000000014</v>
      </c>
      <c r="AW357" s="18">
        <f t="shared" si="1262"/>
        <v>-5714.3952950000003</v>
      </c>
      <c r="AX357" s="18">
        <f t="shared" si="1262"/>
        <v>-3697.701935</v>
      </c>
      <c r="AY357" s="18">
        <f t="shared" si="1262"/>
        <v>2228.1615250000004</v>
      </c>
      <c r="AZ357" s="18">
        <f t="shared" si="1262"/>
        <v>2228.1615250000004</v>
      </c>
      <c r="BA357" s="18">
        <f t="shared" si="1262"/>
        <v>2235.4683850000001</v>
      </c>
      <c r="BB357" s="18">
        <f t="shared" si="1262"/>
        <v>2235.4683850000001</v>
      </c>
      <c r="BC357" s="18">
        <f t="shared" si="1262"/>
        <v>2235.4683850000001</v>
      </c>
      <c r="BD357" s="18">
        <f t="shared" si="1262"/>
        <v>2235.4683850000001</v>
      </c>
      <c r="BE357" s="18">
        <f t="shared" si="1262"/>
        <v>2235.4683850000001</v>
      </c>
      <c r="BF357" s="18">
        <f t="shared" si="1262"/>
        <v>2235.4683850000001</v>
      </c>
      <c r="BG357" s="18">
        <f t="shared" si="1262"/>
        <v>-1907.5212350000004</v>
      </c>
    </row>
    <row r="358" spans="2:59" x14ac:dyDescent="0.25">
      <c r="C358" t="s">
        <v>19</v>
      </c>
      <c r="D358" s="7" t="s">
        <v>461</v>
      </c>
      <c r="E358" s="18">
        <f xml:space="preserve"> 34.52 + 27.261239 * E296</f>
        <v>-14175.40082875</v>
      </c>
      <c r="F358" s="18">
        <f t="shared" ref="F358:X358" si="1263" xml:space="preserve"> 34.52 + 27.261239 * F296</f>
        <v>-561962.73729474994</v>
      </c>
      <c r="G358" s="18">
        <f t="shared" si="1263"/>
        <v>54.965929250000002</v>
      </c>
      <c r="H358" s="18">
        <f t="shared" si="1263"/>
        <v>-272.16893875</v>
      </c>
      <c r="I358" s="18">
        <f t="shared" si="1263"/>
        <v>-4306.8323107499991</v>
      </c>
      <c r="J358" s="18">
        <f t="shared" si="1263"/>
        <v>-4170.5261157499999</v>
      </c>
      <c r="K358" s="18">
        <f t="shared" si="1263"/>
        <v>-3979.6974427499999</v>
      </c>
      <c r="L358" s="18">
        <f t="shared" si="1263"/>
        <v>-3843.3912477499998</v>
      </c>
      <c r="M358" s="18">
        <f t="shared" si="1263"/>
        <v>-33667.186713750001</v>
      </c>
      <c r="N358" s="18">
        <f t="shared" si="1263"/>
        <v>-134806.38340375002</v>
      </c>
      <c r="O358" s="18">
        <f t="shared" si="1263"/>
        <v>-134451.98729675001</v>
      </c>
      <c r="P358" s="18">
        <f t="shared" si="1263"/>
        <v>-391988.91212974995</v>
      </c>
      <c r="Q358" s="18">
        <f t="shared" si="1263"/>
        <v>-715416.25162574998</v>
      </c>
      <c r="R358" s="18">
        <f t="shared" si="1263"/>
        <v>-715443.51286475</v>
      </c>
      <c r="S358" s="18">
        <f t="shared" si="1263"/>
        <v>-1011309.73973175</v>
      </c>
      <c r="T358" s="18">
        <f t="shared" si="1263"/>
        <v>-1011391.52344875</v>
      </c>
      <c r="U358" s="18">
        <f t="shared" si="1263"/>
        <v>-1011609.61336075</v>
      </c>
      <c r="V358" s="18">
        <f t="shared" si="1263"/>
        <v>-2263091.3121337499</v>
      </c>
      <c r="W358" s="18">
        <f t="shared" si="1263"/>
        <v>-4225.0485937499998</v>
      </c>
      <c r="X358" s="18">
        <f t="shared" si="1263"/>
        <v>-2534.8517757499999</v>
      </c>
      <c r="Y358" s="18">
        <f xml:space="preserve"> 34.52 + 27.261239 * Y296</f>
        <v>-7659.9647077499994</v>
      </c>
      <c r="Z358" s="18">
        <f t="shared" ref="Z358:AE358" si="1264" xml:space="preserve"> 34.52 + 27.261239 * Z296</f>
        <v>14885.07994525</v>
      </c>
      <c r="AA358" s="18">
        <f t="shared" si="1264"/>
        <v>54.965929250000002</v>
      </c>
      <c r="AB358" s="18">
        <f t="shared" si="1264"/>
        <v>-15293.111627749999</v>
      </c>
      <c r="AC358" s="18">
        <f t="shared" si="1264"/>
        <v>-7060.2174497499991</v>
      </c>
      <c r="AD358" s="18">
        <f t="shared" si="1264"/>
        <v>-3897.9137257500001</v>
      </c>
      <c r="AE358" s="18">
        <f t="shared" si="1264"/>
        <v>-7659.9647077499994</v>
      </c>
      <c r="AF358" s="18">
        <f t="shared" ref="AF358:BG358" si="1265" xml:space="preserve"> 34.52 + 27.261239 * AF296</f>
        <v>-2316.76186375</v>
      </c>
      <c r="AG358" s="18">
        <f t="shared" si="1265"/>
        <v>-2371.2843417499998</v>
      </c>
      <c r="AH358" s="18">
        <f t="shared" si="1265"/>
        <v>-2916.5091217499998</v>
      </c>
      <c r="AI358" s="18">
        <f t="shared" si="1265"/>
        <v>-2562.1130147499998</v>
      </c>
      <c r="AJ358" s="18">
        <f t="shared" si="1265"/>
        <v>-2180.4556687499999</v>
      </c>
      <c r="AK358" s="18">
        <f t="shared" si="1265"/>
        <v>-61310.083059750003</v>
      </c>
      <c r="AL358" s="18">
        <f t="shared" si="1265"/>
        <v>-3080.0765557499999</v>
      </c>
      <c r="AM358" s="18">
        <f t="shared" si="1265"/>
        <v>-464394.76291374996</v>
      </c>
      <c r="AN358" s="18">
        <f t="shared" si="1265"/>
        <v>136.74964625000001</v>
      </c>
      <c r="AO358" s="18">
        <f t="shared" si="1265"/>
        <v>-673951.90710674995</v>
      </c>
      <c r="AP358" s="18">
        <f t="shared" si="1265"/>
        <v>7715.3740882500006</v>
      </c>
      <c r="AQ358" s="18">
        <f t="shared" si="1265"/>
        <v>7715.3740882500006</v>
      </c>
      <c r="AR358" s="18">
        <f t="shared" si="1265"/>
        <v>7742.63532725</v>
      </c>
      <c r="AS358" s="18">
        <f t="shared" si="1265"/>
        <v>7742.63532725</v>
      </c>
      <c r="AT358" s="18">
        <f t="shared" si="1265"/>
        <v>7742.63532725</v>
      </c>
      <c r="AU358" s="18">
        <f t="shared" si="1265"/>
        <v>-8913.981701749999</v>
      </c>
      <c r="AV358" s="18">
        <f t="shared" si="1265"/>
        <v>-735.61000175000004</v>
      </c>
      <c r="AW358" s="18">
        <f t="shared" si="1265"/>
        <v>-21863.070226749998</v>
      </c>
      <c r="AX358" s="18">
        <f t="shared" si="1265"/>
        <v>-14338.968262749999</v>
      </c>
      <c r="AY358" s="18">
        <f t="shared" si="1265"/>
        <v>7769.8965662500004</v>
      </c>
      <c r="AZ358" s="18">
        <f t="shared" si="1265"/>
        <v>7769.8965662500004</v>
      </c>
      <c r="BA358" s="18">
        <f t="shared" si="1265"/>
        <v>7797.1578052500008</v>
      </c>
      <c r="BB358" s="18">
        <f t="shared" si="1265"/>
        <v>7797.1578052500008</v>
      </c>
      <c r="BC358" s="18">
        <f t="shared" si="1265"/>
        <v>7797.1578052500008</v>
      </c>
      <c r="BD358" s="18">
        <f t="shared" si="1265"/>
        <v>7797.1578052500008</v>
      </c>
      <c r="BE358" s="18">
        <f t="shared" si="1265"/>
        <v>7797.1578052500008</v>
      </c>
      <c r="BF358" s="18">
        <f t="shared" si="1265"/>
        <v>7797.1578052500008</v>
      </c>
      <c r="BG358" s="18">
        <f t="shared" si="1265"/>
        <v>-7659.9647077499994</v>
      </c>
    </row>
    <row r="359" spans="2:59" x14ac:dyDescent="0.25">
      <c r="C359" t="s">
        <v>20</v>
      </c>
      <c r="D359" s="7" t="s">
        <v>462</v>
      </c>
      <c r="E359" s="18">
        <f xml:space="preserve"> 207.19 + 0.121824 * E296</f>
        <v>143.68923999999998</v>
      </c>
      <c r="F359" s="18">
        <f t="shared" ref="F359:X359" si="1266" xml:space="preserve"> 207.19 + 0.121824 * F296</f>
        <v>-2304.2422160000001</v>
      </c>
      <c r="G359" s="18">
        <f t="shared" si="1266"/>
        <v>207.28136799999999</v>
      </c>
      <c r="H359" s="18">
        <f t="shared" si="1266"/>
        <v>205.81948</v>
      </c>
      <c r="I359" s="18">
        <f t="shared" si="1266"/>
        <v>187.78952799999999</v>
      </c>
      <c r="J359" s="18">
        <f t="shared" si="1266"/>
        <v>188.39864800000001</v>
      </c>
      <c r="K359" s="18">
        <f t="shared" si="1266"/>
        <v>189.25141600000001</v>
      </c>
      <c r="L359" s="18">
        <f t="shared" si="1266"/>
        <v>189.860536</v>
      </c>
      <c r="M359" s="18">
        <f t="shared" si="1266"/>
        <v>56.585080000000005</v>
      </c>
      <c r="N359" s="18">
        <f t="shared" si="1266"/>
        <v>-395.38195999999999</v>
      </c>
      <c r="O359" s="18">
        <f t="shared" si="1266"/>
        <v>-393.798248</v>
      </c>
      <c r="P359" s="18">
        <f t="shared" si="1266"/>
        <v>-1544.669576</v>
      </c>
      <c r="Q359" s="18">
        <f t="shared" si="1266"/>
        <v>-2989.9895120000001</v>
      </c>
      <c r="R359" s="18">
        <f t="shared" si="1266"/>
        <v>-2990.1113359999999</v>
      </c>
      <c r="S359" s="18">
        <f t="shared" si="1266"/>
        <v>-4312.2672080000002</v>
      </c>
      <c r="T359" s="18">
        <f t="shared" si="1266"/>
        <v>-4312.6326800000006</v>
      </c>
      <c r="U359" s="18">
        <f t="shared" si="1266"/>
        <v>-4313.6072720000002</v>
      </c>
      <c r="V359" s="18">
        <f t="shared" si="1266"/>
        <v>-9906.1816399999989</v>
      </c>
      <c r="W359" s="18">
        <f t="shared" si="1266"/>
        <v>188.155</v>
      </c>
      <c r="X359" s="18">
        <f t="shared" si="1266"/>
        <v>195.708088</v>
      </c>
      <c r="Y359" s="18">
        <f xml:space="preserve"> 207.19 + 0.121824 * Y296</f>
        <v>172.80517599999999</v>
      </c>
      <c r="Z359" s="18">
        <f t="shared" ref="Z359:AE359" si="1267" xml:space="preserve"> 207.19 + 0.121824 * Z296</f>
        <v>273.55362400000001</v>
      </c>
      <c r="AA359" s="18">
        <f t="shared" si="1267"/>
        <v>207.28136799999999</v>
      </c>
      <c r="AB359" s="18">
        <f t="shared" si="1267"/>
        <v>138.694456</v>
      </c>
      <c r="AC359" s="18">
        <f t="shared" si="1267"/>
        <v>175.48530399999999</v>
      </c>
      <c r="AD359" s="18">
        <f t="shared" si="1267"/>
        <v>189.61688799999999</v>
      </c>
      <c r="AE359" s="18">
        <f t="shared" si="1267"/>
        <v>172.80517599999999</v>
      </c>
      <c r="AF359" s="18">
        <f t="shared" ref="AF359:BG359" si="1268" xml:space="preserve"> 207.19 + 0.121824 * AF296</f>
        <v>196.68268</v>
      </c>
      <c r="AG359" s="18">
        <f t="shared" si="1268"/>
        <v>196.439032</v>
      </c>
      <c r="AH359" s="18">
        <f t="shared" si="1268"/>
        <v>194.00255200000001</v>
      </c>
      <c r="AI359" s="18">
        <f t="shared" si="1268"/>
        <v>195.586264</v>
      </c>
      <c r="AJ359" s="18">
        <f t="shared" si="1268"/>
        <v>197.29179999999999</v>
      </c>
      <c r="AK359" s="18">
        <f t="shared" si="1268"/>
        <v>-66.944456000000002</v>
      </c>
      <c r="AL359" s="18">
        <f t="shared" si="1268"/>
        <v>193.27160799999999</v>
      </c>
      <c r="AM359" s="18">
        <f t="shared" si="1268"/>
        <v>-1868.2341200000001</v>
      </c>
      <c r="AN359" s="18">
        <f t="shared" si="1268"/>
        <v>207.64684</v>
      </c>
      <c r="AO359" s="18">
        <f t="shared" si="1268"/>
        <v>-2804.6952080000001</v>
      </c>
      <c r="AP359" s="18">
        <f t="shared" si="1268"/>
        <v>241.513912</v>
      </c>
      <c r="AQ359" s="18">
        <f t="shared" si="1268"/>
        <v>241.513912</v>
      </c>
      <c r="AR359" s="18">
        <f t="shared" si="1268"/>
        <v>241.63573600000001</v>
      </c>
      <c r="AS359" s="18">
        <f t="shared" si="1268"/>
        <v>241.63573600000001</v>
      </c>
      <c r="AT359" s="18">
        <f t="shared" si="1268"/>
        <v>241.63573600000001</v>
      </c>
      <c r="AU359" s="18">
        <f t="shared" si="1268"/>
        <v>167.20127199999999</v>
      </c>
      <c r="AV359" s="18">
        <f t="shared" si="1268"/>
        <v>203.74847199999999</v>
      </c>
      <c r="AW359" s="18">
        <f t="shared" si="1268"/>
        <v>109.33487199999999</v>
      </c>
      <c r="AX359" s="18">
        <f t="shared" si="1268"/>
        <v>142.95829599999999</v>
      </c>
      <c r="AY359" s="18">
        <f t="shared" si="1268"/>
        <v>241.75756000000001</v>
      </c>
      <c r="AZ359" s="18">
        <f t="shared" si="1268"/>
        <v>241.75756000000001</v>
      </c>
      <c r="BA359" s="18">
        <f t="shared" si="1268"/>
        <v>241.87938400000002</v>
      </c>
      <c r="BB359" s="18">
        <f t="shared" si="1268"/>
        <v>241.87938400000002</v>
      </c>
      <c r="BC359" s="18">
        <f t="shared" si="1268"/>
        <v>241.87938400000002</v>
      </c>
      <c r="BD359" s="18">
        <f t="shared" si="1268"/>
        <v>241.87938400000002</v>
      </c>
      <c r="BE359" s="18">
        <f t="shared" si="1268"/>
        <v>241.87938400000002</v>
      </c>
      <c r="BF359" s="18">
        <f t="shared" si="1268"/>
        <v>241.87938400000002</v>
      </c>
      <c r="BG359" s="18">
        <f t="shared" si="1268"/>
        <v>172.80517599999999</v>
      </c>
    </row>
    <row r="360" spans="2:59" x14ac:dyDescent="0.25">
      <c r="C360" t="s">
        <v>21</v>
      </c>
      <c r="D360" s="7" t="s">
        <v>463</v>
      </c>
      <c r="E360" s="18">
        <f xml:space="preserve"> 291.34 + 1.844379 * E296</f>
        <v>-670.04255375000002</v>
      </c>
      <c r="F360" s="18">
        <f t="shared" ref="F360:X360" si="1269" xml:space="preserve"> 291.34 + 1.844379 * F296</f>
        <v>-37730.994179750007</v>
      </c>
      <c r="G360" s="18">
        <f t="shared" si="1269"/>
        <v>292.72328424999995</v>
      </c>
      <c r="H360" s="18">
        <f t="shared" si="1269"/>
        <v>270.59073624999996</v>
      </c>
      <c r="I360" s="18">
        <f t="shared" si="1269"/>
        <v>-2.3773557500000493</v>
      </c>
      <c r="J360" s="18">
        <f t="shared" si="1269"/>
        <v>6.8445392499999684</v>
      </c>
      <c r="K360" s="18">
        <f t="shared" si="1269"/>
        <v>19.755192249999993</v>
      </c>
      <c r="L360" s="18">
        <f t="shared" si="1269"/>
        <v>28.977087249999954</v>
      </c>
      <c r="M360" s="18">
        <f t="shared" si="1269"/>
        <v>-1988.7735387499999</v>
      </c>
      <c r="N360" s="18">
        <f t="shared" si="1269"/>
        <v>-8831.4196287499999</v>
      </c>
      <c r="O360" s="18">
        <f t="shared" si="1269"/>
        <v>-8807.4427017500002</v>
      </c>
      <c r="P360" s="18">
        <f t="shared" si="1269"/>
        <v>-26231.291114749998</v>
      </c>
      <c r="Q360" s="18">
        <f t="shared" si="1269"/>
        <v>-48113.003570750006</v>
      </c>
      <c r="R360" s="18">
        <f t="shared" si="1269"/>
        <v>-48114.847949750001</v>
      </c>
      <c r="S360" s="18">
        <f t="shared" si="1269"/>
        <v>-68131.893236750009</v>
      </c>
      <c r="T360" s="18">
        <f t="shared" si="1269"/>
        <v>-68137.42637375</v>
      </c>
      <c r="U360" s="18">
        <f t="shared" si="1269"/>
        <v>-68152.181405750001</v>
      </c>
      <c r="V360" s="18">
        <f t="shared" si="1269"/>
        <v>-152822.08815875</v>
      </c>
      <c r="W360" s="18">
        <f t="shared" si="1269"/>
        <v>3.1557812499999613</v>
      </c>
      <c r="X360" s="18">
        <f t="shared" si="1269"/>
        <v>117.50727924999998</v>
      </c>
      <c r="Y360" s="18">
        <f xml:space="preserve"> 291.34 + 1.844379 * Y296</f>
        <v>-229.23597275000003</v>
      </c>
      <c r="Z360" s="18">
        <f t="shared" ref="Z360:AE360" si="1270" xml:space="preserve"> 291.34 + 1.844379 * Z296</f>
        <v>1296.0654602499999</v>
      </c>
      <c r="AA360" s="18">
        <f t="shared" si="1270"/>
        <v>292.72328424999995</v>
      </c>
      <c r="AB360" s="18">
        <f t="shared" si="1270"/>
        <v>-745.66209275000006</v>
      </c>
      <c r="AC360" s="18">
        <f t="shared" si="1270"/>
        <v>-188.65963475000001</v>
      </c>
      <c r="AD360" s="18">
        <f t="shared" si="1270"/>
        <v>25.288329250000004</v>
      </c>
      <c r="AE360" s="18">
        <f t="shared" si="1270"/>
        <v>-229.23597275000003</v>
      </c>
      <c r="AF360" s="18">
        <f t="shared" ref="AF360:BG360" si="1271" xml:space="preserve"> 291.34 + 1.844379 * AF296</f>
        <v>132.26231124999998</v>
      </c>
      <c r="AG360" s="18">
        <f t="shared" si="1271"/>
        <v>128.57355324999997</v>
      </c>
      <c r="AH360" s="18">
        <f t="shared" si="1271"/>
        <v>91.685973249999989</v>
      </c>
      <c r="AI360" s="18">
        <f t="shared" si="1271"/>
        <v>115.66290024999998</v>
      </c>
      <c r="AJ360" s="18">
        <f t="shared" si="1271"/>
        <v>141.48420624999997</v>
      </c>
      <c r="AK360" s="18">
        <f t="shared" si="1271"/>
        <v>-3858.9738447499994</v>
      </c>
      <c r="AL360" s="18">
        <f t="shared" si="1271"/>
        <v>80.619699249999968</v>
      </c>
      <c r="AM360" s="18">
        <f t="shared" si="1271"/>
        <v>-31129.96173875</v>
      </c>
      <c r="AN360" s="18">
        <f t="shared" si="1271"/>
        <v>298.25642124999996</v>
      </c>
      <c r="AO360" s="18">
        <f t="shared" si="1271"/>
        <v>-45307.703111750001</v>
      </c>
      <c r="AP360" s="18">
        <f t="shared" si="1271"/>
        <v>810.99378324999998</v>
      </c>
      <c r="AQ360" s="18">
        <f t="shared" si="1271"/>
        <v>810.99378324999998</v>
      </c>
      <c r="AR360" s="18">
        <f t="shared" si="1271"/>
        <v>812.83816224999987</v>
      </c>
      <c r="AS360" s="18">
        <f t="shared" si="1271"/>
        <v>812.83816224999987</v>
      </c>
      <c r="AT360" s="18">
        <f t="shared" si="1271"/>
        <v>812.83816224999987</v>
      </c>
      <c r="AU360" s="18">
        <f t="shared" si="1271"/>
        <v>-314.07740674999997</v>
      </c>
      <c r="AV360" s="18">
        <f t="shared" si="1271"/>
        <v>239.23629324999996</v>
      </c>
      <c r="AW360" s="18">
        <f t="shared" si="1271"/>
        <v>-1190.1574317500001</v>
      </c>
      <c r="AX360" s="18">
        <f t="shared" si="1271"/>
        <v>-681.10882775000005</v>
      </c>
      <c r="AY360" s="18">
        <f t="shared" si="1271"/>
        <v>814.68254124999999</v>
      </c>
      <c r="AZ360" s="18">
        <f t="shared" si="1271"/>
        <v>814.68254124999999</v>
      </c>
      <c r="BA360" s="18">
        <f t="shared" si="1271"/>
        <v>816.52692024999988</v>
      </c>
      <c r="BB360" s="18">
        <f t="shared" si="1271"/>
        <v>816.52692024999988</v>
      </c>
      <c r="BC360" s="18">
        <f t="shared" si="1271"/>
        <v>816.52692024999988</v>
      </c>
      <c r="BD360" s="18">
        <f t="shared" si="1271"/>
        <v>816.52692024999988</v>
      </c>
      <c r="BE360" s="18">
        <f t="shared" si="1271"/>
        <v>816.52692024999988</v>
      </c>
      <c r="BF360" s="18">
        <f t="shared" si="1271"/>
        <v>816.52692024999988</v>
      </c>
      <c r="BG360" s="18">
        <f t="shared" si="1271"/>
        <v>-229.23597275000003</v>
      </c>
    </row>
    <row r="361" spans="2:59" x14ac:dyDescent="0.25">
      <c r="C361" t="s">
        <v>22</v>
      </c>
      <c r="D361" s="7" t="s">
        <v>464</v>
      </c>
      <c r="E361" s="18">
        <f xml:space="preserve"> 161.72 + 24.198154 * E296</f>
        <v>-12451.567772500001</v>
      </c>
      <c r="F361" s="18">
        <f t="shared" ref="F361:X361" si="1272" xml:space="preserve"> 161.72 + 24.198154 * F296</f>
        <v>-498689.27424850001</v>
      </c>
      <c r="G361" s="18">
        <f t="shared" si="1272"/>
        <v>179.8686155</v>
      </c>
      <c r="H361" s="18">
        <f t="shared" si="1272"/>
        <v>-110.50923249999997</v>
      </c>
      <c r="I361" s="18">
        <f t="shared" si="1272"/>
        <v>-3691.8360244999999</v>
      </c>
      <c r="J361" s="18">
        <f t="shared" si="1272"/>
        <v>-3570.8452545</v>
      </c>
      <c r="K361" s="18">
        <f t="shared" si="1272"/>
        <v>-3401.4581764999998</v>
      </c>
      <c r="L361" s="18">
        <f t="shared" si="1272"/>
        <v>-3280.4674064999999</v>
      </c>
      <c r="M361" s="18">
        <f t="shared" si="1272"/>
        <v>-29753.247882499996</v>
      </c>
      <c r="N361" s="18">
        <f t="shared" si="1272"/>
        <v>-119528.3992225</v>
      </c>
      <c r="O361" s="18">
        <f t="shared" si="1272"/>
        <v>-119213.82322049999</v>
      </c>
      <c r="P361" s="18">
        <f t="shared" si="1272"/>
        <v>-347813.78405850002</v>
      </c>
      <c r="Q361" s="18">
        <f t="shared" si="1272"/>
        <v>-634900.68311450002</v>
      </c>
      <c r="R361" s="18">
        <f t="shared" si="1272"/>
        <v>-634924.8812685</v>
      </c>
      <c r="S361" s="18">
        <f t="shared" si="1272"/>
        <v>-897547.44663050002</v>
      </c>
      <c r="T361" s="18">
        <f t="shared" si="1272"/>
        <v>-897620.04109249997</v>
      </c>
      <c r="U361" s="18">
        <f t="shared" si="1272"/>
        <v>-897813.62632449996</v>
      </c>
      <c r="V361" s="18">
        <f t="shared" si="1272"/>
        <v>-2008678.2820025</v>
      </c>
      <c r="W361" s="18">
        <f t="shared" si="1272"/>
        <v>-3619.2415624999999</v>
      </c>
      <c r="X361" s="18">
        <f t="shared" si="1272"/>
        <v>-2118.9560145</v>
      </c>
      <c r="Y361" s="18">
        <f xml:space="preserve"> 161.72 + 24.198154 * Y296</f>
        <v>-6668.2089664999994</v>
      </c>
      <c r="Z361" s="18">
        <f t="shared" ref="Z361:AE361" si="1273" xml:space="preserve"> 161.72 + 24.198154 * Z296</f>
        <v>13343.664391499999</v>
      </c>
      <c r="AA361" s="18">
        <f t="shared" si="1273"/>
        <v>179.8686155</v>
      </c>
      <c r="AB361" s="18">
        <f t="shared" si="1273"/>
        <v>-13443.692086499999</v>
      </c>
      <c r="AC361" s="18">
        <f t="shared" si="1273"/>
        <v>-6135.8495784999996</v>
      </c>
      <c r="AD361" s="18">
        <f t="shared" si="1273"/>
        <v>-3328.8637145000002</v>
      </c>
      <c r="AE361" s="18">
        <f t="shared" si="1273"/>
        <v>-6668.2089664999994</v>
      </c>
      <c r="AF361" s="18">
        <f t="shared" ref="AF361:BG361" si="1274" xml:space="preserve"> 161.72 + 24.198154 * AF296</f>
        <v>-1925.3707824999999</v>
      </c>
      <c r="AG361" s="18">
        <f t="shared" si="1274"/>
        <v>-1973.7670904999998</v>
      </c>
      <c r="AH361" s="18">
        <f t="shared" si="1274"/>
        <v>-2457.7301705</v>
      </c>
      <c r="AI361" s="18">
        <f t="shared" si="1274"/>
        <v>-2143.1541685000002</v>
      </c>
      <c r="AJ361" s="18">
        <f t="shared" si="1274"/>
        <v>-1804.3800124999998</v>
      </c>
      <c r="AK361" s="18">
        <f t="shared" si="1274"/>
        <v>-54290.176038499994</v>
      </c>
      <c r="AL361" s="18">
        <f t="shared" si="1274"/>
        <v>-2602.9190945</v>
      </c>
      <c r="AM361" s="18">
        <f t="shared" si="1274"/>
        <v>-412084.08108249999</v>
      </c>
      <c r="AN361" s="18">
        <f t="shared" si="1274"/>
        <v>252.4630775</v>
      </c>
      <c r="AO361" s="18">
        <f t="shared" si="1274"/>
        <v>-598095.29088049999</v>
      </c>
      <c r="AP361" s="18">
        <f t="shared" si="1274"/>
        <v>6979.5498895000001</v>
      </c>
      <c r="AQ361" s="18">
        <f t="shared" si="1274"/>
        <v>6979.5498895000001</v>
      </c>
      <c r="AR361" s="18">
        <f t="shared" si="1274"/>
        <v>7003.7480434999998</v>
      </c>
      <c r="AS361" s="18">
        <f t="shared" si="1274"/>
        <v>7003.7480434999998</v>
      </c>
      <c r="AT361" s="18">
        <f t="shared" si="1274"/>
        <v>7003.7480434999998</v>
      </c>
      <c r="AU361" s="18">
        <f t="shared" si="1274"/>
        <v>-7781.3240504999994</v>
      </c>
      <c r="AV361" s="18">
        <f t="shared" si="1274"/>
        <v>-521.87785049999991</v>
      </c>
      <c r="AW361" s="18">
        <f t="shared" si="1274"/>
        <v>-19275.447200499999</v>
      </c>
      <c r="AX361" s="18">
        <f t="shared" si="1274"/>
        <v>-12596.756696500001</v>
      </c>
      <c r="AY361" s="18">
        <f t="shared" si="1274"/>
        <v>7027.9461974999995</v>
      </c>
      <c r="AZ361" s="18">
        <f t="shared" si="1274"/>
        <v>7027.9461974999995</v>
      </c>
      <c r="BA361" s="18">
        <f t="shared" si="1274"/>
        <v>7052.1443515000001</v>
      </c>
      <c r="BB361" s="18">
        <f t="shared" si="1274"/>
        <v>7052.1443515000001</v>
      </c>
      <c r="BC361" s="18">
        <f t="shared" si="1274"/>
        <v>7052.1443515000001</v>
      </c>
      <c r="BD361" s="18">
        <f t="shared" si="1274"/>
        <v>7052.1443515000001</v>
      </c>
      <c r="BE361" s="18">
        <f t="shared" si="1274"/>
        <v>7052.1443515000001</v>
      </c>
      <c r="BF361" s="18">
        <f t="shared" si="1274"/>
        <v>7052.1443515000001</v>
      </c>
      <c r="BG361" s="18">
        <f t="shared" si="1274"/>
        <v>-6668.2089664999994</v>
      </c>
    </row>
    <row r="362" spans="2:59" x14ac:dyDescent="0.25">
      <c r="C362" t="s">
        <v>23</v>
      </c>
      <c r="D362" s="7" t="s">
        <v>465</v>
      </c>
      <c r="E362" s="18">
        <f xml:space="preserve"> 239.56 + 25.513099 * E296</f>
        <v>-13059.142853750001</v>
      </c>
      <c r="F362" s="18">
        <f t="shared" ref="F362:X362" si="1275" xml:space="preserve"> 239.56 + 25.513099 * F296</f>
        <v>-525719.35415974993</v>
      </c>
      <c r="G362" s="18">
        <f t="shared" si="1275"/>
        <v>258.69482425000001</v>
      </c>
      <c r="H362" s="18">
        <f t="shared" si="1275"/>
        <v>-47.462363750000009</v>
      </c>
      <c r="I362" s="18">
        <f t="shared" si="1275"/>
        <v>-3823.4010157500002</v>
      </c>
      <c r="J362" s="18">
        <f t="shared" si="1275"/>
        <v>-3695.8355207500003</v>
      </c>
      <c r="K362" s="18">
        <f t="shared" si="1275"/>
        <v>-3517.24382775</v>
      </c>
      <c r="L362" s="18">
        <f t="shared" si="1275"/>
        <v>-3389.6783327500002</v>
      </c>
      <c r="M362" s="18">
        <f t="shared" si="1275"/>
        <v>-31301.008638749998</v>
      </c>
      <c r="N362" s="18">
        <f t="shared" si="1275"/>
        <v>-125954.60592875001</v>
      </c>
      <c r="O362" s="18">
        <f t="shared" si="1275"/>
        <v>-125622.93564175001</v>
      </c>
      <c r="P362" s="18">
        <f t="shared" si="1275"/>
        <v>-366645.18189474999</v>
      </c>
      <c r="Q362" s="18">
        <f t="shared" si="1275"/>
        <v>-669332.58843074995</v>
      </c>
      <c r="R362" s="18">
        <f t="shared" si="1275"/>
        <v>-669358.10152974993</v>
      </c>
      <c r="S362" s="18">
        <f t="shared" si="1275"/>
        <v>-946251.76497675001</v>
      </c>
      <c r="T362" s="18">
        <f t="shared" si="1275"/>
        <v>-946328.30427374993</v>
      </c>
      <c r="U362" s="18">
        <f t="shared" si="1275"/>
        <v>-946532.40906574996</v>
      </c>
      <c r="V362" s="18">
        <f t="shared" si="1275"/>
        <v>-2117762.2448587501</v>
      </c>
      <c r="W362" s="18">
        <f t="shared" si="1275"/>
        <v>-3746.8617187499999</v>
      </c>
      <c r="X362" s="18">
        <f t="shared" si="1275"/>
        <v>-2165.0495807500001</v>
      </c>
      <c r="Y362" s="18">
        <f xml:space="preserve"> 239.56 + 25.513099 * Y296</f>
        <v>-6961.5121927499995</v>
      </c>
      <c r="Z362" s="18">
        <f t="shared" ref="Z362:AE362" si="1276" xml:space="preserve"> 239.56 + 25.513099 * Z296</f>
        <v>14137.820680249999</v>
      </c>
      <c r="AA362" s="18">
        <f t="shared" si="1276"/>
        <v>258.69482425000001</v>
      </c>
      <c r="AB362" s="18">
        <f t="shared" si="1276"/>
        <v>-14105.17991275</v>
      </c>
      <c r="AC362" s="18">
        <f t="shared" si="1276"/>
        <v>-6400.2240147499997</v>
      </c>
      <c r="AD362" s="18">
        <f t="shared" si="1276"/>
        <v>-3440.7045307500002</v>
      </c>
      <c r="AE362" s="18">
        <f t="shared" si="1276"/>
        <v>-6961.5121927499995</v>
      </c>
      <c r="AF362" s="18">
        <f t="shared" ref="AF362:BG362" si="1277" xml:space="preserve"> 239.56 + 25.513099 * AF296</f>
        <v>-1960.94478875</v>
      </c>
      <c r="AG362" s="18">
        <f t="shared" si="1277"/>
        <v>-2011.9709867500001</v>
      </c>
      <c r="AH362" s="18">
        <f t="shared" si="1277"/>
        <v>-2522.2329667500003</v>
      </c>
      <c r="AI362" s="18">
        <f t="shared" si="1277"/>
        <v>-2190.5626797499999</v>
      </c>
      <c r="AJ362" s="18">
        <f t="shared" si="1277"/>
        <v>-1833.3792937500002</v>
      </c>
      <c r="AK362" s="18">
        <f t="shared" si="1277"/>
        <v>-57171.291024750004</v>
      </c>
      <c r="AL362" s="18">
        <f t="shared" si="1277"/>
        <v>-2675.3115607499999</v>
      </c>
      <c r="AM362" s="18">
        <f t="shared" si="1277"/>
        <v>-434407.97283874999</v>
      </c>
      <c r="AN362" s="18">
        <f t="shared" si="1277"/>
        <v>335.23412124999999</v>
      </c>
      <c r="AO362" s="18">
        <f t="shared" si="1277"/>
        <v>-630527.1648517499</v>
      </c>
      <c r="AP362" s="18">
        <f t="shared" si="1277"/>
        <v>7427.8756432500004</v>
      </c>
      <c r="AQ362" s="18">
        <f t="shared" si="1277"/>
        <v>7427.8756432500004</v>
      </c>
      <c r="AR362" s="18">
        <f t="shared" si="1277"/>
        <v>7453.3887422500002</v>
      </c>
      <c r="AS362" s="18">
        <f t="shared" si="1277"/>
        <v>7453.3887422500002</v>
      </c>
      <c r="AT362" s="18">
        <f t="shared" si="1277"/>
        <v>7453.3887422500002</v>
      </c>
      <c r="AU362" s="18">
        <f t="shared" si="1277"/>
        <v>-8135.1147467500004</v>
      </c>
      <c r="AV362" s="18">
        <f t="shared" si="1277"/>
        <v>-481.18504675000003</v>
      </c>
      <c r="AW362" s="18">
        <f t="shared" si="1277"/>
        <v>-20253.83677175</v>
      </c>
      <c r="AX362" s="18">
        <f t="shared" si="1277"/>
        <v>-13212.22144775</v>
      </c>
      <c r="AY362" s="18">
        <f t="shared" si="1277"/>
        <v>7478.9018412500009</v>
      </c>
      <c r="AZ362" s="18">
        <f t="shared" si="1277"/>
        <v>7478.9018412500009</v>
      </c>
      <c r="BA362" s="18">
        <f t="shared" si="1277"/>
        <v>7504.4149402500007</v>
      </c>
      <c r="BB362" s="18">
        <f t="shared" si="1277"/>
        <v>7504.4149402500007</v>
      </c>
      <c r="BC362" s="18">
        <f t="shared" si="1277"/>
        <v>7504.4149402500007</v>
      </c>
      <c r="BD362" s="18">
        <f t="shared" si="1277"/>
        <v>7504.4149402500007</v>
      </c>
      <c r="BE362" s="18">
        <f t="shared" si="1277"/>
        <v>7504.4149402500007</v>
      </c>
      <c r="BF362" s="18">
        <f t="shared" si="1277"/>
        <v>7504.4149402500007</v>
      </c>
      <c r="BG362" s="18">
        <f t="shared" si="1277"/>
        <v>-6961.5121927499995</v>
      </c>
    </row>
    <row r="363" spans="2:59" x14ac:dyDescent="0.25">
      <c r="C363" t="s">
        <v>24</v>
      </c>
      <c r="D363" s="86" t="s">
        <v>466</v>
      </c>
      <c r="E363" s="87">
        <f xml:space="preserve"> 331.55 + 3.592518 * E296</f>
        <v>-1541.0500075</v>
      </c>
      <c r="F363" s="87">
        <f t="shared" ref="F363:X363" si="1278" xml:space="preserve"> 331.55 + 3.592518 * F296</f>
        <v>-73729.1066995</v>
      </c>
      <c r="G363" s="87">
        <f t="shared" si="1278"/>
        <v>334.24438850000001</v>
      </c>
      <c r="H363" s="87">
        <f t="shared" si="1278"/>
        <v>291.13417250000003</v>
      </c>
      <c r="I363" s="87">
        <f t="shared" si="1278"/>
        <v>-240.5584915</v>
      </c>
      <c r="J363" s="87">
        <f t="shared" si="1278"/>
        <v>-222.59590150000002</v>
      </c>
      <c r="K363" s="87">
        <f t="shared" si="1278"/>
        <v>-197.44827549999997</v>
      </c>
      <c r="L363" s="87">
        <f t="shared" si="1278"/>
        <v>-179.48568549999999</v>
      </c>
      <c r="M363" s="87">
        <f t="shared" si="1278"/>
        <v>-4109.7003775000003</v>
      </c>
      <c r="N363" s="87">
        <f t="shared" si="1278"/>
        <v>-17437.942157500001</v>
      </c>
      <c r="O363" s="87">
        <f t="shared" si="1278"/>
        <v>-17391.239423500003</v>
      </c>
      <c r="P363" s="87">
        <f t="shared" si="1278"/>
        <v>-51329.756969499998</v>
      </c>
      <c r="Q363" s="87">
        <f t="shared" si="1278"/>
        <v>-93951.390521499998</v>
      </c>
      <c r="R363" s="87">
        <f t="shared" si="1278"/>
        <v>-93954.983039500003</v>
      </c>
      <c r="S363" s="87">
        <f t="shared" si="1278"/>
        <v>-132944.58089350001</v>
      </c>
      <c r="T363" s="87">
        <f t="shared" si="1278"/>
        <v>-132955.35844750001</v>
      </c>
      <c r="U363" s="87">
        <f t="shared" si="1278"/>
        <v>-132984.09859150002</v>
      </c>
      <c r="V363" s="87">
        <f t="shared" si="1278"/>
        <v>-297905.82241750002</v>
      </c>
      <c r="W363" s="87">
        <f t="shared" si="1278"/>
        <v>-229.78093749999999</v>
      </c>
      <c r="X363" s="87">
        <f t="shared" si="1278"/>
        <v>-7.0448215000000118</v>
      </c>
      <c r="Y363" s="87">
        <f xml:space="preserve"> 331.55 + 3.592518 * Y296</f>
        <v>-682.43820550000009</v>
      </c>
      <c r="Z363" s="87">
        <f t="shared" ref="Z363:AE363" si="1279" xml:space="preserve"> 331.55 + 3.592518 * Z296</f>
        <v>2288.5741805000002</v>
      </c>
      <c r="AA363" s="87">
        <f t="shared" si="1279"/>
        <v>334.24438850000001</v>
      </c>
      <c r="AB363" s="87">
        <f t="shared" si="1279"/>
        <v>-1688.3432455000002</v>
      </c>
      <c r="AC363" s="87">
        <f t="shared" si="1279"/>
        <v>-603.4028095000001</v>
      </c>
      <c r="AD363" s="87">
        <f t="shared" si="1279"/>
        <v>-186.67072149999996</v>
      </c>
      <c r="AE363" s="87">
        <f t="shared" si="1279"/>
        <v>-682.43820550000009</v>
      </c>
      <c r="AF363" s="87">
        <f t="shared" ref="AF363:BG363" si="1280" xml:space="preserve"> 331.55 + 3.592518 * AF296</f>
        <v>21.695322499999975</v>
      </c>
      <c r="AG363" s="87">
        <f t="shared" si="1280"/>
        <v>14.510286500000007</v>
      </c>
      <c r="AH363" s="87">
        <f t="shared" si="1280"/>
        <v>-57.340073500000017</v>
      </c>
      <c r="AI363" s="87">
        <f t="shared" si="1280"/>
        <v>-10.637339499999996</v>
      </c>
      <c r="AJ363" s="87">
        <f t="shared" si="1280"/>
        <v>39.657912500000009</v>
      </c>
      <c r="AK363" s="87">
        <f t="shared" si="1280"/>
        <v>-7752.5136295000002</v>
      </c>
      <c r="AL363" s="87">
        <f t="shared" si="1280"/>
        <v>-78.895181499999978</v>
      </c>
      <c r="AM363" s="87">
        <f t="shared" si="1280"/>
        <v>-60871.484777500002</v>
      </c>
      <c r="AN363" s="87">
        <f t="shared" si="1280"/>
        <v>345.02194250000002</v>
      </c>
      <c r="AO363" s="87">
        <f t="shared" si="1280"/>
        <v>-88487.170643499994</v>
      </c>
      <c r="AP363" s="87">
        <f t="shared" si="1280"/>
        <v>1343.7419465</v>
      </c>
      <c r="AQ363" s="87">
        <f t="shared" si="1280"/>
        <v>1343.7419465</v>
      </c>
      <c r="AR363" s="87">
        <f t="shared" si="1280"/>
        <v>1347.3344645</v>
      </c>
      <c r="AS363" s="87">
        <f t="shared" si="1280"/>
        <v>1347.3344645</v>
      </c>
      <c r="AT363" s="87">
        <f t="shared" si="1280"/>
        <v>1347.3344645</v>
      </c>
      <c r="AU363" s="87">
        <f t="shared" si="1280"/>
        <v>-847.69403350000016</v>
      </c>
      <c r="AV363" s="87">
        <f t="shared" si="1280"/>
        <v>230.06136650000002</v>
      </c>
      <c r="AW363" s="87">
        <f t="shared" si="1280"/>
        <v>-2554.1400834999999</v>
      </c>
      <c r="AX363" s="87">
        <f t="shared" si="1280"/>
        <v>-1562.6051155</v>
      </c>
      <c r="AY363" s="87">
        <f t="shared" si="1280"/>
        <v>1350.9269825000001</v>
      </c>
      <c r="AZ363" s="87">
        <f t="shared" si="1280"/>
        <v>1350.9269825000001</v>
      </c>
      <c r="BA363" s="87">
        <f t="shared" si="1280"/>
        <v>1354.5195005</v>
      </c>
      <c r="BB363" s="87">
        <f t="shared" si="1280"/>
        <v>1354.5195005</v>
      </c>
      <c r="BC363" s="87">
        <f t="shared" si="1280"/>
        <v>1354.5195005</v>
      </c>
      <c r="BD363" s="87">
        <f t="shared" si="1280"/>
        <v>1354.5195005</v>
      </c>
      <c r="BE363" s="87">
        <f t="shared" si="1280"/>
        <v>1354.5195005</v>
      </c>
      <c r="BF363" s="87">
        <f t="shared" si="1280"/>
        <v>1354.5195005</v>
      </c>
      <c r="BG363" s="87">
        <f t="shared" si="1280"/>
        <v>-682.43820550000009</v>
      </c>
    </row>
    <row r="364" spans="2:59" x14ac:dyDescent="0.25">
      <c r="B364">
        <v>352</v>
      </c>
      <c r="C364" t="s">
        <v>157</v>
      </c>
      <c r="D364"/>
    </row>
    <row r="365" spans="2:59" x14ac:dyDescent="0.25">
      <c r="C365" t="s">
        <v>143</v>
      </c>
      <c r="D365" s="7" t="s">
        <v>453</v>
      </c>
      <c r="E365" s="18">
        <f t="shared" ref="E365:AJ365" si="1281">0.000325 * SIN( E350  * Deg2Rad )</f>
        <v>-2.9156375398242787E-4</v>
      </c>
      <c r="F365" s="18">
        <f t="shared" si="1281"/>
        <v>-2.8952277635221771E-4</v>
      </c>
      <c r="G365" s="18">
        <f t="shared" si="1281"/>
        <v>-2.8188114545460164E-4</v>
      </c>
      <c r="H365" s="18">
        <f t="shared" si="1281"/>
        <v>-2.8544850952970282E-4</v>
      </c>
      <c r="I365" s="18">
        <f t="shared" si="1281"/>
        <v>-3.1709215982619828E-4</v>
      </c>
      <c r="J365" s="18">
        <f t="shared" si="1281"/>
        <v>-3.1641032813482952E-4</v>
      </c>
      <c r="K365" s="18">
        <f t="shared" si="1281"/>
        <v>-3.1540907585793403E-4</v>
      </c>
      <c r="L365" s="18">
        <f t="shared" si="1281"/>
        <v>-3.146606326712069E-4</v>
      </c>
      <c r="M365" s="18">
        <f t="shared" si="1281"/>
        <v>7.3232360530086884E-5</v>
      </c>
      <c r="N365" s="18">
        <f t="shared" si="1281"/>
        <v>2.5485363550632154E-4</v>
      </c>
      <c r="O365" s="18">
        <f t="shared" si="1281"/>
        <v>2.4986070299327576E-4</v>
      </c>
      <c r="P365" s="18">
        <f t="shared" si="1281"/>
        <v>-7.8493292292729309E-5</v>
      </c>
      <c r="Q365" s="18">
        <f t="shared" si="1281"/>
        <v>-1.815536752499953E-5</v>
      </c>
      <c r="R365" s="18">
        <f t="shared" si="1281"/>
        <v>-1.8765418769589827E-5</v>
      </c>
      <c r="S365" s="18">
        <f t="shared" si="1281"/>
        <v>-3.2451476493254924E-4</v>
      </c>
      <c r="T365" s="18">
        <f t="shared" si="1281"/>
        <v>-3.2440933715001825E-4</v>
      </c>
      <c r="U365" s="18">
        <f t="shared" si="1281"/>
        <v>-3.2407762814614798E-4</v>
      </c>
      <c r="V365" s="18">
        <f t="shared" si="1281"/>
        <v>-1.0131211313054623E-4</v>
      </c>
      <c r="W365" s="18">
        <f t="shared" si="1281"/>
        <v>-3.1668640006646026E-4</v>
      </c>
      <c r="X365" s="18">
        <f t="shared" si="1281"/>
        <v>-3.0607962873286298E-4</v>
      </c>
      <c r="Y365" s="18">
        <f t="shared" si="1281"/>
        <v>-3.2498522241586282E-4</v>
      </c>
      <c r="Z365" s="18">
        <f t="shared" si="1281"/>
        <v>-9.7621337016851457E-6</v>
      </c>
      <c r="AA365" s="18">
        <f t="shared" si="1281"/>
        <v>-2.8188114545460164E-4</v>
      </c>
      <c r="AB365" s="18">
        <f t="shared" si="1281"/>
        <v>-2.7967748850487732E-4</v>
      </c>
      <c r="AC365" s="18">
        <f t="shared" si="1281"/>
        <v>-3.2483664970576592E-4</v>
      </c>
      <c r="AD365" s="18">
        <f t="shared" si="1281"/>
        <v>-3.1496333106813902E-4</v>
      </c>
      <c r="AE365" s="18">
        <f t="shared" si="1281"/>
        <v>-3.2498522241586282E-4</v>
      </c>
      <c r="AF365" s="18">
        <f t="shared" si="1281"/>
        <v>-3.0440651031833041E-4</v>
      </c>
      <c r="AG365" s="18">
        <f t="shared" si="1281"/>
        <v>-3.0483122324716634E-4</v>
      </c>
      <c r="AH365" s="18">
        <f t="shared" si="1281"/>
        <v>-3.088417245129708E-4</v>
      </c>
      <c r="AI365" s="18">
        <f t="shared" si="1281"/>
        <v>-3.0628393584941101E-4</v>
      </c>
      <c r="AJ365" s="18">
        <f t="shared" si="1281"/>
        <v>-3.0332602067945774E-4</v>
      </c>
      <c r="AK365" s="18">
        <f t="shared" ref="AK365:BG365" si="1282">0.000325 * SIN( AK350  * Deg2Rad )</f>
        <v>2.7575016622365339E-4</v>
      </c>
      <c r="AL365" s="18">
        <f t="shared" si="1282"/>
        <v>-3.0996046897253086E-4</v>
      </c>
      <c r="AM365" s="18">
        <f t="shared" si="1282"/>
        <v>-3.248396597572716E-4</v>
      </c>
      <c r="AN365" s="18">
        <f t="shared" si="1282"/>
        <v>-2.8096694573168156E-4</v>
      </c>
      <c r="AO365" s="18">
        <f t="shared" si="1282"/>
        <v>1.0779162104206848E-4</v>
      </c>
      <c r="AP365" s="18">
        <f t="shared" si="1282"/>
        <v>-1.6234411530387997E-4</v>
      </c>
      <c r="AQ365" s="18">
        <f t="shared" si="1282"/>
        <v>-1.6234411530387997E-4</v>
      </c>
      <c r="AR365" s="18">
        <f t="shared" si="1282"/>
        <v>-1.6181605021081246E-4</v>
      </c>
      <c r="AS365" s="18">
        <f t="shared" si="1282"/>
        <v>-1.6181605021081246E-4</v>
      </c>
      <c r="AT365" s="18">
        <f t="shared" si="1282"/>
        <v>-1.6181605021081246E-4</v>
      </c>
      <c r="AU365" s="18">
        <f t="shared" si="1282"/>
        <v>-3.2351064912602355E-4</v>
      </c>
      <c r="AV365" s="18">
        <f t="shared" si="1282"/>
        <v>-2.9025460790114884E-4</v>
      </c>
      <c r="AW365" s="18">
        <f t="shared" si="1282"/>
        <v>-1.7933531620201577E-4</v>
      </c>
      <c r="AX365" s="18">
        <f t="shared" si="1282"/>
        <v>-2.8993028387032762E-4</v>
      </c>
      <c r="AY365" s="18">
        <f t="shared" si="1282"/>
        <v>-1.6128741655685531E-4</v>
      </c>
      <c r="AZ365" s="18">
        <f t="shared" si="1282"/>
        <v>-1.6128741655685531E-4</v>
      </c>
      <c r="BA365" s="18">
        <f t="shared" si="1282"/>
        <v>-1.6075821619981076E-4</v>
      </c>
      <c r="BB365" s="18">
        <f t="shared" si="1282"/>
        <v>-1.6075821619981076E-4</v>
      </c>
      <c r="BC365" s="18">
        <f t="shared" si="1282"/>
        <v>-1.6075821619981076E-4</v>
      </c>
      <c r="BD365" s="18">
        <f t="shared" si="1282"/>
        <v>-1.6075821619981076E-4</v>
      </c>
      <c r="BE365" s="18">
        <f t="shared" si="1282"/>
        <v>-1.6075821619981076E-4</v>
      </c>
      <c r="BF365" s="18">
        <f t="shared" si="1282"/>
        <v>-1.6075821619981076E-4</v>
      </c>
      <c r="BG365" s="18">
        <f t="shared" si="1282"/>
        <v>-3.2498522241586282E-4</v>
      </c>
    </row>
    <row r="366" spans="2:59" x14ac:dyDescent="0.25">
      <c r="C366" t="s">
        <v>144</v>
      </c>
      <c r="D366" s="7" t="s">
        <v>454</v>
      </c>
      <c r="E366" s="18">
        <f t="shared" ref="E366:AJ366" si="1283">0.000165 * SIN( E351  * Deg2Rad )</f>
        <v>-1.4750020282205782E-4</v>
      </c>
      <c r="F366" s="18">
        <f t="shared" si="1283"/>
        <v>-1.6426270057398845E-4</v>
      </c>
      <c r="G366" s="18">
        <f t="shared" si="1283"/>
        <v>-1.5682815220447198E-4</v>
      </c>
      <c r="H366" s="18">
        <f t="shared" si="1283"/>
        <v>-1.5665193808703356E-4</v>
      </c>
      <c r="I366" s="18">
        <f t="shared" si="1283"/>
        <v>-1.5432879435012047E-4</v>
      </c>
      <c r="J366" s="18">
        <f t="shared" si="1283"/>
        <v>-1.5441177968489293E-4</v>
      </c>
      <c r="K366" s="18">
        <f t="shared" si="1283"/>
        <v>-1.545274328831917E-4</v>
      </c>
      <c r="L366" s="18">
        <f t="shared" si="1283"/>
        <v>-1.546096661752253E-4</v>
      </c>
      <c r="M366" s="18">
        <f t="shared" si="1283"/>
        <v>-1.2949374771380675E-4</v>
      </c>
      <c r="N366" s="18">
        <f t="shared" si="1283"/>
        <v>2.5378534945973857E-5</v>
      </c>
      <c r="O366" s="18">
        <f t="shared" si="1283"/>
        <v>2.4774618675091494E-5</v>
      </c>
      <c r="P366" s="18">
        <f t="shared" si="1283"/>
        <v>4.8736639436003769E-5</v>
      </c>
      <c r="Q366" s="18">
        <f t="shared" si="1283"/>
        <v>-1.0209815796752158E-5</v>
      </c>
      <c r="R366" s="18">
        <f t="shared" si="1283"/>
        <v>-1.0162904343569436E-5</v>
      </c>
      <c r="S366" s="18">
        <f t="shared" si="1283"/>
        <v>1.839083342453576E-5</v>
      </c>
      <c r="T366" s="18">
        <f t="shared" si="1283"/>
        <v>1.8250702005095232E-5</v>
      </c>
      <c r="U366" s="18">
        <f t="shared" si="1283"/>
        <v>1.787695333798699E-5</v>
      </c>
      <c r="V366" s="18">
        <f t="shared" si="1283"/>
        <v>-6.4545425812150269E-5</v>
      </c>
      <c r="W366" s="18">
        <f t="shared" si="1283"/>
        <v>-1.5437862312962791E-4</v>
      </c>
      <c r="X366" s="18">
        <f t="shared" si="1283"/>
        <v>-1.5538312395647726E-4</v>
      </c>
      <c r="Y366" s="18">
        <f t="shared" si="1283"/>
        <v>-1.5218920448588767E-4</v>
      </c>
      <c r="Z366" s="18">
        <f t="shared" si="1283"/>
        <v>-1.6286404808861109E-4</v>
      </c>
      <c r="AA366" s="18">
        <f t="shared" si="1283"/>
        <v>-1.5682815220447198E-4</v>
      </c>
      <c r="AB366" s="18">
        <f t="shared" si="1283"/>
        <v>-1.4662648941184394E-4</v>
      </c>
      <c r="AC366" s="18">
        <f t="shared" si="1283"/>
        <v>-1.5258569251957649E-4</v>
      </c>
      <c r="AD366" s="18">
        <f t="shared" si="1283"/>
        <v>-1.5457681048531224E-4</v>
      </c>
      <c r="AE366" s="18">
        <f t="shared" si="1283"/>
        <v>-1.5218920448588767E-4</v>
      </c>
      <c r="AF366" s="18">
        <f t="shared" si="1283"/>
        <v>-1.5550921322595565E-4</v>
      </c>
      <c r="AG366" s="18">
        <f t="shared" si="1283"/>
        <v>-1.5547776659346419E-4</v>
      </c>
      <c r="AH366" s="18">
        <f t="shared" si="1283"/>
        <v>-1.5516052647355765E-4</v>
      </c>
      <c r="AI366" s="18">
        <f t="shared" si="1283"/>
        <v>-1.5536730604757043E-4</v>
      </c>
      <c r="AJ366" s="18">
        <f t="shared" si="1283"/>
        <v>-1.5558760896285361E-4</v>
      </c>
      <c r="AK366" s="18">
        <f t="shared" ref="AK366:BG366" si="1284">0.000165 * SIN( AK351  * Deg2Rad )</f>
        <v>-9.5002276352870027E-5</v>
      </c>
      <c r="AL366" s="18">
        <f t="shared" si="1284"/>
        <v>-1.5506437193892029E-4</v>
      </c>
      <c r="AM366" s="18">
        <f t="shared" si="1284"/>
        <v>-7.2767413422928869E-5</v>
      </c>
      <c r="AN366" s="18">
        <f t="shared" si="1284"/>
        <v>-1.5687191949200987E-4</v>
      </c>
      <c r="AO366" s="18">
        <f t="shared" si="1284"/>
        <v>-7.8406641703912441E-5</v>
      </c>
      <c r="AP366" s="18">
        <f t="shared" si="1284"/>
        <v>-1.6042653244956667E-4</v>
      </c>
      <c r="AQ366" s="18">
        <f t="shared" si="1284"/>
        <v>-1.6042653244956667E-4</v>
      </c>
      <c r="AR366" s="18">
        <f t="shared" si="1284"/>
        <v>-1.6043751532632408E-4</v>
      </c>
      <c r="AS366" s="18">
        <f t="shared" si="1284"/>
        <v>-1.6043751532632408E-4</v>
      </c>
      <c r="AT366" s="18">
        <f t="shared" si="1284"/>
        <v>-1.6043751532632408E-4</v>
      </c>
      <c r="AU366" s="18">
        <f t="shared" si="1284"/>
        <v>-1.513408888438648E-4</v>
      </c>
      <c r="AV366" s="18">
        <f t="shared" si="1284"/>
        <v>-1.5639916862492494E-4</v>
      </c>
      <c r="AW366" s="18">
        <f t="shared" si="1284"/>
        <v>-1.4109056330417831E-4</v>
      </c>
      <c r="AX366" s="18">
        <f t="shared" si="1284"/>
        <v>-1.473735961904211E-4</v>
      </c>
      <c r="AY366" s="18">
        <f t="shared" si="1284"/>
        <v>-1.6044848518478405E-4</v>
      </c>
      <c r="AZ366" s="18">
        <f t="shared" si="1284"/>
        <v>-1.6044848518478405E-4</v>
      </c>
      <c r="BA366" s="18">
        <f t="shared" si="1284"/>
        <v>-1.6045944202405647E-4</v>
      </c>
      <c r="BB366" s="18">
        <f t="shared" si="1284"/>
        <v>-1.6045944202405647E-4</v>
      </c>
      <c r="BC366" s="18">
        <f t="shared" si="1284"/>
        <v>-1.6045944202405647E-4</v>
      </c>
      <c r="BD366" s="18">
        <f t="shared" si="1284"/>
        <v>-1.6045944202405647E-4</v>
      </c>
      <c r="BE366" s="18">
        <f t="shared" si="1284"/>
        <v>-1.6045944202405647E-4</v>
      </c>
      <c r="BF366" s="18">
        <f t="shared" si="1284"/>
        <v>-1.6045944202405647E-4</v>
      </c>
      <c r="BG366" s="18">
        <f t="shared" si="1284"/>
        <v>-1.5218920448588767E-4</v>
      </c>
    </row>
    <row r="367" spans="2:59" x14ac:dyDescent="0.25">
      <c r="C367" t="s">
        <v>145</v>
      </c>
      <c r="D367" s="7" t="s">
        <v>455</v>
      </c>
      <c r="E367" s="18">
        <f t="shared" ref="E367:AJ367" si="1285">0.000164 * SIN( E352  * Deg2Rad )</f>
        <v>1.0439283661438507E-4</v>
      </c>
      <c r="F367" s="18">
        <f t="shared" si="1285"/>
        <v>9.9058536514573012E-6</v>
      </c>
      <c r="G367" s="18">
        <f t="shared" si="1285"/>
        <v>-1.6391736639811107E-4</v>
      </c>
      <c r="H367" s="18">
        <f t="shared" si="1285"/>
        <v>-1.2188287117248479E-4</v>
      </c>
      <c r="I367" s="18">
        <f t="shared" si="1285"/>
        <v>-8.8075719603896639E-5</v>
      </c>
      <c r="J367" s="18">
        <f t="shared" si="1285"/>
        <v>1.6110765454695723E-4</v>
      </c>
      <c r="K367" s="18">
        <f t="shared" si="1285"/>
        <v>-1.5654686757871604E-4</v>
      </c>
      <c r="L367" s="18">
        <f t="shared" si="1285"/>
        <v>1.4287796408830411E-4</v>
      </c>
      <c r="M367" s="18">
        <f t="shared" si="1285"/>
        <v>1.4668731848511095E-4</v>
      </c>
      <c r="N367" s="18">
        <f t="shared" si="1285"/>
        <v>-1.4119231827127719E-5</v>
      </c>
      <c r="O367" s="18">
        <f t="shared" si="1285"/>
        <v>2.4485898439300167E-5</v>
      </c>
      <c r="P367" s="18">
        <f t="shared" si="1285"/>
        <v>8.4579932877405713E-5</v>
      </c>
      <c r="Q367" s="18">
        <f t="shared" si="1285"/>
        <v>-1.6376450576810746E-4</v>
      </c>
      <c r="R367" s="18">
        <f t="shared" si="1285"/>
        <v>-1.5030520463010547E-4</v>
      </c>
      <c r="S367" s="18">
        <f t="shared" si="1285"/>
        <v>1.5724659951345867E-4</v>
      </c>
      <c r="T367" s="18">
        <f t="shared" si="1285"/>
        <v>-1.8438645243431797E-5</v>
      </c>
      <c r="U367" s="18">
        <f t="shared" si="1285"/>
        <v>1.0469304108559956E-4</v>
      </c>
      <c r="V367" s="18">
        <f t="shared" si="1285"/>
        <v>-1.6387924434459249E-4</v>
      </c>
      <c r="W367" s="18">
        <f t="shared" si="1285"/>
        <v>1.2086089528553568E-4</v>
      </c>
      <c r="X367" s="18">
        <f t="shared" si="1285"/>
        <v>-1.6145337108693916E-4</v>
      </c>
      <c r="Y367" s="18">
        <f t="shared" si="1285"/>
        <v>-1.5475004835414929E-4</v>
      </c>
      <c r="Z367" s="18">
        <f t="shared" si="1285"/>
        <v>2.973153418095246E-5</v>
      </c>
      <c r="AA367" s="18">
        <f t="shared" si="1285"/>
        <v>-1.6391736639811107E-4</v>
      </c>
      <c r="AB367" s="18">
        <f t="shared" si="1285"/>
        <v>7.3962046840632265E-5</v>
      </c>
      <c r="AC367" s="18">
        <f t="shared" si="1285"/>
        <v>6.7549215172066539E-5</v>
      </c>
      <c r="AD367" s="18">
        <f t="shared" si="1285"/>
        <v>2.0825662046540963E-5</v>
      </c>
      <c r="AE367" s="18">
        <f t="shared" si="1285"/>
        <v>-1.5475004835414929E-4</v>
      </c>
      <c r="AF367" s="18">
        <f t="shared" si="1285"/>
        <v>1.5084529811602596E-4</v>
      </c>
      <c r="AG367" s="18">
        <f t="shared" si="1285"/>
        <v>1.4174259441898174E-4</v>
      </c>
      <c r="AH367" s="18">
        <f t="shared" si="1285"/>
        <v>-1.5069682769234749E-4</v>
      </c>
      <c r="AI367" s="18">
        <f t="shared" si="1285"/>
        <v>-1.3138482869592586E-4</v>
      </c>
      <c r="AJ367" s="18">
        <f t="shared" si="1285"/>
        <v>-1.5024250556366464E-4</v>
      </c>
      <c r="AK367" s="18">
        <f t="shared" ref="AK367:BG367" si="1286">0.000164 * SIN( AK352  * Deg2Rad )</f>
        <v>1.0192100643816691E-4</v>
      </c>
      <c r="AL367" s="18">
        <f t="shared" si="1286"/>
        <v>1.6375253030536782E-4</v>
      </c>
      <c r="AM367" s="18">
        <f t="shared" si="1286"/>
        <v>4.6202027714532311E-5</v>
      </c>
      <c r="AN367" s="18">
        <f t="shared" si="1286"/>
        <v>-2.346318086364198E-5</v>
      </c>
      <c r="AO367" s="18">
        <f t="shared" si="1286"/>
        <v>1.2454014323663457E-4</v>
      </c>
      <c r="AP367" s="18">
        <f t="shared" si="1286"/>
        <v>-5.8769352158799943E-5</v>
      </c>
      <c r="AQ367" s="18">
        <f t="shared" si="1286"/>
        <v>-5.8769352158799943E-5</v>
      </c>
      <c r="AR367" s="18">
        <f t="shared" si="1286"/>
        <v>-1.2120461185340738E-4</v>
      </c>
      <c r="AS367" s="18">
        <f t="shared" si="1286"/>
        <v>-1.2120461185340738E-4</v>
      </c>
      <c r="AT367" s="18">
        <f t="shared" si="1286"/>
        <v>-1.2120461185340738E-4</v>
      </c>
      <c r="AU367" s="18">
        <f t="shared" si="1286"/>
        <v>9.7899366274973614E-5</v>
      </c>
      <c r="AV367" s="18">
        <f t="shared" si="1286"/>
        <v>-1.0301761581781552E-4</v>
      </c>
      <c r="AW367" s="18">
        <f t="shared" si="1286"/>
        <v>1.6301040391669507E-4</v>
      </c>
      <c r="AX367" s="18">
        <f t="shared" si="1286"/>
        <v>-1.4148569864066076E-4</v>
      </c>
      <c r="AY367" s="18">
        <f t="shared" si="1286"/>
        <v>-1.5788350073988531E-4</v>
      </c>
      <c r="AZ367" s="18">
        <f t="shared" si="1286"/>
        <v>-1.5788350073988531E-4</v>
      </c>
      <c r="BA367" s="18">
        <f t="shared" si="1286"/>
        <v>-1.6101163666937452E-4</v>
      </c>
      <c r="BB367" s="18">
        <f t="shared" si="1286"/>
        <v>-1.6101163666937452E-4</v>
      </c>
      <c r="BC367" s="18">
        <f t="shared" si="1286"/>
        <v>-1.6101163666937452E-4</v>
      </c>
      <c r="BD367" s="18">
        <f t="shared" si="1286"/>
        <v>-1.6101163666937452E-4</v>
      </c>
      <c r="BE367" s="18">
        <f t="shared" si="1286"/>
        <v>-1.6101163666937452E-4</v>
      </c>
      <c r="BF367" s="18">
        <f t="shared" si="1286"/>
        <v>-1.6101163666937452E-4</v>
      </c>
      <c r="BG367" s="18">
        <f t="shared" si="1286"/>
        <v>-1.5475004835414929E-4</v>
      </c>
    </row>
    <row r="368" spans="2:59" x14ac:dyDescent="0.25">
      <c r="C368" t="s">
        <v>146</v>
      </c>
      <c r="D368" s="7" t="s">
        <v>456</v>
      </c>
      <c r="E368" s="18">
        <f t="shared" ref="E368:AJ368" si="1287">0.000126 * SIN( E353  * Deg2Rad )</f>
        <v>1.259934513551735E-4</v>
      </c>
      <c r="F368" s="18">
        <f t="shared" si="1287"/>
        <v>-1.1218392857682944E-4</v>
      </c>
      <c r="G368" s="18">
        <f t="shared" si="1287"/>
        <v>3.6269260364474624E-5</v>
      </c>
      <c r="H368" s="18">
        <f t="shared" si="1287"/>
        <v>-1.0936071083614489E-4</v>
      </c>
      <c r="I368" s="18">
        <f t="shared" si="1287"/>
        <v>-9.5477761575039625E-5</v>
      </c>
      <c r="J368" s="18">
        <f t="shared" si="1287"/>
        <v>9.2457032274955928E-5</v>
      </c>
      <c r="K368" s="18">
        <f t="shared" si="1287"/>
        <v>5.8536244066550543E-5</v>
      </c>
      <c r="L368" s="18">
        <f t="shared" si="1287"/>
        <v>-6.2513741472596025E-5</v>
      </c>
      <c r="M368" s="18">
        <f t="shared" si="1287"/>
        <v>-5.4256163335359652E-5</v>
      </c>
      <c r="N368" s="18">
        <f t="shared" si="1287"/>
        <v>-1.1344082799620307E-4</v>
      </c>
      <c r="O368" s="18">
        <f t="shared" si="1287"/>
        <v>-5.3578325721181592E-6</v>
      </c>
      <c r="P368" s="18">
        <f t="shared" si="1287"/>
        <v>2.4293933330531943E-5</v>
      </c>
      <c r="Q368" s="18">
        <f t="shared" si="1287"/>
        <v>1.9180047566328395E-5</v>
      </c>
      <c r="R368" s="18">
        <f t="shared" si="1287"/>
        <v>8.9356668397788319E-5</v>
      </c>
      <c r="S368" s="18">
        <f t="shared" si="1287"/>
        <v>-9.6815035798613979E-5</v>
      </c>
      <c r="T368" s="18">
        <f t="shared" si="1287"/>
        <v>1.0803636209905749E-4</v>
      </c>
      <c r="U368" s="18">
        <f t="shared" si="1287"/>
        <v>-2.1166316347377585E-5</v>
      </c>
      <c r="V368" s="18">
        <f t="shared" si="1287"/>
        <v>1.2478697277728333E-4</v>
      </c>
      <c r="W368" s="18">
        <f t="shared" si="1287"/>
        <v>1.0908654311930775E-4</v>
      </c>
      <c r="X368" s="18">
        <f t="shared" si="1287"/>
        <v>4.8128807378312614E-5</v>
      </c>
      <c r="Y368" s="18">
        <f t="shared" si="1287"/>
        <v>5.9157136210383951E-5</v>
      </c>
      <c r="Z368" s="18">
        <f t="shared" si="1287"/>
        <v>5.3483757111133772E-5</v>
      </c>
      <c r="AA368" s="18">
        <f t="shared" si="1287"/>
        <v>3.6269260364474624E-5</v>
      </c>
      <c r="AB368" s="18">
        <f t="shared" si="1287"/>
        <v>7.4955174239910548E-5</v>
      </c>
      <c r="AC368" s="18">
        <f t="shared" si="1287"/>
        <v>-1.0072407734045851E-4</v>
      </c>
      <c r="AD368" s="18">
        <f t="shared" si="1287"/>
        <v>8.606029812272567E-5</v>
      </c>
      <c r="AE368" s="18">
        <f t="shared" si="1287"/>
        <v>5.9157136210383951E-5</v>
      </c>
      <c r="AF368" s="18">
        <f t="shared" si="1287"/>
        <v>1.2597434528848324E-4</v>
      </c>
      <c r="AG368" s="18">
        <f t="shared" si="1287"/>
        <v>3.4770081626799837E-5</v>
      </c>
      <c r="AH368" s="18">
        <f t="shared" si="1287"/>
        <v>1.7033176705147962E-5</v>
      </c>
      <c r="AI368" s="18">
        <f t="shared" si="1287"/>
        <v>1.0785388853859437E-4</v>
      </c>
      <c r="AJ368" s="18">
        <f t="shared" si="1287"/>
        <v>-1.2598424209770234E-4</v>
      </c>
      <c r="AK368" s="18">
        <f t="shared" ref="AK368:BG368" si="1288">0.000126 * SIN( AK353  * Deg2Rad )</f>
        <v>9.3280227902607256E-5</v>
      </c>
      <c r="AL368" s="18">
        <f t="shared" si="1288"/>
        <v>6.4339018211705278E-5</v>
      </c>
      <c r="AM368" s="18">
        <f t="shared" si="1288"/>
        <v>-1.1192370985936474E-4</v>
      </c>
      <c r="AN368" s="18">
        <f t="shared" si="1288"/>
        <v>1.0197904842428718E-4</v>
      </c>
      <c r="AO368" s="18">
        <f t="shared" si="1288"/>
        <v>1.1454242266903218E-4</v>
      </c>
      <c r="AP368" s="18">
        <f t="shared" si="1288"/>
        <v>2.4827911202419387E-5</v>
      </c>
      <c r="AQ368" s="18">
        <f t="shared" si="1288"/>
        <v>2.4827911202419387E-5</v>
      </c>
      <c r="AR368" s="18">
        <f t="shared" si="1288"/>
        <v>-5.3345857687361046E-5</v>
      </c>
      <c r="AS368" s="18">
        <f t="shared" si="1288"/>
        <v>-5.3345857687361046E-5</v>
      </c>
      <c r="AT368" s="18">
        <f t="shared" si="1288"/>
        <v>-5.3345857687361046E-5</v>
      </c>
      <c r="AU368" s="18">
        <f t="shared" si="1288"/>
        <v>-1.2505434607216573E-4</v>
      </c>
      <c r="AV368" s="18">
        <f t="shared" si="1288"/>
        <v>8.2276873661295648E-5</v>
      </c>
      <c r="AW368" s="18">
        <f t="shared" si="1288"/>
        <v>-1.244819380643312E-4</v>
      </c>
      <c r="AX368" s="18">
        <f t="shared" si="1288"/>
        <v>-9.7838650984889157E-5</v>
      </c>
      <c r="AY368" s="18">
        <f t="shared" si="1288"/>
        <v>-1.1068962068334691E-4</v>
      </c>
      <c r="AZ368" s="18">
        <f t="shared" si="1288"/>
        <v>-1.1068962068334691E-4</v>
      </c>
      <c r="BA368" s="18">
        <f t="shared" si="1288"/>
        <v>-1.2481230614547423E-4</v>
      </c>
      <c r="BB368" s="18">
        <f t="shared" si="1288"/>
        <v>-1.2481230614547423E-4</v>
      </c>
      <c r="BC368" s="18">
        <f t="shared" si="1288"/>
        <v>-1.2481230614547423E-4</v>
      </c>
      <c r="BD368" s="18">
        <f t="shared" si="1288"/>
        <v>-1.2481230614547423E-4</v>
      </c>
      <c r="BE368" s="18">
        <f t="shared" si="1288"/>
        <v>-1.2481230614547423E-4</v>
      </c>
      <c r="BF368" s="18">
        <f t="shared" si="1288"/>
        <v>-1.2481230614547423E-4</v>
      </c>
      <c r="BG368" s="18">
        <f t="shared" si="1288"/>
        <v>5.9157136210383951E-5</v>
      </c>
    </row>
    <row r="369" spans="2:59" x14ac:dyDescent="0.25">
      <c r="C369" t="s">
        <v>147</v>
      </c>
      <c r="D369" s="7" t="s">
        <v>457</v>
      </c>
      <c r="E369" s="18">
        <f t="shared" ref="E369:AJ369" si="1289">0.00011 * SIN( E354  * Deg2Rad )</f>
        <v>-7.8244745057954953E-5</v>
      </c>
      <c r="F369" s="18">
        <f t="shared" si="1289"/>
        <v>-9.3781845581613073E-5</v>
      </c>
      <c r="G369" s="18">
        <f t="shared" si="1289"/>
        <v>1.0884376495908151E-4</v>
      </c>
      <c r="H369" s="18">
        <f t="shared" si="1289"/>
        <v>-9.5108652139362475E-5</v>
      </c>
      <c r="I369" s="18">
        <f t="shared" si="1289"/>
        <v>9.9949083756389846E-5</v>
      </c>
      <c r="J369" s="18">
        <f t="shared" si="1289"/>
        <v>4.4130501723421157E-5</v>
      </c>
      <c r="K369" s="18">
        <f t="shared" si="1289"/>
        <v>-1.0682875041730642E-4</v>
      </c>
      <c r="L369" s="18">
        <f t="shared" si="1289"/>
        <v>2.8140799153450763E-5</v>
      </c>
      <c r="M369" s="18">
        <f t="shared" si="1289"/>
        <v>-1.0726516822103194E-4</v>
      </c>
      <c r="N369" s="18">
        <f t="shared" si="1289"/>
        <v>5.8373067066146539E-5</v>
      </c>
      <c r="O369" s="18">
        <f t="shared" si="1289"/>
        <v>-1.099730404500584E-4</v>
      </c>
      <c r="P369" s="18">
        <f t="shared" si="1289"/>
        <v>-1.075013004223003E-5</v>
      </c>
      <c r="Q369" s="18">
        <f t="shared" si="1289"/>
        <v>-8.492451961468306E-6</v>
      </c>
      <c r="R369" s="18">
        <f t="shared" si="1289"/>
        <v>-4.2332944219732445E-5</v>
      </c>
      <c r="S369" s="18">
        <f t="shared" si="1289"/>
        <v>4.6581979117940032E-5</v>
      </c>
      <c r="T369" s="18">
        <f t="shared" si="1289"/>
        <v>-5.427466627031888E-5</v>
      </c>
      <c r="U369" s="18">
        <f t="shared" si="1289"/>
        <v>-9.1766102188628783E-6</v>
      </c>
      <c r="V369" s="18">
        <f t="shared" si="1289"/>
        <v>-8.3053794187428175E-5</v>
      </c>
      <c r="W369" s="18">
        <f t="shared" si="1289"/>
        <v>9.5324978926883048E-5</v>
      </c>
      <c r="X369" s="18">
        <f t="shared" si="1289"/>
        <v>2.1512704570752259E-5</v>
      </c>
      <c r="Y369" s="18">
        <f t="shared" si="1289"/>
        <v>-2.6706323811271987E-5</v>
      </c>
      <c r="Z369" s="18">
        <f t="shared" si="1289"/>
        <v>-1.0738894637251019E-4</v>
      </c>
      <c r="AA369" s="18">
        <f t="shared" si="1289"/>
        <v>1.0884376495908151E-4</v>
      </c>
      <c r="AB369" s="18">
        <f t="shared" si="1289"/>
        <v>-1.0449565301004474E-4</v>
      </c>
      <c r="AC369" s="18">
        <f t="shared" si="1289"/>
        <v>4.9058219805142536E-5</v>
      </c>
      <c r="AD369" s="18">
        <f t="shared" si="1289"/>
        <v>-4.0475806461285767E-5</v>
      </c>
      <c r="AE369" s="18">
        <f t="shared" si="1289"/>
        <v>-2.6706323811271987E-5</v>
      </c>
      <c r="AF369" s="18">
        <f t="shared" si="1289"/>
        <v>-7.8629749293678369E-5</v>
      </c>
      <c r="AG369" s="18">
        <f t="shared" si="1289"/>
        <v>-1.0894030606245228E-4</v>
      </c>
      <c r="AH369" s="18">
        <f t="shared" si="1289"/>
        <v>-1.0975373548047712E-4</v>
      </c>
      <c r="AI369" s="18">
        <f t="shared" si="1289"/>
        <v>5.4140296548764589E-5</v>
      </c>
      <c r="AJ369" s="18">
        <f t="shared" si="1289"/>
        <v>7.8327018585030647E-5</v>
      </c>
      <c r="AK369" s="18">
        <f t="shared" ref="AK369:BG369" si="1290">0.00011 * SIN( AK354  * Deg2Rad )</f>
        <v>4.4617014404631293E-5</v>
      </c>
      <c r="AL369" s="18">
        <f t="shared" si="1290"/>
        <v>2.9216366136216278E-5</v>
      </c>
      <c r="AM369" s="18">
        <f t="shared" si="1290"/>
        <v>-9.391142329804095E-5</v>
      </c>
      <c r="AN369" s="18">
        <f t="shared" si="1290"/>
        <v>5.0052854226913944E-5</v>
      </c>
      <c r="AO369" s="18">
        <f t="shared" si="1290"/>
        <v>-5.9488390510828674E-5</v>
      </c>
      <c r="AP369" s="18">
        <f t="shared" si="1290"/>
        <v>1.0986611575340596E-5</v>
      </c>
      <c r="AQ369" s="18">
        <f t="shared" si="1290"/>
        <v>1.0986611575340596E-5</v>
      </c>
      <c r="AR369" s="18">
        <f t="shared" si="1290"/>
        <v>-2.3759766693674525E-5</v>
      </c>
      <c r="AS369" s="18">
        <f t="shared" si="1290"/>
        <v>-2.3759766693674525E-5</v>
      </c>
      <c r="AT369" s="18">
        <f t="shared" si="1290"/>
        <v>-2.3759766693674525E-5</v>
      </c>
      <c r="AU369" s="18">
        <f t="shared" si="1290"/>
        <v>-8.2336831309347416E-5</v>
      </c>
      <c r="AV369" s="18">
        <f t="shared" si="1290"/>
        <v>-1.0314528626115145E-4</v>
      </c>
      <c r="AW369" s="18">
        <f t="shared" si="1290"/>
        <v>-7.1437129422698484E-5</v>
      </c>
      <c r="AX369" s="18">
        <f t="shared" si="1290"/>
        <v>-4.7218392270086979E-5</v>
      </c>
      <c r="AY369" s="18">
        <f t="shared" si="1290"/>
        <v>-5.6127223764554188E-5</v>
      </c>
      <c r="AZ369" s="18">
        <f t="shared" si="1290"/>
        <v>-5.6127223764554188E-5</v>
      </c>
      <c r="BA369" s="18">
        <f t="shared" si="1290"/>
        <v>-8.28750026573012E-5</v>
      </c>
      <c r="BB369" s="18">
        <f t="shared" si="1290"/>
        <v>-8.28750026573012E-5</v>
      </c>
      <c r="BC369" s="18">
        <f t="shared" si="1290"/>
        <v>-8.28750026573012E-5</v>
      </c>
      <c r="BD369" s="18">
        <f t="shared" si="1290"/>
        <v>-8.28750026573012E-5</v>
      </c>
      <c r="BE369" s="18">
        <f t="shared" si="1290"/>
        <v>-8.28750026573012E-5</v>
      </c>
      <c r="BF369" s="18">
        <f t="shared" si="1290"/>
        <v>-8.28750026573012E-5</v>
      </c>
      <c r="BG369" s="18">
        <f t="shared" si="1290"/>
        <v>-2.6706323811271987E-5</v>
      </c>
    </row>
    <row r="370" spans="2:59" x14ac:dyDescent="0.25">
      <c r="C370" t="s">
        <v>148</v>
      </c>
      <c r="D370" s="7" t="s">
        <v>458</v>
      </c>
      <c r="E370" s="18">
        <f t="shared" ref="E370:AJ370" si="1291">0.000062 * SIN( E355  * Deg2Rad )</f>
        <v>6.0447097498476055E-5</v>
      </c>
      <c r="F370" s="18">
        <f t="shared" si="1291"/>
        <v>-9.5119703126847326E-6</v>
      </c>
      <c r="G370" s="18">
        <f t="shared" si="1291"/>
        <v>-1.8585905758015294E-6</v>
      </c>
      <c r="H370" s="18">
        <f t="shared" si="1291"/>
        <v>-6.1407500971040154E-5</v>
      </c>
      <c r="I370" s="18">
        <f t="shared" si="1291"/>
        <v>-5.7022788525778456E-5</v>
      </c>
      <c r="J370" s="18">
        <f t="shared" si="1291"/>
        <v>-2.083196366825948E-5</v>
      </c>
      <c r="K370" s="18">
        <f t="shared" si="1291"/>
        <v>-3.3549263061873283E-5</v>
      </c>
      <c r="L370" s="18">
        <f t="shared" si="1291"/>
        <v>5.4079636860533549E-5</v>
      </c>
      <c r="M370" s="18">
        <f t="shared" si="1291"/>
        <v>5.0816518349405366E-5</v>
      </c>
      <c r="N370" s="18">
        <f t="shared" si="1291"/>
        <v>8.5887513774152138E-6</v>
      </c>
      <c r="O370" s="18">
        <f t="shared" si="1291"/>
        <v>-2.0275531104107316E-5</v>
      </c>
      <c r="P370" s="18">
        <f t="shared" si="1291"/>
        <v>5.3794507175293198E-5</v>
      </c>
      <c r="Q370" s="18">
        <f t="shared" si="1291"/>
        <v>-4.5924961003858204E-6</v>
      </c>
      <c r="R370" s="18">
        <f t="shared" si="1291"/>
        <v>4.6831612316414226E-5</v>
      </c>
      <c r="S370" s="18">
        <f t="shared" si="1291"/>
        <v>3.5457512094541003E-5</v>
      </c>
      <c r="T370" s="18">
        <f t="shared" si="1291"/>
        <v>-1.5831164822860934E-5</v>
      </c>
      <c r="U370" s="18">
        <f t="shared" si="1291"/>
        <v>-6.1274124379856752E-5</v>
      </c>
      <c r="V370" s="18">
        <f t="shared" si="1291"/>
        <v>-2.7700446632366535E-6</v>
      </c>
      <c r="W370" s="18">
        <f t="shared" si="1291"/>
        <v>6.1913564818472038E-5</v>
      </c>
      <c r="X370" s="18">
        <f t="shared" si="1291"/>
        <v>2.3366420360129578E-5</v>
      </c>
      <c r="Y370" s="18">
        <f t="shared" si="1291"/>
        <v>-3.7096676020303984E-5</v>
      </c>
      <c r="Z370" s="18">
        <f t="shared" si="1291"/>
        <v>2.015376312432392E-5</v>
      </c>
      <c r="AA370" s="18">
        <f t="shared" si="1291"/>
        <v>-1.8585905758015294E-6</v>
      </c>
      <c r="AB370" s="18">
        <f t="shared" si="1291"/>
        <v>4.8652617296568124E-5</v>
      </c>
      <c r="AC370" s="18">
        <f t="shared" si="1291"/>
        <v>-4.7886397234610455E-5</v>
      </c>
      <c r="AD370" s="18">
        <f t="shared" si="1291"/>
        <v>1.3599884759940709E-5</v>
      </c>
      <c r="AE370" s="18">
        <f t="shared" si="1291"/>
        <v>-3.7096676020303984E-5</v>
      </c>
      <c r="AF370" s="18">
        <f t="shared" si="1291"/>
        <v>-4.3293809817898971E-5</v>
      </c>
      <c r="AG370" s="18">
        <f t="shared" si="1291"/>
        <v>5.4903351031003506E-5</v>
      </c>
      <c r="AH370" s="18">
        <f t="shared" si="1291"/>
        <v>4.6358603634980019E-5</v>
      </c>
      <c r="AI370" s="18">
        <f t="shared" si="1291"/>
        <v>6.0010003610475739E-5</v>
      </c>
      <c r="AJ370" s="18">
        <f t="shared" si="1291"/>
        <v>4.6927607707195601E-5</v>
      </c>
      <c r="AK370" s="18">
        <f t="shared" ref="AK370:BG370" si="1292">0.000062 * SIN( AK355  * Deg2Rad )</f>
        <v>5.9867556792159268E-5</v>
      </c>
      <c r="AL370" s="18">
        <f t="shared" si="1292"/>
        <v>8.859955359547336E-6</v>
      </c>
      <c r="AM370" s="18">
        <f t="shared" si="1292"/>
        <v>-3.5231870305387973E-5</v>
      </c>
      <c r="AN370" s="18">
        <f t="shared" si="1292"/>
        <v>-1.9540316030644978E-5</v>
      </c>
      <c r="AO370" s="18">
        <f t="shared" si="1292"/>
        <v>-6.0918700835491456E-5</v>
      </c>
      <c r="AP370" s="18">
        <f t="shared" si="1292"/>
        <v>3.9917020981661826E-5</v>
      </c>
      <c r="AQ370" s="18">
        <f t="shared" si="1292"/>
        <v>3.9917020981661826E-5</v>
      </c>
      <c r="AR370" s="18">
        <f t="shared" si="1292"/>
        <v>6.1892069295139027E-5</v>
      </c>
      <c r="AS370" s="18">
        <f t="shared" si="1292"/>
        <v>6.1892069295139027E-5</v>
      </c>
      <c r="AT370" s="18">
        <f t="shared" si="1292"/>
        <v>6.1892069295139027E-5</v>
      </c>
      <c r="AU370" s="18">
        <f t="shared" si="1292"/>
        <v>-5.9949356185495708E-5</v>
      </c>
      <c r="AV370" s="18">
        <f t="shared" si="1292"/>
        <v>6.0134296927397868E-5</v>
      </c>
      <c r="AW370" s="18">
        <f t="shared" si="1292"/>
        <v>1.5538285101772014E-5</v>
      </c>
      <c r="AX370" s="18">
        <f t="shared" si="1292"/>
        <v>5.5080991062912544E-5</v>
      </c>
      <c r="AY370" s="18">
        <f t="shared" si="1292"/>
        <v>3.4052960792413604E-5</v>
      </c>
      <c r="AZ370" s="18">
        <f t="shared" si="1292"/>
        <v>3.4052960792413604E-5</v>
      </c>
      <c r="BA370" s="18">
        <f t="shared" si="1292"/>
        <v>-2.1193851932969156E-5</v>
      </c>
      <c r="BB370" s="18">
        <f t="shared" si="1292"/>
        <v>-2.1193851932969156E-5</v>
      </c>
      <c r="BC370" s="18">
        <f t="shared" si="1292"/>
        <v>-2.1193851932969156E-5</v>
      </c>
      <c r="BD370" s="18">
        <f t="shared" si="1292"/>
        <v>-2.1193851932969156E-5</v>
      </c>
      <c r="BE370" s="18">
        <f t="shared" si="1292"/>
        <v>-2.1193851932969156E-5</v>
      </c>
      <c r="BF370" s="18">
        <f t="shared" si="1292"/>
        <v>-2.1193851932969156E-5</v>
      </c>
      <c r="BG370" s="18">
        <f t="shared" si="1292"/>
        <v>-3.7096676020303984E-5</v>
      </c>
    </row>
    <row r="371" spans="2:59" x14ac:dyDescent="0.25">
      <c r="C371" t="s">
        <v>149</v>
      </c>
      <c r="D371" s="7" t="s">
        <v>459</v>
      </c>
      <c r="E371" s="18">
        <f t="shared" ref="E371:AJ371" si="1293">0.00006 * SIN( E356  * Deg2Rad )</f>
        <v>8.4874507573658611E-6</v>
      </c>
      <c r="F371" s="18">
        <f t="shared" si="1293"/>
        <v>2.3290883003299811E-5</v>
      </c>
      <c r="G371" s="18">
        <f t="shared" si="1293"/>
        <v>-2.9070531357224494E-5</v>
      </c>
      <c r="H371" s="18">
        <f t="shared" si="1293"/>
        <v>4.8640222679404578E-7</v>
      </c>
      <c r="I371" s="18">
        <f t="shared" si="1293"/>
        <v>3.7850111601558083E-6</v>
      </c>
      <c r="J371" s="18">
        <f t="shared" si="1293"/>
        <v>-9.0257922334677682E-6</v>
      </c>
      <c r="K371" s="18">
        <f t="shared" si="1293"/>
        <v>-2.6140226692397486E-5</v>
      </c>
      <c r="L371" s="18">
        <f t="shared" si="1293"/>
        <v>-3.7019369538043753E-5</v>
      </c>
      <c r="M371" s="18">
        <f t="shared" si="1293"/>
        <v>4.8364260204074568E-5</v>
      </c>
      <c r="N371" s="18">
        <f t="shared" si="1293"/>
        <v>-4.5713945595911408E-5</v>
      </c>
      <c r="O371" s="18">
        <f t="shared" si="1293"/>
        <v>-1.8275290249654749E-5</v>
      </c>
      <c r="P371" s="18">
        <f t="shared" si="1293"/>
        <v>-2.2340791952753481E-5</v>
      </c>
      <c r="Q371" s="18">
        <f t="shared" si="1293"/>
        <v>-5.6657055660175894E-5</v>
      </c>
      <c r="R371" s="18">
        <f t="shared" si="1293"/>
        <v>-5.5759650364494382E-5</v>
      </c>
      <c r="S371" s="18">
        <f t="shared" si="1293"/>
        <v>-5.8683806784209949E-5</v>
      </c>
      <c r="T371" s="18">
        <f t="shared" si="1293"/>
        <v>-5.6598795821876466E-5</v>
      </c>
      <c r="U371" s="18">
        <f t="shared" si="1293"/>
        <v>-4.6619384288385749E-5</v>
      </c>
      <c r="V371" s="18">
        <f t="shared" si="1293"/>
        <v>-5.9943388055077247E-5</v>
      </c>
      <c r="W371" s="18">
        <f t="shared" si="1293"/>
        <v>-3.9183098606644948E-6</v>
      </c>
      <c r="X371" s="18">
        <f t="shared" si="1293"/>
        <v>-2.4522997830773737E-5</v>
      </c>
      <c r="Y371" s="18">
        <f t="shared" si="1293"/>
        <v>-4.8891977343385106E-5</v>
      </c>
      <c r="Z371" s="18">
        <f t="shared" si="1293"/>
        <v>5.8265431253954116E-5</v>
      </c>
      <c r="AA371" s="18">
        <f t="shared" si="1293"/>
        <v>-2.9070531357224494E-5</v>
      </c>
      <c r="AB371" s="18">
        <f t="shared" si="1293"/>
        <v>-5.9944218543910224E-5</v>
      </c>
      <c r="AC371" s="18">
        <f t="shared" si="1293"/>
        <v>-5.6880702107422017E-5</v>
      </c>
      <c r="AD371" s="18">
        <f t="shared" si="1293"/>
        <v>-3.2844293313521725E-5</v>
      </c>
      <c r="AE371" s="18">
        <f t="shared" si="1293"/>
        <v>-4.8891977343385106E-5</v>
      </c>
      <c r="AF371" s="18">
        <f t="shared" si="1293"/>
        <v>-4.7016838329459673E-6</v>
      </c>
      <c r="AG371" s="18">
        <f t="shared" si="1293"/>
        <v>-9.8014679977689915E-6</v>
      </c>
      <c r="AH371" s="18">
        <f t="shared" si="1293"/>
        <v>-5.1145541294154253E-5</v>
      </c>
      <c r="AI371" s="18">
        <f t="shared" si="1293"/>
        <v>-2.6844918169097541E-5</v>
      </c>
      <c r="AJ371" s="18">
        <f t="shared" si="1293"/>
        <v>8.1162436145681477E-6</v>
      </c>
      <c r="AK371" s="18">
        <f t="shared" ref="AK371:BG371" si="1294">0.00006 * SIN( AK356  * Deg2Rad )</f>
        <v>5.9825532580231439E-5</v>
      </c>
      <c r="AL371" s="18">
        <f t="shared" si="1294"/>
        <v>-5.7438831149446171E-5</v>
      </c>
      <c r="AM371" s="18">
        <f t="shared" si="1294"/>
        <v>1.5783676286236482E-5</v>
      </c>
      <c r="AN371" s="18">
        <f t="shared" si="1294"/>
        <v>-3.555580178384731E-5</v>
      </c>
      <c r="AO371" s="18">
        <f t="shared" si="1294"/>
        <v>2.335740256331755E-5</v>
      </c>
      <c r="AP371" s="18">
        <f t="shared" si="1294"/>
        <v>1.592609826699813E-6</v>
      </c>
      <c r="AQ371" s="18">
        <f t="shared" si="1294"/>
        <v>1.592609826699813E-6</v>
      </c>
      <c r="AR371" s="18">
        <f t="shared" si="1294"/>
        <v>-9.7670210112095737E-7</v>
      </c>
      <c r="AS371" s="18">
        <f t="shared" si="1294"/>
        <v>-9.7670210112095737E-7</v>
      </c>
      <c r="AT371" s="18">
        <f t="shared" si="1294"/>
        <v>-9.7670210112095737E-7</v>
      </c>
      <c r="AU371" s="18">
        <f t="shared" si="1294"/>
        <v>5.1047306794310274E-5</v>
      </c>
      <c r="AV371" s="18">
        <f t="shared" si="1294"/>
        <v>4.0286110377261706E-5</v>
      </c>
      <c r="AW371" s="18">
        <f t="shared" si="1294"/>
        <v>3.5419243395936219E-5</v>
      </c>
      <c r="AX371" s="18">
        <f t="shared" si="1294"/>
        <v>-6.8860312841410659E-6</v>
      </c>
      <c r="AY371" s="18">
        <f t="shared" si="1294"/>
        <v>-3.5442229912171212E-6</v>
      </c>
      <c r="AZ371" s="18">
        <f t="shared" si="1294"/>
        <v>-3.5442229912171212E-6</v>
      </c>
      <c r="BA371" s="18">
        <f t="shared" si="1294"/>
        <v>-6.1052446252203556E-6</v>
      </c>
      <c r="BB371" s="18">
        <f t="shared" si="1294"/>
        <v>-6.1052446252203556E-6</v>
      </c>
      <c r="BC371" s="18">
        <f t="shared" si="1294"/>
        <v>-6.1052446252203556E-6</v>
      </c>
      <c r="BD371" s="18">
        <f t="shared" si="1294"/>
        <v>-6.1052446252203556E-6</v>
      </c>
      <c r="BE371" s="18">
        <f t="shared" si="1294"/>
        <v>-6.1052446252203556E-6</v>
      </c>
      <c r="BF371" s="18">
        <f t="shared" si="1294"/>
        <v>-6.1052446252203556E-6</v>
      </c>
      <c r="BG371" s="18">
        <f t="shared" si="1294"/>
        <v>-4.8891977343385106E-5</v>
      </c>
    </row>
    <row r="372" spans="2:59" x14ac:dyDescent="0.25">
      <c r="C372" t="s">
        <v>150</v>
      </c>
      <c r="D372" s="7" t="s">
        <v>460</v>
      </c>
      <c r="E372" s="18">
        <f t="shared" ref="E372:AJ372" si="1295">0.000056 * SIN( E357  * Deg2Rad )</f>
        <v>-4.5224834344255326E-5</v>
      </c>
      <c r="F372" s="18">
        <f t="shared" si="1295"/>
        <v>2.0465633501749354E-6</v>
      </c>
      <c r="G372" s="18">
        <f t="shared" si="1295"/>
        <v>1.8858796307251598E-5</v>
      </c>
      <c r="H372" s="18">
        <f t="shared" si="1295"/>
        <v>5.3448502159178579E-5</v>
      </c>
      <c r="I372" s="18">
        <f t="shared" si="1295"/>
        <v>5.3019455629113176E-5</v>
      </c>
      <c r="J372" s="18">
        <f t="shared" si="1295"/>
        <v>5.3332124797480134E-5</v>
      </c>
      <c r="K372" s="18">
        <f t="shared" si="1295"/>
        <v>2.0155385011306991E-5</v>
      </c>
      <c r="L372" s="18">
        <f t="shared" si="1295"/>
        <v>-1.4908043960058738E-5</v>
      </c>
      <c r="M372" s="18">
        <f t="shared" si="1295"/>
        <v>4.7627784678081785E-5</v>
      </c>
      <c r="N372" s="18">
        <f t="shared" si="1295"/>
        <v>1.2867304474018032E-5</v>
      </c>
      <c r="O372" s="18">
        <f t="shared" si="1295"/>
        <v>5.3176136023012021E-5</v>
      </c>
      <c r="P372" s="18">
        <f t="shared" si="1295"/>
        <v>-1.9489328730935074E-5</v>
      </c>
      <c r="Q372" s="18">
        <f t="shared" si="1295"/>
        <v>-5.5972994824973192E-5</v>
      </c>
      <c r="R372" s="18">
        <f t="shared" si="1295"/>
        <v>-5.5739612541459988E-5</v>
      </c>
      <c r="S372" s="18">
        <f t="shared" si="1295"/>
        <v>1.6259678404351749E-5</v>
      </c>
      <c r="T372" s="18">
        <f t="shared" si="1295"/>
        <v>3.5089489707541922E-5</v>
      </c>
      <c r="U372" s="18">
        <f t="shared" si="1295"/>
        <v>5.5551727512600981E-5</v>
      </c>
      <c r="V372" s="18">
        <f t="shared" si="1295"/>
        <v>1.2860407927065342E-5</v>
      </c>
      <c r="W372" s="18">
        <f t="shared" si="1295"/>
        <v>5.5915758293398392E-5</v>
      </c>
      <c r="X372" s="18">
        <f t="shared" si="1295"/>
        <v>-6.017302031977993E-6</v>
      </c>
      <c r="Y372" s="18">
        <f t="shared" si="1295"/>
        <v>-5.3401904498083093E-5</v>
      </c>
      <c r="Z372" s="18">
        <f t="shared" si="1295"/>
        <v>4.6353261732007488E-6</v>
      </c>
      <c r="AA372" s="18">
        <f t="shared" si="1295"/>
        <v>1.8858796307251598E-5</v>
      </c>
      <c r="AB372" s="18">
        <f t="shared" si="1295"/>
        <v>6.3956666222460392E-6</v>
      </c>
      <c r="AC372" s="18">
        <f t="shared" si="1295"/>
        <v>4.4858330618289083E-5</v>
      </c>
      <c r="AD372" s="18">
        <f t="shared" si="1295"/>
        <v>-8.0674914246583753E-7</v>
      </c>
      <c r="AE372" s="18">
        <f t="shared" si="1295"/>
        <v>-5.3401904498083093E-5</v>
      </c>
      <c r="AF372" s="18">
        <f t="shared" si="1295"/>
        <v>-5.0596550852941604E-5</v>
      </c>
      <c r="AG372" s="18">
        <f t="shared" si="1295"/>
        <v>-4.2904522558576462E-5</v>
      </c>
      <c r="AH372" s="18">
        <f t="shared" si="1295"/>
        <v>5.5680052373449506E-5</v>
      </c>
      <c r="AI372" s="18">
        <f t="shared" si="1295"/>
        <v>1.1125958316234365E-6</v>
      </c>
      <c r="AJ372" s="18">
        <f t="shared" si="1295"/>
        <v>-5.4941518213665028E-5</v>
      </c>
      <c r="AK372" s="18">
        <f t="shared" ref="AK372:BG372" si="1296">0.000056 * SIN( AK357  * Deg2Rad )</f>
        <v>-5.5943310670093522E-5</v>
      </c>
      <c r="AL372" s="18">
        <f t="shared" si="1296"/>
        <v>3.6019494541437554E-5</v>
      </c>
      <c r="AM372" s="18">
        <f t="shared" si="1296"/>
        <v>-4.4926480270941665E-5</v>
      </c>
      <c r="AN372" s="18">
        <f t="shared" si="1296"/>
        <v>-2.1894914025777645E-6</v>
      </c>
      <c r="AO372" s="18">
        <f t="shared" si="1296"/>
        <v>-3.9951275748142159E-5</v>
      </c>
      <c r="AP372" s="18">
        <f t="shared" si="1296"/>
        <v>4.5043760939268873E-5</v>
      </c>
      <c r="AQ372" s="18">
        <f t="shared" si="1296"/>
        <v>4.5043760939268873E-5</v>
      </c>
      <c r="AR372" s="18">
        <f t="shared" si="1296"/>
        <v>4.890967979009668E-5</v>
      </c>
      <c r="AS372" s="18">
        <f t="shared" si="1296"/>
        <v>4.890967979009668E-5</v>
      </c>
      <c r="AT372" s="18">
        <f t="shared" si="1296"/>
        <v>4.890967979009668E-5</v>
      </c>
      <c r="AU372" s="18">
        <f t="shared" si="1296"/>
        <v>-5.5655000738533626E-5</v>
      </c>
      <c r="AV372" s="18">
        <f t="shared" si="1296"/>
        <v>-4.3873957046467329E-5</v>
      </c>
      <c r="AW372" s="18">
        <f t="shared" si="1296"/>
        <v>4.0013687391830323E-5</v>
      </c>
      <c r="AX372" s="18">
        <f t="shared" si="1296"/>
        <v>-5.5494805752513736E-5</v>
      </c>
      <c r="AY372" s="18">
        <f t="shared" si="1296"/>
        <v>5.1981229346231489E-5</v>
      </c>
      <c r="AZ372" s="18">
        <f t="shared" si="1296"/>
        <v>5.1981229346231489E-5</v>
      </c>
      <c r="BA372" s="18">
        <f t="shared" si="1296"/>
        <v>5.4208522864087679E-5</v>
      </c>
      <c r="BB372" s="18">
        <f t="shared" si="1296"/>
        <v>5.4208522864087679E-5</v>
      </c>
      <c r="BC372" s="18">
        <f t="shared" si="1296"/>
        <v>5.4208522864087679E-5</v>
      </c>
      <c r="BD372" s="18">
        <f t="shared" si="1296"/>
        <v>5.4208522864087679E-5</v>
      </c>
      <c r="BE372" s="18">
        <f t="shared" si="1296"/>
        <v>5.4208522864087679E-5</v>
      </c>
      <c r="BF372" s="18">
        <f t="shared" si="1296"/>
        <v>5.4208522864087679E-5</v>
      </c>
      <c r="BG372" s="18">
        <f t="shared" si="1296"/>
        <v>-5.3401904498083093E-5</v>
      </c>
    </row>
    <row r="373" spans="2:59" x14ac:dyDescent="0.25">
      <c r="C373" t="s">
        <v>151</v>
      </c>
      <c r="D373" s="7" t="s">
        <v>461</v>
      </c>
      <c r="E373" s="18">
        <f t="shared" ref="E373:AJ373" si="1297">0.000047 * SIN( E358  * Deg2Rad )</f>
        <v>-3.3000709432391111E-5</v>
      </c>
      <c r="F373" s="18">
        <f t="shared" si="1297"/>
        <v>-2.2445618104951096E-6</v>
      </c>
      <c r="G373" s="18">
        <f t="shared" si="1297"/>
        <v>3.848410873307874E-5</v>
      </c>
      <c r="H373" s="18">
        <f t="shared" si="1297"/>
        <v>4.6966328279311982E-5</v>
      </c>
      <c r="I373" s="18">
        <f t="shared" si="1297"/>
        <v>1.0706684810606932E-5</v>
      </c>
      <c r="J373" s="18">
        <f t="shared" si="1297"/>
        <v>2.3872759153251249E-5</v>
      </c>
      <c r="K373" s="18">
        <f t="shared" si="1297"/>
        <v>-1.5841502184448654E-5</v>
      </c>
      <c r="L373" s="18">
        <f t="shared" si="1297"/>
        <v>4.2022033949299371E-5</v>
      </c>
      <c r="M373" s="18">
        <f t="shared" si="1297"/>
        <v>5.8798489853685848E-6</v>
      </c>
      <c r="N373" s="18">
        <f t="shared" si="1297"/>
        <v>-1.1064911112223243E-5</v>
      </c>
      <c r="O373" s="18">
        <f t="shared" si="1297"/>
        <v>-6.5514547086080099E-6</v>
      </c>
      <c r="P373" s="18">
        <f t="shared" si="1297"/>
        <v>3.6571178871223239E-5</v>
      </c>
      <c r="Q373" s="18">
        <f t="shared" si="1297"/>
        <v>-4.6720502691642944E-5</v>
      </c>
      <c r="R373" s="18">
        <f t="shared" si="1297"/>
        <v>-3.9186808049687784E-5</v>
      </c>
      <c r="S373" s="18">
        <f t="shared" si="1297"/>
        <v>-4.4092076703665843E-5</v>
      </c>
      <c r="T373" s="18">
        <f t="shared" si="1297"/>
        <v>-2.2409555701109655E-5</v>
      </c>
      <c r="U373" s="18">
        <f t="shared" si="1297"/>
        <v>-7.8489372872318403E-6</v>
      </c>
      <c r="V373" s="18">
        <f t="shared" si="1297"/>
        <v>-3.530284424046746E-5</v>
      </c>
      <c r="W373" s="18">
        <f t="shared" si="1297"/>
        <v>4.6824608145121004E-5</v>
      </c>
      <c r="X373" s="18">
        <f t="shared" si="1297"/>
        <v>-1.2047008535455273E-5</v>
      </c>
      <c r="Y373" s="18">
        <f t="shared" si="1297"/>
        <v>-4.6290982794730735E-5</v>
      </c>
      <c r="Z373" s="18">
        <f t="shared" si="1297"/>
        <v>3.8462493778474413E-5</v>
      </c>
      <c r="AA373" s="18">
        <f t="shared" si="1297"/>
        <v>3.848410873307874E-5</v>
      </c>
      <c r="AB373" s="18">
        <f t="shared" si="1297"/>
        <v>-5.6369620931159055E-6</v>
      </c>
      <c r="AC373" s="18">
        <f t="shared" si="1297"/>
        <v>3.034744297843606E-5</v>
      </c>
      <c r="AD373" s="18">
        <f t="shared" si="1297"/>
        <v>4.1531714861165427E-5</v>
      </c>
      <c r="AE373" s="18">
        <f t="shared" si="1297"/>
        <v>-4.6290982794730735E-5</v>
      </c>
      <c r="AF373" s="18">
        <f t="shared" si="1297"/>
        <v>-1.8544019276988182E-5</v>
      </c>
      <c r="AG373" s="18">
        <f t="shared" si="1297"/>
        <v>2.4406422218739354E-5</v>
      </c>
      <c r="AH373" s="18">
        <f t="shared" si="1297"/>
        <v>-2.7962685574265141E-5</v>
      </c>
      <c r="AI373" s="18">
        <f t="shared" si="1297"/>
        <v>-3.151797165758507E-5</v>
      </c>
      <c r="AJ373" s="18">
        <f t="shared" si="1297"/>
        <v>-1.6425679785261044E-5</v>
      </c>
      <c r="AK373" s="18">
        <f t="shared" ref="AK373:BG373" si="1298">0.000047 * SIN( AK358  * Deg2Rad )</f>
        <v>-4.41422034718914E-5</v>
      </c>
      <c r="AL373" s="18">
        <f t="shared" si="1298"/>
        <v>1.6133944168885466E-5</v>
      </c>
      <c r="AM373" s="18">
        <f t="shared" si="1298"/>
        <v>4.2900271969004557E-6</v>
      </c>
      <c r="AN373" s="18">
        <f t="shared" si="1298"/>
        <v>3.2203811905456023E-5</v>
      </c>
      <c r="AO373" s="18">
        <f t="shared" si="1298"/>
        <v>-2.4841550791716159E-5</v>
      </c>
      <c r="AP373" s="18">
        <f t="shared" si="1298"/>
        <v>1.9584521531601983E-5</v>
      </c>
      <c r="AQ373" s="18">
        <f t="shared" si="1298"/>
        <v>1.9584521531601983E-5</v>
      </c>
      <c r="AR373" s="18">
        <f t="shared" si="1298"/>
        <v>-2.1610093139229923E-6</v>
      </c>
      <c r="AS373" s="18">
        <f t="shared" si="1298"/>
        <v>-2.1610093139229923E-6</v>
      </c>
      <c r="AT373" s="18">
        <f t="shared" si="1298"/>
        <v>-2.1610093139229923E-6</v>
      </c>
      <c r="AU373" s="18">
        <f t="shared" si="1298"/>
        <v>4.6886555025709831E-5</v>
      </c>
      <c r="AV373" s="18">
        <f t="shared" si="1298"/>
        <v>-1.2647133627226008E-5</v>
      </c>
      <c r="AW373" s="18">
        <f t="shared" si="1298"/>
        <v>4.6656654652504293E-5</v>
      </c>
      <c r="AX373" s="18">
        <f t="shared" si="1298"/>
        <v>4.1119741567320175E-5</v>
      </c>
      <c r="AY373" s="18">
        <f t="shared" si="1298"/>
        <v>-2.3426481919706878E-5</v>
      </c>
      <c r="AZ373" s="18">
        <f t="shared" si="1298"/>
        <v>-2.3426481919706878E-5</v>
      </c>
      <c r="BA373" s="18">
        <f t="shared" si="1298"/>
        <v>-3.9487869748417889E-5</v>
      </c>
      <c r="BB373" s="18">
        <f t="shared" si="1298"/>
        <v>-3.9487869748417889E-5</v>
      </c>
      <c r="BC373" s="18">
        <f t="shared" si="1298"/>
        <v>-3.9487869748417889E-5</v>
      </c>
      <c r="BD373" s="18">
        <f t="shared" si="1298"/>
        <v>-3.9487869748417889E-5</v>
      </c>
      <c r="BE373" s="18">
        <f t="shared" si="1298"/>
        <v>-3.9487869748417889E-5</v>
      </c>
      <c r="BF373" s="18">
        <f t="shared" si="1298"/>
        <v>-3.9487869748417889E-5</v>
      </c>
      <c r="BG373" s="18">
        <f t="shared" si="1298"/>
        <v>-4.6290982794730735E-5</v>
      </c>
    </row>
    <row r="374" spans="2:59" x14ac:dyDescent="0.25">
      <c r="C374" t="s">
        <v>152</v>
      </c>
      <c r="D374" s="7" t="s">
        <v>462</v>
      </c>
      <c r="E374" s="18">
        <f t="shared" ref="E374:AJ374" si="1299">0.000042 * SIN( E359  * Deg2Rad )</f>
        <v>2.4870909823912929E-5</v>
      </c>
      <c r="F374" s="18">
        <f t="shared" si="1299"/>
        <v>-2.4543116547112654E-5</v>
      </c>
      <c r="G374" s="18">
        <f t="shared" si="1299"/>
        <v>-1.9251143563104695E-5</v>
      </c>
      <c r="H374" s="18">
        <f t="shared" si="1299"/>
        <v>-1.8292561296035249E-5</v>
      </c>
      <c r="I374" s="18">
        <f t="shared" si="1299"/>
        <v>-5.6924485932120677E-6</v>
      </c>
      <c r="J374" s="18">
        <f t="shared" si="1299"/>
        <v>-6.1345067619957395E-6</v>
      </c>
      <c r="K374" s="18">
        <f t="shared" si="1299"/>
        <v>-6.7522122379714E-6</v>
      </c>
      <c r="L374" s="18">
        <f t="shared" si="1299"/>
        <v>-7.192522644890023E-6</v>
      </c>
      <c r="M374" s="18">
        <f t="shared" si="1299"/>
        <v>3.5057588498308319E-5</v>
      </c>
      <c r="N374" s="18">
        <f t="shared" si="1299"/>
        <v>-2.4319028773927162E-5</v>
      </c>
      <c r="O374" s="18">
        <f t="shared" si="1299"/>
        <v>-2.3363348620798862E-5</v>
      </c>
      <c r="P374" s="18">
        <f t="shared" si="1299"/>
        <v>-4.0630899187695638E-5</v>
      </c>
      <c r="Q374" s="18">
        <f t="shared" si="1299"/>
        <v>-3.9469718898733929E-5</v>
      </c>
      <c r="R374" s="18">
        <f t="shared" si="1299"/>
        <v>-3.943910209949461E-5</v>
      </c>
      <c r="S374" s="18">
        <f t="shared" si="1299"/>
        <v>5.6512399121140336E-6</v>
      </c>
      <c r="T374" s="18">
        <f t="shared" si="1299"/>
        <v>5.3856580095142909E-6</v>
      </c>
      <c r="U374" s="18">
        <f t="shared" si="1299"/>
        <v>4.6763976816261312E-6</v>
      </c>
      <c r="V374" s="18">
        <f t="shared" si="1299"/>
        <v>4.5225928438054022E-6</v>
      </c>
      <c r="W374" s="18">
        <f t="shared" si="1299"/>
        <v>-5.9577638971685474E-6</v>
      </c>
      <c r="X374" s="18">
        <f t="shared" si="1299"/>
        <v>-1.1370926237703833E-5</v>
      </c>
      <c r="Y374" s="18">
        <f t="shared" si="1299"/>
        <v>5.260231500507584E-6</v>
      </c>
      <c r="Z374" s="18">
        <f t="shared" si="1299"/>
        <v>-4.1919243450530117E-5</v>
      </c>
      <c r="AA374" s="18">
        <f t="shared" si="1299"/>
        <v>-1.9251143563104695E-5</v>
      </c>
      <c r="AB374" s="18">
        <f t="shared" si="1299"/>
        <v>2.7723123035173089E-5</v>
      </c>
      <c r="AC374" s="18">
        <f t="shared" si="1299"/>
        <v>3.3060214339704578E-6</v>
      </c>
      <c r="AD374" s="18">
        <f t="shared" si="1299"/>
        <v>-7.0164932454432977E-6</v>
      </c>
      <c r="AE374" s="18">
        <f t="shared" si="1299"/>
        <v>5.260231500507584E-6</v>
      </c>
      <c r="AF374" s="18">
        <f t="shared" si="1299"/>
        <v>-1.2056980554339837E-5</v>
      </c>
      <c r="AG374" s="18">
        <f t="shared" si="1299"/>
        <v>-1.188578627747777E-5</v>
      </c>
      <c r="AH374" s="18">
        <f t="shared" si="1299"/>
        <v>-1.0162534750620096E-5</v>
      </c>
      <c r="AI374" s="18">
        <f t="shared" si="1299"/>
        <v>-1.1284934044089788E-5</v>
      </c>
      <c r="AJ374" s="18">
        <f t="shared" si="1299"/>
        <v>-1.2484005598373371E-5</v>
      </c>
      <c r="AK374" s="18">
        <f t="shared" ref="AK374:BG374" si="1300">0.000042 * SIN( AK359  * Deg2Rad )</f>
        <v>-3.8645276719691107E-5</v>
      </c>
      <c r="AL374" s="18">
        <f t="shared" si="1300"/>
        <v>-9.6418335660817545E-6</v>
      </c>
      <c r="AM374" s="18">
        <f t="shared" si="1300"/>
        <v>-3.9005686193679864E-5</v>
      </c>
      <c r="AN374" s="18">
        <f t="shared" si="1300"/>
        <v>-1.9488855224143304E-5</v>
      </c>
      <c r="AO374" s="18">
        <f t="shared" si="1300"/>
        <v>4.0626136854970316E-5</v>
      </c>
      <c r="AP374" s="18">
        <f t="shared" si="1300"/>
        <v>-3.6915183722397072E-5</v>
      </c>
      <c r="AQ374" s="18">
        <f t="shared" si="1300"/>
        <v>-3.6915183722397072E-5</v>
      </c>
      <c r="AR374" s="18">
        <f t="shared" si="1300"/>
        <v>-3.695769225683743E-5</v>
      </c>
      <c r="AS374" s="18">
        <f t="shared" si="1300"/>
        <v>-3.695769225683743E-5</v>
      </c>
      <c r="AT374" s="18">
        <f t="shared" si="1300"/>
        <v>-3.695769225683743E-5</v>
      </c>
      <c r="AU374" s="18">
        <f t="shared" si="1300"/>
        <v>9.3041276443808992E-6</v>
      </c>
      <c r="AV374" s="18">
        <f t="shared" si="1300"/>
        <v>-1.6914335743681325E-5</v>
      </c>
      <c r="AW374" s="18">
        <f t="shared" si="1300"/>
        <v>3.9631183847289078E-5</v>
      </c>
      <c r="AX374" s="18">
        <f t="shared" si="1300"/>
        <v>2.5300639064206984E-5</v>
      </c>
      <c r="AY374" s="18">
        <f t="shared" si="1300"/>
        <v>-3.7000033711023839E-5</v>
      </c>
      <c r="AZ374" s="18">
        <f t="shared" si="1300"/>
        <v>-3.7000033711023839E-5</v>
      </c>
      <c r="BA374" s="18">
        <f t="shared" si="1300"/>
        <v>-3.7042207893536887E-5</v>
      </c>
      <c r="BB374" s="18">
        <f t="shared" si="1300"/>
        <v>-3.7042207893536887E-5</v>
      </c>
      <c r="BC374" s="18">
        <f t="shared" si="1300"/>
        <v>-3.7042207893536887E-5</v>
      </c>
      <c r="BD374" s="18">
        <f t="shared" si="1300"/>
        <v>-3.7042207893536887E-5</v>
      </c>
      <c r="BE374" s="18">
        <f t="shared" si="1300"/>
        <v>-3.7042207893536887E-5</v>
      </c>
      <c r="BF374" s="18">
        <f t="shared" si="1300"/>
        <v>-3.7042207893536887E-5</v>
      </c>
      <c r="BG374" s="18">
        <f t="shared" si="1300"/>
        <v>5.260231500507584E-6</v>
      </c>
    </row>
    <row r="375" spans="2:59" x14ac:dyDescent="0.25">
      <c r="C375" t="s">
        <v>153</v>
      </c>
      <c r="D375" s="7" t="s">
        <v>463</v>
      </c>
      <c r="E375" s="18">
        <f t="shared" ref="E375:AJ375" si="1301">0.00004 * SIN( E360  * Deg2Rad )</f>
        <v>3.0622673262752561E-5</v>
      </c>
      <c r="F375" s="18">
        <f t="shared" si="1301"/>
        <v>3.7344673024070319E-5</v>
      </c>
      <c r="G375" s="18">
        <f t="shared" si="1301"/>
        <v>-3.6895247446002116E-5</v>
      </c>
      <c r="H375" s="18">
        <f t="shared" si="1301"/>
        <v>-3.9997873976174536E-5</v>
      </c>
      <c r="I375" s="18">
        <f t="shared" si="1301"/>
        <v>-1.6592312168854265E-6</v>
      </c>
      <c r="J375" s="18">
        <f t="shared" si="1301"/>
        <v>4.7670328281781576E-6</v>
      </c>
      <c r="K375" s="18">
        <f t="shared" si="1301"/>
        <v>1.352008030939836E-5</v>
      </c>
      <c r="L375" s="18">
        <f t="shared" si="1301"/>
        <v>1.9378392740311101E-5</v>
      </c>
      <c r="M375" s="18">
        <f t="shared" si="1301"/>
        <v>6.1011768241874322E-6</v>
      </c>
      <c r="N375" s="18">
        <f t="shared" si="1301"/>
        <v>7.9197262505375575E-6</v>
      </c>
      <c r="O375" s="18">
        <f t="shared" si="1301"/>
        <v>-8.6966337459765424E-6</v>
      </c>
      <c r="P375" s="18">
        <f t="shared" si="1301"/>
        <v>3.0054659018429895E-5</v>
      </c>
      <c r="Q375" s="18">
        <f t="shared" si="1301"/>
        <v>3.1946920576706372E-5</v>
      </c>
      <c r="R375" s="18">
        <f t="shared" si="1301"/>
        <v>3.2705080695508279E-5</v>
      </c>
      <c r="S375" s="18">
        <f t="shared" si="1301"/>
        <v>-3.9978164905940156E-5</v>
      </c>
      <c r="T375" s="18">
        <f t="shared" si="1301"/>
        <v>-3.9664470863294968E-5</v>
      </c>
      <c r="U375" s="18">
        <f t="shared" si="1301"/>
        <v>-3.7039726282241937E-5</v>
      </c>
      <c r="V375" s="18">
        <f t="shared" si="1301"/>
        <v>1.4574871170147093E-6</v>
      </c>
      <c r="W375" s="18">
        <f t="shared" si="1301"/>
        <v>2.2020371610827071E-6</v>
      </c>
      <c r="X375" s="18">
        <f t="shared" si="1301"/>
        <v>3.5478086491973558E-5</v>
      </c>
      <c r="Y375" s="18">
        <f t="shared" si="1301"/>
        <v>3.029620607726604E-5</v>
      </c>
      <c r="Z375" s="18">
        <f t="shared" si="1301"/>
        <v>-2.354836671500106E-5</v>
      </c>
      <c r="AA375" s="18">
        <f t="shared" si="1301"/>
        <v>-3.6895247446002116E-5</v>
      </c>
      <c r="AB375" s="18">
        <f t="shared" si="1301"/>
        <v>-1.7322513258602941E-5</v>
      </c>
      <c r="AC375" s="18">
        <f t="shared" si="1301"/>
        <v>6.0225752953221974E-6</v>
      </c>
      <c r="AD375" s="18">
        <f t="shared" si="1301"/>
        <v>1.7086947968943739E-5</v>
      </c>
      <c r="AE375" s="18">
        <f t="shared" si="1301"/>
        <v>3.029620607726604E-5</v>
      </c>
      <c r="AF375" s="18">
        <f t="shared" si="1301"/>
        <v>2.9602945508076244E-5</v>
      </c>
      <c r="AG375" s="18">
        <f t="shared" si="1301"/>
        <v>3.127233445138886E-5</v>
      </c>
      <c r="AH375" s="18">
        <f t="shared" si="1301"/>
        <v>3.9982683713886177E-5</v>
      </c>
      <c r="AI375" s="18">
        <f t="shared" si="1301"/>
        <v>3.6054305288293476E-5</v>
      </c>
      <c r="AJ375" s="18">
        <f t="shared" si="1301"/>
        <v>2.4909213648898366E-5</v>
      </c>
      <c r="AK375" s="18">
        <f t="shared" ref="AK375:BG375" si="1302">0.00004 * SIN( AK360  * Deg2Rad )</f>
        <v>3.9261599111000165E-5</v>
      </c>
      <c r="AL375" s="18">
        <f t="shared" si="1302"/>
        <v>3.9465130299990438E-5</v>
      </c>
      <c r="AM375" s="18">
        <f t="shared" si="1302"/>
        <v>-6.9722311414816908E-6</v>
      </c>
      <c r="AN375" s="18">
        <f t="shared" si="1302"/>
        <v>-3.5233507472527995E-5</v>
      </c>
      <c r="AO375" s="18">
        <f t="shared" si="1302"/>
        <v>3.1647612783758554E-5</v>
      </c>
      <c r="AP375" s="18">
        <f t="shared" si="1302"/>
        <v>3.9993983316202485E-5</v>
      </c>
      <c r="AQ375" s="18">
        <f t="shared" si="1302"/>
        <v>3.9993983316202485E-5</v>
      </c>
      <c r="AR375" s="18">
        <f t="shared" si="1302"/>
        <v>3.9950935162636628E-5</v>
      </c>
      <c r="AS375" s="18">
        <f t="shared" si="1302"/>
        <v>3.9950935162636628E-5</v>
      </c>
      <c r="AT375" s="18">
        <f t="shared" si="1302"/>
        <v>3.9950935162636628E-5</v>
      </c>
      <c r="AU375" s="18">
        <f t="shared" si="1302"/>
        <v>2.8736026354077368E-5</v>
      </c>
      <c r="AV375" s="18">
        <f t="shared" si="1302"/>
        <v>-3.437136285322483E-5</v>
      </c>
      <c r="AW375" s="18">
        <f t="shared" si="1302"/>
        <v>-3.7549972205177172E-5</v>
      </c>
      <c r="AX375" s="18">
        <f t="shared" si="1302"/>
        <v>2.5113725748154876E-5</v>
      </c>
      <c r="AY375" s="18">
        <f t="shared" si="1302"/>
        <v>3.9866492330026337E-5</v>
      </c>
      <c r="AZ375" s="18">
        <f t="shared" si="1302"/>
        <v>3.9866492330026337E-5</v>
      </c>
      <c r="BA375" s="18">
        <f t="shared" si="1302"/>
        <v>3.9740742312792962E-5</v>
      </c>
      <c r="BB375" s="18">
        <f t="shared" si="1302"/>
        <v>3.9740742312792962E-5</v>
      </c>
      <c r="BC375" s="18">
        <f t="shared" si="1302"/>
        <v>3.9740742312792962E-5</v>
      </c>
      <c r="BD375" s="18">
        <f t="shared" si="1302"/>
        <v>3.9740742312792962E-5</v>
      </c>
      <c r="BE375" s="18">
        <f t="shared" si="1302"/>
        <v>3.9740742312792962E-5</v>
      </c>
      <c r="BF375" s="18">
        <f t="shared" si="1302"/>
        <v>3.9740742312792962E-5</v>
      </c>
      <c r="BG375" s="18">
        <f t="shared" si="1302"/>
        <v>3.029620607726604E-5</v>
      </c>
    </row>
    <row r="376" spans="2:59" x14ac:dyDescent="0.25">
      <c r="C376" t="s">
        <v>154</v>
      </c>
      <c r="D376" s="7" t="s">
        <v>464</v>
      </c>
      <c r="E376" s="18">
        <f t="shared" ref="E376:AJ376" si="1303">0.000037 * SIN( E361  * Deg2Rad )</f>
        <v>1.9369749644929693E-5</v>
      </c>
      <c r="F376" s="18">
        <f t="shared" si="1303"/>
        <v>-3.6997031776896949E-5</v>
      </c>
      <c r="G376" s="18">
        <f t="shared" si="1303"/>
        <v>8.4844333754392006E-8</v>
      </c>
      <c r="H376" s="18">
        <f t="shared" si="1303"/>
        <v>-3.4654782584910995E-5</v>
      </c>
      <c r="I376" s="18">
        <f t="shared" si="1303"/>
        <v>-3.6981004696181463E-5</v>
      </c>
      <c r="J376" s="18">
        <f t="shared" si="1303"/>
        <v>1.8025291414841647E-5</v>
      </c>
      <c r="K376" s="18">
        <f t="shared" si="1303"/>
        <v>-1.1765881897382991E-5</v>
      </c>
      <c r="L376" s="18">
        <f t="shared" si="1303"/>
        <v>-2.4013568903691807E-5</v>
      </c>
      <c r="M376" s="18">
        <f t="shared" si="1303"/>
        <v>2.9645572887197633E-5</v>
      </c>
      <c r="N376" s="18">
        <f t="shared" si="1303"/>
        <v>-5.4045753549371531E-6</v>
      </c>
      <c r="O376" s="18">
        <f t="shared" si="1303"/>
        <v>-2.9866385314463961E-5</v>
      </c>
      <c r="P376" s="18">
        <f t="shared" si="1303"/>
        <v>-2.9851450361443138E-5</v>
      </c>
      <c r="Q376" s="18">
        <f t="shared" si="1303"/>
        <v>2.4119373060701255E-5</v>
      </c>
      <c r="R376" s="18">
        <f t="shared" si="1303"/>
        <v>3.3500912540081803E-5</v>
      </c>
      <c r="S376" s="18">
        <f t="shared" si="1303"/>
        <v>-3.4170338874716401E-5</v>
      </c>
      <c r="T376" s="18">
        <f t="shared" si="1303"/>
        <v>-2.3762807398060177E-5</v>
      </c>
      <c r="U376" s="18">
        <f t="shared" si="1303"/>
        <v>1.6436273134121701E-5</v>
      </c>
      <c r="V376" s="18">
        <f t="shared" si="1303"/>
        <v>3.1473902317893223E-5</v>
      </c>
      <c r="W376" s="18">
        <f t="shared" si="1303"/>
        <v>-1.2193409684854321E-5</v>
      </c>
      <c r="X376" s="18">
        <f t="shared" si="1303"/>
        <v>2.4295614138664088E-5</v>
      </c>
      <c r="Y376" s="18">
        <f t="shared" si="1303"/>
        <v>5.283001596687653E-6</v>
      </c>
      <c r="Z376" s="18">
        <f t="shared" si="1303"/>
        <v>1.4851009235327112E-5</v>
      </c>
      <c r="AA376" s="18">
        <f t="shared" si="1303"/>
        <v>8.4844333754392006E-8</v>
      </c>
      <c r="AB376" s="18">
        <f t="shared" si="1303"/>
        <v>-3.0785137655193746E-5</v>
      </c>
      <c r="AC376" s="18">
        <f t="shared" si="1303"/>
        <v>-1.0105172119593537E-5</v>
      </c>
      <c r="AD376" s="18">
        <f t="shared" si="1303"/>
        <v>-3.6992724092673226E-5</v>
      </c>
      <c r="AE376" s="18">
        <f t="shared" si="1303"/>
        <v>5.283001596687653E-6</v>
      </c>
      <c r="AF376" s="18">
        <f t="shared" si="1303"/>
        <v>-3.0170654303567348E-5</v>
      </c>
      <c r="AG376" s="18">
        <f t="shared" si="1303"/>
        <v>-4.0171032247426936E-6</v>
      </c>
      <c r="AH376" s="18">
        <f t="shared" si="1303"/>
        <v>3.2750502973658779E-5</v>
      </c>
      <c r="AI376" s="18">
        <f t="shared" si="1303"/>
        <v>1.0722506552212429E-5</v>
      </c>
      <c r="AJ376" s="18">
        <f t="shared" si="1303"/>
        <v>-2.8257345451154101E-6</v>
      </c>
      <c r="AK376" s="18">
        <f t="shared" ref="AK376:BG376" si="1304">0.000037 * SIN( AK361  * Deg2Rad )</f>
        <v>3.4729581832825665E-5</v>
      </c>
      <c r="AL376" s="18">
        <f t="shared" si="1304"/>
        <v>-3.671780375431867E-5</v>
      </c>
      <c r="AM376" s="18">
        <f t="shared" si="1304"/>
        <v>3.3278299866914769E-5</v>
      </c>
      <c r="AN376" s="18">
        <f t="shared" si="1304"/>
        <v>-3.528034996936693E-5</v>
      </c>
      <c r="AO376" s="18">
        <f t="shared" si="1304"/>
        <v>-2.6029789654991899E-5</v>
      </c>
      <c r="AP376" s="18">
        <f t="shared" si="1304"/>
        <v>2.4005070505471529E-5</v>
      </c>
      <c r="AQ376" s="18">
        <f t="shared" si="1304"/>
        <v>2.4005070505471529E-5</v>
      </c>
      <c r="AR376" s="18">
        <f t="shared" si="1304"/>
        <v>1.0354886490568061E-5</v>
      </c>
      <c r="AS376" s="18">
        <f t="shared" si="1304"/>
        <v>1.0354886490568061E-5</v>
      </c>
      <c r="AT376" s="18">
        <f t="shared" si="1304"/>
        <v>1.0354886490568061E-5</v>
      </c>
      <c r="AU376" s="18">
        <f t="shared" si="1304"/>
        <v>2.4431727547673681E-5</v>
      </c>
      <c r="AV376" s="18">
        <f t="shared" si="1304"/>
        <v>-1.1508622760687E-5</v>
      </c>
      <c r="AW376" s="18">
        <f t="shared" si="1304"/>
        <v>9.8549593634367511E-6</v>
      </c>
      <c r="AX376" s="18">
        <f t="shared" si="1304"/>
        <v>2.0933156695907093E-6</v>
      </c>
      <c r="AY376" s="18">
        <f t="shared" si="1304"/>
        <v>-5.1149964593087479E-6</v>
      </c>
      <c r="AZ376" s="18">
        <f t="shared" si="1304"/>
        <v>-5.1149964593087479E-6</v>
      </c>
      <c r="BA376" s="18">
        <f t="shared" si="1304"/>
        <v>-1.9686003924855521E-5</v>
      </c>
      <c r="BB376" s="18">
        <f t="shared" si="1304"/>
        <v>-1.9686003924855521E-5</v>
      </c>
      <c r="BC376" s="18">
        <f t="shared" si="1304"/>
        <v>-1.9686003924855521E-5</v>
      </c>
      <c r="BD376" s="18">
        <f t="shared" si="1304"/>
        <v>-1.9686003924855521E-5</v>
      </c>
      <c r="BE376" s="18">
        <f t="shared" si="1304"/>
        <v>-1.9686003924855521E-5</v>
      </c>
      <c r="BF376" s="18">
        <f t="shared" si="1304"/>
        <v>-1.9686003924855521E-5</v>
      </c>
      <c r="BG376" s="18">
        <f t="shared" si="1304"/>
        <v>5.283001596687653E-6</v>
      </c>
    </row>
    <row r="377" spans="2:59" x14ac:dyDescent="0.25">
      <c r="C377" t="s">
        <v>155</v>
      </c>
      <c r="D377" s="7" t="s">
        <v>465</v>
      </c>
      <c r="E377" s="18">
        <f t="shared" ref="E377:AJ377" si="1305">0.000035 * SIN( E362  * Deg2Rad )</f>
        <v>-3.4555333329436302E-5</v>
      </c>
      <c r="F377" s="18">
        <f t="shared" si="1305"/>
        <v>-3.0506220021199399E-5</v>
      </c>
      <c r="G377" s="18">
        <f t="shared" si="1305"/>
        <v>-3.4320893388963614E-5</v>
      </c>
      <c r="H377" s="18">
        <f t="shared" si="1305"/>
        <v>-2.5789168946150699E-5</v>
      </c>
      <c r="I377" s="18">
        <f t="shared" si="1305"/>
        <v>2.4048513704052679E-5</v>
      </c>
      <c r="J377" s="18">
        <f t="shared" si="1305"/>
        <v>-3.4818625358487221E-5</v>
      </c>
      <c r="K377" s="18">
        <f t="shared" si="1305"/>
        <v>3.4720648859556457E-5</v>
      </c>
      <c r="L377" s="18">
        <f t="shared" si="1305"/>
        <v>-1.7669893275378518E-5</v>
      </c>
      <c r="M377" s="18">
        <f t="shared" si="1305"/>
        <v>1.1389895669008233E-5</v>
      </c>
      <c r="N377" s="18">
        <f t="shared" si="1305"/>
        <v>2.4918368511529666E-5</v>
      </c>
      <c r="O377" s="18">
        <f t="shared" si="1305"/>
        <v>1.0270599575166556E-5</v>
      </c>
      <c r="P377" s="18">
        <f t="shared" si="1305"/>
        <v>-8.951294020119369E-6</v>
      </c>
      <c r="Q377" s="18">
        <f t="shared" si="1305"/>
        <v>-3.4964289821592113E-5</v>
      </c>
      <c r="R377" s="18">
        <f t="shared" si="1305"/>
        <v>-3.0874000152659037E-5</v>
      </c>
      <c r="S377" s="18">
        <f t="shared" si="1305"/>
        <v>-5.0131874993988511E-6</v>
      </c>
      <c r="T377" s="18">
        <f t="shared" si="1305"/>
        <v>3.2520605205657413E-5</v>
      </c>
      <c r="U377" s="18">
        <f t="shared" si="1305"/>
        <v>-3.4969066710379615E-5</v>
      </c>
      <c r="V377" s="18">
        <f t="shared" si="1305"/>
        <v>3.0973104872474077E-5</v>
      </c>
      <c r="W377" s="18">
        <f t="shared" si="1305"/>
        <v>-1.9133154156094792E-5</v>
      </c>
      <c r="X377" s="18">
        <f t="shared" si="1305"/>
        <v>-3.0806217551577362E-6</v>
      </c>
      <c r="Y377" s="18">
        <f t="shared" si="1305"/>
        <v>-2.9838513440973658E-5</v>
      </c>
      <c r="Z377" s="18">
        <f t="shared" si="1305"/>
        <v>3.4674457683886396E-5</v>
      </c>
      <c r="AA377" s="18">
        <f t="shared" si="1305"/>
        <v>-3.4320893388963614E-5</v>
      </c>
      <c r="AB377" s="18">
        <f t="shared" si="1305"/>
        <v>-3.1767062866278721E-5</v>
      </c>
      <c r="AC377" s="18">
        <f t="shared" si="1305"/>
        <v>3.444424545979865E-5</v>
      </c>
      <c r="AD377" s="18">
        <f t="shared" si="1305"/>
        <v>1.2374208501154017E-5</v>
      </c>
      <c r="AE377" s="18">
        <f t="shared" si="1305"/>
        <v>-2.9838513440973658E-5</v>
      </c>
      <c r="AF377" s="18">
        <f t="shared" si="1305"/>
        <v>-1.1426769269004852E-5</v>
      </c>
      <c r="AG377" s="18">
        <f t="shared" si="1305"/>
        <v>1.8532141756858643E-5</v>
      </c>
      <c r="AH377" s="18">
        <f t="shared" si="1305"/>
        <v>-1.363696492575065E-6</v>
      </c>
      <c r="AI377" s="18">
        <f t="shared" si="1305"/>
        <v>-1.7796822883349003E-5</v>
      </c>
      <c r="AJ377" s="18">
        <f t="shared" si="1305"/>
        <v>-1.9256264881212816E-5</v>
      </c>
      <c r="AK377" s="18">
        <f t="shared" ref="AK377:BG377" si="1306">0.000035 * SIN( AK362  * Deg2Rad )</f>
        <v>3.2611184151375874E-5</v>
      </c>
      <c r="AL377" s="18">
        <f t="shared" si="1306"/>
        <v>-1.4618931345829764E-5</v>
      </c>
      <c r="AM377" s="18">
        <f t="shared" si="1306"/>
        <v>3.2445215842276308E-5</v>
      </c>
      <c r="AN377" s="18">
        <f t="shared" si="1306"/>
        <v>-1.4661899036710916E-5</v>
      </c>
      <c r="AO377" s="18">
        <f t="shared" si="1306"/>
        <v>-7.7751332361744322E-6</v>
      </c>
      <c r="AP377" s="18">
        <f t="shared" si="1306"/>
        <v>-2.5959177016845169E-5</v>
      </c>
      <c r="AQ377" s="18">
        <f t="shared" si="1306"/>
        <v>-2.5959177016845169E-5</v>
      </c>
      <c r="AR377" s="18">
        <f t="shared" si="1306"/>
        <v>-3.3539324789040855E-5</v>
      </c>
      <c r="AS377" s="18">
        <f t="shared" si="1306"/>
        <v>-3.3539324789040855E-5</v>
      </c>
      <c r="AT377" s="18">
        <f t="shared" si="1306"/>
        <v>-3.3539324789040855E-5</v>
      </c>
      <c r="AU377" s="18">
        <f t="shared" si="1306"/>
        <v>2.0132553274088111E-5</v>
      </c>
      <c r="AV377" s="18">
        <f t="shared" si="1306"/>
        <v>-2.9942479962596369E-5</v>
      </c>
      <c r="AW377" s="18">
        <f t="shared" si="1306"/>
        <v>-3.4921555515018852E-5</v>
      </c>
      <c r="AX377" s="18">
        <f t="shared" si="1306"/>
        <v>3.3328531534632488E-5</v>
      </c>
      <c r="AY377" s="18">
        <f t="shared" si="1306"/>
        <v>-3.4578421272697221E-5</v>
      </c>
      <c r="AZ377" s="18">
        <f t="shared" si="1306"/>
        <v>-3.4578421272697221E-5</v>
      </c>
      <c r="BA377" s="18">
        <f t="shared" si="1306"/>
        <v>-2.8873815298296319E-5</v>
      </c>
      <c r="BB377" s="18">
        <f t="shared" si="1306"/>
        <v>-2.8873815298296319E-5</v>
      </c>
      <c r="BC377" s="18">
        <f t="shared" si="1306"/>
        <v>-2.8873815298296319E-5</v>
      </c>
      <c r="BD377" s="18">
        <f t="shared" si="1306"/>
        <v>-2.8873815298296319E-5</v>
      </c>
      <c r="BE377" s="18">
        <f t="shared" si="1306"/>
        <v>-2.8873815298296319E-5</v>
      </c>
      <c r="BF377" s="18">
        <f t="shared" si="1306"/>
        <v>-2.8873815298296319E-5</v>
      </c>
      <c r="BG377" s="18">
        <f t="shared" si="1306"/>
        <v>-2.9838513440973658E-5</v>
      </c>
    </row>
    <row r="378" spans="2:59" x14ac:dyDescent="0.25">
      <c r="C378" t="s">
        <v>156</v>
      </c>
      <c r="D378" s="86" t="s">
        <v>466</v>
      </c>
      <c r="E378" s="87">
        <f t="shared" ref="E378:AJ378" si="1307">0.000023 * SIN( E363  * Deg2Rad )</f>
        <v>-2.257358626389681E-5</v>
      </c>
      <c r="F378" s="87">
        <f t="shared" si="1307"/>
        <v>2.1732944827049553E-5</v>
      </c>
      <c r="G378" s="87">
        <f t="shared" si="1307"/>
        <v>-9.9942697856546008E-6</v>
      </c>
      <c r="H378" s="87">
        <f t="shared" si="1307"/>
        <v>-2.1452989149109257E-5</v>
      </c>
      <c r="I378" s="87">
        <f t="shared" si="1307"/>
        <v>2.0029732675123938E-5</v>
      </c>
      <c r="J378" s="87">
        <f t="shared" si="1307"/>
        <v>1.5566936204037501E-5</v>
      </c>
      <c r="K378" s="87">
        <f t="shared" si="1307"/>
        <v>6.8964280281029121E-6</v>
      </c>
      <c r="L378" s="87">
        <f t="shared" si="1307"/>
        <v>-2.0645629992375614E-7</v>
      </c>
      <c r="M378" s="87">
        <f t="shared" si="1307"/>
        <v>-1.1604004510075282E-5</v>
      </c>
      <c r="N378" s="87">
        <f t="shared" si="1307"/>
        <v>-8.6374759698617979E-6</v>
      </c>
      <c r="O378" s="87">
        <f t="shared" si="1307"/>
        <v>-2.1437719423918511E-5</v>
      </c>
      <c r="P378" s="87">
        <f t="shared" si="1307"/>
        <v>1.1415408491695752E-5</v>
      </c>
      <c r="Q378" s="87">
        <f t="shared" si="1307"/>
        <v>3.4430749848869985E-6</v>
      </c>
      <c r="R378" s="87">
        <f t="shared" si="1307"/>
        <v>2.0113644683815547E-6</v>
      </c>
      <c r="S378" s="87">
        <f t="shared" si="1307"/>
        <v>-2.2259243015323544E-5</v>
      </c>
      <c r="T378" s="87">
        <f t="shared" si="1307"/>
        <v>-2.0783861013480119E-5</v>
      </c>
      <c r="U378" s="87">
        <f t="shared" si="1307"/>
        <v>-1.3487022204980821E-5</v>
      </c>
      <c r="V378" s="87">
        <f t="shared" si="1307"/>
        <v>2.3332475500346168E-6</v>
      </c>
      <c r="W378" s="87">
        <f t="shared" si="1307"/>
        <v>1.7562368529332938E-5</v>
      </c>
      <c r="X378" s="87">
        <f t="shared" si="1307"/>
        <v>-2.8208524287025391E-6</v>
      </c>
      <c r="Y378" s="87">
        <f t="shared" si="1307"/>
        <v>1.4021184565433181E-5</v>
      </c>
      <c r="Z378" s="87">
        <f t="shared" si="1307"/>
        <v>1.7981435310000353E-5</v>
      </c>
      <c r="AA378" s="87">
        <f t="shared" si="1307"/>
        <v>-9.9942697856546008E-6</v>
      </c>
      <c r="AB378" s="87">
        <f t="shared" si="1307"/>
        <v>2.1376461808131253E-5</v>
      </c>
      <c r="AC378" s="87">
        <f t="shared" si="1307"/>
        <v>2.0566052407780002E-5</v>
      </c>
      <c r="AD378" s="87">
        <f t="shared" si="1307"/>
        <v>2.6717537265923027E-6</v>
      </c>
      <c r="AE378" s="87">
        <f t="shared" si="1307"/>
        <v>1.4021184565433181E-5</v>
      </c>
      <c r="AF378" s="87">
        <f t="shared" si="1307"/>
        <v>8.5024307856808555E-6</v>
      </c>
      <c r="AG378" s="87">
        <f t="shared" si="1307"/>
        <v>5.7627377393152213E-6</v>
      </c>
      <c r="AH378" s="87">
        <f t="shared" si="1307"/>
        <v>-1.9363433844283985E-5</v>
      </c>
      <c r="AI378" s="87">
        <f t="shared" si="1307"/>
        <v>-4.2456134179062324E-6</v>
      </c>
      <c r="AJ378" s="87">
        <f t="shared" si="1307"/>
        <v>1.4678656830738114E-5</v>
      </c>
      <c r="AK378" s="87">
        <f t="shared" ref="AK378:BG378" si="1308">0.000023 * SIN( AK363  * Deg2Rad )</f>
        <v>4.9834525215944272E-6</v>
      </c>
      <c r="AL378" s="87">
        <f t="shared" si="1308"/>
        <v>-2.2569358802569656E-5</v>
      </c>
      <c r="AM378" s="87">
        <f t="shared" si="1308"/>
        <v>-1.2012256333454957E-5</v>
      </c>
      <c r="AN378" s="87">
        <f t="shared" si="1308"/>
        <v>-5.9443294519935775E-6</v>
      </c>
      <c r="AO378" s="87">
        <f t="shared" si="1308"/>
        <v>2.1974884202716622E-5</v>
      </c>
      <c r="AP378" s="87">
        <f t="shared" si="1308"/>
        <v>-2.2862943599486845E-5</v>
      </c>
      <c r="AQ378" s="87">
        <f t="shared" si="1308"/>
        <v>-2.2862943599486845E-5</v>
      </c>
      <c r="AR378" s="87">
        <f t="shared" si="1308"/>
        <v>-2.2975114682494535E-5</v>
      </c>
      <c r="AS378" s="87">
        <f t="shared" si="1308"/>
        <v>-2.2975114682494535E-5</v>
      </c>
      <c r="AT378" s="87">
        <f t="shared" si="1308"/>
        <v>-2.2975114682494535E-5</v>
      </c>
      <c r="AU378" s="87">
        <f t="shared" si="1308"/>
        <v>-1.8199605832031853E-5</v>
      </c>
      <c r="AV378" s="87">
        <f t="shared" si="1308"/>
        <v>-1.7634846572015324E-5</v>
      </c>
      <c r="AW378" s="87">
        <f t="shared" si="1308"/>
        <v>-1.2908017663074505E-5</v>
      </c>
      <c r="AX378" s="87">
        <f t="shared" si="1308"/>
        <v>-1.9375298691734622E-5</v>
      </c>
      <c r="AY378" s="87">
        <f t="shared" si="1308"/>
        <v>-2.2996989863616789E-5</v>
      </c>
      <c r="AZ378" s="87">
        <f t="shared" si="1308"/>
        <v>-2.2996989863616789E-5</v>
      </c>
      <c r="BA378" s="87">
        <f t="shared" si="1308"/>
        <v>-2.2928483169867798E-5</v>
      </c>
      <c r="BB378" s="87">
        <f t="shared" si="1308"/>
        <v>-2.2928483169867798E-5</v>
      </c>
      <c r="BC378" s="87">
        <f t="shared" si="1308"/>
        <v>-2.2928483169867798E-5</v>
      </c>
      <c r="BD378" s="87">
        <f t="shared" si="1308"/>
        <v>-2.2928483169867798E-5</v>
      </c>
      <c r="BE378" s="87">
        <f t="shared" si="1308"/>
        <v>-2.2928483169867798E-5</v>
      </c>
      <c r="BF378" s="87">
        <f t="shared" si="1308"/>
        <v>-2.2928483169867798E-5</v>
      </c>
      <c r="BG378" s="87">
        <f t="shared" si="1308"/>
        <v>1.4021184565433181E-5</v>
      </c>
    </row>
    <row r="379" spans="2:59" x14ac:dyDescent="0.25">
      <c r="C379" s="8" t="s">
        <v>467</v>
      </c>
      <c r="D379"/>
    </row>
    <row r="380" spans="2:59" x14ac:dyDescent="0.25">
      <c r="B380" s="35"/>
      <c r="C380" s="35" t="s">
        <v>471</v>
      </c>
      <c r="D380" s="86" t="s">
        <v>470</v>
      </c>
      <c r="E380" s="94">
        <f>SUM(E365:E378)</f>
        <v>-2.7847899627542454E-4</v>
      </c>
      <c r="F380" s="94">
        <f t="shared" ref="F380:X380" si="1309">SUM(F365:F378)</f>
        <v>-6.6923323369698579E-4</v>
      </c>
      <c r="G380" s="94">
        <f t="shared" si="1309"/>
        <v>-5.3147656547629482E-4</v>
      </c>
      <c r="H380" s="94">
        <f t="shared" si="1309"/>
        <v>-8.6914632602286474E-4</v>
      </c>
      <c r="I380" s="94">
        <f t="shared" si="1309"/>
        <v>-5.4479142665186996E-4</v>
      </c>
      <c r="J380" s="94">
        <f t="shared" si="1309"/>
        <v>-1.2837366289880959E-4</v>
      </c>
      <c r="K380" s="94">
        <f t="shared" si="1309"/>
        <v>-6.9353242653630667E-4</v>
      </c>
      <c r="L380" s="94">
        <f t="shared" si="1309"/>
        <v>-3.4629506814911601E-4</v>
      </c>
      <c r="M380" s="94">
        <f t="shared" si="1309"/>
        <v>1.5218324133055611E-4</v>
      </c>
      <c r="N380" s="94">
        <f t="shared" si="1309"/>
        <v>1.7019939150175083E-4</v>
      </c>
      <c r="O380" s="94">
        <f t="shared" si="1309"/>
        <v>1.1877071951614144E-4</v>
      </c>
      <c r="P380" s="94">
        <f t="shared" si="1309"/>
        <v>7.8939072612677465E-5</v>
      </c>
      <c r="Q380" s="94">
        <f t="shared" si="1309"/>
        <v>-3.6030978286020836E-4</v>
      </c>
      <c r="R380" s="94">
        <f t="shared" si="1309"/>
        <v>-2.3816000675261879E-4</v>
      </c>
      <c r="S380" s="94">
        <f t="shared" si="1309"/>
        <v>-3.4593877604747678E-4</v>
      </c>
      <c r="T380" s="94">
        <f t="shared" si="1309"/>
        <v>-3.7689048725758493E-4</v>
      </c>
      <c r="U380" s="94">
        <f t="shared" si="1309"/>
        <v>-3.5642442311352977E-4</v>
      </c>
      <c r="V380" s="94">
        <f t="shared" si="1309"/>
        <v>-3.023991390279278E-4</v>
      </c>
      <c r="W380" s="94">
        <f t="shared" si="1309"/>
        <v>-2.5769065157367474E-6</v>
      </c>
      <c r="X380" s="94">
        <f t="shared" si="1309"/>
        <v>-5.2999419965621853E-4</v>
      </c>
      <c r="Y380" s="94">
        <f>SUM(Y365:Y378)</f>
        <v>-7.6013309321437011E-4</v>
      </c>
      <c r="Z380" s="94">
        <f t="shared" ref="Z380:AE380" si="1310">SUM(Z365:Z378)</f>
        <v>-7.3243530477084301E-5</v>
      </c>
      <c r="AA380" s="94">
        <f t="shared" si="1310"/>
        <v>-5.3147656547629482E-4</v>
      </c>
      <c r="AB380" s="94">
        <f t="shared" si="1310"/>
        <v>-4.2319043550120622E-4</v>
      </c>
      <c r="AC380" s="94">
        <f t="shared" si="1310"/>
        <v>-4.368665878566214E-4</v>
      </c>
      <c r="AD380" s="94">
        <f t="shared" si="1310"/>
        <v>-3.9352573782177832E-4</v>
      </c>
      <c r="AE380" s="94">
        <f t="shared" si="1310"/>
        <v>-7.6013309321437011E-4</v>
      </c>
      <c r="AF380" s="94">
        <f t="shared" ref="AF380:BG380" si="1311">SUM(AF365:AF378)</f>
        <v>-3.9441092104738494E-4</v>
      </c>
      <c r="AG380" s="94">
        <f t="shared" si="1311"/>
        <v>-3.2646851271856157E-4</v>
      </c>
      <c r="AH380" s="94">
        <f t="shared" si="1311"/>
        <v>-6.4264568671412899E-4</v>
      </c>
      <c r="AI380" s="94">
        <f t="shared" si="1311"/>
        <v>-4.148327343949709E-4</v>
      </c>
      <c r="AJ380" s="94">
        <f t="shared" si="1311"/>
        <v>-6.6811483994087492E-4</v>
      </c>
      <c r="AK380" s="94">
        <f t="shared" si="1311"/>
        <v>5.1311425474369961E-4</v>
      </c>
      <c r="AL380" s="94">
        <f t="shared" si="1311"/>
        <v>-2.4822516050654694E-4</v>
      </c>
      <c r="AM380" s="94">
        <f t="shared" si="1311"/>
        <v>-6.0959148367569198E-4</v>
      </c>
      <c r="AN380" s="94">
        <f t="shared" si="1311"/>
        <v>-4.4496088190248902E-4</v>
      </c>
      <c r="AO380" s="94">
        <f t="shared" si="1311"/>
        <v>1.6706874087124105E-4</v>
      </c>
      <c r="AP380" s="94">
        <f t="shared" si="1311"/>
        <v>-2.6132581437230925E-4</v>
      </c>
      <c r="AQ380" s="94">
        <f t="shared" si="1311"/>
        <v>-2.6132581437230925E-4</v>
      </c>
      <c r="AR380" s="94">
        <f t="shared" si="1311"/>
        <v>-4.5606607417655583E-4</v>
      </c>
      <c r="AS380" s="94">
        <f t="shared" si="1311"/>
        <v>-4.5606607417655583E-4</v>
      </c>
      <c r="AT380" s="94">
        <f t="shared" si="1311"/>
        <v>-4.5606607417655583E-4</v>
      </c>
      <c r="AU380" s="94">
        <f t="shared" si="1311"/>
        <v>-5.3760901519224902E-4</v>
      </c>
      <c r="AV380" s="94">
        <f t="shared" si="1311"/>
        <v>-6.3701213620498377E-4</v>
      </c>
      <c r="AW380" s="94">
        <f t="shared" si="1311"/>
        <v>-2.5160007470703048E-4</v>
      </c>
      <c r="AX380" s="94">
        <f t="shared" si="1311"/>
        <v>-6.2356581303795746E-4</v>
      </c>
      <c r="AY380" s="94">
        <f t="shared" si="1311"/>
        <v>-6.4719671067832484E-4</v>
      </c>
      <c r="AZ380" s="94">
        <f t="shared" si="1311"/>
        <v>-6.4719671067832484E-4</v>
      </c>
      <c r="BA380" s="94">
        <f t="shared" si="1311"/>
        <v>-7.7128481511230037E-4</v>
      </c>
      <c r="BB380" s="94">
        <f t="shared" si="1311"/>
        <v>-7.7128481511230037E-4</v>
      </c>
      <c r="BC380" s="94">
        <f t="shared" si="1311"/>
        <v>-7.7128481511230037E-4</v>
      </c>
      <c r="BD380" s="94">
        <f t="shared" si="1311"/>
        <v>-7.7128481511230037E-4</v>
      </c>
      <c r="BE380" s="94">
        <f t="shared" si="1311"/>
        <v>-7.7128481511230037E-4</v>
      </c>
      <c r="BF380" s="94">
        <f t="shared" si="1311"/>
        <v>-7.7128481511230037E-4</v>
      </c>
      <c r="BG380" s="94">
        <f t="shared" si="1311"/>
        <v>-7.6013309321437011E-4</v>
      </c>
    </row>
    <row r="381" spans="2:59" x14ac:dyDescent="0.25">
      <c r="B381">
        <v>352</v>
      </c>
      <c r="C381" s="8" t="s">
        <v>25</v>
      </c>
    </row>
    <row r="382" spans="2:59" x14ac:dyDescent="0.25">
      <c r="C382" s="6" t="s">
        <v>26</v>
      </c>
    </row>
    <row r="383" spans="2:59" x14ac:dyDescent="0.25">
      <c r="C383" s="6" t="s">
        <v>27</v>
      </c>
    </row>
    <row r="384" spans="2:59" x14ac:dyDescent="0.25">
      <c r="C384" s="6" t="s">
        <v>28</v>
      </c>
    </row>
    <row r="385" spans="1:59" x14ac:dyDescent="0.25">
      <c r="C385" s="6" t="s">
        <v>169</v>
      </c>
    </row>
    <row r="386" spans="1:59" x14ac:dyDescent="0.25">
      <c r="B386" s="35"/>
      <c r="C386" s="96" t="s">
        <v>170</v>
      </c>
      <c r="D386" s="86" t="s">
        <v>473</v>
      </c>
      <c r="E386" s="94">
        <f t="shared" ref="E386:AJ386" si="1312">(0.00306-0.00038*E303*COS(E307* Deg2Rad)+0.00026*COS(E312* Deg2Rad)-0.00002*COS((E312-E307)* Deg2Rad)+0.00002*COS((E312+E307)* Deg2Rad)+0.00002*COS((2*E317)* Deg2Rad))*-1</f>
        <v>-3.012475951868209E-3</v>
      </c>
      <c r="F386" s="94">
        <f t="shared" si="1312"/>
        <v>-3.428313942485509E-3</v>
      </c>
      <c r="G386" s="94">
        <f t="shared" si="1312"/>
        <v>-2.5112588727491596E-3</v>
      </c>
      <c r="H386" s="94">
        <f t="shared" si="1312"/>
        <v>-2.4698947411115071E-3</v>
      </c>
      <c r="I386" s="94">
        <f t="shared" si="1312"/>
        <v>-3.0209993337279571E-3</v>
      </c>
      <c r="J386" s="94">
        <f t="shared" si="1312"/>
        <v>-3.4579146960026352E-3</v>
      </c>
      <c r="K386" s="94">
        <f t="shared" si="1312"/>
        <v>-2.7731413163630688E-3</v>
      </c>
      <c r="L386" s="94">
        <f t="shared" si="1312"/>
        <v>-3.6538567203979171E-3</v>
      </c>
      <c r="M386" s="94">
        <f t="shared" si="1312"/>
        <v>-2.568142083259636E-3</v>
      </c>
      <c r="N386" s="94">
        <f t="shared" si="1312"/>
        <v>-2.5510968197277289E-3</v>
      </c>
      <c r="O386" s="94">
        <f t="shared" si="1312"/>
        <v>-2.6172464652040239E-3</v>
      </c>
      <c r="P386" s="94">
        <f t="shared" si="1312"/>
        <v>-3.6127473787968796E-3</v>
      </c>
      <c r="Q386" s="94">
        <f t="shared" si="1312"/>
        <v>-2.8956185506339087E-3</v>
      </c>
      <c r="R386" s="94">
        <f t="shared" si="1312"/>
        <v>-2.8484045858204556E-3</v>
      </c>
      <c r="S386" s="94">
        <f t="shared" si="1312"/>
        <v>-3.4128740644358041E-3</v>
      </c>
      <c r="T386" s="94">
        <f t="shared" si="1312"/>
        <v>-3.306878308181679E-3</v>
      </c>
      <c r="U386" s="94">
        <f t="shared" si="1312"/>
        <v>-3.1918521526487025E-3</v>
      </c>
      <c r="V386" s="94">
        <f t="shared" si="1312"/>
        <v>-3.4387589697711988E-3</v>
      </c>
      <c r="W386" s="94">
        <f t="shared" si="1312"/>
        <v>-3.5189139989765215E-3</v>
      </c>
      <c r="X386" s="94">
        <f t="shared" si="1312"/>
        <v>-3.0998156254315248E-3</v>
      </c>
      <c r="Y386" s="94">
        <f t="shared" si="1312"/>
        <v>-3.1294255940024309E-3</v>
      </c>
      <c r="Z386" s="94">
        <f t="shared" si="1312"/>
        <v>-2.5094169836998204E-3</v>
      </c>
      <c r="AA386" s="94">
        <f t="shared" si="1312"/>
        <v>-2.5112588727491596E-3</v>
      </c>
      <c r="AB386" s="94">
        <f t="shared" si="1312"/>
        <v>-3.6632968897410043E-3</v>
      </c>
      <c r="AC386" s="94">
        <f t="shared" si="1312"/>
        <v>-2.5431404486938713E-3</v>
      </c>
      <c r="AD386" s="94">
        <f t="shared" si="1312"/>
        <v>-3.5419388290259027E-3</v>
      </c>
      <c r="AE386" s="94">
        <f t="shared" si="1312"/>
        <v>-3.1294255940024309E-3</v>
      </c>
      <c r="AF386" s="94">
        <f t="shared" si="1312"/>
        <v>-2.860296106322574E-3</v>
      </c>
      <c r="AG386" s="94">
        <f t="shared" si="1312"/>
        <v>-3.0384057174352953E-3</v>
      </c>
      <c r="AH386" s="94">
        <f t="shared" si="1312"/>
        <v>-2.854344222254957E-3</v>
      </c>
      <c r="AI386" s="94">
        <f t="shared" si="1312"/>
        <v>-2.9393828313474747E-3</v>
      </c>
      <c r="AJ386" s="94">
        <f t="shared" si="1312"/>
        <v>-3.13252216845927E-3</v>
      </c>
      <c r="AK386" s="94">
        <f t="shared" ref="AK386:BG386" si="1313">(0.00306-0.00038*AK303*COS(AK307* Deg2Rad)+0.00026*COS(AK312* Deg2Rad)-0.00002*COS((AK312-AK307)* Deg2Rad)+0.00002*COS((AK312+AK307)* Deg2Rad)+0.00002*COS((2*AK317)* Deg2Rad))*-1</f>
        <v>-2.9900602633010274E-3</v>
      </c>
      <c r="AL386" s="94">
        <f t="shared" si="1313"/>
        <v>-3.2495984132598324E-3</v>
      </c>
      <c r="AM386" s="94">
        <f t="shared" si="1313"/>
        <v>-3.0162170571073547E-3</v>
      </c>
      <c r="AN386" s="94">
        <f t="shared" si="1313"/>
        <v>-3.0090030456100029E-3</v>
      </c>
      <c r="AO386" s="94">
        <f t="shared" si="1313"/>
        <v>-2.7323615778832989E-3</v>
      </c>
      <c r="AP386" s="94">
        <f t="shared" si="1313"/>
        <v>-2.6958804946474895E-3</v>
      </c>
      <c r="AQ386" s="94">
        <f t="shared" si="1313"/>
        <v>-2.6958804946474895E-3</v>
      </c>
      <c r="AR386" s="94">
        <f t="shared" si="1313"/>
        <v>-2.549807392754665E-3</v>
      </c>
      <c r="AS386" s="94">
        <f t="shared" si="1313"/>
        <v>-2.549807392754665E-3</v>
      </c>
      <c r="AT386" s="94">
        <f t="shared" si="1313"/>
        <v>-2.549807392754665E-3</v>
      </c>
      <c r="AU386" s="94">
        <f t="shared" si="1313"/>
        <v>-3.4536344981548066E-3</v>
      </c>
      <c r="AV386" s="94">
        <f t="shared" si="1313"/>
        <v>-3.0897146353404924E-3</v>
      </c>
      <c r="AW386" s="94">
        <f t="shared" si="1313"/>
        <v>-2.6359637682314883E-3</v>
      </c>
      <c r="AX386" s="94">
        <f t="shared" si="1313"/>
        <v>-3.0580380207288001E-3</v>
      </c>
      <c r="AY386" s="94">
        <f t="shared" si="1313"/>
        <v>-2.5474392619864272E-3</v>
      </c>
      <c r="AZ386" s="94">
        <f t="shared" si="1313"/>
        <v>-2.5474392619864272E-3</v>
      </c>
      <c r="BA386" s="94">
        <f t="shared" si="1313"/>
        <v>-2.6784874880036724E-3</v>
      </c>
      <c r="BB386" s="94">
        <f t="shared" si="1313"/>
        <v>-2.6784874880036724E-3</v>
      </c>
      <c r="BC386" s="94">
        <f t="shared" si="1313"/>
        <v>-2.6784874880036724E-3</v>
      </c>
      <c r="BD386" s="94">
        <f t="shared" si="1313"/>
        <v>-2.6784874880036724E-3</v>
      </c>
      <c r="BE386" s="94">
        <f t="shared" si="1313"/>
        <v>-2.6784874880036724E-3</v>
      </c>
      <c r="BF386" s="94">
        <f t="shared" si="1313"/>
        <v>-2.6784874880036724E-3</v>
      </c>
      <c r="BG386" s="94">
        <f t="shared" si="1313"/>
        <v>-3.1294255940024309E-3</v>
      </c>
    </row>
    <row r="387" spans="1:59" x14ac:dyDescent="0.25">
      <c r="C387" s="51" t="s">
        <v>474</v>
      </c>
    </row>
    <row r="388" spans="1:59" x14ac:dyDescent="0.25">
      <c r="B388" s="35">
        <v>353</v>
      </c>
      <c r="C388" s="96" t="s">
        <v>475</v>
      </c>
      <c r="D388" s="86" t="s">
        <v>478</v>
      </c>
      <c r="E388" s="113">
        <f>E302+E323+E380+E386</f>
        <v>2436157.4167489372</v>
      </c>
      <c r="F388" s="113">
        <f t="shared" ref="F388:X388" si="1314">F302+F323+F380+F386</f>
        <v>1842770.0982026567</v>
      </c>
      <c r="G388" s="113">
        <f t="shared" si="1314"/>
        <v>2451571.8318413235</v>
      </c>
      <c r="H388" s="113">
        <f t="shared" si="1314"/>
        <v>2451217.9993465855</v>
      </c>
      <c r="I388" s="113">
        <f t="shared" si="1314"/>
        <v>2446847.8727154895</v>
      </c>
      <c r="J388" s="113">
        <f t="shared" si="1314"/>
        <v>2446994.345600097</v>
      </c>
      <c r="K388" s="113">
        <f t="shared" si="1314"/>
        <v>2447202.4595420593</v>
      </c>
      <c r="L388" s="113">
        <f t="shared" si="1314"/>
        <v>2447348.9841250726</v>
      </c>
      <c r="M388" s="113">
        <f t="shared" si="1314"/>
        <v>2415043.495028914</v>
      </c>
      <c r="N388" s="113">
        <f t="shared" si="1314"/>
        <v>2305484.9097411199</v>
      </c>
      <c r="O388" s="113">
        <f t="shared" si="1314"/>
        <v>2305868.5952451453</v>
      </c>
      <c r="P388" s="113">
        <f t="shared" si="1314"/>
        <v>2026892.7743244558</v>
      </c>
      <c r="Q388" s="113">
        <f t="shared" si="1314"/>
        <v>1676541.5506611497</v>
      </c>
      <c r="R388" s="113">
        <f t="shared" si="1314"/>
        <v>1676512.0442907852</v>
      </c>
      <c r="S388" s="113">
        <f t="shared" si="1314"/>
        <v>1356017.33596297</v>
      </c>
      <c r="T388" s="113">
        <f t="shared" si="1314"/>
        <v>1355929.0889681198</v>
      </c>
      <c r="U388" s="113">
        <f t="shared" si="1314"/>
        <v>1355691.7350073056</v>
      </c>
      <c r="V388" s="113">
        <f t="shared" si="1314"/>
        <v>32.1713751756905</v>
      </c>
      <c r="W388" s="113">
        <f t="shared" si="1314"/>
        <v>2446935.6689351038</v>
      </c>
      <c r="X388" s="113">
        <f t="shared" si="1314"/>
        <v>2448767.1627680301</v>
      </c>
      <c r="Y388" s="113">
        <f>Y302+Y323+Y380+Y386</f>
        <v>2443214.9828585647</v>
      </c>
      <c r="Z388" s="113">
        <f t="shared" ref="Z388:AE388" si="1315">Z302+Z323+Z380+Z386</f>
        <v>2467636.4918638906</v>
      </c>
      <c r="AA388" s="113">
        <f t="shared" si="1315"/>
        <v>2451571.8318413235</v>
      </c>
      <c r="AB388" s="113">
        <f t="shared" si="1315"/>
        <v>2434946.5101345647</v>
      </c>
      <c r="AC388" s="113">
        <f t="shared" si="1315"/>
        <v>2443865.2378024664</v>
      </c>
      <c r="AD388" s="113">
        <f t="shared" si="1315"/>
        <v>2447290.5580723668</v>
      </c>
      <c r="AE388" s="113">
        <f t="shared" si="1315"/>
        <v>2443214.9828585647</v>
      </c>
      <c r="AF388" s="113">
        <f t="shared" ref="AF388:BG388" si="1316">AF302+AF323+AF380+AF386</f>
        <v>2449002.6682581198</v>
      </c>
      <c r="AG388" s="113">
        <f t="shared" si="1316"/>
        <v>2448943.9862065348</v>
      </c>
      <c r="AH388" s="113">
        <f t="shared" si="1316"/>
        <v>2448353.7821285068</v>
      </c>
      <c r="AI388" s="113">
        <f t="shared" si="1316"/>
        <v>2448737.4033593317</v>
      </c>
      <c r="AJ388" s="113">
        <f t="shared" si="1316"/>
        <v>2449150.7338797627</v>
      </c>
      <c r="AK388" s="113">
        <f t="shared" si="1316"/>
        <v>2385099.205368062</v>
      </c>
      <c r="AL388" s="113">
        <f t="shared" si="1316"/>
        <v>2448175.6474702065</v>
      </c>
      <c r="AM388" s="113">
        <f t="shared" si="1316"/>
        <v>1948459.7858282931</v>
      </c>
      <c r="AN388" s="113">
        <f t="shared" si="1316"/>
        <v>2451661.313311887</v>
      </c>
      <c r="AO388" s="113">
        <f t="shared" si="1316"/>
        <v>1721457.6207977289</v>
      </c>
      <c r="AP388" s="113">
        <f t="shared" si="1316"/>
        <v>2459870.219587889</v>
      </c>
      <c r="AQ388" s="113">
        <f t="shared" si="1316"/>
        <v>2459870.219587889</v>
      </c>
      <c r="AR388" s="113">
        <f t="shared" si="1316"/>
        <v>2459900.0612315345</v>
      </c>
      <c r="AS388" s="113">
        <f t="shared" si="1316"/>
        <v>2459900.0612315345</v>
      </c>
      <c r="AT388" s="113">
        <f t="shared" si="1316"/>
        <v>2459900.0612315345</v>
      </c>
      <c r="AU388" s="113">
        <f t="shared" si="1316"/>
        <v>2441857.3235940165</v>
      </c>
      <c r="AV388" s="113">
        <f t="shared" si="1316"/>
        <v>2450715.0668140305</v>
      </c>
      <c r="AW388" s="113">
        <f t="shared" si="1316"/>
        <v>2427830.3326518815</v>
      </c>
      <c r="AX388" s="113">
        <f t="shared" si="1316"/>
        <v>2435980.2109436034</v>
      </c>
      <c r="AY388" s="113">
        <f t="shared" si="1316"/>
        <v>2459929.8731456986</v>
      </c>
      <c r="AZ388" s="113">
        <f t="shared" si="1316"/>
        <v>2459929.8731456986</v>
      </c>
      <c r="BA388" s="113">
        <f t="shared" si="1316"/>
        <v>2459959.59138072</v>
      </c>
      <c r="BB388" s="113">
        <f t="shared" si="1316"/>
        <v>2459959.59138072</v>
      </c>
      <c r="BC388" s="113">
        <f t="shared" si="1316"/>
        <v>2459959.59138072</v>
      </c>
      <c r="BD388" s="113">
        <f t="shared" si="1316"/>
        <v>2459959.59138072</v>
      </c>
      <c r="BE388" s="113">
        <f t="shared" si="1316"/>
        <v>2459959.59138072</v>
      </c>
      <c r="BF388" s="113">
        <f t="shared" si="1316"/>
        <v>2459959.59138072</v>
      </c>
      <c r="BG388" s="113">
        <f t="shared" si="1316"/>
        <v>2443214.9828585647</v>
      </c>
    </row>
    <row r="389" spans="1:59" ht="15.75" thickBot="1" x14ac:dyDescent="0.3">
      <c r="A389" s="46"/>
      <c r="B389" s="115"/>
      <c r="C389" s="109" t="str">
        <f>'07JD'!C165</f>
        <v>DATE OF LAST QUARTER MOON</v>
      </c>
      <c r="D389" s="114"/>
      <c r="E389" s="110">
        <f>'07JD'!E165</f>
        <v>21138.916748937219</v>
      </c>
      <c r="F389" s="110" t="str">
        <f>'07JD'!F165</f>
        <v>333-3-25 14:21:24.24</v>
      </c>
      <c r="G389" s="110">
        <f>'07JD'!G165</f>
        <v>36553.331841323525</v>
      </c>
      <c r="H389" s="110">
        <f>'07JD'!H165</f>
        <v>36199.499346585479</v>
      </c>
      <c r="I389" s="110">
        <f>'07JD'!I165</f>
        <v>31829.372715489473</v>
      </c>
      <c r="J389" s="110">
        <f>'07JD'!J165</f>
        <v>31975.845600096975</v>
      </c>
      <c r="K389" s="110">
        <f>'07JD'!K165</f>
        <v>32183.95954205934</v>
      </c>
      <c r="L389" s="110">
        <f>'07JD'!L165</f>
        <v>32330.484125072602</v>
      </c>
      <c r="M389" s="110">
        <f>'07JD'!M165</f>
        <v>23.99502891395241</v>
      </c>
      <c r="N389" s="110" t="str">
        <f>'07JD'!N165</f>
        <v>1600-2-7 9:50:1.16</v>
      </c>
      <c r="O389" s="110" t="str">
        <f>'07JD'!O165</f>
        <v>1601-2-25 2:17:9.91</v>
      </c>
      <c r="P389" s="110" t="str">
        <f>'07JD'!P165</f>
        <v>837-5-1 6:35:1.16</v>
      </c>
      <c r="Q389" s="110" t="str">
        <f>'07JD'!Q165</f>
        <v>-122-2-14 1:12:57.57</v>
      </c>
      <c r="R389" s="110" t="str">
        <f>'07JD'!R165</f>
        <v>-122-1-15 13:3:46.46</v>
      </c>
      <c r="S389" s="110" t="str">
        <f>'07JD'!S165</f>
        <v>-1000-7-28 20:3:47.47</v>
      </c>
      <c r="T389" s="110" t="str">
        <f>'07JD'!T165</f>
        <v>-1000-5-1 14:8:6.68</v>
      </c>
      <c r="U389" s="110" t="str">
        <f>'07JD'!U165</f>
        <v>-1001-9-7 5:38:24.24</v>
      </c>
      <c r="V389" s="110" t="str">
        <f>'07JD'!V165</f>
        <v>-4712-2-2 16:6:46.46</v>
      </c>
      <c r="W389" s="110">
        <f>'07JD'!W165</f>
        <v>31917.168935103808</v>
      </c>
      <c r="X389" s="110">
        <f>'07JD'!X165</f>
        <v>33748.662768030073</v>
      </c>
      <c r="Y389" s="110">
        <f>'07JD'!Y165</f>
        <v>28196.482858564705</v>
      </c>
      <c r="Z389" s="110">
        <f>'07JD'!Z165</f>
        <v>52617.991863890551</v>
      </c>
      <c r="AA389" s="110">
        <f>'07JD'!AA165</f>
        <v>36553.331841323525</v>
      </c>
      <c r="AB389" s="110">
        <f>'07JD'!AB165</f>
        <v>19928.010134564713</v>
      </c>
      <c r="AC389" s="110">
        <f>'07JD'!AC165</f>
        <v>28846.737802466378</v>
      </c>
      <c r="AD389" s="110">
        <f>'07JD'!AD165</f>
        <v>32272.058072366752</v>
      </c>
      <c r="AE389" s="110">
        <f>'07JD'!AE165</f>
        <v>28196.482858564705</v>
      </c>
      <c r="AF389" s="110">
        <f>'07JD'!AF165</f>
        <v>33984.16825811984</v>
      </c>
      <c r="AG389" s="110">
        <f>'07JD'!AG165</f>
        <v>33925.486206534784</v>
      </c>
      <c r="AH389" s="110">
        <f>'07JD'!AH165</f>
        <v>33335.282128506806</v>
      </c>
      <c r="AI389" s="110">
        <f>'07JD'!AI165</f>
        <v>33718.903359331656</v>
      </c>
      <c r="AJ389" s="110">
        <f>'07JD'!AJ165</f>
        <v>34132.233879762702</v>
      </c>
      <c r="AK389" s="110" t="str">
        <f>'07JD'!AK165</f>
        <v>1818-1-29 16:55:43.43</v>
      </c>
      <c r="AL389" s="110">
        <f>'07JD'!AL165</f>
        <v>33157.147470206488</v>
      </c>
      <c r="AM389" s="110" t="str">
        <f>'07JD'!AM165</f>
        <v>622-8-5 6:51:35.35</v>
      </c>
      <c r="AN389" s="110">
        <f>'07JD'!AN165</f>
        <v>36642.813311886974</v>
      </c>
      <c r="AO389" s="110" t="str">
        <f>'07JD'!AO165</f>
        <v>1-2-4 2:53:56.56</v>
      </c>
      <c r="AP389" s="110">
        <f>'07JD'!AP165</f>
        <v>44851.719587889034</v>
      </c>
      <c r="AQ389" s="110">
        <f>'07JD'!AQ165</f>
        <v>44851.719587889034</v>
      </c>
      <c r="AR389" s="110">
        <f>'07JD'!AR165</f>
        <v>44881.561231534462</v>
      </c>
      <c r="AS389" s="110">
        <f>'07JD'!AS165</f>
        <v>44881.561231534462</v>
      </c>
      <c r="AT389" s="110">
        <f>'07JD'!AT165</f>
        <v>44881.561231534462</v>
      </c>
      <c r="AU389" s="110">
        <f>'07JD'!AU165</f>
        <v>26838.823594016489</v>
      </c>
      <c r="AV389" s="110">
        <f>'07JD'!AV165</f>
        <v>35696.566814030521</v>
      </c>
      <c r="AW389" s="110">
        <f>'07JD'!AW165</f>
        <v>12811.832651881501</v>
      </c>
      <c r="AX389" s="110">
        <f>'07JD'!AX165</f>
        <v>20961.710943603422</v>
      </c>
      <c r="AY389" s="110">
        <f>'07JD'!AY165</f>
        <v>44911.37314569857</v>
      </c>
      <c r="AZ389" s="110">
        <f>'07JD'!AZ165</f>
        <v>44911.37314569857</v>
      </c>
      <c r="BA389" s="110">
        <f>'07JD'!BA165</f>
        <v>44941.091380720027</v>
      </c>
      <c r="BB389" s="110">
        <f>'07JD'!BB165</f>
        <v>44941.091380720027</v>
      </c>
      <c r="BC389" s="110">
        <f>'07JD'!BC165</f>
        <v>44941.091380720027</v>
      </c>
      <c r="BD389" s="110">
        <f>'07JD'!BD165</f>
        <v>44941.091380720027</v>
      </c>
      <c r="BE389" s="110">
        <f>'07JD'!BE165</f>
        <v>44941.091380720027</v>
      </c>
      <c r="BF389" s="110">
        <f>'07JD'!BF165</f>
        <v>44941.091380720027</v>
      </c>
      <c r="BG389" s="110">
        <f>'07JD'!BG165</f>
        <v>28196.482858564705</v>
      </c>
    </row>
    <row r="390" spans="1:59" ht="15.75" thickTop="1" x14ac:dyDescent="0.25"/>
  </sheetData>
  <mergeCells count="3">
    <mergeCell ref="A1:D1"/>
    <mergeCell ref="A10:C10"/>
    <mergeCell ref="A11:C1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9552-65E0-45E8-8E3E-16ECA2CA0DA3}">
  <dimension ref="A1:BG307"/>
  <sheetViews>
    <sheetView workbookViewId="0">
      <selection activeCell="G26" sqref="G26"/>
    </sheetView>
  </sheetViews>
  <sheetFormatPr defaultRowHeight="15" x14ac:dyDescent="0.25"/>
  <cols>
    <col min="1" max="1" width="5.7109375" bestFit="1" customWidth="1"/>
    <col min="2" max="2" width="5" bestFit="1" customWidth="1"/>
    <col min="3" max="3" width="55.42578125" bestFit="1" customWidth="1"/>
    <col min="4" max="4" width="8.5703125" style="7" bestFit="1" customWidth="1"/>
    <col min="5" max="45" width="18.5703125" customWidth="1"/>
    <col min="46" max="59" width="18.5703125" bestFit="1" customWidth="1"/>
  </cols>
  <sheetData>
    <row r="1" spans="1:59" ht="15.75" x14ac:dyDescent="0.25">
      <c r="A1" s="338" t="s">
        <v>1040</v>
      </c>
      <c r="B1" s="338"/>
      <c r="C1" s="338"/>
      <c r="D1" s="338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'49Phases'!E2</f>
        <v>7.a</v>
      </c>
      <c r="F2" s="19" t="str">
        <f>'49Phases'!F2</f>
        <v>7.b</v>
      </c>
      <c r="G2" s="19" t="str">
        <f>'49Phases'!G2</f>
        <v>7.c.1/8</v>
      </c>
      <c r="H2" s="19" t="str">
        <f>'49Phases'!H2</f>
        <v>7.c.2</v>
      </c>
      <c r="I2" s="19" t="str">
        <f>'49Phases'!I2</f>
        <v>7.c.3</v>
      </c>
      <c r="J2" s="19" t="str">
        <f>'49Phases'!J2</f>
        <v>7.c.4</v>
      </c>
      <c r="K2" s="19" t="str">
        <f>'49Phases'!K2</f>
        <v>7.c.5</v>
      </c>
      <c r="L2" s="19" t="str">
        <f>'49Phases'!L2</f>
        <v>7.c.6</v>
      </c>
      <c r="M2" s="19" t="str">
        <f>'49Phases'!M2</f>
        <v>7.c.7</v>
      </c>
      <c r="N2" s="19" t="str">
        <f>'49Phases'!N2</f>
        <v>7.c.8</v>
      </c>
      <c r="O2" s="19" t="str">
        <f>'49Phases'!O2</f>
        <v>7.c.9</v>
      </c>
      <c r="P2" s="19" t="str">
        <f>'49Phases'!P2</f>
        <v>7.c.10</v>
      </c>
      <c r="Q2" s="19" t="str">
        <f>'49Phases'!Q2</f>
        <v>7.c.11</v>
      </c>
      <c r="R2" s="19" t="str">
        <f>'49Phases'!R2</f>
        <v>7.c.12</v>
      </c>
      <c r="S2" s="19" t="str">
        <f>'49Phases'!S2</f>
        <v>7.c.13</v>
      </c>
      <c r="T2" s="19" t="str">
        <f>'49Phases'!T2</f>
        <v>7.c.14</v>
      </c>
      <c r="U2" s="19" t="str">
        <f>'49Phases'!U2</f>
        <v>7.c.15</v>
      </c>
      <c r="V2" s="19" t="str">
        <f>'49Phases'!V2</f>
        <v>7.c.16</v>
      </c>
      <c r="W2" s="19" t="str">
        <f>'49Phases'!W2</f>
        <v>22.a</v>
      </c>
      <c r="X2" s="19" t="str">
        <f>'49Phases'!X2</f>
        <v>47.a/48.a</v>
      </c>
      <c r="Y2" s="19" t="str">
        <f>'49Phases'!Y2</f>
        <v>49.a</v>
      </c>
      <c r="Z2" s="19" t="str">
        <f>'49Phases'!Z2</f>
        <v>49.b</v>
      </c>
      <c r="AA2" s="19" t="str">
        <f>'49Phases'!AA2</f>
        <v>1/1/2000/8</v>
      </c>
      <c r="AB2" s="19" t="str">
        <f>'49Phases'!AB2</f>
        <v>7.e/8</v>
      </c>
      <c r="AC2" s="19" t="str">
        <f>'49Phases'!AC2</f>
        <v>7.f</v>
      </c>
      <c r="AD2" s="19" t="str">
        <f>'49Phases'!AD2</f>
        <v>7.g</v>
      </c>
      <c r="AE2" s="19" t="str">
        <f>'49Phases'!AE2</f>
        <v>10.a</v>
      </c>
      <c r="AF2" s="19" t="str">
        <f>'49Phases'!AF2</f>
        <v>32.a</v>
      </c>
      <c r="AG2" s="19" t="str">
        <f>'49Phases'!AG2</f>
        <v>25.a</v>
      </c>
      <c r="AH2" s="19" t="str">
        <f>'49Phases'!AH2</f>
        <v>8.a</v>
      </c>
      <c r="AI2" s="19" t="str">
        <f>'49Phases'!AI2</f>
        <v>8.b</v>
      </c>
      <c r="AJ2" s="19" t="str">
        <f>'49Phases'!AJ2</f>
        <v>8.c</v>
      </c>
      <c r="AK2" s="19" t="str">
        <f>'49Phases'!AK2</f>
        <v>8.d</v>
      </c>
      <c r="AL2" s="19" t="str">
        <f>'49Phases'!AL2</f>
        <v>9.a</v>
      </c>
      <c r="AM2" s="19" t="str">
        <f>'49Phases'!AM2</f>
        <v>Muslim date 1-1-1</v>
      </c>
      <c r="AN2" s="19" t="str">
        <f>'49Phases'!AN2</f>
        <v>9.b</v>
      </c>
      <c r="AO2" s="19" t="str">
        <f>'49Phases'!AO2</f>
        <v>Gregorian Epoch</v>
      </c>
      <c r="AP2" s="19" t="str">
        <f>'49Phases'!AP2</f>
        <v>New Moon</v>
      </c>
      <c r="AQ2" s="19" t="str">
        <f>'49Phases'!AQ2</f>
        <v>1st Qtr Moon</v>
      </c>
      <c r="AR2" s="19" t="str">
        <f>'49Phases'!AR2</f>
        <v>Full Moon</v>
      </c>
      <c r="AS2" s="19" t="str">
        <f>'49Phases'!AS2</f>
        <v>3rd Qtr Moon</v>
      </c>
      <c r="AT2" s="19" t="str">
        <f>'49Phases'!AT2</f>
        <v>Eclipse</v>
      </c>
      <c r="AU2" s="19" t="str">
        <f>'49Phases'!AU2</f>
        <v>54.c lunar eclipse</v>
      </c>
      <c r="AV2" s="19" t="str">
        <f>'49Phases'!AV2</f>
        <v>54.d lunar eclipse</v>
      </c>
      <c r="AW2" s="19" t="str">
        <f>'49Phases'!AW2</f>
        <v>p 387 eclipse</v>
      </c>
      <c r="AX2" s="19" t="str">
        <f>'49Phases'!AX2</f>
        <v>p 387</v>
      </c>
      <c r="AY2" s="19" t="str">
        <f>'49Phases'!AY2</f>
        <v>new+16</v>
      </c>
      <c r="AZ2" s="19" t="str">
        <f>'49Phases'!AZ2</f>
        <v>new+17</v>
      </c>
      <c r="BA2" s="19" t="str">
        <f>'49Phases'!BA2</f>
        <v>new+18</v>
      </c>
      <c r="BB2" s="19" t="str">
        <f>'49Phases'!BB2</f>
        <v>new+19</v>
      </c>
      <c r="BC2" s="19" t="str">
        <f>'49Phases'!BC2</f>
        <v>new+20</v>
      </c>
      <c r="BD2" s="19" t="str">
        <f>'49Phases'!BD2</f>
        <v>new+21</v>
      </c>
      <c r="BE2" s="19" t="str">
        <f>'49Phases'!BE2</f>
        <v>new+22 3rd</v>
      </c>
      <c r="BF2" s="19" t="str">
        <f>'49Phases'!BF2</f>
        <v>new+23</v>
      </c>
      <c r="BG2" s="19" t="str">
        <f>'49Phases'!BG2</f>
        <v>z</v>
      </c>
    </row>
    <row r="3" spans="1:59" x14ac:dyDescent="0.25">
      <c r="A3" s="7"/>
      <c r="B3" s="7"/>
      <c r="C3" s="299" t="s">
        <v>291</v>
      </c>
      <c r="D3" s="300" t="s">
        <v>1042</v>
      </c>
      <c r="E3" s="301">
        <f>'49Phases'!E100</f>
        <v>21116.19719602447</v>
      </c>
      <c r="F3" s="301" t="str">
        <f>'49Phases'!F100</f>
        <v>333-3-2 22:29:5.54</v>
      </c>
      <c r="G3" s="301">
        <f>'49Phases'!G100</f>
        <v>36531.760257791262</v>
      </c>
      <c r="H3" s="301">
        <f>'49Phases'!H100</f>
        <v>36177.657837793231</v>
      </c>
      <c r="I3" s="301">
        <f>'49Phases'!I100</f>
        <v>31806.573188359849</v>
      </c>
      <c r="J3" s="301">
        <f>'49Phases'!J100</f>
        <v>31954.234533697832</v>
      </c>
      <c r="K3" s="301">
        <f>'49Phases'!K100</f>
        <v>32161.226696273778</v>
      </c>
      <c r="L3" s="301">
        <f>'49Phases'!L100</f>
        <v>32308.385188464075</v>
      </c>
      <c r="M3" s="301">
        <f>'49Phases'!M100</f>
        <v>1.5776915256865323</v>
      </c>
      <c r="N3" s="301" t="str">
        <f>'49Phases'!N100</f>
        <v>1600-1-16 5:7:43.43</v>
      </c>
      <c r="O3" s="301" t="str">
        <f>'49Phases'!O100</f>
        <v>1601-2-3 4:43:51.51</v>
      </c>
      <c r="P3" s="301" t="str">
        <f>'49Phases'!P100</f>
        <v>837-4-8 23:13:43.43</v>
      </c>
      <c r="Q3" s="301" t="str">
        <f>'49Phases'!Q100</f>
        <v>-122-1-23 8:58:2.25</v>
      </c>
      <c r="R3" s="301" t="str">
        <f>'49Phases'!R100</f>
        <v>-123-12-24 14:20:3.36</v>
      </c>
      <c r="S3" s="301" t="str">
        <f>'49Phases'!S100</f>
        <v>-1000-7-6 3:3:21.21</v>
      </c>
      <c r="T3" s="301" t="str">
        <f>'49Phases'!T100</f>
        <v>-1000-4-9 5:59:8.88</v>
      </c>
      <c r="U3" s="301" t="str">
        <f>'49Phases'!U100</f>
        <v>-1001-8-15 23:52:43.43</v>
      </c>
      <c r="V3" s="301" t="str">
        <f>'49Phases'!V100</f>
        <v>-4712-1-11 6:10:47.47</v>
      </c>
      <c r="W3" s="301">
        <f>'49Phases'!W100</f>
        <v>31895.066107186023</v>
      </c>
      <c r="X3" s="301">
        <f>'49Phases'!X100</f>
        <v>33726.739891719073</v>
      </c>
      <c r="Y3" s="301">
        <f>'49Phases'!Y100</f>
        <v>28174.15118268365</v>
      </c>
      <c r="Z3" s="301">
        <f>'49Phases'!Z100</f>
        <v>52596.409288668539</v>
      </c>
      <c r="AA3" s="301">
        <f>'49Phases'!AA100</f>
        <v>36531.760257791262</v>
      </c>
      <c r="AB3" s="301">
        <f>'49Phases'!AB100</f>
        <v>19905.518249634188</v>
      </c>
      <c r="AC3" s="301">
        <f>'49Phases'!AC100</f>
        <v>28824.347401978448</v>
      </c>
      <c r="AD3" s="301">
        <f>'49Phases'!AD100</f>
        <v>32249.500564297661</v>
      </c>
      <c r="AE3" s="301">
        <f>'49Phases'!AE100</f>
        <v>28174.15118268365</v>
      </c>
      <c r="AF3" s="301">
        <f>'49Phases'!AF100</f>
        <v>33962.030430479441</v>
      </c>
      <c r="AG3" s="301">
        <f>'49Phases'!AG100</f>
        <v>33902.8574780114</v>
      </c>
      <c r="AH3" s="301">
        <f>'49Phases'!AH100</f>
        <v>33313.341374580283</v>
      </c>
      <c r="AI3" s="301">
        <f>'49Phases'!AI100</f>
        <v>33697.210075245239</v>
      </c>
      <c r="AJ3" s="301">
        <f>'49Phases'!AJ100</f>
        <v>34110.588611789513</v>
      </c>
      <c r="AK3" s="301" t="str">
        <f>'49Phases'!AK100</f>
        <v>1818-1-6 23:42:49.49</v>
      </c>
      <c r="AL3" s="301">
        <f>'49Phases'!AL100</f>
        <v>33135.032788457349</v>
      </c>
      <c r="AM3" s="301" t="str">
        <f>'49Phases'!AM100</f>
        <v>622-7-14 6:42:47.47</v>
      </c>
      <c r="AN3" s="301">
        <f>'49Phases'!AN100</f>
        <v>36620.759100174531</v>
      </c>
      <c r="AO3" s="301" t="str">
        <f>'49Phases'!AO100</f>
        <v>1-1-13 13:57:4.43</v>
      </c>
      <c r="AP3" s="301">
        <f>'49Phases'!AP100</f>
        <v>44829.913620128296</v>
      </c>
      <c r="AQ3" s="301">
        <f>'49Phases'!AQ100</f>
        <v>44829.913620128296</v>
      </c>
      <c r="AR3" s="301">
        <f>'49Phases'!AR100</f>
        <v>44859.451232156716</v>
      </c>
      <c r="AS3" s="301">
        <f>'49Phases'!AS100</f>
        <v>44859.451232156716</v>
      </c>
      <c r="AT3" s="301">
        <f>'49Phases'!AT100</f>
        <v>44859.451232156716</v>
      </c>
      <c r="AU3" s="301">
        <f>'49Phases'!AU100</f>
        <v>26816.190961009823</v>
      </c>
      <c r="AV3" s="301">
        <f>'49Phases'!AV100</f>
        <v>35674.994955319446</v>
      </c>
      <c r="AW3" s="301">
        <f>'49Phases'!AW100</f>
        <v>12789.222554526757</v>
      </c>
      <c r="AX3" s="301">
        <f>'49Phases'!AX100</f>
        <v>20939.996080751996</v>
      </c>
      <c r="AY3" s="301">
        <f>'49Phases'!AY100</f>
        <v>44888.957164985128</v>
      </c>
      <c r="AZ3" s="301">
        <f>'49Phases'!AZ100</f>
        <v>44888.957164985128</v>
      </c>
      <c r="BA3" s="301">
        <f>'49Phases'!BA100</f>
        <v>44918.429170388263</v>
      </c>
      <c r="BB3" s="301">
        <f>'49Phases'!BB100</f>
        <v>44918.429170388263</v>
      </c>
      <c r="BC3" s="301">
        <f>'49Phases'!BC100</f>
        <v>44918.429170388263</v>
      </c>
      <c r="BD3" s="301">
        <f>'49Phases'!BD100</f>
        <v>44918.429170388263</v>
      </c>
      <c r="BE3" s="301">
        <f>'49Phases'!BE100</f>
        <v>44918.429170388263</v>
      </c>
      <c r="BF3" s="301">
        <f>'49Phases'!BF100</f>
        <v>44918.429170388263</v>
      </c>
      <c r="BG3" s="301">
        <f>'49Phases'!BG100</f>
        <v>28174.15118268365</v>
      </c>
    </row>
    <row r="4" spans="1:59" x14ac:dyDescent="0.25">
      <c r="A4" s="202">
        <v>10</v>
      </c>
      <c r="B4" s="202"/>
      <c r="C4" s="315"/>
      <c r="D4" s="330" t="s">
        <v>1155</v>
      </c>
      <c r="E4" s="331">
        <f>Examples!E7</f>
        <v>3.7268518518518521E-4</v>
      </c>
      <c r="F4" s="331">
        <f>Examples!F7</f>
        <v>6.2873254282407406E-2</v>
      </c>
      <c r="G4" s="331">
        <f>Examples!G7</f>
        <v>7.5231481481481482E-4</v>
      </c>
      <c r="H4" s="331">
        <f>Examples!H7</f>
        <v>1.1687792824074074E-3</v>
      </c>
      <c r="I4" s="331">
        <f>Examples!I7</f>
        <v>6.4583333333333322E-4</v>
      </c>
      <c r="J4" s="331">
        <f>Examples!J7</f>
        <v>6.4583333333333322E-4</v>
      </c>
      <c r="K4" s="331">
        <f>Examples!K7</f>
        <v>6.4583333333333322E-4</v>
      </c>
      <c r="L4" s="331">
        <f>Examples!L7</f>
        <v>6.4583333333333322E-4</v>
      </c>
      <c r="M4" s="331">
        <f>Examples!M7</f>
        <v>-3.2407407407407401E-5</v>
      </c>
      <c r="N4" s="331">
        <f>Examples!N7</f>
        <v>1.1435185185185188E-3</v>
      </c>
      <c r="O4" s="331">
        <f>Examples!O7</f>
        <v>1.1435185185185188E-3</v>
      </c>
      <c r="P4" s="331">
        <f>Examples!P7</f>
        <v>2.7057170949074082E-2</v>
      </c>
      <c r="Q4" s="331">
        <f>Examples!Q7</f>
        <v>0.10809694872685184</v>
      </c>
      <c r="R4" s="331">
        <f>Examples!R7</f>
        <v>0.10798445046296296</v>
      </c>
      <c r="S4" s="331">
        <f>Examples!S7</f>
        <v>0.22930555555555554</v>
      </c>
      <c r="T4" s="331">
        <f>Examples!T7</f>
        <v>0.22930555555555554</v>
      </c>
      <c r="U4" s="331">
        <f>Examples!U7</f>
        <v>0.22946947372685186</v>
      </c>
      <c r="V4" s="331">
        <f>Examples!V7</f>
        <v>1.2411417629629633</v>
      </c>
      <c r="W4" s="331">
        <f>Examples!W7</f>
        <v>6.4583333333333322E-4</v>
      </c>
      <c r="X4" s="331">
        <f>Examples!X7</f>
        <v>6.7476851851851856E-4</v>
      </c>
      <c r="Y4" s="331">
        <f>Examples!Y7</f>
        <v>5.5555555555555556E-4</v>
      </c>
      <c r="Z4" s="331">
        <f>Examples!Z7</f>
        <v>1.516875925925926E-3</v>
      </c>
      <c r="AA4" s="331">
        <f>Examples!AA7</f>
        <v>7.5231481481481482E-4</v>
      </c>
      <c r="AB4" s="331">
        <f>Examples!AB7</f>
        <v>3.5532407407407404E-4</v>
      </c>
      <c r="AC4" s="331">
        <f>Examples!AC7</f>
        <v>5.6134259259259267E-4</v>
      </c>
      <c r="AD4" s="331">
        <f>Examples!AD7</f>
        <v>6.4583333333333322E-4</v>
      </c>
      <c r="AE4" s="331">
        <f>Examples!AE7</f>
        <v>5.5555555555555556E-4</v>
      </c>
      <c r="AF4" s="331">
        <f>Examples!AF7</f>
        <v>6.7476851851851856E-4</v>
      </c>
      <c r="AG4" s="331">
        <f>Examples!AG7</f>
        <v>6.7476851851851856E-4</v>
      </c>
      <c r="AH4" s="331">
        <f>Examples!AH7</f>
        <v>6.7476851851851856E-4</v>
      </c>
      <c r="AI4" s="331">
        <f>Examples!AI7</f>
        <v>6.7476851851851856E-4</v>
      </c>
      <c r="AJ4" s="331">
        <f>Examples!AJ7</f>
        <v>6.9444444444444436E-4</v>
      </c>
      <c r="AK4" s="331">
        <f>Examples!AK7</f>
        <v>1.8949074074073825E-6</v>
      </c>
      <c r="AL4" s="331">
        <f>Examples!AL7</f>
        <v>6.5856481481481473E-4</v>
      </c>
      <c r="AM4" s="331">
        <f>Examples!AM7</f>
        <v>4.051639490740741E-2</v>
      </c>
      <c r="AN4" s="331">
        <f>Examples!AN7</f>
        <v>7.5231481481481482E-4</v>
      </c>
      <c r="AO4" s="331">
        <f>Examples!AO7</f>
        <v>9.4593779282407392E-2</v>
      </c>
      <c r="AP4" s="331">
        <f>Examples!AP7</f>
        <v>1.1204226851851851E-3</v>
      </c>
      <c r="AQ4" s="331">
        <f>Examples!AQ7</f>
        <v>1.1204226851851851E-3</v>
      </c>
      <c r="AR4" s="331">
        <f>Examples!AR7</f>
        <v>1.1204226851851851E-3</v>
      </c>
      <c r="AS4" s="331">
        <f>Examples!AS7</f>
        <v>1.1204226851851851E-3</v>
      </c>
      <c r="AT4" s="331">
        <f>Examples!AT7</f>
        <v>1.1204226851851851E-3</v>
      </c>
      <c r="AU4" s="331">
        <f>Examples!AU7</f>
        <v>5.1504629629629632E-4</v>
      </c>
      <c r="AV4" s="331">
        <f>Examples!AV7</f>
        <v>7.2916666666666659E-4</v>
      </c>
      <c r="AW4" s="331">
        <f>Examples!AW7</f>
        <v>2.7662037037037038E-4</v>
      </c>
      <c r="AX4" s="331">
        <f>Examples!AX7</f>
        <v>3.7268518518518521E-4</v>
      </c>
      <c r="AY4" s="331">
        <f>Examples!AY7</f>
        <v>1.1204226851851851E-3</v>
      </c>
      <c r="AZ4" s="331">
        <f>Examples!AZ7</f>
        <v>1.1204226851851851E-3</v>
      </c>
      <c r="BA4" s="331">
        <f>Examples!BA7</f>
        <v>1.1204226851851851E-3</v>
      </c>
      <c r="BB4" s="331">
        <f>Examples!BB7</f>
        <v>1.1204226851851851E-3</v>
      </c>
      <c r="BC4" s="331">
        <f>Examples!BC7</f>
        <v>1.1204226851851851E-3</v>
      </c>
      <c r="BD4" s="331">
        <f>Examples!BD7</f>
        <v>1.1204226851851851E-3</v>
      </c>
      <c r="BE4" s="331">
        <f>Examples!BE7</f>
        <v>1.1204226851851851E-3</v>
      </c>
      <c r="BF4" s="331">
        <f>Examples!BF7</f>
        <v>1.1204226851851851E-3</v>
      </c>
      <c r="BG4" s="331">
        <f>Examples!BG7</f>
        <v>5.5555555555555556E-4</v>
      </c>
    </row>
    <row r="5" spans="1:59" x14ac:dyDescent="0.25">
      <c r="A5" s="202">
        <v>49.1</v>
      </c>
      <c r="B5" s="202">
        <v>349</v>
      </c>
      <c r="C5" s="315"/>
      <c r="D5" s="203" t="s">
        <v>1170</v>
      </c>
      <c r="E5" s="202">
        <f>'49Phases'!E21</f>
        <v>2436135.1303020651</v>
      </c>
      <c r="F5" s="202">
        <f>'49Phases'!F21</f>
        <v>1842747.5213407839</v>
      </c>
      <c r="G5" s="202">
        <f>'49Phases'!G21</f>
        <v>2451550.09766</v>
      </c>
      <c r="H5" s="202">
        <f>'49Phases'!H21</f>
        <v>2451195.7305936823</v>
      </c>
      <c r="I5" s="202">
        <f>'49Phases'!I21</f>
        <v>2446825.2034448241</v>
      </c>
      <c r="J5" s="202">
        <f>'49Phases'!J21</f>
        <v>2446972.8563889698</v>
      </c>
      <c r="K5" s="202">
        <f>'49Phases'!K21</f>
        <v>2447179.5705107828</v>
      </c>
      <c r="L5" s="202">
        <f>'49Phases'!L21</f>
        <v>2447327.2234549401</v>
      </c>
      <c r="M5" s="202">
        <f>'49Phases'!M21</f>
        <v>2415020.7593935011</v>
      </c>
      <c r="N5" s="202">
        <f>'49Phases'!N21</f>
        <v>2305462.2770439382</v>
      </c>
      <c r="O5" s="202">
        <f>'49Phases'!O21</f>
        <v>2305846.1746860915</v>
      </c>
      <c r="P5" s="202">
        <f>'49Phases'!P21</f>
        <v>2026870.720368339</v>
      </c>
      <c r="Q5" s="202">
        <f>'49Phases'!Q21</f>
        <v>1676519.8640901106</v>
      </c>
      <c r="R5" s="202">
        <f>'49Phases'!R21</f>
        <v>1676490.3335067327</v>
      </c>
      <c r="S5" s="202">
        <f>'49Phases'!S21</f>
        <v>1355994.9250288475</v>
      </c>
      <c r="T5" s="202">
        <f>'49Phases'!T21</f>
        <v>1355906.3332859003</v>
      </c>
      <c r="U5" s="202">
        <f>'49Phases'!U21</f>
        <v>1355670.0886380509</v>
      </c>
      <c r="V5" s="202">
        <f>'49Phases'!V21</f>
        <v>9.9578039574834847</v>
      </c>
      <c r="W5" s="202">
        <f>'49Phases'!W21</f>
        <v>2446913.7952113105</v>
      </c>
      <c r="X5" s="202">
        <f>'49Phases'!X21</f>
        <v>2448744.6917191157</v>
      </c>
      <c r="Y5" s="202">
        <f>'49Phases'!Y21</f>
        <v>2443192.9410204203</v>
      </c>
      <c r="Z5" s="202">
        <f>'49Phases'!Z21</f>
        <v>2467614.7380302339</v>
      </c>
      <c r="AA5" s="202">
        <f>'49Phases'!AA21</f>
        <v>2451550.09766</v>
      </c>
      <c r="AB5" s="202">
        <f>'49Phases'!AB21</f>
        <v>2434924.3761632559</v>
      </c>
      <c r="AC5" s="202">
        <f>'49Phases'!AC21</f>
        <v>2443842.6139741545</v>
      </c>
      <c r="AD5" s="202">
        <f>'49Phases'!AD21</f>
        <v>2447268.1622772771</v>
      </c>
      <c r="AE5" s="202">
        <f>'49Phases'!AE21</f>
        <v>2443192.9410204203</v>
      </c>
      <c r="AF5" s="202">
        <f>'49Phases'!AF21</f>
        <v>2448980.9364298568</v>
      </c>
      <c r="AG5" s="202">
        <f>'49Phases'!AG21</f>
        <v>2448921.87525217</v>
      </c>
      <c r="AH5" s="202">
        <f>'49Phases'!AH21</f>
        <v>2448331.2634753501</v>
      </c>
      <c r="AI5" s="202">
        <f>'49Phases'!AI21</f>
        <v>2448715.1611302737</v>
      </c>
      <c r="AJ5" s="202">
        <f>'49Phases'!AJ21</f>
        <v>2449128.5893740766</v>
      </c>
      <c r="AK5" s="202">
        <f>'49Phases'!AK21</f>
        <v>2385076.7426461061</v>
      </c>
      <c r="AL5" s="202">
        <f>'49Phases'!AL21</f>
        <v>2448154.0799423195</v>
      </c>
      <c r="AM5" s="202">
        <f>'49Phases'!AM21</f>
        <v>1948437.484943164</v>
      </c>
      <c r="AN5" s="202">
        <f>'49Phases'!AN21</f>
        <v>2451638.6894265837</v>
      </c>
      <c r="AO5" s="202">
        <f>'49Phases'!AO21</f>
        <v>1721435.881658416</v>
      </c>
      <c r="AP5" s="202">
        <f>'49Phases'!AP21</f>
        <v>2459848.193137907</v>
      </c>
      <c r="AQ5" s="202">
        <f>'49Phases'!AQ21</f>
        <v>2459848.193137907</v>
      </c>
      <c r="AR5" s="202">
        <f>'49Phases'!AR21</f>
        <v>2459877.7237268249</v>
      </c>
      <c r="AS5" s="202">
        <f>'49Phases'!AS21</f>
        <v>2459877.7237268249</v>
      </c>
      <c r="AT5" s="202">
        <f>'49Phases'!AT21</f>
        <v>2459877.7237268249</v>
      </c>
      <c r="AU5" s="202">
        <f>'49Phases'!AU21</f>
        <v>2441834.5339356563</v>
      </c>
      <c r="AV5" s="202">
        <f>'49Phases'!AV21</f>
        <v>2450693.7105831159</v>
      </c>
      <c r="AW5" s="202">
        <f>'49Phases'!AW21</f>
        <v>2427807.5042810258</v>
      </c>
      <c r="AX5" s="202">
        <f>'49Phases'!AX21</f>
        <v>2435957.9467695351</v>
      </c>
      <c r="AY5" s="202">
        <f>'49Phases'!AY21</f>
        <v>2459907.2543157428</v>
      </c>
      <c r="AZ5" s="202">
        <f>'49Phases'!AZ21</f>
        <v>2459907.2543157428</v>
      </c>
      <c r="BA5" s="202">
        <f>'49Phases'!BA21</f>
        <v>2459936.7849046611</v>
      </c>
      <c r="BB5" s="202">
        <f>'49Phases'!BB21</f>
        <v>2459936.7849046611</v>
      </c>
      <c r="BC5" s="202">
        <f>'49Phases'!BC21</f>
        <v>2459936.7849046611</v>
      </c>
      <c r="BD5" s="202">
        <f>'49Phases'!BD21</f>
        <v>2459936.7849046611</v>
      </c>
      <c r="BE5" s="202">
        <f>'49Phases'!BE21</f>
        <v>2459936.7849046611</v>
      </c>
      <c r="BF5" s="202">
        <f>'49Phases'!BF21</f>
        <v>2459936.7849046611</v>
      </c>
      <c r="BG5" s="202">
        <f>'49Phases'!BG21</f>
        <v>2443192.9410204203</v>
      </c>
    </row>
    <row r="6" spans="1:59" x14ac:dyDescent="0.25">
      <c r="A6" s="202">
        <v>49.2</v>
      </c>
      <c r="B6" s="202">
        <v>350</v>
      </c>
      <c r="C6" s="315"/>
      <c r="D6" s="203" t="s">
        <v>1041</v>
      </c>
      <c r="E6" s="202">
        <f>'49Phases'!E15</f>
        <v>-522</v>
      </c>
      <c r="F6" s="202">
        <f>'49Phases'!F15</f>
        <v>-20616</v>
      </c>
      <c r="G6" s="202">
        <f>'49Phases'!G15</f>
        <v>0</v>
      </c>
      <c r="H6" s="202">
        <f>'49Phases'!H15</f>
        <v>-12</v>
      </c>
      <c r="I6" s="202">
        <f>'49Phases'!I15</f>
        <v>-160</v>
      </c>
      <c r="J6" s="202">
        <f>'49Phases'!J15</f>
        <v>-155</v>
      </c>
      <c r="K6" s="202">
        <f>'49Phases'!K15</f>
        <v>-148</v>
      </c>
      <c r="L6" s="202">
        <f>'49Phases'!L15</f>
        <v>-143</v>
      </c>
      <c r="M6" s="202">
        <f>'49Phases'!M15</f>
        <v>-1237</v>
      </c>
      <c r="N6" s="202">
        <f>'49Phases'!N15</f>
        <v>-4947</v>
      </c>
      <c r="O6" s="202">
        <f>'49Phases'!O15</f>
        <v>-4934</v>
      </c>
      <c r="P6" s="202">
        <f>'49Phases'!P15</f>
        <v>-14381</v>
      </c>
      <c r="Q6" s="202">
        <f>'49Phases'!Q15</f>
        <v>-26245</v>
      </c>
      <c r="R6" s="202">
        <f>'49Phases'!R15</f>
        <v>-26246</v>
      </c>
      <c r="S6" s="202">
        <f>'49Phases'!S15</f>
        <v>-37099</v>
      </c>
      <c r="T6" s="202">
        <f>'49Phases'!T15</f>
        <v>-37102</v>
      </c>
      <c r="U6" s="202">
        <f>'49Phases'!U15</f>
        <v>-37110</v>
      </c>
      <c r="V6" s="202">
        <f>'49Phases'!V15</f>
        <v>-83017</v>
      </c>
      <c r="W6" s="202">
        <f>'49Phases'!W15</f>
        <v>-157</v>
      </c>
      <c r="X6" s="202">
        <f>'49Phases'!X15</f>
        <v>-95</v>
      </c>
      <c r="Y6" s="202">
        <f>'49Phases'!Y15</f>
        <v>-283</v>
      </c>
      <c r="Z6" s="202">
        <f>'49Phases'!Z15</f>
        <v>544</v>
      </c>
      <c r="AA6" s="202">
        <f>'49Phases'!AA15</f>
        <v>0</v>
      </c>
      <c r="AB6" s="202">
        <f>'49Phases'!AB15</f>
        <v>-563</v>
      </c>
      <c r="AC6" s="202">
        <f>'49Phases'!AC15</f>
        <v>-261</v>
      </c>
      <c r="AD6" s="202">
        <f>'49Phases'!AD15</f>
        <v>-145</v>
      </c>
      <c r="AE6" s="202">
        <f>'49Phases'!AE15</f>
        <v>-283</v>
      </c>
      <c r="AF6" s="202">
        <f>'49Phases'!AF15</f>
        <v>-87</v>
      </c>
      <c r="AG6" s="202">
        <f>'49Phases'!AG15</f>
        <v>-89</v>
      </c>
      <c r="AH6" s="202">
        <f>'49Phases'!AH15</f>
        <v>-109</v>
      </c>
      <c r="AI6" s="202">
        <f>'49Phases'!AI15</f>
        <v>-96</v>
      </c>
      <c r="AJ6" s="202">
        <f>'49Phases'!AJ15</f>
        <v>-82</v>
      </c>
      <c r="AK6" s="202">
        <f>'49Phases'!AK15</f>
        <v>-2251</v>
      </c>
      <c r="AL6" s="202">
        <f>'49Phases'!AL15</f>
        <v>-115</v>
      </c>
      <c r="AM6" s="202">
        <f>'49Phases'!AM15</f>
        <v>-17037</v>
      </c>
      <c r="AN6" s="202">
        <f>'49Phases'!AN15</f>
        <v>3</v>
      </c>
      <c r="AO6" s="202">
        <f>'49Phases'!AO15</f>
        <v>-24724</v>
      </c>
      <c r="AP6" s="202">
        <f>'49Phases'!AP15</f>
        <v>281</v>
      </c>
      <c r="AQ6" s="202">
        <f>'49Phases'!AQ15</f>
        <v>281</v>
      </c>
      <c r="AR6" s="202">
        <f>'49Phases'!AR15</f>
        <v>282</v>
      </c>
      <c r="AS6" s="202">
        <f>'49Phases'!AS15</f>
        <v>282</v>
      </c>
      <c r="AT6" s="202">
        <f>'49Phases'!AT15</f>
        <v>282</v>
      </c>
      <c r="AU6" s="202">
        <f>'49Phases'!AU15</f>
        <v>-329</v>
      </c>
      <c r="AV6" s="202">
        <f>'49Phases'!AV15</f>
        <v>-29</v>
      </c>
      <c r="AW6" s="202">
        <f>'49Phases'!AW15</f>
        <v>-804</v>
      </c>
      <c r="AX6" s="202">
        <f>'49Phases'!AX15</f>
        <v>-528</v>
      </c>
      <c r="AY6" s="202">
        <f>'49Phases'!AY15</f>
        <v>283</v>
      </c>
      <c r="AZ6" s="202">
        <f>'49Phases'!AZ15</f>
        <v>283</v>
      </c>
      <c r="BA6" s="202">
        <f>'49Phases'!BA15</f>
        <v>284</v>
      </c>
      <c r="BB6" s="202">
        <f>'49Phases'!BB15</f>
        <v>284</v>
      </c>
      <c r="BC6" s="202">
        <f>'49Phases'!BC15</f>
        <v>284</v>
      </c>
      <c r="BD6" s="202">
        <f>'49Phases'!BD15</f>
        <v>284</v>
      </c>
      <c r="BE6" s="202">
        <f>'49Phases'!BE15</f>
        <v>284</v>
      </c>
      <c r="BF6" s="202">
        <f>'49Phases'!BF15</f>
        <v>284</v>
      </c>
      <c r="BG6" s="202">
        <f>'49Phases'!BG15</f>
        <v>-283</v>
      </c>
    </row>
    <row r="7" spans="1:59" x14ac:dyDescent="0.25">
      <c r="A7" s="202">
        <v>49.3</v>
      </c>
      <c r="B7" s="202">
        <v>350</v>
      </c>
      <c r="C7" s="315"/>
      <c r="D7" s="203" t="s">
        <v>1068</v>
      </c>
      <c r="E7" s="202">
        <f>'49Phases'!E17</f>
        <v>-0.42203985932004695</v>
      </c>
      <c r="F7" s="202">
        <f>'49Phases'!F17</f>
        <v>-16.66814892670898</v>
      </c>
      <c r="G7" s="202">
        <f>'49Phases'!G17</f>
        <v>0</v>
      </c>
      <c r="H7" s="202">
        <f>'49Phases'!H17</f>
        <v>-9.7020657314953324E-3</v>
      </c>
      <c r="I7" s="202">
        <f>'49Phases'!I17</f>
        <v>-0.12936087641993776</v>
      </c>
      <c r="J7" s="202">
        <f>'49Phases'!J17</f>
        <v>-0.12531834903181471</v>
      </c>
      <c r="K7" s="202">
        <f>'49Phases'!K17</f>
        <v>-0.11965881068844242</v>
      </c>
      <c r="L7" s="202">
        <f>'49Phases'!L17</f>
        <v>-0.11561628330031937</v>
      </c>
      <c r="M7" s="202">
        <f>'49Phases'!M17</f>
        <v>-1.0001212758216438</v>
      </c>
      <c r="N7" s="202">
        <f>'49Phases'!N17</f>
        <v>-3.9996765978089504</v>
      </c>
      <c r="O7" s="202">
        <f>'49Phases'!O17</f>
        <v>-3.9891660265998303</v>
      </c>
      <c r="P7" s="202">
        <f>'49Phases'!P17</f>
        <v>-11.627117273719531</v>
      </c>
      <c r="Q7" s="202">
        <f>'49Phases'!Q17</f>
        <v>-21.219226260257916</v>
      </c>
      <c r="R7" s="202">
        <f>'49Phases'!R17</f>
        <v>-21.220034765735541</v>
      </c>
      <c r="S7" s="202">
        <f>'49Phases'!S17</f>
        <v>-29.994744714395441</v>
      </c>
      <c r="T7" s="202">
        <f>'49Phases'!T17</f>
        <v>-29.997170230828317</v>
      </c>
      <c r="U7" s="202">
        <f>'49Phases'!U17</f>
        <v>-30.003638274649312</v>
      </c>
      <c r="V7" s="202">
        <f>'49Phases'!V17</f>
        <v>-67.119699235962329</v>
      </c>
      <c r="W7" s="202">
        <f>'49Phases'!W17</f>
        <v>-0.12693535998706393</v>
      </c>
      <c r="X7" s="202">
        <f>'49Phases'!X17</f>
        <v>-7.6808020374338037E-2</v>
      </c>
      <c r="Y7" s="202">
        <f>'49Phases'!Y17</f>
        <v>-0.2288070501677649</v>
      </c>
      <c r="Z7" s="202">
        <f>'49Phases'!Z17</f>
        <v>0.43982697982778834</v>
      </c>
      <c r="AA7" s="202">
        <f>'49Phases'!AA17</f>
        <v>0</v>
      </c>
      <c r="AB7" s="202">
        <f>'49Phases'!AB17</f>
        <v>-0.45518858390265599</v>
      </c>
      <c r="AC7" s="202">
        <f>'49Phases'!AC17</f>
        <v>-0.21101992966002348</v>
      </c>
      <c r="AD7" s="202">
        <f>'49Phases'!AD17</f>
        <v>-0.1172332942555686</v>
      </c>
      <c r="AE7" s="202">
        <f>'49Phases'!AE17</f>
        <v>-0.2288070501677649</v>
      </c>
      <c r="AF7" s="202">
        <f>'49Phases'!AF17</f>
        <v>-7.0339976553341149E-2</v>
      </c>
      <c r="AG7" s="202">
        <f>'49Phases'!AG17</f>
        <v>-7.1956987508590378E-2</v>
      </c>
      <c r="AH7" s="202">
        <f>'49Phases'!AH17</f>
        <v>-8.8127097061082599E-2</v>
      </c>
      <c r="AI7" s="202">
        <f>'49Phases'!AI17</f>
        <v>-7.7616525851962659E-2</v>
      </c>
      <c r="AJ7" s="202">
        <f>'49Phases'!AJ17</f>
        <v>-6.6297449165218097E-2</v>
      </c>
      <c r="AK7" s="202">
        <f>'49Phases'!AK17</f>
        <v>-1.8199458301329994</v>
      </c>
      <c r="AL7" s="202">
        <f>'49Phases'!AL17</f>
        <v>-9.2978129926830258E-2</v>
      </c>
      <c r="AM7" s="202">
        <f>'49Phases'!AM17</f>
        <v>-13.774507822290497</v>
      </c>
      <c r="AN7" s="202">
        <f>'49Phases'!AN17</f>
        <v>2.4255164328738331E-3</v>
      </c>
      <c r="AO7" s="202">
        <f>'49Phases'!AO17</f>
        <v>-19.989489428790883</v>
      </c>
      <c r="AP7" s="202">
        <f>'49Phases'!AP17</f>
        <v>0.22719003921251568</v>
      </c>
      <c r="AQ7" s="202">
        <f>'49Phases'!AQ17</f>
        <v>0.22719003921251568</v>
      </c>
      <c r="AR7" s="202">
        <f>'49Phases'!AR17</f>
        <v>0.2279985446901403</v>
      </c>
      <c r="AS7" s="202">
        <f>'49Phases'!AS17</f>
        <v>0.2279985446901403</v>
      </c>
      <c r="AT7" s="202">
        <f>'49Phases'!AT17</f>
        <v>0.2279985446901403</v>
      </c>
      <c r="AU7" s="202">
        <f>'49Phases'!AU17</f>
        <v>-0.26599830213849701</v>
      </c>
      <c r="AV7" s="202">
        <f>'49Phases'!AV17</f>
        <v>-2.3446658851113716E-2</v>
      </c>
      <c r="AW7" s="202">
        <f>'49Phases'!AW17</f>
        <v>-0.6500384040101872</v>
      </c>
      <c r="AX7" s="202">
        <f>'49Phases'!AX17</f>
        <v>-0.42689089218579457</v>
      </c>
      <c r="AY7" s="202">
        <f>'49Phases'!AY17</f>
        <v>0.2288070501677649</v>
      </c>
      <c r="AZ7" s="202">
        <f>'49Phases'!AZ17</f>
        <v>0.2288070501677649</v>
      </c>
      <c r="BA7" s="202">
        <f>'49Phases'!BA17</f>
        <v>0.22961555564538952</v>
      </c>
      <c r="BB7" s="202">
        <f>'49Phases'!BB17</f>
        <v>0.22961555564538952</v>
      </c>
      <c r="BC7" s="202">
        <f>'49Phases'!BC17</f>
        <v>0.22961555564538952</v>
      </c>
      <c r="BD7" s="202">
        <f>'49Phases'!BD17</f>
        <v>0.22961555564538952</v>
      </c>
      <c r="BE7" s="202">
        <f>'49Phases'!BE17</f>
        <v>0.22961555564538952</v>
      </c>
      <c r="BF7" s="202">
        <f>'49Phases'!BF17</f>
        <v>0.22961555564538952</v>
      </c>
      <c r="BG7" s="202">
        <f>'49Phases'!BG17</f>
        <v>-0.2288070501677649</v>
      </c>
    </row>
    <row r="8" spans="1:59" x14ac:dyDescent="0.25">
      <c r="A8" s="202">
        <v>47.6</v>
      </c>
      <c r="B8" s="202">
        <v>338</v>
      </c>
      <c r="C8" s="315"/>
      <c r="D8" s="203" t="s">
        <v>1073</v>
      </c>
      <c r="E8" s="202">
        <f>'49Phases'!E22</f>
        <v>1.0010605342154921</v>
      </c>
      <c r="F8" s="202">
        <f>'49Phases'!F22</f>
        <v>1.039881141503642</v>
      </c>
      <c r="G8" s="202">
        <f>'49Phases'!G22</f>
        <v>1</v>
      </c>
      <c r="H8" s="202">
        <f>'49Phases'!H22</f>
        <v>1.000024409700818</v>
      </c>
      <c r="I8" s="202">
        <f>'49Phases'!I22</f>
        <v>1.0003253481317236</v>
      </c>
      <c r="J8" s="202">
        <f>'49Phases'!J22</f>
        <v>1.0003151847514684</v>
      </c>
      <c r="K8" s="202">
        <f>'49Phases'!K22</f>
        <v>1.0003009556127829</v>
      </c>
      <c r="L8" s="202">
        <f>'49Phases'!L22</f>
        <v>1.0002907916520587</v>
      </c>
      <c r="M8" s="202">
        <f>'49Phases'!M22</f>
        <v>1.0025089033349763</v>
      </c>
      <c r="N8" s="202">
        <f>'49Phases'!N22</f>
        <v>1.0099448054647231</v>
      </c>
      <c r="O8" s="202">
        <f>'49Phases'!O22</f>
        <v>1.0099189822255756</v>
      </c>
      <c r="P8" s="202">
        <f>'49Phases'!P22</f>
        <v>1.0282534221255619</v>
      </c>
      <c r="Q8" s="202">
        <f>'49Phases'!Q22</f>
        <v>1.0500556821039873</v>
      </c>
      <c r="R8" s="202">
        <f>'49Phases'!R22</f>
        <v>1.0500574623921939</v>
      </c>
      <c r="S8" s="202">
        <f>'49Phases'!S22</f>
        <v>1.0688091108438538</v>
      </c>
      <c r="T8" s="202">
        <f>'49Phases'!T22</f>
        <v>1.06881413665902</v>
      </c>
      <c r="U8" s="202">
        <f>'49Phases'!U22</f>
        <v>1.0688275384071193</v>
      </c>
      <c r="V8" s="202">
        <f>'49Phases'!V22</f>
        <v>1.1355357634887886</v>
      </c>
      <c r="W8" s="202">
        <f>'49Phases'!W22</f>
        <v>1.0003192501325939</v>
      </c>
      <c r="X8" s="202">
        <f>'49Phases'!X22</f>
        <v>1.000193205323169</v>
      </c>
      <c r="Y8" s="202">
        <f>'49Phases'!Y22</f>
        <v>1.0005752911284922</v>
      </c>
      <c r="Z8" s="202">
        <f>'49Phases'!Z22</f>
        <v>0.99889196380523915</v>
      </c>
      <c r="AA8" s="202">
        <f>'49Phases'!AA22</f>
        <v>1</v>
      </c>
      <c r="AB8" s="202">
        <f>'49Phases'!AB22</f>
        <v>1.0011437212219119</v>
      </c>
      <c r="AC8" s="202">
        <f>'49Phases'!AC22</f>
        <v>1.0005305966253855</v>
      </c>
      <c r="AD8" s="202">
        <f>'49Phases'!AD22</f>
        <v>1.0002948572653718</v>
      </c>
      <c r="AE8" s="202">
        <f>'49Phases'!AE22</f>
        <v>1.0005752911284922</v>
      </c>
      <c r="AF8" s="202">
        <f>'49Phases'!AF22</f>
        <v>1.0001769387679371</v>
      </c>
      <c r="AG8" s="202">
        <f>'49Phases'!AG22</f>
        <v>1.0001810054647919</v>
      </c>
      <c r="AH8" s="202">
        <f>'49Phases'!AH22</f>
        <v>1.0002216703049551</v>
      </c>
      <c r="AI8" s="202">
        <f>'49Phases'!AI22</f>
        <v>1.0001952385990378</v>
      </c>
      <c r="AJ8" s="202">
        <f>'49Phases'!AJ22</f>
        <v>1.0001667718564966</v>
      </c>
      <c r="AK8" s="202">
        <f>'49Phases'!AK22</f>
        <v>1.0045544734077123</v>
      </c>
      <c r="AL8" s="202">
        <f>'49Phases'!AL22</f>
        <v>1.0002338690023944</v>
      </c>
      <c r="AM8" s="202">
        <f>'49Phases'!AM22</f>
        <v>1.03325260739436</v>
      </c>
      <c r="AN8" s="202">
        <f>'49Phases'!AN22</f>
        <v>0.99999389735711974</v>
      </c>
      <c r="AO8" s="202">
        <f>'49Phases'!AO22</f>
        <v>1.0473366657144221</v>
      </c>
      <c r="AP8" s="202">
        <f>'49Phases'!AP22</f>
        <v>0.99942800790801833</v>
      </c>
      <c r="AQ8" s="202">
        <f>'49Phases'!AQ22</f>
        <v>0.99942800790801833</v>
      </c>
      <c r="AR8" s="202">
        <f>'49Phases'!AR22</f>
        <v>0.9994259709848704</v>
      </c>
      <c r="AS8" s="202">
        <f>'49Phases'!AS22</f>
        <v>0.9994259709848704</v>
      </c>
      <c r="AT8" s="202">
        <f>'49Phases'!AT22</f>
        <v>0.9994259709848704</v>
      </c>
      <c r="AU8" s="202">
        <f>'49Phases'!AU22</f>
        <v>1.0006687281404647</v>
      </c>
      <c r="AV8" s="202">
        <f>'49Phases'!AV22</f>
        <v>1.0000589877255504</v>
      </c>
      <c r="AW8" s="202">
        <f>'49Phases'!AW22</f>
        <v>1.001632369755032</v>
      </c>
      <c r="AX8" s="202">
        <f>'49Phases'!AX22</f>
        <v>1.001072708939569</v>
      </c>
      <c r="AY8" s="202">
        <f>'49Phases'!AY22</f>
        <v>0.99942393405204799</v>
      </c>
      <c r="AZ8" s="202">
        <f>'49Phases'!AZ22</f>
        <v>0.99942393405204799</v>
      </c>
      <c r="BA8" s="202">
        <f>'49Phases'!BA22</f>
        <v>0.99942189710955109</v>
      </c>
      <c r="BB8" s="202">
        <f>'49Phases'!BB22</f>
        <v>0.99942189710955109</v>
      </c>
      <c r="BC8" s="202">
        <f>'49Phases'!BC22</f>
        <v>0.99942189710955109</v>
      </c>
      <c r="BD8" s="202">
        <f>'49Phases'!BD22</f>
        <v>0.99942189710955109</v>
      </c>
      <c r="BE8" s="202">
        <f>'49Phases'!BE22</f>
        <v>0.99942189710955109</v>
      </c>
      <c r="BF8" s="202">
        <f>'49Phases'!BF22</f>
        <v>0.99942189710955109</v>
      </c>
      <c r="BG8" s="202">
        <f>'49Phases'!BG22</f>
        <v>1.0005752911284922</v>
      </c>
    </row>
    <row r="9" spans="1:59" x14ac:dyDescent="0.25">
      <c r="A9" s="202">
        <v>49.4</v>
      </c>
      <c r="B9" s="202">
        <v>350</v>
      </c>
      <c r="C9" s="315"/>
      <c r="D9" s="203" t="s">
        <v>1043</v>
      </c>
      <c r="E9" s="202">
        <f>'49Phases'!E26</f>
        <v>289.55720235890294</v>
      </c>
      <c r="F9" s="202">
        <f>'49Phases'!F26</f>
        <v>86.519793237093836</v>
      </c>
      <c r="G9" s="202">
        <f>'49Phases'!G26</f>
        <v>2.5533999999999999</v>
      </c>
      <c r="H9" s="202">
        <f>'49Phases'!H26</f>
        <v>13.289119599868343</v>
      </c>
      <c r="I9" s="202">
        <f>'49Phases'!I26</f>
        <v>25.696327976809698</v>
      </c>
      <c r="J9" s="202">
        <f>'49Phases'!J26</f>
        <v>171.22311147822984</v>
      </c>
      <c r="K9" s="202">
        <f>'49Phases'!K26</f>
        <v>14.96060838014273</v>
      </c>
      <c r="L9" s="202">
        <f>'49Phases'!L26</f>
        <v>160.48739188145555</v>
      </c>
      <c r="M9" s="202">
        <f>'49Phases'!M26</f>
        <v>359.22716080969985</v>
      </c>
      <c r="N9" s="202">
        <f>'49Phases'!N26</f>
        <v>18.353789741900982</v>
      </c>
      <c r="O9" s="202">
        <f>'49Phases'!O26</f>
        <v>36.723426904092776</v>
      </c>
      <c r="P9" s="202">
        <f>'49Phases'!P26</f>
        <v>118.41868093964877</v>
      </c>
      <c r="Q9" s="202">
        <f>'49Phases'!Q26</f>
        <v>52.467229090281762</v>
      </c>
      <c r="R9" s="202">
        <f>'49Phases'!R26</f>
        <v>23.361872462439351</v>
      </c>
      <c r="S9" s="202">
        <f>'49Phases'!S26</f>
        <v>222.92689558072016</v>
      </c>
      <c r="T9" s="202">
        <f>'49Phases'!T26</f>
        <v>135.61082599754445</v>
      </c>
      <c r="U9" s="202">
        <f>'49Phases'!U26</f>
        <v>262.76797377504408</v>
      </c>
      <c r="V9" s="202">
        <f>'49Phases'!V26</f>
        <v>83.183190590236336</v>
      </c>
      <c r="W9" s="202">
        <f>'49Phases'!W26</f>
        <v>113.01239807766706</v>
      </c>
      <c r="X9" s="202">
        <f>'49Phases'!X26</f>
        <v>117.54451349179044</v>
      </c>
      <c r="Y9" s="202">
        <f>'49Phases'!Y26</f>
        <v>45.737453828023718</v>
      </c>
      <c r="Z9" s="202">
        <f>'49Phases'!Z26</f>
        <v>355.86744451981576</v>
      </c>
      <c r="AA9" s="202">
        <f>'49Phases'!AA26</f>
        <v>2.5533999999999999</v>
      </c>
      <c r="AB9" s="202">
        <f>'49Phases'!AB26</f>
        <v>176.23757762029709</v>
      </c>
      <c r="AC9" s="202">
        <f>'49Phases'!AC26</f>
        <v>326.05530123869084</v>
      </c>
      <c r="AD9" s="202">
        <f>'49Phases'!AD26</f>
        <v>102.27667848093552</v>
      </c>
      <c r="AE9" s="202">
        <f>'49Phases'!AE26</f>
        <v>45.737453828023718</v>
      </c>
      <c r="AF9" s="202">
        <f>'49Phases'!AF26</f>
        <v>350.38736709311115</v>
      </c>
      <c r="AG9" s="202">
        <f>'49Phases'!AG26</f>
        <v>292.17665369279166</v>
      </c>
      <c r="AH9" s="202">
        <f>'49Phases'!AH26</f>
        <v>70.069519689202025</v>
      </c>
      <c r="AI9" s="202">
        <f>'49Phases'!AI26</f>
        <v>88.439156791616824</v>
      </c>
      <c r="AJ9" s="202">
        <f>'49Phases'!AJ26</f>
        <v>135.91415059387782</v>
      </c>
      <c r="AK9" s="202">
        <f>'49Phases'!AK26</f>
        <v>6.395464325985813</v>
      </c>
      <c r="AL9" s="202">
        <f>'49Phases'!AL26</f>
        <v>255.4373794879848</v>
      </c>
      <c r="AM9" s="202">
        <f>'49Phases'!AM26</f>
        <v>214.59132395684719</v>
      </c>
      <c r="AN9" s="202">
        <f>'49Phases'!AN26</f>
        <v>89.869470099991759</v>
      </c>
      <c r="AO9" s="202">
        <f>'49Phases'!AO26</f>
        <v>41.714668401633389</v>
      </c>
      <c r="AP9" s="202">
        <f>'49Phases'!AP26</f>
        <v>261.15863262644962</v>
      </c>
      <c r="AQ9" s="202">
        <f>'49Phases'!AQ26</f>
        <v>261.15863262644962</v>
      </c>
      <c r="AR9" s="202">
        <f>'49Phases'!AR26</f>
        <v>290.26398932592019</v>
      </c>
      <c r="AS9" s="202">
        <f>'49Phases'!AS26</f>
        <v>290.26398932592019</v>
      </c>
      <c r="AT9" s="202">
        <f>'49Phases'!AT26</f>
        <v>290.26398932592019</v>
      </c>
      <c r="AU9" s="202">
        <f>'49Phases'!AU26</f>
        <v>146.89104560301348</v>
      </c>
      <c r="AV9" s="202">
        <f>'49Phases'!AV26</f>
        <v>238.49805569923171</v>
      </c>
      <c r="AW9" s="202">
        <f>'49Phases'!AW26</f>
        <v>1.8466126386447286</v>
      </c>
      <c r="AX9" s="202">
        <f>'49Phases'!AX26</f>
        <v>114.92506215342655</v>
      </c>
      <c r="AY9" s="202">
        <f>'49Phases'!AY26</f>
        <v>319.36934602538895</v>
      </c>
      <c r="AZ9" s="202">
        <f>'49Phases'!AZ26</f>
        <v>319.36934602538895</v>
      </c>
      <c r="BA9" s="202">
        <f>'49Phases'!BA26</f>
        <v>348.47470272485771</v>
      </c>
      <c r="BB9" s="202">
        <f>'49Phases'!BB26</f>
        <v>348.47470272485771</v>
      </c>
      <c r="BC9" s="202">
        <f>'49Phases'!BC26</f>
        <v>348.47470272485771</v>
      </c>
      <c r="BD9" s="202">
        <f>'49Phases'!BD26</f>
        <v>348.47470272485771</v>
      </c>
      <c r="BE9" s="202">
        <f>'49Phases'!BE26</f>
        <v>348.47470272485771</v>
      </c>
      <c r="BF9" s="202">
        <f>'49Phases'!BF26</f>
        <v>348.47470272485771</v>
      </c>
      <c r="BG9" s="202">
        <f>'49Phases'!BG26</f>
        <v>45.737453828023718</v>
      </c>
    </row>
    <row r="10" spans="1:59" x14ac:dyDescent="0.25">
      <c r="A10" s="202">
        <v>49.5</v>
      </c>
      <c r="B10" s="202">
        <v>350</v>
      </c>
      <c r="C10" s="315"/>
      <c r="D10" s="203" t="s">
        <v>1044</v>
      </c>
      <c r="E10" s="202">
        <f>'49Phases'!E31</f>
        <v>45.12599913275335</v>
      </c>
      <c r="F10" s="202">
        <f>'49Phases'!F31</f>
        <v>42.553680971264839</v>
      </c>
      <c r="G10" s="202">
        <f>'49Phases'!G31</f>
        <v>201.5643</v>
      </c>
      <c r="H10" s="202">
        <f>'49Phases'!H31</f>
        <v>251.76107765265988</v>
      </c>
      <c r="I10" s="202">
        <f>'49Phases'!I31</f>
        <v>30.854835203448602</v>
      </c>
      <c r="J10" s="202">
        <f>'49Phases'!J31</f>
        <v>159.93950052979926</v>
      </c>
      <c r="K10" s="202">
        <f>'49Phases'!K31</f>
        <v>340.6580325771647</v>
      </c>
      <c r="L10" s="202">
        <f>'49Phases'!L31</f>
        <v>109.74269874706079</v>
      </c>
      <c r="M10" s="202">
        <f>'49Phases'!M31</f>
        <v>306.02610700711375</v>
      </c>
      <c r="N10" s="202">
        <f>'49Phases'!N31</f>
        <v>285.35676623624749</v>
      </c>
      <c r="O10" s="202">
        <f>'49Phases'!O31</f>
        <v>260.97602792293765</v>
      </c>
      <c r="P10" s="202">
        <f>'49Phases'!P31</f>
        <v>89.651918075047433</v>
      </c>
      <c r="Q10" s="202">
        <f>'49Phases'!Q31</f>
        <v>160.81177801266313</v>
      </c>
      <c r="R10" s="202">
        <f>'49Phases'!R31</f>
        <v>134.9951965585351</v>
      </c>
      <c r="S10" s="202">
        <f>'49Phases'!S31</f>
        <v>28.3803038764745</v>
      </c>
      <c r="T10" s="202">
        <f>'49Phases'!T31</f>
        <v>310.93096723593771</v>
      </c>
      <c r="U10" s="202">
        <f>'49Phases'!U31</f>
        <v>104.39940339885652</v>
      </c>
      <c r="V10" s="202">
        <f>'49Phases'!V31</f>
        <v>80.59385472536087</v>
      </c>
      <c r="W10" s="202">
        <f>'49Phases'!W31</f>
        <v>108.30563435708609</v>
      </c>
      <c r="X10" s="202">
        <f>'49Phases'!X31</f>
        <v>268.95551186208468</v>
      </c>
      <c r="Y10" s="202">
        <f>'49Phases'!Y31</f>
        <v>95.37217883199628</v>
      </c>
      <c r="Z10" s="202">
        <f>'49Phases'!Z31</f>
        <v>205.97917452093679</v>
      </c>
      <c r="AA10" s="202">
        <f>'49Phases'!AA31</f>
        <v>201.5643</v>
      </c>
      <c r="AB10" s="202">
        <f>'49Phases'!AB31</f>
        <v>66.631965252861846</v>
      </c>
      <c r="AC10" s="202">
        <f>'49Phases'!AC31</f>
        <v>303.34467085986398</v>
      </c>
      <c r="AD10" s="202">
        <f>'49Phases'!AD31</f>
        <v>58.108832236925082</v>
      </c>
      <c r="AE10" s="202">
        <f>'49Phases'!AE31</f>
        <v>95.37217883199628</v>
      </c>
      <c r="AF10" s="202">
        <f>'49Phases'!AF31</f>
        <v>115.49098386416881</v>
      </c>
      <c r="AG10" s="202">
        <f>'49Phases'!AG31</f>
        <v>63.857115779283049</v>
      </c>
      <c r="AH10" s="202">
        <f>'49Phases'!AH31</f>
        <v>267.51843802384974</v>
      </c>
      <c r="AI10" s="202">
        <f>'49Phases'!AI31</f>
        <v>243.13857792509953</v>
      </c>
      <c r="AJ10" s="202">
        <f>'49Phases'!AJ31</f>
        <v>244.57565432246702</v>
      </c>
      <c r="AK10" s="202">
        <f>'49Phases'!AK31</f>
        <v>47.678542797104456</v>
      </c>
      <c r="AL10" s="202">
        <f>'49Phases'!AL31</f>
        <v>112.61683579395321</v>
      </c>
      <c r="AM10" s="202">
        <f>'49Phases'!AM31</f>
        <v>280.44472037162632</v>
      </c>
      <c r="AN10" s="202">
        <f>'49Phases'!AN31</f>
        <v>279.01510590329212</v>
      </c>
      <c r="AO10" s="202">
        <f>'49Phases'!AO31</f>
        <v>187.84705103375018</v>
      </c>
      <c r="AP10" s="202">
        <f>'49Phases'!AP31</f>
        <v>256.12366911287245</v>
      </c>
      <c r="AQ10" s="202">
        <f>'49Phases'!AQ31</f>
        <v>256.12366911287245</v>
      </c>
      <c r="AR10" s="202">
        <f>'49Phases'!AR31</f>
        <v>281.94060835368873</v>
      </c>
      <c r="AS10" s="202">
        <f>'49Phases'!AS31</f>
        <v>281.94060835368873</v>
      </c>
      <c r="AT10" s="202">
        <f>'49Phases'!AT31</f>
        <v>281.94060835368873</v>
      </c>
      <c r="AU10" s="202">
        <f>'49Phases'!AU31</f>
        <v>347.79335384418664</v>
      </c>
      <c r="AV10" s="202">
        <f>'49Phases'!AV31</f>
        <v>172.87318279411556</v>
      </c>
      <c r="AW10" s="202">
        <f>'49Phases'!AW31</f>
        <v>324.75287734589074</v>
      </c>
      <c r="AX10" s="202">
        <f>'49Phases'!AX31</f>
        <v>250.2244317245204</v>
      </c>
      <c r="AY10" s="202">
        <f>'49Phases'!AY31</f>
        <v>307.75754760859127</v>
      </c>
      <c r="AZ10" s="202">
        <f>'49Phases'!AZ31</f>
        <v>307.75754760859127</v>
      </c>
      <c r="BA10" s="202">
        <f>'49Phases'!BA31</f>
        <v>333.57448687755095</v>
      </c>
      <c r="BB10" s="202">
        <f>'49Phases'!BB31</f>
        <v>333.57448687755095</v>
      </c>
      <c r="BC10" s="202">
        <f>'49Phases'!BC31</f>
        <v>333.57448687755095</v>
      </c>
      <c r="BD10" s="202">
        <f>'49Phases'!BD31</f>
        <v>333.57448687755095</v>
      </c>
      <c r="BE10" s="202">
        <f>'49Phases'!BE31</f>
        <v>333.57448687755095</v>
      </c>
      <c r="BF10" s="202">
        <f>'49Phases'!BF31</f>
        <v>333.57448687755095</v>
      </c>
      <c r="BG10" s="202">
        <f>'49Phases'!BG31</f>
        <v>95.37217883199628</v>
      </c>
    </row>
    <row r="11" spans="1:59" x14ac:dyDescent="0.25">
      <c r="A11" s="202">
        <v>49.6</v>
      </c>
      <c r="B11" s="202">
        <v>350</v>
      </c>
      <c r="C11" s="315"/>
      <c r="D11" s="203" t="s">
        <v>1045</v>
      </c>
      <c r="E11" s="202">
        <f>'49Phases'!E36</f>
        <v>350.70803060097387</v>
      </c>
      <c r="F11" s="202">
        <f>'49Phases'!F36</f>
        <v>17.18780982773751</v>
      </c>
      <c r="G11" s="202">
        <f>'49Phases'!G36</f>
        <v>160.71080000000001</v>
      </c>
      <c r="H11" s="202">
        <f>'49Phases'!H36</f>
        <v>152.66476576828245</v>
      </c>
      <c r="I11" s="202">
        <f>'49Phases'!I36</f>
        <v>293.43031863267242</v>
      </c>
      <c r="J11" s="202">
        <f>'49Phases'!J36</f>
        <v>86.782834491656104</v>
      </c>
      <c r="K11" s="202">
        <f>'49Phases'!K36</f>
        <v>301.47635660577362</v>
      </c>
      <c r="L11" s="202">
        <f>'49Phases'!L36</f>
        <v>94.828872338381188</v>
      </c>
      <c r="M11" s="202">
        <f>'49Phases'!M36</f>
        <v>21.297177010856103</v>
      </c>
      <c r="N11" s="202">
        <f>'49Phases'!N36</f>
        <v>353.7076139501296</v>
      </c>
      <c r="O11" s="202">
        <f>'49Phases'!O36</f>
        <v>32.424285036511719</v>
      </c>
      <c r="P11" s="202">
        <f>'49Phases'!P36</f>
        <v>87.995328129269183</v>
      </c>
      <c r="Q11" s="202">
        <f>'49Phases'!Q36</f>
        <v>172.66196006536484</v>
      </c>
      <c r="R11" s="202">
        <f>'49Phases'!R36</f>
        <v>141.9914047382772</v>
      </c>
      <c r="S11" s="202">
        <f>'49Phases'!S36</f>
        <v>274.34598857909441</v>
      </c>
      <c r="T11" s="202">
        <f>'49Phases'!T36</f>
        <v>182.33426326699555</v>
      </c>
      <c r="U11" s="202">
        <f>'49Phases'!U36</f>
        <v>296.96966235339642</v>
      </c>
      <c r="V11" s="202">
        <f>'49Phases'!V36</f>
        <v>261.22493404150009</v>
      </c>
      <c r="W11" s="202">
        <f>'49Phases'!W36</f>
        <v>25.441828154383984</v>
      </c>
      <c r="X11" s="202">
        <f>'49Phases'!X36</f>
        <v>127.01302069226222</v>
      </c>
      <c r="Y11" s="202">
        <f>'49Phases'!Y36</f>
        <v>120.95841192519583</v>
      </c>
      <c r="Z11" s="202">
        <f>'49Phases'!Z36</f>
        <v>285.46403296815697</v>
      </c>
      <c r="AA11" s="202">
        <f>'49Phases'!AA36</f>
        <v>160.71080000000001</v>
      </c>
      <c r="AB11" s="202">
        <f>'49Phases'!AB36</f>
        <v>173.21736733501893</v>
      </c>
      <c r="AC11" s="202">
        <f>'49Phases'!AC36</f>
        <v>75.709487008847645</v>
      </c>
      <c r="AD11" s="202">
        <f>'49Phases'!AD36</f>
        <v>33.487866051655146</v>
      </c>
      <c r="AE11" s="202">
        <f>'49Phases'!AE36</f>
        <v>120.95841192519583</v>
      </c>
      <c r="AF11" s="202">
        <f>'49Phases'!AF36</f>
        <v>12.377044946071692</v>
      </c>
      <c r="AG11" s="202">
        <f>'49Phases'!AG36</f>
        <v>311.03603889525402</v>
      </c>
      <c r="AH11" s="202">
        <f>'49Phases'!AH36</f>
        <v>57.625977923693426</v>
      </c>
      <c r="AI11" s="202">
        <f>'49Phases'!AI36</f>
        <v>96.342517651057278</v>
      </c>
      <c r="AJ11" s="202">
        <f>'49Phases'!AJ36</f>
        <v>165.72956003623403</v>
      </c>
      <c r="AK11" s="202">
        <f>'49Phases'!AK36</f>
        <v>241.40358235582244</v>
      </c>
      <c r="AL11" s="202">
        <f>'49Phases'!AL36</f>
        <v>233.60295946792758</v>
      </c>
      <c r="AM11" s="202">
        <f>'49Phases'!AM36</f>
        <v>347.05442544352263</v>
      </c>
      <c r="AN11" s="202">
        <f>'49Phases'!AN36</f>
        <v>252.72230851051768</v>
      </c>
      <c r="AO11" s="202">
        <f>'49Phases'!AO36</f>
        <v>22.574428986757994</v>
      </c>
      <c r="AP11" s="202">
        <f>'49Phases'!AP36</f>
        <v>139.12201481984812</v>
      </c>
      <c r="AQ11" s="202">
        <f>'49Phases'!AQ36</f>
        <v>139.12201481984812</v>
      </c>
      <c r="AR11" s="202">
        <f>'49Phases'!AR36</f>
        <v>169.79251706638024</v>
      </c>
      <c r="AS11" s="202">
        <f>'49Phases'!AS36</f>
        <v>169.79251706638024</v>
      </c>
      <c r="AT11" s="202">
        <f>'49Phases'!AT36</f>
        <v>169.79251706638024</v>
      </c>
      <c r="AU11" s="202">
        <f>'49Phases'!AU36</f>
        <v>150.11525163972692</v>
      </c>
      <c r="AV11" s="202">
        <f>'49Phases'!AV36</f>
        <v>351.26621675394927</v>
      </c>
      <c r="AW11" s="202">
        <f>'49Phases'!AW36</f>
        <v>341.62583619955694</v>
      </c>
      <c r="AX11" s="202">
        <f>'49Phases'!AX36</f>
        <v>166.68500692927046</v>
      </c>
      <c r="AY11" s="202">
        <f>'49Phases'!AY36</f>
        <v>200.46301931080234</v>
      </c>
      <c r="AZ11" s="202">
        <f>'49Phases'!AZ36</f>
        <v>200.46301931080234</v>
      </c>
      <c r="BA11" s="202">
        <f>'49Phases'!BA36</f>
        <v>231.13352155312896</v>
      </c>
      <c r="BB11" s="202">
        <f>'49Phases'!BB36</f>
        <v>231.13352155312896</v>
      </c>
      <c r="BC11" s="202">
        <f>'49Phases'!BC36</f>
        <v>231.13352155312896</v>
      </c>
      <c r="BD11" s="202">
        <f>'49Phases'!BD36</f>
        <v>231.13352155312896</v>
      </c>
      <c r="BE11" s="202">
        <f>'49Phases'!BE36</f>
        <v>231.13352155312896</v>
      </c>
      <c r="BF11" s="202">
        <f>'49Phases'!BF36</f>
        <v>231.13352155312896</v>
      </c>
      <c r="BG11" s="202">
        <f>'49Phases'!BG36</f>
        <v>120.95841192519583</v>
      </c>
    </row>
    <row r="12" spans="1:59" x14ac:dyDescent="0.25">
      <c r="A12" s="303">
        <v>49.7</v>
      </c>
      <c r="B12" s="303">
        <v>350</v>
      </c>
      <c r="C12" s="303"/>
      <c r="D12" s="308" t="s">
        <v>400</v>
      </c>
      <c r="E12" s="303">
        <f>'49Phases'!E40</f>
        <v>221.05553740316986</v>
      </c>
      <c r="F12" s="303">
        <f>'49Phases'!F40</f>
        <v>323.73019008470874</v>
      </c>
      <c r="G12" s="303">
        <f>'49Phases'!G40</f>
        <v>124.77460000000001</v>
      </c>
      <c r="H12" s="303">
        <f>'49Phases'!H40</f>
        <v>143.53967075458374</v>
      </c>
      <c r="I12" s="303">
        <f>'49Phases'!I40</f>
        <v>14.975575388359175</v>
      </c>
      <c r="J12" s="303">
        <f>'49Phases'!J40</f>
        <v>7.1567938605008976</v>
      </c>
      <c r="K12" s="303">
        <f>'49Phases'!K40</f>
        <v>356.21049983496346</v>
      </c>
      <c r="L12" s="303">
        <f>'49Phases'!L40</f>
        <v>348.391718469198</v>
      </c>
      <c r="M12" s="303">
        <f>'49Phases'!M40</f>
        <v>259.14268911065119</v>
      </c>
      <c r="N12" s="303">
        <f>'49Phases'!N40</f>
        <v>300.70787064529213</v>
      </c>
      <c r="O12" s="303">
        <f>'49Phases'!O40</f>
        <v>280.37887170975955</v>
      </c>
      <c r="P12" s="303">
        <f>'49Phases'!P40</f>
        <v>293.42399523365748</v>
      </c>
      <c r="Q12" s="303">
        <f>'49Phases'!Q40</f>
        <v>126.45789763946959</v>
      </c>
      <c r="R12" s="303">
        <f>'49Phases'!R40</f>
        <v>128.02172210189747</v>
      </c>
      <c r="S12" s="303">
        <f>'49Phases'!S40</f>
        <v>180.35580085508991</v>
      </c>
      <c r="T12" s="303">
        <f>'49Phases'!T40</f>
        <v>185.04735521988914</v>
      </c>
      <c r="U12" s="303">
        <f>'49Phases'!U40</f>
        <v>197.55816696710099</v>
      </c>
      <c r="V12" s="303">
        <f>'49Phases'!V40</f>
        <v>351.7592252184113</v>
      </c>
      <c r="W12" s="303">
        <f>'49Phases'!W40</f>
        <v>10.284306463539679</v>
      </c>
      <c r="X12" s="303">
        <f>'49Phases'!X40</f>
        <v>273.33142079441427</v>
      </c>
      <c r="Y12" s="303">
        <f>'49Phases'!Y40</f>
        <v>207.31762223767737</v>
      </c>
      <c r="Z12" s="303">
        <f>'49Phases'!Z40</f>
        <v>354.09180135816428</v>
      </c>
      <c r="AA12" s="303">
        <f>'49Phases'!AA40</f>
        <v>124.77460000000001</v>
      </c>
      <c r="AB12" s="303">
        <f>'49Phases'!AB40</f>
        <v>285.16958855413429</v>
      </c>
      <c r="AC12" s="303">
        <f>'49Phases'!AC40</f>
        <v>172.91497671099512</v>
      </c>
      <c r="AD12" s="303">
        <f>'49Phases'!AD40</f>
        <v>351.51923100739947</v>
      </c>
      <c r="AE12" s="303">
        <f>'49Phases'!AE40</f>
        <v>207.31762223767737</v>
      </c>
      <c r="AF12" s="303">
        <f>'49Phases'!AF40</f>
        <v>260.82137178716266</v>
      </c>
      <c r="AG12" s="303">
        <f>'49Phases'!AG40</f>
        <v>263.94888402276376</v>
      </c>
      <c r="AH12" s="303">
        <f>'49Phases'!AH40</f>
        <v>295.22400697320006</v>
      </c>
      <c r="AI12" s="303">
        <f>'49Phases'!AI40</f>
        <v>274.8951769324795</v>
      </c>
      <c r="AJ12" s="303">
        <f>'49Phases'!AJ40</f>
        <v>253.00259124544471</v>
      </c>
      <c r="AK12" s="303">
        <f>'49Phases'!AK40</f>
        <v>44.795919905415303</v>
      </c>
      <c r="AL12" s="303">
        <f>'49Phases'!AL40</f>
        <v>304.60654406907662</v>
      </c>
      <c r="AM12" s="303">
        <f>'49Phases'!AM40</f>
        <v>126.87013292271513</v>
      </c>
      <c r="AN12" s="303">
        <f>'49Phases'!AN40</f>
        <v>120.08333237216165</v>
      </c>
      <c r="AO12" s="303">
        <f>'49Phases'!AO40</f>
        <v>267.88381535328517</v>
      </c>
      <c r="AP12" s="303">
        <f>'49Phases'!AP40</f>
        <v>45.35930444438884</v>
      </c>
      <c r="AQ12" s="303">
        <f>'49Phases'!AQ40</f>
        <v>45.35930444438884</v>
      </c>
      <c r="AR12" s="303">
        <f>'49Phases'!AR40</f>
        <v>43.795549325435047</v>
      </c>
      <c r="AS12" s="303">
        <f>'49Phases'!AS40</f>
        <v>43.795549325435047</v>
      </c>
      <c r="AT12" s="303">
        <f>'49Phases'!AT40</f>
        <v>43.795549325435047</v>
      </c>
      <c r="AU12" s="303">
        <f>'49Phases'!AU40</f>
        <v>279.25043074447137</v>
      </c>
      <c r="AV12" s="303">
        <f>'49Phases'!AV40</f>
        <v>170.12352165640684</v>
      </c>
      <c r="AW12" s="303">
        <f>'49Phases'!AW40</f>
        <v>302.03520042466016</v>
      </c>
      <c r="AX12" s="303">
        <f>'49Phases'!AX40</f>
        <v>230.43808119065693</v>
      </c>
      <c r="AY12" s="303">
        <f>'49Phases'!AY40</f>
        <v>42.23179420918575</v>
      </c>
      <c r="AZ12" s="303">
        <f>'49Phases'!AZ40</f>
        <v>42.23179420918575</v>
      </c>
      <c r="BA12" s="303">
        <f>'49Phases'!BA40</f>
        <v>40.668039095640893</v>
      </c>
      <c r="BB12" s="303">
        <f>'49Phases'!BB40</f>
        <v>40.668039095640893</v>
      </c>
      <c r="BC12" s="303">
        <f>'49Phases'!BC40</f>
        <v>40.668039095640893</v>
      </c>
      <c r="BD12" s="303">
        <f>'49Phases'!BD40</f>
        <v>40.668039095640893</v>
      </c>
      <c r="BE12" s="303">
        <f>'49Phases'!BE40</f>
        <v>40.668039095640893</v>
      </c>
      <c r="BF12" s="303">
        <f>'49Phases'!BF40</f>
        <v>40.668039095640893</v>
      </c>
      <c r="BG12" s="303">
        <f>'49Phases'!BG40</f>
        <v>207.31762223767737</v>
      </c>
    </row>
    <row r="13" spans="1:59" x14ac:dyDescent="0.25">
      <c r="A13" s="202"/>
      <c r="B13" s="202"/>
      <c r="C13" s="202"/>
      <c r="D13" s="68" t="s">
        <v>1046</v>
      </c>
      <c r="E13" s="302">
        <f>'49Phases'!E289</f>
        <v>21131.605962742586</v>
      </c>
      <c r="F13" s="302" t="str">
        <f>'49Phases'!F289</f>
        <v>333-3-18 7:53:16.16</v>
      </c>
      <c r="G13" s="302">
        <f>'49Phases'!G289</f>
        <v>36546.195466312114</v>
      </c>
      <c r="H13" s="302">
        <f>'49Phases'!H289</f>
        <v>36191.672052350361</v>
      </c>
      <c r="I13" s="302">
        <f>'49Phases'!I289</f>
        <v>31821.874232928734</v>
      </c>
      <c r="J13" s="302">
        <f>'49Phases'!J289</f>
        <v>31969.14820641838</v>
      </c>
      <c r="K13" s="302">
        <f>'49Phases'!K289</f>
        <v>32175.869766638614</v>
      </c>
      <c r="L13" s="302">
        <f>'49Phases'!L289</f>
        <v>32323.824007491581</v>
      </c>
      <c r="M13" s="302">
        <f>'49Phases'!M289</f>
        <v>15.796870124991983</v>
      </c>
      <c r="N13" s="302" t="str">
        <f>'49Phases'!N289</f>
        <v>1600-1-30 6:36:1.13</v>
      </c>
      <c r="O13" s="302" t="str">
        <f>'49Phases'!O289</f>
        <v>1601-2-17 4:24:31.31</v>
      </c>
      <c r="P13" s="302" t="str">
        <f>'49Phases'!P289</f>
        <v>837-4-24 11:53:30.30</v>
      </c>
      <c r="Q13" s="302" t="str">
        <f>'49Phases'!Q289</f>
        <v>-122-2-7 7:57:7.71</v>
      </c>
      <c r="R13" s="302" t="str">
        <f>'49Phases'!R289</f>
        <v>-122-1-8 21:35:8.85</v>
      </c>
      <c r="S13" s="302" t="str">
        <f>'49Phases'!S289</f>
        <v>-1000-7-21 7:20:35.35</v>
      </c>
      <c r="T13" s="302" t="str">
        <f>'49Phases'!T289</f>
        <v>-1000-4-23 10:37:13.13</v>
      </c>
      <c r="U13" s="302" t="str">
        <f>'49Phases'!U289</f>
        <v>-1001-8-31 12:18:21.21</v>
      </c>
      <c r="V13" s="302" t="str">
        <f>'49Phases'!V289</f>
        <v>-4712-1-26 19:31:20.20</v>
      </c>
      <c r="W13" s="302">
        <f>'49Phases'!W289</f>
        <v>31910.535442486871</v>
      </c>
      <c r="X13" s="302">
        <f>'49Phases'!X289</f>
        <v>33740.669102856889</v>
      </c>
      <c r="Y13" s="302">
        <f>'49Phases'!Y289</f>
        <v>28189.718067021109</v>
      </c>
      <c r="Z13" s="302">
        <f>'49Phases'!Z289</f>
        <v>52610.786347764079</v>
      </c>
      <c r="AA13" s="302">
        <f>'49Phases'!AA289</f>
        <v>36546.195466312114</v>
      </c>
      <c r="AB13" s="302">
        <f>'49Phases'!AB289</f>
        <v>19921.020571232773</v>
      </c>
      <c r="AC13" s="302">
        <f>'49Phases'!AC289</f>
        <v>28838.521886244416</v>
      </c>
      <c r="AD13" s="302">
        <f>'49Phases'!AD289</f>
        <v>32264.987252334133</v>
      </c>
      <c r="AE13" s="302">
        <f>'49Phases'!AE289</f>
        <v>28189.718067021109</v>
      </c>
      <c r="AF13" s="302">
        <f>'49Phases'!AF289</f>
        <v>33977.526537954807</v>
      </c>
      <c r="AG13" s="302">
        <f>'49Phases'!AG289</f>
        <v>33918.389706082642</v>
      </c>
      <c r="AH13" s="302">
        <f>'49Phases'!AH289</f>
        <v>33327.304452354088</v>
      </c>
      <c r="AI13" s="302">
        <f>'49Phases'!AI289</f>
        <v>33711.196789393667</v>
      </c>
      <c r="AJ13" s="302">
        <f>'49Phases'!AJ289</f>
        <v>34124.543834437151</v>
      </c>
      <c r="AK13" s="302" t="str">
        <f>'49Phases'!AK289</f>
        <v>1818-1-22 10:37:55.55</v>
      </c>
      <c r="AL13" s="302">
        <f>'49Phases'!AL289</f>
        <v>33150.501896647736</v>
      </c>
      <c r="AM13" s="302" t="str">
        <f>'49Phases'!AM289</f>
        <v>622-7-28 5:25:29.29</v>
      </c>
      <c r="AN13" s="302">
        <f>'49Phases'!AN289</f>
        <v>36634.737949036993</v>
      </c>
      <c r="AO13" s="302" t="str">
        <f>'49Phases'!AO289</f>
        <v>1-1-28 4:2:2.23</v>
      </c>
      <c r="AP13" s="302">
        <f>'49Phases'!AP289</f>
        <v>44843.872232026886</v>
      </c>
      <c r="AQ13" s="302">
        <f>'49Phases'!AQ289</f>
        <v>44843.872232026886</v>
      </c>
      <c r="AR13" s="302">
        <f>'49Phases'!AR289</f>
        <v>44873.46058840584</v>
      </c>
      <c r="AS13" s="302">
        <f>'49Phases'!AS289</f>
        <v>44873.46058840584</v>
      </c>
      <c r="AT13" s="302">
        <f>'49Phases'!AT289</f>
        <v>44873.46058840584</v>
      </c>
      <c r="AU13" s="302">
        <f>'49Phases'!AU289</f>
        <v>26830.857815690804</v>
      </c>
      <c r="AV13" s="302">
        <f>'49Phases'!AV289</f>
        <v>35689.785734951496</v>
      </c>
      <c r="AW13" s="302">
        <f>'49Phases'!AW289</f>
        <v>12803.655966325197</v>
      </c>
      <c r="AX13" s="302">
        <f>'49Phases'!AX289</f>
        <v>20953.940781256184</v>
      </c>
      <c r="AY13" s="302">
        <f>'49Phases'!AY289</f>
        <v>44903.173172035255</v>
      </c>
      <c r="AZ13" s="302">
        <f>'49Phases'!AZ289</f>
        <v>44903.173172035255</v>
      </c>
      <c r="BA13" s="302">
        <f>'49Phases'!BA289</f>
        <v>44932.964708357118</v>
      </c>
      <c r="BB13" s="302">
        <f>'49Phases'!BB289</f>
        <v>44932.964708357118</v>
      </c>
      <c r="BC13" s="302">
        <f>'49Phases'!BC289</f>
        <v>44932.964708357118</v>
      </c>
      <c r="BD13" s="302">
        <f>'49Phases'!BD289</f>
        <v>44932.964708357118</v>
      </c>
      <c r="BE13" s="302">
        <f>'49Phases'!BE289</f>
        <v>44932.964708357118</v>
      </c>
      <c r="BF13" s="302">
        <f>'49Phases'!BF289</f>
        <v>44932.964708357118</v>
      </c>
      <c r="BG13" s="302">
        <f>'49Phases'!BG289</f>
        <v>28189.718067021109</v>
      </c>
    </row>
    <row r="14" spans="1:59" x14ac:dyDescent="0.25">
      <c r="A14" s="202">
        <v>49.1</v>
      </c>
      <c r="B14" s="202">
        <v>349</v>
      </c>
      <c r="C14" s="315"/>
      <c r="D14" s="203" t="s">
        <v>1171</v>
      </c>
      <c r="E14" s="202">
        <f>'49Phases'!E208</f>
        <v>2436149.8955964427</v>
      </c>
      <c r="F14" s="202">
        <f>'49Phases'!F208</f>
        <v>1842762.2866330782</v>
      </c>
      <c r="G14" s="202">
        <f>'49Phases'!G208</f>
        <v>2451564.8629544303</v>
      </c>
      <c r="H14" s="202">
        <f>'49Phases'!H208</f>
        <v>2451210.4958881121</v>
      </c>
      <c r="I14" s="202">
        <f>'49Phases'!I208</f>
        <v>2446839.9687392381</v>
      </c>
      <c r="J14" s="202">
        <f>'49Phases'!J208</f>
        <v>2446987.6216833848</v>
      </c>
      <c r="K14" s="202">
        <f>'49Phases'!K208</f>
        <v>2447194.3358051986</v>
      </c>
      <c r="L14" s="202">
        <f>'49Phases'!L208</f>
        <v>2447341.9887493565</v>
      </c>
      <c r="M14" s="202">
        <f>'49Phases'!M208</f>
        <v>2415035.5246878066</v>
      </c>
      <c r="N14" s="202">
        <f>'49Phases'!N208</f>
        <v>2305477.0423378665</v>
      </c>
      <c r="O14" s="202">
        <f>'49Phases'!O208</f>
        <v>2305860.9399800217</v>
      </c>
      <c r="P14" s="202">
        <f>'49Phases'!P208</f>
        <v>2026885.4856612918</v>
      </c>
      <c r="Q14" s="202">
        <f>'49Phases'!Q208</f>
        <v>1676534.6293817994</v>
      </c>
      <c r="R14" s="202">
        <f>'49Phases'!R208</f>
        <v>1676505.0987984214</v>
      </c>
      <c r="S14" s="202">
        <f>'49Phases'!S208</f>
        <v>1356009.6903193388</v>
      </c>
      <c r="T14" s="202">
        <f>'49Phases'!T208</f>
        <v>1355921.0985763913</v>
      </c>
      <c r="U14" s="202">
        <f>'49Phases'!U208</f>
        <v>1355684.8539285411</v>
      </c>
      <c r="V14" s="202">
        <f>'49Phases'!V208</f>
        <v>24.723088834223258</v>
      </c>
      <c r="W14" s="202">
        <f>'49Phases'!W208</f>
        <v>2446928.560505725</v>
      </c>
      <c r="X14" s="202">
        <f>'49Phases'!X208</f>
        <v>2448759.4570135367</v>
      </c>
      <c r="Y14" s="202">
        <f>'49Phases'!Y208</f>
        <v>2443207.7063148227</v>
      </c>
      <c r="Z14" s="202">
        <f>'49Phases'!Z208</f>
        <v>2467629.5033247191</v>
      </c>
      <c r="AA14" s="202">
        <f>'49Phases'!AA208</f>
        <v>2451564.8629544303</v>
      </c>
      <c r="AB14" s="202">
        <f>'49Phases'!AB208</f>
        <v>2434939.1414576294</v>
      </c>
      <c r="AC14" s="202">
        <f>'49Phases'!AC208</f>
        <v>2443857.3792685582</v>
      </c>
      <c r="AD14" s="202">
        <f>'49Phases'!AD208</f>
        <v>2447282.927571693</v>
      </c>
      <c r="AE14" s="202">
        <f>'49Phases'!AE208</f>
        <v>2443207.7063148227</v>
      </c>
      <c r="AF14" s="202">
        <f>'49Phases'!AF208</f>
        <v>2448995.7017242783</v>
      </c>
      <c r="AG14" s="202">
        <f>'49Phases'!AG208</f>
        <v>2448936.6405465915</v>
      </c>
      <c r="AH14" s="202">
        <f>'49Phases'!AH208</f>
        <v>2448346.0287697692</v>
      </c>
      <c r="AI14" s="202">
        <f>'49Phases'!AI208</f>
        <v>2448729.9264246947</v>
      </c>
      <c r="AJ14" s="202">
        <f>'49Phases'!AJ208</f>
        <v>2449143.3546684985</v>
      </c>
      <c r="AK14" s="202">
        <f>'49Phases'!AK208</f>
        <v>2385091.5079403087</v>
      </c>
      <c r="AL14" s="202">
        <f>'49Phases'!AL208</f>
        <v>2448168.8452367382</v>
      </c>
      <c r="AM14" s="202">
        <f>'49Phases'!AM208</f>
        <v>1948452.2502358379</v>
      </c>
      <c r="AN14" s="202">
        <f>'49Phases'!AN208</f>
        <v>2451653.4547210149</v>
      </c>
      <c r="AO14" s="202">
        <f>'49Phases'!AO208</f>
        <v>1721450.6469502696</v>
      </c>
      <c r="AP14" s="202">
        <f>'49Phases'!AP208</f>
        <v>2459862.9584323661</v>
      </c>
      <c r="AQ14" s="202">
        <f>'49Phases'!AQ208</f>
        <v>2459862.9584323661</v>
      </c>
      <c r="AR14" s="202">
        <f>'49Phases'!AR208</f>
        <v>2459892.4890212836</v>
      </c>
      <c r="AS14" s="202">
        <f>'49Phases'!AS208</f>
        <v>2459892.4890212836</v>
      </c>
      <c r="AT14" s="202">
        <f>'49Phases'!AT208</f>
        <v>2459892.4890212836</v>
      </c>
      <c r="AU14" s="202">
        <f>'49Phases'!AU208</f>
        <v>2441849.2992300536</v>
      </c>
      <c r="AV14" s="202">
        <f>'49Phases'!AV208</f>
        <v>2450708.4758775434</v>
      </c>
      <c r="AW14" s="202">
        <f>'49Phases'!AW208</f>
        <v>2427822.2695753751</v>
      </c>
      <c r="AX14" s="202">
        <f>'49Phases'!AX208</f>
        <v>2435972.7120639128</v>
      </c>
      <c r="AY14" s="202">
        <f>'49Phases'!AY208</f>
        <v>2459922.0196102019</v>
      </c>
      <c r="AZ14" s="202">
        <f>'49Phases'!AZ208</f>
        <v>2459922.0196102019</v>
      </c>
      <c r="BA14" s="202">
        <f>'49Phases'!BA208</f>
        <v>2459951.5501991203</v>
      </c>
      <c r="BB14" s="202">
        <f>'49Phases'!BB208</f>
        <v>2459951.5501991203</v>
      </c>
      <c r="BC14" s="202">
        <f>'49Phases'!BC208</f>
        <v>2459951.5501991203</v>
      </c>
      <c r="BD14" s="202">
        <f>'49Phases'!BD208</f>
        <v>2459951.5501991203</v>
      </c>
      <c r="BE14" s="202">
        <f>'49Phases'!BE208</f>
        <v>2459951.5501991203</v>
      </c>
      <c r="BF14" s="202">
        <f>'49Phases'!BF208</f>
        <v>2459951.5501991203</v>
      </c>
      <c r="BG14" s="202">
        <f>'49Phases'!BG208</f>
        <v>2443207.7063148227</v>
      </c>
    </row>
    <row r="15" spans="1:59" x14ac:dyDescent="0.25">
      <c r="A15" s="202">
        <v>49.2</v>
      </c>
      <c r="B15" s="202">
        <v>350</v>
      </c>
      <c r="C15" s="315"/>
      <c r="D15" s="203" t="s">
        <v>1050</v>
      </c>
      <c r="E15" s="202">
        <f>'49Phases'!E202</f>
        <v>-521.5</v>
      </c>
      <c r="F15" s="202">
        <f>'49Phases'!F202</f>
        <v>-20615.5</v>
      </c>
      <c r="G15" s="202">
        <f>'49Phases'!G202</f>
        <v>0.5</v>
      </c>
      <c r="H15" s="202">
        <f>'49Phases'!H202</f>
        <v>-11.5</v>
      </c>
      <c r="I15" s="202">
        <f>'49Phases'!I202</f>
        <v>-159.5</v>
      </c>
      <c r="J15" s="202">
        <f>'49Phases'!J202</f>
        <v>-154.5</v>
      </c>
      <c r="K15" s="202">
        <f>'49Phases'!K202</f>
        <v>-147.5</v>
      </c>
      <c r="L15" s="202">
        <f>'49Phases'!L202</f>
        <v>-142.5</v>
      </c>
      <c r="M15" s="202">
        <f>'49Phases'!M202</f>
        <v>-1236.5</v>
      </c>
      <c r="N15" s="202">
        <f>'49Phases'!N202</f>
        <v>-4946.5</v>
      </c>
      <c r="O15" s="202">
        <f>'49Phases'!O202</f>
        <v>-4933.5</v>
      </c>
      <c r="P15" s="202">
        <f>'49Phases'!P202</f>
        <v>-14380.5</v>
      </c>
      <c r="Q15" s="202">
        <f>'49Phases'!Q202</f>
        <v>-26244.5</v>
      </c>
      <c r="R15" s="202">
        <f>'49Phases'!R202</f>
        <v>-26245.5</v>
      </c>
      <c r="S15" s="202">
        <f>'49Phases'!S202</f>
        <v>-37098.5</v>
      </c>
      <c r="T15" s="202">
        <f>'49Phases'!T202</f>
        <v>-37101.5</v>
      </c>
      <c r="U15" s="202">
        <f>'49Phases'!U202</f>
        <v>-37109.5</v>
      </c>
      <c r="V15" s="202">
        <f>'49Phases'!V202</f>
        <v>-83016.5</v>
      </c>
      <c r="W15" s="202">
        <f>'49Phases'!W202</f>
        <v>-156.5</v>
      </c>
      <c r="X15" s="202">
        <f>'49Phases'!X202</f>
        <v>-94.5</v>
      </c>
      <c r="Y15" s="202">
        <f>'49Phases'!Y202</f>
        <v>-282.5</v>
      </c>
      <c r="Z15" s="202">
        <f>'49Phases'!Z202</f>
        <v>544.5</v>
      </c>
      <c r="AA15" s="202">
        <f>'49Phases'!AA202</f>
        <v>0.5</v>
      </c>
      <c r="AB15" s="202">
        <f>'49Phases'!AB202</f>
        <v>-562.5</v>
      </c>
      <c r="AC15" s="202">
        <f>'49Phases'!AC202</f>
        <v>-260.5</v>
      </c>
      <c r="AD15" s="202">
        <f>'49Phases'!AD202</f>
        <v>-144.5</v>
      </c>
      <c r="AE15" s="202">
        <f>'49Phases'!AE202</f>
        <v>-282.5</v>
      </c>
      <c r="AF15" s="202">
        <f>'49Phases'!AF202</f>
        <v>-86.5</v>
      </c>
      <c r="AG15" s="202">
        <f>'49Phases'!AG202</f>
        <v>-88.5</v>
      </c>
      <c r="AH15" s="202">
        <f>'49Phases'!AH202</f>
        <v>-108.5</v>
      </c>
      <c r="AI15" s="202">
        <f>'49Phases'!AI202</f>
        <v>-95.5</v>
      </c>
      <c r="AJ15" s="202">
        <f>'49Phases'!AJ202</f>
        <v>-81.5</v>
      </c>
      <c r="AK15" s="202">
        <f>'49Phases'!AK202</f>
        <v>-2250.5</v>
      </c>
      <c r="AL15" s="202">
        <f>'49Phases'!AL202</f>
        <v>-114.5</v>
      </c>
      <c r="AM15" s="202">
        <f>'49Phases'!AM202</f>
        <v>-17036.5</v>
      </c>
      <c r="AN15" s="202">
        <f>'49Phases'!AN202</f>
        <v>3.5</v>
      </c>
      <c r="AO15" s="202">
        <f>'49Phases'!AO202</f>
        <v>-24723.5</v>
      </c>
      <c r="AP15" s="202">
        <f>'49Phases'!AP202</f>
        <v>281.5</v>
      </c>
      <c r="AQ15" s="202">
        <f>'49Phases'!AQ202</f>
        <v>281.5</v>
      </c>
      <c r="AR15" s="202">
        <f>'49Phases'!AR202</f>
        <v>282.5</v>
      </c>
      <c r="AS15" s="202">
        <f>'49Phases'!AS202</f>
        <v>282.5</v>
      </c>
      <c r="AT15" s="202">
        <f>'49Phases'!AT202</f>
        <v>282.5</v>
      </c>
      <c r="AU15" s="202">
        <f>'49Phases'!AU202</f>
        <v>-328.5</v>
      </c>
      <c r="AV15" s="202">
        <f>'49Phases'!AV202</f>
        <v>-28.5</v>
      </c>
      <c r="AW15" s="202">
        <f>'49Phases'!AW202</f>
        <v>-803.5</v>
      </c>
      <c r="AX15" s="202">
        <f>'49Phases'!AX202</f>
        <v>-527.5</v>
      </c>
      <c r="AY15" s="202">
        <f>'49Phases'!AY202</f>
        <v>283.5</v>
      </c>
      <c r="AZ15" s="202">
        <f>'49Phases'!AZ202</f>
        <v>283.5</v>
      </c>
      <c r="BA15" s="202">
        <f>'49Phases'!BA202</f>
        <v>284.5</v>
      </c>
      <c r="BB15" s="202">
        <f>'49Phases'!BB202</f>
        <v>284.5</v>
      </c>
      <c r="BC15" s="202">
        <f>'49Phases'!BC202</f>
        <v>284.5</v>
      </c>
      <c r="BD15" s="202">
        <f>'49Phases'!BD202</f>
        <v>284.5</v>
      </c>
      <c r="BE15" s="202">
        <f>'49Phases'!BE202</f>
        <v>284.5</v>
      </c>
      <c r="BF15" s="202">
        <f>'49Phases'!BF202</f>
        <v>284.5</v>
      </c>
      <c r="BG15" s="202">
        <f>'49Phases'!BG202</f>
        <v>-282.5</v>
      </c>
    </row>
    <row r="16" spans="1:59" x14ac:dyDescent="0.25">
      <c r="A16" s="202">
        <v>49.3</v>
      </c>
      <c r="B16" s="202">
        <v>350</v>
      </c>
      <c r="C16" s="315"/>
      <c r="D16" s="203" t="s">
        <v>1069</v>
      </c>
      <c r="E16" s="202">
        <f>'49Phases'!E204</f>
        <v>-0.42163560658123461</v>
      </c>
      <c r="F16" s="202">
        <f>'49Phases'!F204</f>
        <v>-16.667744673970166</v>
      </c>
      <c r="G16" s="202">
        <f>'49Phases'!G204</f>
        <v>4.0425273881230546E-4</v>
      </c>
      <c r="H16" s="202">
        <f>'49Phases'!H204</f>
        <v>-9.2978129926830268E-3</v>
      </c>
      <c r="I16" s="202">
        <f>'49Phases'!I204</f>
        <v>-0.12895662368112545</v>
      </c>
      <c r="J16" s="202">
        <f>'49Phases'!J204</f>
        <v>-0.12491409629300239</v>
      </c>
      <c r="K16" s="202">
        <f>'49Phases'!K204</f>
        <v>-0.11925455794963012</v>
      </c>
      <c r="L16" s="202">
        <f>'49Phases'!L204</f>
        <v>-0.11521203056150706</v>
      </c>
      <c r="M16" s="202">
        <f>'49Phases'!M204</f>
        <v>-0.9997170230828315</v>
      </c>
      <c r="N16" s="202">
        <f>'49Phases'!N204</f>
        <v>-3.9992723450701382</v>
      </c>
      <c r="O16" s="202">
        <f>'49Phases'!O204</f>
        <v>-3.9887617738610182</v>
      </c>
      <c r="P16" s="202">
        <f>'49Phases'!P204</f>
        <v>-11.626713020980718</v>
      </c>
      <c r="Q16" s="202">
        <f>'49Phases'!Q204</f>
        <v>-21.218822007519101</v>
      </c>
      <c r="R16" s="202">
        <f>'49Phases'!R204</f>
        <v>-21.219630512996726</v>
      </c>
      <c r="S16" s="202">
        <f>'49Phases'!S204</f>
        <v>-29.99434046165663</v>
      </c>
      <c r="T16" s="202">
        <f>'49Phases'!T204</f>
        <v>-29.996765978089503</v>
      </c>
      <c r="U16" s="202">
        <f>'49Phases'!U204</f>
        <v>-30.003234021910501</v>
      </c>
      <c r="V16" s="202">
        <f>'49Phases'!V204</f>
        <v>-67.119294983223512</v>
      </c>
      <c r="W16" s="202">
        <f>'49Phases'!W204</f>
        <v>-0.12653110724825162</v>
      </c>
      <c r="X16" s="202">
        <f>'49Phases'!X204</f>
        <v>-7.6403767635525741E-2</v>
      </c>
      <c r="Y16" s="202">
        <f>'49Phases'!Y204</f>
        <v>-0.22840279742895259</v>
      </c>
      <c r="Z16" s="202">
        <f>'49Phases'!Z204</f>
        <v>0.44023123256660068</v>
      </c>
      <c r="AA16" s="202">
        <f>'49Phases'!AA204</f>
        <v>4.0425273881230546E-4</v>
      </c>
      <c r="AB16" s="202">
        <f>'49Phases'!AB204</f>
        <v>-0.45478433116384365</v>
      </c>
      <c r="AC16" s="202">
        <f>'49Phases'!AC204</f>
        <v>-0.21061567692121116</v>
      </c>
      <c r="AD16" s="202">
        <f>'49Phases'!AD204</f>
        <v>-0.11682904151675629</v>
      </c>
      <c r="AE16" s="202">
        <f>'49Phases'!AE204</f>
        <v>-0.22840279742895259</v>
      </c>
      <c r="AF16" s="202">
        <f>'49Phases'!AF204</f>
        <v>-6.9935723814528852E-2</v>
      </c>
      <c r="AG16" s="202">
        <f>'49Phases'!AG204</f>
        <v>-7.1552734769778067E-2</v>
      </c>
      <c r="AH16" s="202">
        <f>'49Phases'!AH204</f>
        <v>-8.7722844322270288E-2</v>
      </c>
      <c r="AI16" s="202">
        <f>'49Phases'!AI204</f>
        <v>-7.7212273113150348E-2</v>
      </c>
      <c r="AJ16" s="202">
        <f>'49Phases'!AJ204</f>
        <v>-6.5893196426405801E-2</v>
      </c>
      <c r="AK16" s="202">
        <f>'49Phases'!AK204</f>
        <v>-1.819541577394187</v>
      </c>
      <c r="AL16" s="202">
        <f>'49Phases'!AL204</f>
        <v>-9.2573877188017961E-2</v>
      </c>
      <c r="AM16" s="202">
        <f>'49Phases'!AM204</f>
        <v>-13.774103569551684</v>
      </c>
      <c r="AN16" s="202">
        <f>'49Phases'!AN204</f>
        <v>2.8297691716861382E-3</v>
      </c>
      <c r="AO16" s="202">
        <f>'49Phases'!AO204</f>
        <v>-19.989085176052068</v>
      </c>
      <c r="AP16" s="202">
        <f>'49Phases'!AP204</f>
        <v>0.22759429195132799</v>
      </c>
      <c r="AQ16" s="202">
        <f>'49Phases'!AQ204</f>
        <v>0.22759429195132799</v>
      </c>
      <c r="AR16" s="202">
        <f>'49Phases'!AR204</f>
        <v>0.22840279742895259</v>
      </c>
      <c r="AS16" s="202">
        <f>'49Phases'!AS204</f>
        <v>0.22840279742895259</v>
      </c>
      <c r="AT16" s="202">
        <f>'49Phases'!AT204</f>
        <v>0.22840279742895259</v>
      </c>
      <c r="AU16" s="202">
        <f>'49Phases'!AU204</f>
        <v>-0.26559404939968473</v>
      </c>
      <c r="AV16" s="202">
        <f>'49Phases'!AV204</f>
        <v>-2.3042406112301413E-2</v>
      </c>
      <c r="AW16" s="202">
        <f>'49Phases'!AW204</f>
        <v>-0.64963415127137492</v>
      </c>
      <c r="AX16" s="202">
        <f>'49Phases'!AX204</f>
        <v>-0.42648663944698229</v>
      </c>
      <c r="AY16" s="202">
        <f>'49Phases'!AY204</f>
        <v>0.22921130290657721</v>
      </c>
      <c r="AZ16" s="202">
        <f>'49Phases'!AZ204</f>
        <v>0.22921130290657721</v>
      </c>
      <c r="BA16" s="202">
        <f>'49Phases'!BA204</f>
        <v>0.23001980838420183</v>
      </c>
      <c r="BB16" s="202">
        <f>'49Phases'!BB204</f>
        <v>0.23001980838420183</v>
      </c>
      <c r="BC16" s="202">
        <f>'49Phases'!BC204</f>
        <v>0.23001980838420183</v>
      </c>
      <c r="BD16" s="202">
        <f>'49Phases'!BD204</f>
        <v>0.23001980838420183</v>
      </c>
      <c r="BE16" s="202">
        <f>'49Phases'!BE204</f>
        <v>0.23001980838420183</v>
      </c>
      <c r="BF16" s="202">
        <f>'49Phases'!BF204</f>
        <v>0.23001980838420183</v>
      </c>
      <c r="BG16" s="202">
        <f>'49Phases'!BG204</f>
        <v>-0.22840279742895259</v>
      </c>
    </row>
    <row r="17" spans="1:59" x14ac:dyDescent="0.25">
      <c r="A17" s="202">
        <v>47.6</v>
      </c>
      <c r="B17" s="202">
        <v>338</v>
      </c>
      <c r="C17" s="315"/>
      <c r="D17" s="203" t="s">
        <v>1074</v>
      </c>
      <c r="E17" s="202">
        <f>'49Phases'!E209</f>
        <v>1.0010595196394312</v>
      </c>
      <c r="F17" s="202">
        <f>'49Phases'!F209</f>
        <v>1.0398802241270855</v>
      </c>
      <c r="G17" s="202">
        <f>'49Phases'!G209</f>
        <v>0.99999898289889988</v>
      </c>
      <c r="H17" s="202">
        <f>'49Phases'!H209</f>
        <v>1.0000233926577646</v>
      </c>
      <c r="I17" s="202">
        <f>'49Phases'!I209</f>
        <v>1.0003243318045818</v>
      </c>
      <c r="J17" s="202">
        <f>'49Phases'!J209</f>
        <v>1.0003141684001406</v>
      </c>
      <c r="K17" s="202">
        <f>'49Phases'!K209</f>
        <v>1.0002999392275942</v>
      </c>
      <c r="L17" s="202">
        <f>'49Phases'!L209</f>
        <v>1.000289775242684</v>
      </c>
      <c r="M17" s="202">
        <f>'49Phases'!M209</f>
        <v>1.0025078922175423</v>
      </c>
      <c r="N17" s="202">
        <f>'49Phases'!N209</f>
        <v>1.0099438122934503</v>
      </c>
      <c r="O17" s="202">
        <f>'49Phases'!O209</f>
        <v>1.0099179889914185</v>
      </c>
      <c r="P17" s="202">
        <f>'49Phases'!P209</f>
        <v>1.0282524745888129</v>
      </c>
      <c r="Q17" s="202">
        <f>'49Phases'!Q209</f>
        <v>1.050054791956256</v>
      </c>
      <c r="R17" s="202">
        <f>'49Phases'!R209</f>
        <v>1.0500565722492998</v>
      </c>
      <c r="S17" s="202">
        <f>'49Phases'!S209</f>
        <v>1.0688082731995279</v>
      </c>
      <c r="T17" s="202">
        <f>'49Phases'!T209</f>
        <v>1.0688132990292056</v>
      </c>
      <c r="U17" s="202">
        <f>'49Phases'!U209</f>
        <v>1.0688267008160028</v>
      </c>
      <c r="V17" s="202">
        <f>'49Phases'!V209</f>
        <v>1.1355351479608577</v>
      </c>
      <c r="W17" s="202">
        <f>'49Phases'!W209</f>
        <v>1.0003182337909404</v>
      </c>
      <c r="X17" s="202">
        <f>'49Phases'!X209</f>
        <v>1.0001921886816068</v>
      </c>
      <c r="Y17" s="202">
        <f>'49Phases'!Y209</f>
        <v>1.0005742753963309</v>
      </c>
      <c r="Z17" s="202">
        <f>'49Phases'!Z209</f>
        <v>0.99889094407268031</v>
      </c>
      <c r="AA17" s="202">
        <f>'49Phases'!AA209</f>
        <v>0.99999898289889988</v>
      </c>
      <c r="AB17" s="202">
        <f>'49Phases'!AB209</f>
        <v>1.0011427068441778</v>
      </c>
      <c r="AC17" s="202">
        <f>'49Phases'!AC209</f>
        <v>1.0005295807868047</v>
      </c>
      <c r="AD17" s="202">
        <f>'49Phases'!AD209</f>
        <v>1.0002938408656716</v>
      </c>
      <c r="AE17" s="202">
        <f>'49Phases'!AE209</f>
        <v>1.0005742753963309</v>
      </c>
      <c r="AF17" s="202">
        <f>'49Phases'!AF209</f>
        <v>1.0001759220876769</v>
      </c>
      <c r="AG17" s="202">
        <f>'49Phases'!AG209</f>
        <v>1.0001799887942064</v>
      </c>
      <c r="AH17" s="202">
        <f>'49Phases'!AH209</f>
        <v>1.000220653731114</v>
      </c>
      <c r="AI17" s="202">
        <f>'49Phases'!AI209</f>
        <v>1.0001942219623128</v>
      </c>
      <c r="AJ17" s="202">
        <f>'49Phases'!AJ209</f>
        <v>1.00016575515205</v>
      </c>
      <c r="AK17" s="202">
        <f>'49Phases'!AK209</f>
        <v>1.0045534671952401</v>
      </c>
      <c r="AL17" s="202">
        <f>'49Phases'!AL209</f>
        <v>1.0002328524575768</v>
      </c>
      <c r="AM17" s="202">
        <f>'49Phases'!AM209</f>
        <v>1.0332516727053209</v>
      </c>
      <c r="AN17" s="202">
        <f>'49Phases'!AN209</f>
        <v>0.9999928802415079</v>
      </c>
      <c r="AO17" s="202">
        <f>'49Phases'!AO209</f>
        <v>1.0473357682092486</v>
      </c>
      <c r="AP17" s="202">
        <f>'49Phases'!AP209</f>
        <v>0.99942698944765362</v>
      </c>
      <c r="AQ17" s="202">
        <f>'49Phases'!AQ209</f>
        <v>0.99942698944765362</v>
      </c>
      <c r="AR17" s="202">
        <f>'49Phases'!AR209</f>
        <v>0.99942495251966845</v>
      </c>
      <c r="AS17" s="202">
        <f>'49Phases'!AS209</f>
        <v>0.99942495251966845</v>
      </c>
      <c r="AT17" s="202">
        <f>'49Phases'!AT209</f>
        <v>0.99942495251966845</v>
      </c>
      <c r="AU17" s="202">
        <f>'49Phases'!AU209</f>
        <v>1.0006677126308163</v>
      </c>
      <c r="AV17" s="202">
        <f>'49Phases'!AV209</f>
        <v>1.0000579707647301</v>
      </c>
      <c r="AW17" s="202">
        <f>'49Phases'!AW209</f>
        <v>1.0016313565430732</v>
      </c>
      <c r="AX17" s="202">
        <f>'49Phases'!AX209</f>
        <v>1.0010716943925317</v>
      </c>
      <c r="AY17" s="202">
        <f>'49Phases'!AY209</f>
        <v>0.99942291558200891</v>
      </c>
      <c r="AZ17" s="202">
        <f>'49Phases'!AZ209</f>
        <v>0.99942291558200891</v>
      </c>
      <c r="BA17" s="202">
        <f>'49Phases'!BA209</f>
        <v>0.99942087863467466</v>
      </c>
      <c r="BB17" s="202">
        <f>'49Phases'!BB209</f>
        <v>0.99942087863467466</v>
      </c>
      <c r="BC17" s="202">
        <f>'49Phases'!BC209</f>
        <v>0.99942087863467466</v>
      </c>
      <c r="BD17" s="202">
        <f>'49Phases'!BD209</f>
        <v>0.99942087863467466</v>
      </c>
      <c r="BE17" s="202">
        <f>'49Phases'!BE209</f>
        <v>0.99942087863467466</v>
      </c>
      <c r="BF17" s="202">
        <f>'49Phases'!BF209</f>
        <v>0.99942087863467466</v>
      </c>
      <c r="BG17" s="202">
        <f>'49Phases'!BG209</f>
        <v>1.0005742753963309</v>
      </c>
    </row>
    <row r="18" spans="1:59" x14ac:dyDescent="0.25">
      <c r="A18" s="202">
        <v>49.4</v>
      </c>
      <c r="B18" s="202">
        <v>350</v>
      </c>
      <c r="C18" s="315"/>
      <c r="D18" s="203" t="s">
        <v>1049</v>
      </c>
      <c r="E18" s="202">
        <f>'49Phases'!E213</f>
        <v>304.10988070935855</v>
      </c>
      <c r="F18" s="202">
        <f>'49Phases'!F213</f>
        <v>101.072471568943</v>
      </c>
      <c r="G18" s="202">
        <f>'49Phases'!G213</f>
        <v>17.106078349999773</v>
      </c>
      <c r="H18" s="202">
        <f>'49Phases'!H213</f>
        <v>27.841797949879094</v>
      </c>
      <c r="I18" s="202">
        <f>'49Phases'!I213</f>
        <v>40.249006326953349</v>
      </c>
      <c r="J18" s="202">
        <f>'49Phases'!J213</f>
        <v>185.77578982836894</v>
      </c>
      <c r="K18" s="202">
        <f>'49Phases'!K213</f>
        <v>29.513286730275468</v>
      </c>
      <c r="L18" s="202">
        <f>'49Phases'!L213</f>
        <v>175.04007023158374</v>
      </c>
      <c r="M18" s="202">
        <f>'49Phases'!M213</f>
        <v>13.779839160684787</v>
      </c>
      <c r="N18" s="202">
        <f>'49Phases'!N213</f>
        <v>32.906468094326556</v>
      </c>
      <c r="O18" s="202">
        <f>'49Phases'!O213</f>
        <v>51.276105256518349</v>
      </c>
      <c r="P18" s="202">
        <f>'49Phases'!P213</f>
        <v>132.97135928476928</v>
      </c>
      <c r="Q18" s="202">
        <f>'49Phases'!Q213</f>
        <v>67.019907404202968</v>
      </c>
      <c r="R18" s="202">
        <f>'49Phases'!R213</f>
        <v>37.914550776476972</v>
      </c>
      <c r="S18" s="202">
        <f>'49Phases'!S213</f>
        <v>237.47957384493202</v>
      </c>
      <c r="T18" s="202">
        <f>'49Phases'!T213</f>
        <v>150.16350426129065</v>
      </c>
      <c r="U18" s="202">
        <f>'49Phases'!U213</f>
        <v>277.32065203902312</v>
      </c>
      <c r="V18" s="202">
        <f>'49Phases'!V213</f>
        <v>97.735868414863944</v>
      </c>
      <c r="W18" s="202">
        <f>'49Phases'!W213</f>
        <v>127.56507642780798</v>
      </c>
      <c r="X18" s="202">
        <f>'49Phases'!X213</f>
        <v>132.09719184187588</v>
      </c>
      <c r="Y18" s="202">
        <f>'49Phases'!Y213</f>
        <v>60.290132178277418</v>
      </c>
      <c r="Z18" s="202">
        <f>'49Phases'!Z213</f>
        <v>10.420122869292754</v>
      </c>
      <c r="AA18" s="202">
        <f>'49Phases'!AA213</f>
        <v>17.106078349999773</v>
      </c>
      <c r="AB18" s="202">
        <f>'49Phases'!AB213</f>
        <v>190.79025597078726</v>
      </c>
      <c r="AC18" s="202">
        <f>'49Phases'!AC213</f>
        <v>340.60797958892545</v>
      </c>
      <c r="AD18" s="202">
        <f>'49Phases'!AD213</f>
        <v>116.82935683106643</v>
      </c>
      <c r="AE18" s="202">
        <f>'49Phases'!AE213</f>
        <v>60.290132178277418</v>
      </c>
      <c r="AF18" s="202">
        <f>'49Phases'!AF213</f>
        <v>4.9400454431897742</v>
      </c>
      <c r="AG18" s="202">
        <f>'49Phases'!AG213</f>
        <v>306.72933204287256</v>
      </c>
      <c r="AH18" s="202">
        <f>'49Phases'!AH213</f>
        <v>84.622198039300201</v>
      </c>
      <c r="AI18" s="202">
        <f>'49Phases'!AI213</f>
        <v>102.99183514170363</v>
      </c>
      <c r="AJ18" s="202">
        <f>'49Phases'!AJ213</f>
        <v>150.46682894395235</v>
      </c>
      <c r="AK18" s="202">
        <f>'49Phases'!AK213</f>
        <v>20.948142677611031</v>
      </c>
      <c r="AL18" s="202">
        <f>'49Phases'!AL213</f>
        <v>269.99005783808889</v>
      </c>
      <c r="AM18" s="202">
        <f>'49Phases'!AM213</f>
        <v>229.14400229713647</v>
      </c>
      <c r="AN18" s="202">
        <f>'49Phases'!AN213</f>
        <v>104.42214844998878</v>
      </c>
      <c r="AO18" s="202">
        <f>'49Phases'!AO213</f>
        <v>56.267346721026115</v>
      </c>
      <c r="AP18" s="202">
        <f>'49Phases'!AP213</f>
        <v>275.7113109761849</v>
      </c>
      <c r="AQ18" s="202">
        <f>'49Phases'!AQ213</f>
        <v>275.7113109761849</v>
      </c>
      <c r="AR18" s="202">
        <f>'49Phases'!AR213</f>
        <v>304.81666767565548</v>
      </c>
      <c r="AS18" s="202">
        <f>'49Phases'!AS213</f>
        <v>304.81666767565548</v>
      </c>
      <c r="AT18" s="202">
        <f>'49Phases'!AT213</f>
        <v>304.81666767565548</v>
      </c>
      <c r="AU18" s="202">
        <f>'49Phases'!AU213</f>
        <v>161.44372395330538</v>
      </c>
      <c r="AV18" s="202">
        <f>'49Phases'!AV213</f>
        <v>253.05073404925804</v>
      </c>
      <c r="AW18" s="202">
        <f>'49Phases'!AW213</f>
        <v>16.399290989324072</v>
      </c>
      <c r="AX18" s="202">
        <f>'49Phases'!AX213</f>
        <v>129.4777405038858</v>
      </c>
      <c r="AY18" s="202">
        <f>'49Phases'!AY213</f>
        <v>333.92202437512424</v>
      </c>
      <c r="AZ18" s="202">
        <f>'49Phases'!AZ213</f>
        <v>333.92202437512424</v>
      </c>
      <c r="BA18" s="202">
        <f>'49Phases'!BA213</f>
        <v>3.027381074589357</v>
      </c>
      <c r="BB18" s="202">
        <f>'49Phases'!BB213</f>
        <v>3.027381074589357</v>
      </c>
      <c r="BC18" s="202">
        <f>'49Phases'!BC213</f>
        <v>3.027381074589357</v>
      </c>
      <c r="BD18" s="202">
        <f>'49Phases'!BD213</f>
        <v>3.027381074589357</v>
      </c>
      <c r="BE18" s="202">
        <f>'49Phases'!BE213</f>
        <v>3.027381074589357</v>
      </c>
      <c r="BF18" s="202">
        <f>'49Phases'!BF213</f>
        <v>3.027381074589357</v>
      </c>
      <c r="BG18" s="202">
        <f>'49Phases'!BG213</f>
        <v>60.290132178277418</v>
      </c>
    </row>
    <row r="19" spans="1:59" x14ac:dyDescent="0.25">
      <c r="A19" s="202">
        <v>49.5</v>
      </c>
      <c r="B19" s="202">
        <v>350</v>
      </c>
      <c r="C19" s="315"/>
      <c r="D19" s="203" t="s">
        <v>1048</v>
      </c>
      <c r="E19" s="202">
        <f>'49Phases'!E218</f>
        <v>238.03446310624713</v>
      </c>
      <c r="F19" s="202">
        <f>'49Phases'!F218</f>
        <v>235.46200823877007</v>
      </c>
      <c r="G19" s="202">
        <f>'49Phases'!G218</f>
        <v>34.472767641758139</v>
      </c>
      <c r="H19" s="202">
        <f>'49Phases'!H218</f>
        <v>84.669545210029355</v>
      </c>
      <c r="I19" s="202">
        <f>'49Phases'!I218</f>
        <v>223.76330172026792</v>
      </c>
      <c r="J19" s="202">
        <f>'49Phases'!J218</f>
        <v>352.84796708176873</v>
      </c>
      <c r="K19" s="202">
        <f>'49Phases'!K218</f>
        <v>173.56649917834147</v>
      </c>
      <c r="L19" s="202">
        <f>'49Phases'!L218</f>
        <v>302.65116538338043</v>
      </c>
      <c r="M19" s="202">
        <f>'49Phases'!M218</f>
        <v>138.93456596485339</v>
      </c>
      <c r="N19" s="202">
        <f>'49Phases'!N218</f>
        <v>118.26519933459349</v>
      </c>
      <c r="O19" s="202">
        <f>'49Phases'!O218</f>
        <v>93.884461111854762</v>
      </c>
      <c r="P19" s="202">
        <f>'49Phases'!P218</f>
        <v>282.5602867603302</v>
      </c>
      <c r="Q19" s="202">
        <f>'49Phases'!Q218</f>
        <v>353.72006874158978</v>
      </c>
      <c r="R19" s="202">
        <f>'49Phases'!R218</f>
        <v>327.90348728187382</v>
      </c>
      <c r="S19" s="202">
        <f>'49Phases'!S218</f>
        <v>221.2885266598314</v>
      </c>
      <c r="T19" s="202">
        <f>'49Phases'!T218</f>
        <v>143.83919000253081</v>
      </c>
      <c r="U19" s="202">
        <f>'49Phases'!U218</f>
        <v>297.3076261151582</v>
      </c>
      <c r="V19" s="202">
        <f>'49Phases'!V218</f>
        <v>273.50183455646038</v>
      </c>
      <c r="W19" s="202">
        <f>'49Phases'!W218</f>
        <v>301.21410089499113</v>
      </c>
      <c r="X19" s="202">
        <f>'49Phases'!X218</f>
        <v>101.86397883584868</v>
      </c>
      <c r="Y19" s="202">
        <f>'49Phases'!Y218</f>
        <v>288.28064448435907</v>
      </c>
      <c r="Z19" s="202">
        <f>'49Phases'!Z218</f>
        <v>38.887645991286263</v>
      </c>
      <c r="AA19" s="202">
        <f>'49Phases'!AA218</f>
        <v>34.472767641758139</v>
      </c>
      <c r="AB19" s="202">
        <f>'49Phases'!AB218</f>
        <v>259.54042893848964</v>
      </c>
      <c r="AC19" s="202">
        <f>'49Phases'!AC218</f>
        <v>136.25313666682632</v>
      </c>
      <c r="AD19" s="202">
        <f>'49Phases'!AD218</f>
        <v>251.01729885918758</v>
      </c>
      <c r="AE19" s="202">
        <f>'49Phases'!AE218</f>
        <v>288.28064448435907</v>
      </c>
      <c r="AF19" s="202">
        <f>'49Phases'!AF218</f>
        <v>308.39945089418325</v>
      </c>
      <c r="AG19" s="202">
        <f>'49Phases'!AG218</f>
        <v>256.76558279522578</v>
      </c>
      <c r="AH19" s="202">
        <f>'49Phases'!AH218</f>
        <v>100.42690489918459</v>
      </c>
      <c r="AI19" s="202">
        <f>'49Phases'!AI218</f>
        <v>76.047044891842233</v>
      </c>
      <c r="AJ19" s="202">
        <f>'49Phases'!AJ218</f>
        <v>77.484121387631603</v>
      </c>
      <c r="AK19" s="202">
        <f>'49Phases'!AK218</f>
        <v>240.58699465915561</v>
      </c>
      <c r="AL19" s="202">
        <f>'49Phases'!AL218</f>
        <v>305.52530262710934</v>
      </c>
      <c r="AM19" s="202">
        <f>'49Phases'!AM218</f>
        <v>113.35307129658759</v>
      </c>
      <c r="AN19" s="202">
        <f>'49Phases'!AN218</f>
        <v>111.92357356614752</v>
      </c>
      <c r="AO19" s="202">
        <f>'49Phases'!AO218</f>
        <v>20.755351550877094</v>
      </c>
      <c r="AP19" s="202">
        <f>'49Phases'!AP218</f>
        <v>89.03213873153436</v>
      </c>
      <c r="AQ19" s="202">
        <f>'49Phases'!AQ218</f>
        <v>89.03213873153436</v>
      </c>
      <c r="AR19" s="202">
        <f>'49Phases'!AR218</f>
        <v>114.84907797939377</v>
      </c>
      <c r="AS19" s="202">
        <f>'49Phases'!AS218</f>
        <v>114.84907797939377</v>
      </c>
      <c r="AT19" s="202">
        <f>'49Phases'!AT218</f>
        <v>114.84907797939377</v>
      </c>
      <c r="AU19" s="202">
        <f>'49Phases'!AU218</f>
        <v>180.70181917333684</v>
      </c>
      <c r="AV19" s="202">
        <f>'49Phases'!AV218</f>
        <v>5.7816502319419669</v>
      </c>
      <c r="AW19" s="202">
        <f>'49Phases'!AW218</f>
        <v>157.66133933991659</v>
      </c>
      <c r="AX19" s="202">
        <f>'49Phases'!AX218</f>
        <v>83.132895655900938</v>
      </c>
      <c r="AY19" s="202">
        <f>'49Phases'!AY218</f>
        <v>140.66601724131033</v>
      </c>
      <c r="AZ19" s="202">
        <f>'49Phases'!AZ218</f>
        <v>140.66601724131033</v>
      </c>
      <c r="BA19" s="202">
        <f>'49Phases'!BA218</f>
        <v>166.48295651731314</v>
      </c>
      <c r="BB19" s="202">
        <f>'49Phases'!BB218</f>
        <v>166.48295651731314</v>
      </c>
      <c r="BC19" s="202">
        <f>'49Phases'!BC218</f>
        <v>166.48295651731314</v>
      </c>
      <c r="BD19" s="202">
        <f>'49Phases'!BD218</f>
        <v>166.48295651731314</v>
      </c>
      <c r="BE19" s="202">
        <f>'49Phases'!BE218</f>
        <v>166.48295651731314</v>
      </c>
      <c r="BF19" s="202">
        <f>'49Phases'!BF218</f>
        <v>166.48295651731314</v>
      </c>
      <c r="BG19" s="202">
        <f>'49Phases'!BG218</f>
        <v>288.28064448435907</v>
      </c>
    </row>
    <row r="20" spans="1:59" x14ac:dyDescent="0.25">
      <c r="A20" s="202">
        <v>49.6</v>
      </c>
      <c r="B20" s="202">
        <v>350</v>
      </c>
      <c r="C20" s="315"/>
      <c r="D20" s="203" t="s">
        <v>1047</v>
      </c>
      <c r="E20" s="202">
        <f>'49Phases'!E223</f>
        <v>186.04328257020097</v>
      </c>
      <c r="F20" s="202">
        <f>'49Phases'!F223</f>
        <v>212.52308212220669</v>
      </c>
      <c r="G20" s="202">
        <f>'49Phases'!G223</f>
        <v>356.04605141973661</v>
      </c>
      <c r="H20" s="202">
        <f>'49Phases'!H223</f>
        <v>348.00001720066302</v>
      </c>
      <c r="I20" s="202">
        <f>'49Phases'!I223</f>
        <v>128.76557022094494</v>
      </c>
      <c r="J20" s="202">
        <f>'49Phases'!J223</f>
        <v>282.11808607466082</v>
      </c>
      <c r="K20" s="202">
        <f>'49Phases'!K223</f>
        <v>136.81160818140052</v>
      </c>
      <c r="L20" s="202">
        <f>'49Phases'!L223</f>
        <v>290.16412390874757</v>
      </c>
      <c r="M20" s="202">
        <f>'49Phases'!M223</f>
        <v>216.63242973113665</v>
      </c>
      <c r="N20" s="202">
        <f>'49Phases'!N223</f>
        <v>189.04287053644657</v>
      </c>
      <c r="O20" s="202">
        <f>'49Phases'!O223</f>
        <v>227.75954161002301</v>
      </c>
      <c r="P20" s="202">
        <f>'49Phases'!P223</f>
        <v>283.33059430122375</v>
      </c>
      <c r="Q20" s="202">
        <f>'49Phases'!Q223</f>
        <v>7.9972377233207226</v>
      </c>
      <c r="R20" s="202">
        <f>'49Phases'!R223</f>
        <v>337.32668239995837</v>
      </c>
      <c r="S20" s="202">
        <f>'49Phases'!S223</f>
        <v>109.68127612955868</v>
      </c>
      <c r="T20" s="202">
        <f>'49Phases'!T223</f>
        <v>17.669550817459822</v>
      </c>
      <c r="U20" s="202">
        <f>'49Phases'!U223</f>
        <v>132.30494991317391</v>
      </c>
      <c r="V20" s="202">
        <f>'49Phases'!V223</f>
        <v>96.560255147516727</v>
      </c>
      <c r="W20" s="202">
        <f>'49Phases'!W223</f>
        <v>220.77707973948418</v>
      </c>
      <c r="X20" s="202">
        <f>'49Phases'!X223</f>
        <v>322.34827221207524</v>
      </c>
      <c r="Y20" s="202">
        <f>'49Phases'!Y223</f>
        <v>316.29366364296584</v>
      </c>
      <c r="Z20" s="202">
        <f>'49Phases'!Z223</f>
        <v>120.79928381417994</v>
      </c>
      <c r="AA20" s="202">
        <f>'49Phases'!AA223</f>
        <v>356.04605141973661</v>
      </c>
      <c r="AB20" s="202">
        <f>'49Phases'!AB223</f>
        <v>8.5526193473488092</v>
      </c>
      <c r="AC20" s="202">
        <f>'49Phases'!AC223</f>
        <v>271.04473870343645</v>
      </c>
      <c r="AD20" s="202">
        <f>'49Phases'!AD223</f>
        <v>228.82311762412428</v>
      </c>
      <c r="AE20" s="202">
        <f>'49Phases'!AE223</f>
        <v>316.29366364296584</v>
      </c>
      <c r="AF20" s="202">
        <f>'49Phases'!AF223</f>
        <v>207.71229645745188</v>
      </c>
      <c r="AG20" s="202">
        <f>'49Phases'!AG223</f>
        <v>146.37129040874424</v>
      </c>
      <c r="AH20" s="202">
        <f>'49Phases'!AH223</f>
        <v>252.96122945825482</v>
      </c>
      <c r="AI20" s="202">
        <f>'49Phases'!AI223</f>
        <v>291.67776917192532</v>
      </c>
      <c r="AJ20" s="202">
        <f>'49Phases'!AJ223</f>
        <v>1.0648115423573472</v>
      </c>
      <c r="AK20" s="202">
        <f>'49Phases'!AK223</f>
        <v>76.738836138043553</v>
      </c>
      <c r="AL20" s="202">
        <f>'49Phases'!AL223</f>
        <v>68.938211008811777</v>
      </c>
      <c r="AM20" s="202">
        <f>'49Phases'!AM223</f>
        <v>182.38969424460083</v>
      </c>
      <c r="AN20" s="202">
        <f>'49Phases'!AN223</f>
        <v>88.05755992709328</v>
      </c>
      <c r="AO20" s="202">
        <f>'49Phases'!AO223</f>
        <v>217.9097052142024</v>
      </c>
      <c r="AP20" s="202">
        <f>'49Phases'!AP223</f>
        <v>334.45726594337611</v>
      </c>
      <c r="AQ20" s="202">
        <f>'49Phases'!AQ223</f>
        <v>334.45726594337611</v>
      </c>
      <c r="AR20" s="202">
        <f>'49Phases'!AR223</f>
        <v>5.1277681888459483</v>
      </c>
      <c r="AS20" s="202">
        <f>'49Phases'!AS223</f>
        <v>5.1277681888459483</v>
      </c>
      <c r="AT20" s="202">
        <f>'49Phases'!AT223</f>
        <v>5.1277681888459483</v>
      </c>
      <c r="AU20" s="202">
        <f>'49Phases'!AU223</f>
        <v>345.45050340591115</v>
      </c>
      <c r="AV20" s="202">
        <f>'49Phases'!AV223</f>
        <v>186.6014682042387</v>
      </c>
      <c r="AW20" s="202">
        <f>'49Phases'!AW223</f>
        <v>176.96108846517745</v>
      </c>
      <c r="AX20" s="202">
        <f>'49Phases'!AX223</f>
        <v>2.0202589048130903</v>
      </c>
      <c r="AY20" s="202">
        <f>'49Phases'!AY223</f>
        <v>35.798270432220306</v>
      </c>
      <c r="AZ20" s="202">
        <f>'49Phases'!AZ223</f>
        <v>35.798270432220306</v>
      </c>
      <c r="BA20" s="202">
        <f>'49Phases'!BA223</f>
        <v>66.468772673499188</v>
      </c>
      <c r="BB20" s="202">
        <f>'49Phases'!BB223</f>
        <v>66.468772673499188</v>
      </c>
      <c r="BC20" s="202">
        <f>'49Phases'!BC223</f>
        <v>66.468772673499188</v>
      </c>
      <c r="BD20" s="202">
        <f>'49Phases'!BD223</f>
        <v>66.468772673499188</v>
      </c>
      <c r="BE20" s="202">
        <f>'49Phases'!BE223</f>
        <v>66.468772673499188</v>
      </c>
      <c r="BF20" s="202">
        <f>'49Phases'!BF223</f>
        <v>66.468772673499188</v>
      </c>
      <c r="BG20" s="202">
        <f>'49Phases'!BG223</f>
        <v>316.29366364296584</v>
      </c>
    </row>
    <row r="21" spans="1:59" x14ac:dyDescent="0.25">
      <c r="A21" s="303">
        <v>49.7</v>
      </c>
      <c r="B21" s="303">
        <v>350</v>
      </c>
      <c r="C21" s="303"/>
      <c r="D21" s="308" t="s">
        <v>402</v>
      </c>
      <c r="E21" s="303">
        <f>'49Phases'!E227</f>
        <v>220.27365875859846</v>
      </c>
      <c r="F21" s="303">
        <f>'49Phases'!F227</f>
        <v>322.94828501125812</v>
      </c>
      <c r="G21" s="303">
        <f>'49Phases'!G227</f>
        <v>123.99272206033783</v>
      </c>
      <c r="H21" s="303">
        <f>'49Phases'!H227</f>
        <v>142.7577927987063</v>
      </c>
      <c r="I21" s="303">
        <f>'49Phases'!I227</f>
        <v>14.193697232534134</v>
      </c>
      <c r="J21" s="303">
        <f>'49Phases'!J227</f>
        <v>6.3749157114296509</v>
      </c>
      <c r="K21" s="303">
        <f>'49Phases'!K227</f>
        <v>355.42862169534766</v>
      </c>
      <c r="L21" s="303">
        <f>'49Phases'!L227</f>
        <v>347.60984033633616</v>
      </c>
      <c r="M21" s="303">
        <f>'49Phases'!M227</f>
        <v>258.36080950205087</v>
      </c>
      <c r="N21" s="303">
        <f>'49Phases'!N227</f>
        <v>299.92598606250885</v>
      </c>
      <c r="O21" s="303">
        <f>'49Phases'!O227</f>
        <v>279.59698714432398</v>
      </c>
      <c r="P21" s="303">
        <f>'49Phases'!P227</f>
        <v>292.64209821358236</v>
      </c>
      <c r="Q21" s="303">
        <f>'49Phases'!Q227</f>
        <v>125.67598540919425</v>
      </c>
      <c r="R21" s="303">
        <f>'49Phases'!R227</f>
        <v>127.23980987036339</v>
      </c>
      <c r="S21" s="303">
        <f>'49Phases'!S227</f>
        <v>179.57387512977584</v>
      </c>
      <c r="T21" s="303">
        <f>'49Phases'!T227</f>
        <v>184.26542949088616</v>
      </c>
      <c r="U21" s="303">
        <f>'49Phases'!U227</f>
        <v>196.77624122829729</v>
      </c>
      <c r="V21" s="303">
        <f>'49Phases'!V227</f>
        <v>350.97724684527202</v>
      </c>
      <c r="W21" s="303">
        <f>'49Phases'!W227</f>
        <v>9.5024283117669484</v>
      </c>
      <c r="X21" s="303">
        <f>'49Phases'!X227</f>
        <v>272.54954272639486</v>
      </c>
      <c r="Y21" s="303">
        <f>'49Phases'!Y227</f>
        <v>206.53574391573659</v>
      </c>
      <c r="Z21" s="303">
        <f>'49Phases'!Z227</f>
        <v>353.30992415410844</v>
      </c>
      <c r="AA21" s="303">
        <f>'49Phases'!AA227</f>
        <v>123.99272206033783</v>
      </c>
      <c r="AB21" s="303">
        <f>'49Phases'!AB227</f>
        <v>284.38770985423594</v>
      </c>
      <c r="AC21" s="303">
        <f>'49Phases'!AC227</f>
        <v>172.1330984187623</v>
      </c>
      <c r="AD21" s="303">
        <f>'49Phases'!AD227</f>
        <v>350.73735287183598</v>
      </c>
      <c r="AE21" s="303">
        <f>'49Phases'!AE227</f>
        <v>206.53574391573659</v>
      </c>
      <c r="AF21" s="303">
        <f>'49Phases'!AF227</f>
        <v>260.03949372995106</v>
      </c>
      <c r="AG21" s="303">
        <f>'49Phases'!AG227</f>
        <v>263.16700596285023</v>
      </c>
      <c r="AH21" s="303">
        <f>'49Phases'!AH227</f>
        <v>294.44212888626743</v>
      </c>
      <c r="AI21" s="303">
        <f>'49Phases'!AI227</f>
        <v>274.11329886310915</v>
      </c>
      <c r="AJ21" s="303">
        <f>'49Phases'!AJ227</f>
        <v>252.22071319498812</v>
      </c>
      <c r="AK21" s="303">
        <f>'49Phases'!AK227</f>
        <v>44.014038932634776</v>
      </c>
      <c r="AL21" s="303">
        <f>'49Phases'!AL227</f>
        <v>303.82466597403857</v>
      </c>
      <c r="AM21" s="303">
        <f>'49Phases'!AM227</f>
        <v>126.08823245584426</v>
      </c>
      <c r="AN21" s="303">
        <f>'49Phases'!AN227</f>
        <v>119.30145443655336</v>
      </c>
      <c r="AO21" s="303">
        <f>'49Phases'!AO227</f>
        <v>267.10190504618367</v>
      </c>
      <c r="AP21" s="303">
        <f>'49Phases'!AP227</f>
        <v>44.577426884573924</v>
      </c>
      <c r="AQ21" s="303">
        <f>'49Phases'!AQ227</f>
        <v>44.577426884573924</v>
      </c>
      <c r="AR21" s="303">
        <f>'49Phases'!AR227</f>
        <v>43.013671766972323</v>
      </c>
      <c r="AS21" s="303">
        <f>'49Phases'!AS227</f>
        <v>43.013671766972323</v>
      </c>
      <c r="AT21" s="303">
        <f>'49Phases'!AT227</f>
        <v>43.013671766972323</v>
      </c>
      <c r="AU21" s="303">
        <f>'49Phases'!AU227</f>
        <v>278.46855236041915</v>
      </c>
      <c r="AV21" s="303">
        <f>'49Phases'!AV227</f>
        <v>169.34164367755869</v>
      </c>
      <c r="AW21" s="303">
        <f>'49Phases'!AW227</f>
        <v>301.2533213996619</v>
      </c>
      <c r="AX21" s="303">
        <f>'49Phases'!AX227</f>
        <v>229.65620253798841</v>
      </c>
      <c r="AY21" s="303">
        <f>'49Phases'!AY227</f>
        <v>41.449916652075274</v>
      </c>
      <c r="AZ21" s="303">
        <f>'49Phases'!AZ227</f>
        <v>41.449916652075274</v>
      </c>
      <c r="BA21" s="303">
        <f>'49Phases'!BA227</f>
        <v>39.886161539882664</v>
      </c>
      <c r="BB21" s="303">
        <f>'49Phases'!BB227</f>
        <v>39.886161539882664</v>
      </c>
      <c r="BC21" s="303">
        <f>'49Phases'!BC227</f>
        <v>39.886161539882664</v>
      </c>
      <c r="BD21" s="303">
        <f>'49Phases'!BD227</f>
        <v>39.886161539882664</v>
      </c>
      <c r="BE21" s="303">
        <f>'49Phases'!BE227</f>
        <v>39.886161539882664</v>
      </c>
      <c r="BF21" s="303">
        <f>'49Phases'!BF227</f>
        <v>39.886161539882664</v>
      </c>
      <c r="BG21" s="303">
        <f>'49Phases'!BG227</f>
        <v>206.53574391573659</v>
      </c>
    </row>
    <row r="22" spans="1:59" x14ac:dyDescent="0.25">
      <c r="C22" s="19" t="s">
        <v>555</v>
      </c>
      <c r="D22" s="7" t="s">
        <v>298</v>
      </c>
      <c r="E22" s="317" t="str">
        <f>IF(E31="Yes",E69,"--")</f>
        <v>--</v>
      </c>
      <c r="F22" s="317" t="str">
        <f t="shared" ref="F22:BG22" si="0">IF(F31="Yes",F69,"--")</f>
        <v>--</v>
      </c>
      <c r="G22" s="317" t="str">
        <f t="shared" si="0"/>
        <v>--</v>
      </c>
      <c r="H22" s="317" t="str">
        <f t="shared" si="0"/>
        <v>--</v>
      </c>
      <c r="I22" s="317" t="str">
        <f t="shared" si="0"/>
        <v>--</v>
      </c>
      <c r="J22" s="317" t="str">
        <f t="shared" si="0"/>
        <v>--</v>
      </c>
      <c r="K22" s="317" t="str">
        <f t="shared" si="0"/>
        <v>--</v>
      </c>
      <c r="L22" s="317" t="str">
        <f t="shared" si="0"/>
        <v>--</v>
      </c>
      <c r="M22" s="317" t="str">
        <f t="shared" si="0"/>
        <v>--</v>
      </c>
      <c r="N22" s="317">
        <f t="shared" si="0"/>
        <v>2305462.7163551752</v>
      </c>
      <c r="O22" s="317" t="str">
        <f t="shared" si="0"/>
        <v>--</v>
      </c>
      <c r="P22" s="317" t="str">
        <f t="shared" si="0"/>
        <v>--</v>
      </c>
      <c r="Q22" s="317">
        <f t="shared" si="0"/>
        <v>1676519.8790000917</v>
      </c>
      <c r="R22" s="317" t="str">
        <f t="shared" si="0"/>
        <v>--</v>
      </c>
      <c r="S22" s="317" t="str">
        <f t="shared" si="0"/>
        <v>--</v>
      </c>
      <c r="T22" s="317">
        <f t="shared" si="0"/>
        <v>1355906.7466497147</v>
      </c>
      <c r="U22" s="317" t="str">
        <f t="shared" si="0"/>
        <v>--</v>
      </c>
      <c r="V22" s="317" t="str">
        <f t="shared" si="0"/>
        <v>--</v>
      </c>
      <c r="W22" s="317" t="str">
        <f t="shared" si="0"/>
        <v>--</v>
      </c>
      <c r="X22" s="317" t="str">
        <f t="shared" si="0"/>
        <v>--</v>
      </c>
      <c r="Y22" s="317" t="str">
        <f t="shared" si="0"/>
        <v>--</v>
      </c>
      <c r="Z22" s="317" t="str">
        <f t="shared" si="0"/>
        <v>--</v>
      </c>
      <c r="AA22" s="317" t="str">
        <f t="shared" si="0"/>
        <v>--</v>
      </c>
      <c r="AB22" s="317">
        <f t="shared" si="0"/>
        <v>2434924.0240198984</v>
      </c>
      <c r="AC22" s="317" t="str">
        <f t="shared" si="0"/>
        <v>--</v>
      </c>
      <c r="AD22" s="317" t="str">
        <f t="shared" si="0"/>
        <v>--</v>
      </c>
      <c r="AE22" s="317" t="str">
        <f t="shared" si="0"/>
        <v>--</v>
      </c>
      <c r="AF22" s="317" t="str">
        <f t="shared" si="0"/>
        <v>--</v>
      </c>
      <c r="AG22" s="317" t="str">
        <f t="shared" si="0"/>
        <v>--</v>
      </c>
      <c r="AH22" s="317" t="str">
        <f t="shared" si="0"/>
        <v>--</v>
      </c>
      <c r="AI22" s="317" t="str">
        <f t="shared" si="0"/>
        <v>--</v>
      </c>
      <c r="AJ22" s="317">
        <f t="shared" si="0"/>
        <v>2449129.0973508009</v>
      </c>
      <c r="AK22" s="317" t="str">
        <f t="shared" si="0"/>
        <v>--</v>
      </c>
      <c r="AL22" s="317" t="str">
        <f t="shared" si="0"/>
        <v>--</v>
      </c>
      <c r="AM22" s="317">
        <f t="shared" si="0"/>
        <v>1948437.7878439524</v>
      </c>
      <c r="AN22" s="317" t="str">
        <f t="shared" si="0"/>
        <v>--</v>
      </c>
      <c r="AO22" s="317" t="str">
        <f t="shared" si="0"/>
        <v>--</v>
      </c>
      <c r="AP22" s="317" t="str">
        <f t="shared" si="0"/>
        <v>--</v>
      </c>
      <c r="AQ22" s="317" t="str">
        <f t="shared" si="0"/>
        <v>--</v>
      </c>
      <c r="AR22" s="317">
        <f t="shared" si="0"/>
        <v>2459877.957851768</v>
      </c>
      <c r="AS22" s="317">
        <f t="shared" si="0"/>
        <v>2459877.957851768</v>
      </c>
      <c r="AT22" s="317">
        <f t="shared" si="0"/>
        <v>2459877.957851768</v>
      </c>
      <c r="AU22" s="317" t="str">
        <f t="shared" si="0"/>
        <v>--</v>
      </c>
      <c r="AV22" s="317">
        <f t="shared" si="0"/>
        <v>2450693.5034039598</v>
      </c>
      <c r="AW22" s="317" t="str">
        <f t="shared" si="0"/>
        <v>--</v>
      </c>
      <c r="AX22" s="317">
        <f t="shared" si="0"/>
        <v>2435958.503802795</v>
      </c>
      <c r="AY22" s="317" t="str">
        <f t="shared" si="0"/>
        <v>--</v>
      </c>
      <c r="AZ22" s="317" t="str">
        <f t="shared" si="0"/>
        <v>--</v>
      </c>
      <c r="BA22" s="317" t="str">
        <f t="shared" si="0"/>
        <v>--</v>
      </c>
      <c r="BB22" s="317" t="str">
        <f t="shared" si="0"/>
        <v>--</v>
      </c>
      <c r="BC22" s="317" t="str">
        <f t="shared" si="0"/>
        <v>--</v>
      </c>
      <c r="BD22" s="317" t="str">
        <f t="shared" si="0"/>
        <v>--</v>
      </c>
      <c r="BE22" s="317" t="str">
        <f t="shared" si="0"/>
        <v>--</v>
      </c>
      <c r="BF22" s="317" t="str">
        <f t="shared" si="0"/>
        <v>--</v>
      </c>
      <c r="BG22" s="317" t="str">
        <f t="shared" si="0"/>
        <v>--</v>
      </c>
    </row>
    <row r="23" spans="1:59" x14ac:dyDescent="0.25">
      <c r="D23" s="86" t="s">
        <v>168</v>
      </c>
      <c r="E23" s="310" t="str">
        <f>IF(E31="Yes",E83,"--")</f>
        <v>--</v>
      </c>
      <c r="F23" s="310" t="str">
        <f t="shared" ref="F23:BG23" si="1">IF(F31="Yes",F83,"--")</f>
        <v>--</v>
      </c>
      <c r="G23" s="310" t="str">
        <f t="shared" si="1"/>
        <v>--</v>
      </c>
      <c r="H23" s="310" t="str">
        <f t="shared" si="1"/>
        <v>--</v>
      </c>
      <c r="I23" s="310" t="str">
        <f t="shared" si="1"/>
        <v>--</v>
      </c>
      <c r="J23" s="310" t="str">
        <f t="shared" si="1"/>
        <v>--</v>
      </c>
      <c r="K23" s="310" t="str">
        <f t="shared" si="1"/>
        <v>--</v>
      </c>
      <c r="L23" s="310" t="str">
        <f t="shared" si="1"/>
        <v>--</v>
      </c>
      <c r="M23" s="310" t="str">
        <f t="shared" si="1"/>
        <v>--</v>
      </c>
      <c r="N23" s="310" t="str">
        <f t="shared" si="1"/>
        <v>1600-1-16.2163551752455</v>
      </c>
      <c r="O23" s="310" t="str">
        <f t="shared" si="1"/>
        <v>--</v>
      </c>
      <c r="P23" s="310" t="str">
        <f t="shared" si="1"/>
        <v>--</v>
      </c>
      <c r="Q23" s="310" t="str">
        <f t="shared" si="1"/>
        <v>-122-1-23.3790000916924</v>
      </c>
      <c r="R23" s="310" t="str">
        <f t="shared" si="1"/>
        <v>--</v>
      </c>
      <c r="S23" s="310" t="str">
        <f t="shared" si="1"/>
        <v>--</v>
      </c>
      <c r="T23" s="310" t="str">
        <f t="shared" si="1"/>
        <v>-1000-4-9.24664971465244</v>
      </c>
      <c r="U23" s="310" t="str">
        <f t="shared" si="1"/>
        <v>--</v>
      </c>
      <c r="V23" s="310" t="str">
        <f t="shared" si="1"/>
        <v>--</v>
      </c>
      <c r="W23" s="310" t="str">
        <f t="shared" si="1"/>
        <v>--</v>
      </c>
      <c r="X23" s="310" t="str">
        <f t="shared" si="1"/>
        <v>--</v>
      </c>
      <c r="Y23" s="310" t="str">
        <f t="shared" si="1"/>
        <v>--</v>
      </c>
      <c r="Z23" s="310" t="str">
        <f t="shared" si="1"/>
        <v>--</v>
      </c>
      <c r="AA23" s="310" t="str">
        <f t="shared" si="1"/>
        <v>--</v>
      </c>
      <c r="AB23" s="310">
        <f t="shared" si="1"/>
        <v>19905.524019898381</v>
      </c>
      <c r="AC23" s="310" t="str">
        <f t="shared" si="1"/>
        <v>--</v>
      </c>
      <c r="AD23" s="310" t="str">
        <f t="shared" si="1"/>
        <v>--</v>
      </c>
      <c r="AE23" s="310" t="str">
        <f t="shared" si="1"/>
        <v>--</v>
      </c>
      <c r="AF23" s="310" t="str">
        <f t="shared" si="1"/>
        <v>--</v>
      </c>
      <c r="AG23" s="310" t="str">
        <f t="shared" si="1"/>
        <v>--</v>
      </c>
      <c r="AH23" s="310" t="str">
        <f t="shared" si="1"/>
        <v>--</v>
      </c>
      <c r="AI23" s="310" t="str">
        <f t="shared" si="1"/>
        <v>--</v>
      </c>
      <c r="AJ23" s="310">
        <f t="shared" si="1"/>
        <v>34110.597350800876</v>
      </c>
      <c r="AK23" s="310" t="str">
        <f t="shared" si="1"/>
        <v>--</v>
      </c>
      <c r="AL23" s="310" t="str">
        <f t="shared" si="1"/>
        <v>--</v>
      </c>
      <c r="AM23" s="310" t="str">
        <f t="shared" si="1"/>
        <v>622-7-14.287843952421</v>
      </c>
      <c r="AN23" s="310" t="str">
        <f t="shared" si="1"/>
        <v>--</v>
      </c>
      <c r="AO23" s="310" t="str">
        <f t="shared" si="1"/>
        <v>--</v>
      </c>
      <c r="AP23" s="310" t="str">
        <f t="shared" si="1"/>
        <v>--</v>
      </c>
      <c r="AQ23" s="310" t="str">
        <f t="shared" si="1"/>
        <v>--</v>
      </c>
      <c r="AR23" s="310">
        <f t="shared" si="1"/>
        <v>44859.457851768006</v>
      </c>
      <c r="AS23" s="310">
        <f t="shared" si="1"/>
        <v>44859.457851768006</v>
      </c>
      <c r="AT23" s="310">
        <f t="shared" si="1"/>
        <v>44859.457851768006</v>
      </c>
      <c r="AU23" s="310" t="str">
        <f t="shared" si="1"/>
        <v>--</v>
      </c>
      <c r="AV23" s="310">
        <f t="shared" si="1"/>
        <v>35675.003403959796</v>
      </c>
      <c r="AW23" s="310" t="str">
        <f t="shared" si="1"/>
        <v>--</v>
      </c>
      <c r="AX23" s="310">
        <f t="shared" si="1"/>
        <v>20940.003802794963</v>
      </c>
      <c r="AY23" s="310" t="str">
        <f t="shared" si="1"/>
        <v>--</v>
      </c>
      <c r="AZ23" s="310" t="str">
        <f t="shared" si="1"/>
        <v>--</v>
      </c>
      <c r="BA23" s="310" t="str">
        <f t="shared" si="1"/>
        <v>--</v>
      </c>
      <c r="BB23" s="310" t="str">
        <f t="shared" si="1"/>
        <v>--</v>
      </c>
      <c r="BC23" s="310" t="str">
        <f t="shared" si="1"/>
        <v>--</v>
      </c>
      <c r="BD23" s="310" t="str">
        <f t="shared" si="1"/>
        <v>--</v>
      </c>
      <c r="BE23" s="310" t="str">
        <f t="shared" si="1"/>
        <v>--</v>
      </c>
      <c r="BF23" s="310" t="str">
        <f t="shared" si="1"/>
        <v>--</v>
      </c>
      <c r="BG23" s="310" t="str">
        <f t="shared" si="1"/>
        <v>--</v>
      </c>
    </row>
    <row r="24" spans="1:59" x14ac:dyDescent="0.25">
      <c r="C24" s="7" t="s">
        <v>1167</v>
      </c>
      <c r="D24" s="7" t="s">
        <v>3</v>
      </c>
      <c r="E24" s="362" t="str">
        <f>IF(E31="Yes",E84,"--")</f>
        <v>--</v>
      </c>
      <c r="F24" s="362" t="str">
        <f t="shared" ref="F24:BG24" si="2">IF(F31="Yes",F84,"--")</f>
        <v>--</v>
      </c>
      <c r="G24" s="362" t="str">
        <f t="shared" si="2"/>
        <v>--</v>
      </c>
      <c r="H24" s="362" t="str">
        <f t="shared" si="2"/>
        <v>--</v>
      </c>
      <c r="I24" s="362" t="str">
        <f t="shared" si="2"/>
        <v>--</v>
      </c>
      <c r="J24" s="362" t="str">
        <f t="shared" si="2"/>
        <v>--</v>
      </c>
      <c r="K24" s="362" t="str">
        <f t="shared" si="2"/>
        <v>--</v>
      </c>
      <c r="L24" s="362" t="str">
        <f t="shared" si="2"/>
        <v>--</v>
      </c>
      <c r="M24" s="362" t="str">
        <f t="shared" si="2"/>
        <v>--</v>
      </c>
      <c r="N24" s="362">
        <f t="shared" si="2"/>
        <v>2305462.7152116569</v>
      </c>
      <c r="O24" s="362" t="str">
        <f t="shared" si="2"/>
        <v>--</v>
      </c>
      <c r="P24" s="362" t="str">
        <f t="shared" si="2"/>
        <v>--</v>
      </c>
      <c r="Q24" s="362">
        <f t="shared" si="2"/>
        <v>1676519.7709031429</v>
      </c>
      <c r="R24" s="362" t="str">
        <f t="shared" si="2"/>
        <v>--</v>
      </c>
      <c r="S24" s="362" t="str">
        <f t="shared" si="2"/>
        <v>--</v>
      </c>
      <c r="T24" s="362">
        <f t="shared" si="2"/>
        <v>1355906.5173441591</v>
      </c>
      <c r="U24" s="362" t="str">
        <f t="shared" si="2"/>
        <v>--</v>
      </c>
      <c r="V24" s="362" t="str">
        <f t="shared" si="2"/>
        <v>--</v>
      </c>
      <c r="W24" s="362" t="str">
        <f t="shared" si="2"/>
        <v>--</v>
      </c>
      <c r="X24" s="362" t="str">
        <f t="shared" si="2"/>
        <v>--</v>
      </c>
      <c r="Y24" s="362" t="str">
        <f t="shared" si="2"/>
        <v>--</v>
      </c>
      <c r="Z24" s="362" t="str">
        <f t="shared" si="2"/>
        <v>--</v>
      </c>
      <c r="AA24" s="362" t="str">
        <f t="shared" si="2"/>
        <v>--</v>
      </c>
      <c r="AB24" s="362">
        <f t="shared" si="2"/>
        <v>2434924.0236645741</v>
      </c>
      <c r="AC24" s="362" t="str">
        <f t="shared" si="2"/>
        <v>--</v>
      </c>
      <c r="AD24" s="362" t="str">
        <f t="shared" si="2"/>
        <v>--</v>
      </c>
      <c r="AE24" s="362" t="str">
        <f t="shared" si="2"/>
        <v>--</v>
      </c>
      <c r="AF24" s="362" t="str">
        <f t="shared" si="2"/>
        <v>--</v>
      </c>
      <c r="AG24" s="362" t="str">
        <f t="shared" si="2"/>
        <v>--</v>
      </c>
      <c r="AH24" s="362" t="str">
        <f t="shared" si="2"/>
        <v>--</v>
      </c>
      <c r="AI24" s="362" t="str">
        <f t="shared" si="2"/>
        <v>--</v>
      </c>
      <c r="AJ24" s="362">
        <f t="shared" si="2"/>
        <v>2449129.0966563565</v>
      </c>
      <c r="AK24" s="362" t="str">
        <f t="shared" si="2"/>
        <v>--</v>
      </c>
      <c r="AL24" s="362" t="str">
        <f t="shared" si="2"/>
        <v>--</v>
      </c>
      <c r="AM24" s="362">
        <f t="shared" si="2"/>
        <v>1948437.7473275575</v>
      </c>
      <c r="AN24" s="362" t="str">
        <f t="shared" si="2"/>
        <v>--</v>
      </c>
      <c r="AO24" s="362" t="str">
        <f t="shared" si="2"/>
        <v>--</v>
      </c>
      <c r="AP24" s="362" t="str">
        <f t="shared" si="2"/>
        <v>--</v>
      </c>
      <c r="AQ24" s="362" t="str">
        <f t="shared" si="2"/>
        <v>--</v>
      </c>
      <c r="AR24" s="362">
        <f t="shared" si="2"/>
        <v>2459877.9567313455</v>
      </c>
      <c r="AS24" s="362">
        <f t="shared" si="2"/>
        <v>2459877.9567313455</v>
      </c>
      <c r="AT24" s="362">
        <f t="shared" si="2"/>
        <v>2459877.9567313455</v>
      </c>
      <c r="AU24" s="362" t="str">
        <f t="shared" si="2"/>
        <v>--</v>
      </c>
      <c r="AV24" s="362">
        <f t="shared" si="2"/>
        <v>2450693.5026747934</v>
      </c>
      <c r="AW24" s="362" t="str">
        <f t="shared" si="2"/>
        <v>--</v>
      </c>
      <c r="AX24" s="362">
        <f t="shared" si="2"/>
        <v>2435958.5034301099</v>
      </c>
      <c r="AY24" s="362" t="str">
        <f t="shared" si="2"/>
        <v>--</v>
      </c>
      <c r="AZ24" s="362" t="str">
        <f t="shared" si="2"/>
        <v>--</v>
      </c>
      <c r="BA24" s="362" t="str">
        <f t="shared" si="2"/>
        <v>--</v>
      </c>
      <c r="BB24" s="362" t="str">
        <f t="shared" si="2"/>
        <v>--</v>
      </c>
      <c r="BC24" s="362" t="str">
        <f t="shared" si="2"/>
        <v>--</v>
      </c>
      <c r="BD24" s="362" t="str">
        <f t="shared" si="2"/>
        <v>--</v>
      </c>
      <c r="BE24" s="362" t="str">
        <f t="shared" si="2"/>
        <v>--</v>
      </c>
      <c r="BF24" s="362" t="str">
        <f t="shared" si="2"/>
        <v>--</v>
      </c>
      <c r="BG24" s="362" t="str">
        <f t="shared" si="2"/>
        <v>--</v>
      </c>
    </row>
    <row r="25" spans="1:59" ht="15.75" thickBot="1" x14ac:dyDescent="0.3">
      <c r="C25" s="213"/>
      <c r="D25" s="334" t="s">
        <v>168</v>
      </c>
      <c r="E25" s="335" t="str">
        <f>IF(E31="Yes",E98,"--")</f>
        <v>--</v>
      </c>
      <c r="F25" s="335" t="str">
        <f t="shared" ref="F25:BG25" si="3">IF(F31="Yes",F98,"--")</f>
        <v>--</v>
      </c>
      <c r="G25" s="335" t="str">
        <f t="shared" si="3"/>
        <v>--</v>
      </c>
      <c r="H25" s="335" t="str">
        <f t="shared" si="3"/>
        <v>--</v>
      </c>
      <c r="I25" s="335" t="str">
        <f t="shared" si="3"/>
        <v>--</v>
      </c>
      <c r="J25" s="335" t="str">
        <f t="shared" si="3"/>
        <v>--</v>
      </c>
      <c r="K25" s="335" t="str">
        <f t="shared" si="3"/>
        <v>--</v>
      </c>
      <c r="L25" s="335" t="str">
        <f t="shared" si="3"/>
        <v>--</v>
      </c>
      <c r="M25" s="335" t="str">
        <f t="shared" si="3"/>
        <v>--</v>
      </c>
      <c r="N25" s="335" t="str">
        <f t="shared" si="3"/>
        <v>1600-1-16.2152116568759</v>
      </c>
      <c r="O25" s="335" t="str">
        <f t="shared" si="3"/>
        <v>--</v>
      </c>
      <c r="P25" s="335" t="str">
        <f t="shared" si="3"/>
        <v>--</v>
      </c>
      <c r="Q25" s="335" t="str">
        <f t="shared" si="3"/>
        <v>-122-1-23.2709031428676</v>
      </c>
      <c r="R25" s="335" t="str">
        <f t="shared" si="3"/>
        <v>--</v>
      </c>
      <c r="S25" s="335" t="str">
        <f t="shared" si="3"/>
        <v>--</v>
      </c>
      <c r="T25" s="335" t="str">
        <f t="shared" si="3"/>
        <v>-1000-4-9.01734415907412</v>
      </c>
      <c r="U25" s="335" t="str">
        <f t="shared" si="3"/>
        <v>--</v>
      </c>
      <c r="V25" s="335" t="str">
        <f t="shared" si="3"/>
        <v>--</v>
      </c>
      <c r="W25" s="335" t="str">
        <f t="shared" si="3"/>
        <v>--</v>
      </c>
      <c r="X25" s="335" t="str">
        <f t="shared" si="3"/>
        <v>--</v>
      </c>
      <c r="Y25" s="335" t="str">
        <f t="shared" si="3"/>
        <v>--</v>
      </c>
      <c r="Z25" s="335" t="str">
        <f t="shared" si="3"/>
        <v>--</v>
      </c>
      <c r="AA25" s="335" t="str">
        <f t="shared" si="3"/>
        <v>--</v>
      </c>
      <c r="AB25" s="335">
        <f t="shared" si="3"/>
        <v>19905.523664574139</v>
      </c>
      <c r="AC25" s="335" t="str">
        <f t="shared" si="3"/>
        <v>--</v>
      </c>
      <c r="AD25" s="335" t="str">
        <f t="shared" si="3"/>
        <v>--</v>
      </c>
      <c r="AE25" s="335" t="str">
        <f t="shared" si="3"/>
        <v>--</v>
      </c>
      <c r="AF25" s="335" t="str">
        <f t="shared" si="3"/>
        <v>--</v>
      </c>
      <c r="AG25" s="335" t="str">
        <f t="shared" si="3"/>
        <v>--</v>
      </c>
      <c r="AH25" s="335" t="str">
        <f t="shared" si="3"/>
        <v>--</v>
      </c>
      <c r="AI25" s="335" t="str">
        <f t="shared" si="3"/>
        <v>--</v>
      </c>
      <c r="AJ25" s="335">
        <f t="shared" si="3"/>
        <v>34110.596656356473</v>
      </c>
      <c r="AK25" s="335" t="str">
        <f t="shared" si="3"/>
        <v>--</v>
      </c>
      <c r="AL25" s="335" t="str">
        <f t="shared" si="3"/>
        <v>--</v>
      </c>
      <c r="AM25" s="335" t="str">
        <f t="shared" si="3"/>
        <v>622-7-14.2473275575321</v>
      </c>
      <c r="AN25" s="335" t="str">
        <f t="shared" si="3"/>
        <v>--</v>
      </c>
      <c r="AO25" s="335" t="str">
        <f t="shared" si="3"/>
        <v>--</v>
      </c>
      <c r="AP25" s="335" t="str">
        <f t="shared" si="3"/>
        <v>--</v>
      </c>
      <c r="AQ25" s="335" t="str">
        <f t="shared" si="3"/>
        <v>--</v>
      </c>
      <c r="AR25" s="335">
        <f t="shared" si="3"/>
        <v>44859.456731345505</v>
      </c>
      <c r="AS25" s="335">
        <f t="shared" si="3"/>
        <v>44859.456731345505</v>
      </c>
      <c r="AT25" s="335">
        <f t="shared" si="3"/>
        <v>44859.456731345505</v>
      </c>
      <c r="AU25" s="335" t="str">
        <f t="shared" si="3"/>
        <v>--</v>
      </c>
      <c r="AV25" s="335">
        <f t="shared" si="3"/>
        <v>35675.002674793359</v>
      </c>
      <c r="AW25" s="335" t="str">
        <f t="shared" si="3"/>
        <v>--</v>
      </c>
      <c r="AX25" s="335">
        <f t="shared" si="3"/>
        <v>20940.003430109937</v>
      </c>
      <c r="AY25" s="335" t="str">
        <f t="shared" si="3"/>
        <v>--</v>
      </c>
      <c r="AZ25" s="335" t="str">
        <f t="shared" si="3"/>
        <v>--</v>
      </c>
      <c r="BA25" s="335" t="str">
        <f t="shared" si="3"/>
        <v>--</v>
      </c>
      <c r="BB25" s="335" t="str">
        <f t="shared" si="3"/>
        <v>--</v>
      </c>
      <c r="BC25" s="335" t="str">
        <f t="shared" si="3"/>
        <v>--</v>
      </c>
      <c r="BD25" s="335" t="str">
        <f t="shared" si="3"/>
        <v>--</v>
      </c>
      <c r="BE25" s="335" t="str">
        <f t="shared" si="3"/>
        <v>--</v>
      </c>
      <c r="BF25" s="335" t="str">
        <f t="shared" si="3"/>
        <v>--</v>
      </c>
      <c r="BG25" s="335" t="str">
        <f t="shared" si="3"/>
        <v>--</v>
      </c>
    </row>
    <row r="26" spans="1:59" x14ac:dyDescent="0.25">
      <c r="C26" s="19" t="s">
        <v>567</v>
      </c>
      <c r="D26" s="7" t="s">
        <v>298</v>
      </c>
      <c r="E26" s="317">
        <f>IF(E155="Yes",E193,"--")</f>
        <v>2436150.1026083794</v>
      </c>
      <c r="F26" s="317" t="str">
        <f t="shared" ref="F26:BG26" si="4">IF(F155="Yes",F193,"--")</f>
        <v>--</v>
      </c>
      <c r="G26" s="317">
        <f t="shared" si="4"/>
        <v>2451564.6979551502</v>
      </c>
      <c r="H26" s="317" t="str">
        <f t="shared" si="4"/>
        <v>--</v>
      </c>
      <c r="I26" s="317" t="str">
        <f t="shared" si="4"/>
        <v>--</v>
      </c>
      <c r="J26" s="317" t="str">
        <f t="shared" si="4"/>
        <v>--</v>
      </c>
      <c r="K26" s="317" t="str">
        <f t="shared" si="4"/>
        <v>--</v>
      </c>
      <c r="L26" s="317" t="str">
        <f t="shared" si="4"/>
        <v>--</v>
      </c>
      <c r="M26" s="317" t="str">
        <f t="shared" si="4"/>
        <v>--</v>
      </c>
      <c r="N26" s="317">
        <f t="shared" si="4"/>
        <v>2305476.7676579366</v>
      </c>
      <c r="O26" s="317" t="str">
        <f t="shared" si="4"/>
        <v>--</v>
      </c>
      <c r="P26" s="317" t="str">
        <f t="shared" si="4"/>
        <v>--</v>
      </c>
      <c r="Q26" s="317" t="str">
        <f t="shared" si="4"/>
        <v>--</v>
      </c>
      <c r="R26" s="317" t="str">
        <f t="shared" si="4"/>
        <v>--</v>
      </c>
      <c r="S26" s="317" t="str">
        <f t="shared" si="4"/>
        <v>--</v>
      </c>
      <c r="T26" s="317" t="str">
        <f t="shared" si="4"/>
        <v>--</v>
      </c>
      <c r="U26" s="317" t="str">
        <f t="shared" si="4"/>
        <v>--</v>
      </c>
      <c r="V26" s="317" t="str">
        <f t="shared" si="4"/>
        <v>--</v>
      </c>
      <c r="W26" s="317" t="str">
        <f t="shared" si="4"/>
        <v>--</v>
      </c>
      <c r="X26" s="317" t="str">
        <f t="shared" si="4"/>
        <v>--</v>
      </c>
      <c r="Y26" s="317" t="str">
        <f t="shared" si="4"/>
        <v>--</v>
      </c>
      <c r="Z26" s="317" t="str">
        <f t="shared" si="4"/>
        <v>--</v>
      </c>
      <c r="AA26" s="317">
        <f t="shared" si="4"/>
        <v>2451564.6979551502</v>
      </c>
      <c r="AB26" s="317" t="str">
        <f t="shared" si="4"/>
        <v>--</v>
      </c>
      <c r="AC26" s="317" t="str">
        <f t="shared" si="4"/>
        <v>--</v>
      </c>
      <c r="AD26" s="317" t="str">
        <f t="shared" si="4"/>
        <v>--</v>
      </c>
      <c r="AE26" s="317" t="str">
        <f t="shared" si="4"/>
        <v>--</v>
      </c>
      <c r="AF26" s="317" t="str">
        <f t="shared" si="4"/>
        <v>--</v>
      </c>
      <c r="AG26" s="317" t="str">
        <f t="shared" si="4"/>
        <v>--</v>
      </c>
      <c r="AH26" s="317" t="str">
        <f t="shared" si="4"/>
        <v>--</v>
      </c>
      <c r="AI26" s="317" t="str">
        <f t="shared" si="4"/>
        <v>--</v>
      </c>
      <c r="AJ26" s="317" t="str">
        <f t="shared" si="4"/>
        <v>--</v>
      </c>
      <c r="AK26" s="317" t="str">
        <f t="shared" si="4"/>
        <v>--</v>
      </c>
      <c r="AL26" s="317" t="str">
        <f t="shared" si="4"/>
        <v>--</v>
      </c>
      <c r="AM26" s="317">
        <f t="shared" si="4"/>
        <v>1948451.7260351253</v>
      </c>
      <c r="AN26" s="317" t="str">
        <f t="shared" si="4"/>
        <v>--</v>
      </c>
      <c r="AO26" s="317" t="str">
        <f t="shared" si="4"/>
        <v>--</v>
      </c>
      <c r="AP26" s="317" t="str">
        <f t="shared" si="4"/>
        <v>--</v>
      </c>
      <c r="AQ26" s="317" t="str">
        <f t="shared" si="4"/>
        <v>--</v>
      </c>
      <c r="AR26" s="317" t="str">
        <f t="shared" si="4"/>
        <v>--</v>
      </c>
      <c r="AS26" s="317" t="str">
        <f t="shared" si="4"/>
        <v>--</v>
      </c>
      <c r="AT26" s="317" t="str">
        <f t="shared" si="4"/>
        <v>--</v>
      </c>
      <c r="AU26" s="317">
        <f t="shared" si="4"/>
        <v>2441849.3686694875</v>
      </c>
      <c r="AV26" s="317">
        <f t="shared" si="4"/>
        <v>2450708.2835051473</v>
      </c>
      <c r="AW26" s="317">
        <f t="shared" si="4"/>
        <v>2427822.1581283249</v>
      </c>
      <c r="AX26" s="317" t="str">
        <f t="shared" si="4"/>
        <v>--</v>
      </c>
      <c r="AY26" s="317" t="str">
        <f t="shared" si="4"/>
        <v>--</v>
      </c>
      <c r="AZ26" s="317" t="str">
        <f t="shared" si="4"/>
        <v>--</v>
      </c>
      <c r="BA26" s="317" t="str">
        <f t="shared" si="4"/>
        <v>--</v>
      </c>
      <c r="BB26" s="317" t="str">
        <f t="shared" si="4"/>
        <v>--</v>
      </c>
      <c r="BC26" s="317" t="str">
        <f t="shared" si="4"/>
        <v>--</v>
      </c>
      <c r="BD26" s="317" t="str">
        <f t="shared" si="4"/>
        <v>--</v>
      </c>
      <c r="BE26" s="317" t="str">
        <f t="shared" si="4"/>
        <v>--</v>
      </c>
      <c r="BF26" s="317" t="str">
        <f t="shared" si="4"/>
        <v>--</v>
      </c>
      <c r="BG26" s="317" t="str">
        <f t="shared" si="4"/>
        <v>--</v>
      </c>
    </row>
    <row r="27" spans="1:59" x14ac:dyDescent="0.25">
      <c r="D27" s="86" t="s">
        <v>168</v>
      </c>
      <c r="E27" s="310">
        <f>IF(E155="Yes",E207,"--")</f>
        <v>21131.602608379442</v>
      </c>
      <c r="F27" s="310" t="str">
        <f t="shared" ref="F27:BG27" si="5">IF(F155="Yes",F207,"--")</f>
        <v>--</v>
      </c>
      <c r="G27" s="310">
        <f t="shared" si="5"/>
        <v>36546.197955150157</v>
      </c>
      <c r="H27" s="310" t="str">
        <f t="shared" si="5"/>
        <v>--</v>
      </c>
      <c r="I27" s="310" t="str">
        <f t="shared" si="5"/>
        <v>--</v>
      </c>
      <c r="J27" s="310" t="str">
        <f t="shared" si="5"/>
        <v>--</v>
      </c>
      <c r="K27" s="310" t="str">
        <f t="shared" si="5"/>
        <v>--</v>
      </c>
      <c r="L27" s="310" t="str">
        <f t="shared" si="5"/>
        <v>--</v>
      </c>
      <c r="M27" s="310" t="str">
        <f t="shared" si="5"/>
        <v>--</v>
      </c>
      <c r="N27" s="310" t="str">
        <f t="shared" si="5"/>
        <v>1600-1-30.2676579365506</v>
      </c>
      <c r="O27" s="310" t="str">
        <f t="shared" si="5"/>
        <v>--</v>
      </c>
      <c r="P27" s="310" t="str">
        <f t="shared" si="5"/>
        <v>--</v>
      </c>
      <c r="Q27" s="310" t="str">
        <f t="shared" si="5"/>
        <v>--</v>
      </c>
      <c r="R27" s="310" t="str">
        <f t="shared" si="5"/>
        <v>--</v>
      </c>
      <c r="S27" s="310" t="str">
        <f t="shared" si="5"/>
        <v>--</v>
      </c>
      <c r="T27" s="310" t="str">
        <f t="shared" si="5"/>
        <v>--</v>
      </c>
      <c r="U27" s="310" t="str">
        <f t="shared" si="5"/>
        <v>--</v>
      </c>
      <c r="V27" s="310" t="str">
        <f t="shared" si="5"/>
        <v>--</v>
      </c>
      <c r="W27" s="310" t="str">
        <f t="shared" si="5"/>
        <v>--</v>
      </c>
      <c r="X27" s="310" t="str">
        <f t="shared" si="5"/>
        <v>--</v>
      </c>
      <c r="Y27" s="310" t="str">
        <f t="shared" si="5"/>
        <v>--</v>
      </c>
      <c r="Z27" s="310" t="str">
        <f t="shared" si="5"/>
        <v>--</v>
      </c>
      <c r="AA27" s="310">
        <f t="shared" si="5"/>
        <v>36546.197955150157</v>
      </c>
      <c r="AB27" s="310" t="str">
        <f t="shared" si="5"/>
        <v>--</v>
      </c>
      <c r="AC27" s="310" t="str">
        <f t="shared" si="5"/>
        <v>--</v>
      </c>
      <c r="AD27" s="310" t="str">
        <f t="shared" si="5"/>
        <v>--</v>
      </c>
      <c r="AE27" s="310" t="str">
        <f t="shared" si="5"/>
        <v>--</v>
      </c>
      <c r="AF27" s="310" t="str">
        <f t="shared" si="5"/>
        <v>--</v>
      </c>
      <c r="AG27" s="310" t="str">
        <f t="shared" si="5"/>
        <v>--</v>
      </c>
      <c r="AH27" s="310" t="str">
        <f t="shared" si="5"/>
        <v>--</v>
      </c>
      <c r="AI27" s="310" t="str">
        <f t="shared" si="5"/>
        <v>--</v>
      </c>
      <c r="AJ27" s="310" t="str">
        <f t="shared" si="5"/>
        <v>--</v>
      </c>
      <c r="AK27" s="310" t="str">
        <f t="shared" si="5"/>
        <v>--</v>
      </c>
      <c r="AL27" s="310" t="str">
        <f t="shared" si="5"/>
        <v>--</v>
      </c>
      <c r="AM27" s="310" t="str">
        <f t="shared" si="5"/>
        <v>622-7-28.2260351253207</v>
      </c>
      <c r="AN27" s="310" t="str">
        <f t="shared" si="5"/>
        <v>--</v>
      </c>
      <c r="AO27" s="310" t="str">
        <f t="shared" si="5"/>
        <v>--</v>
      </c>
      <c r="AP27" s="310" t="str">
        <f t="shared" si="5"/>
        <v>--</v>
      </c>
      <c r="AQ27" s="310" t="str">
        <f t="shared" si="5"/>
        <v>--</v>
      </c>
      <c r="AR27" s="310" t="str">
        <f t="shared" si="5"/>
        <v>--</v>
      </c>
      <c r="AS27" s="310" t="str">
        <f t="shared" si="5"/>
        <v>--</v>
      </c>
      <c r="AT27" s="310" t="str">
        <f t="shared" si="5"/>
        <v>--</v>
      </c>
      <c r="AU27" s="310">
        <f t="shared" si="5"/>
        <v>26830.868669487536</v>
      </c>
      <c r="AV27" s="310">
        <f t="shared" si="5"/>
        <v>35689.783505147323</v>
      </c>
      <c r="AW27" s="310">
        <f t="shared" si="5"/>
        <v>12803.658128324896</v>
      </c>
      <c r="AX27" s="310" t="str">
        <f t="shared" si="5"/>
        <v>--</v>
      </c>
      <c r="AY27" s="310" t="str">
        <f t="shared" si="5"/>
        <v>--</v>
      </c>
      <c r="AZ27" s="310" t="str">
        <f t="shared" si="5"/>
        <v>--</v>
      </c>
      <c r="BA27" s="310" t="str">
        <f t="shared" si="5"/>
        <v>--</v>
      </c>
      <c r="BB27" s="310" t="str">
        <f t="shared" si="5"/>
        <v>--</v>
      </c>
      <c r="BC27" s="310" t="str">
        <f t="shared" si="5"/>
        <v>--</v>
      </c>
      <c r="BD27" s="310" t="str">
        <f t="shared" si="5"/>
        <v>--</v>
      </c>
      <c r="BE27" s="310" t="str">
        <f t="shared" si="5"/>
        <v>--</v>
      </c>
      <c r="BF27" s="310" t="str">
        <f t="shared" si="5"/>
        <v>--</v>
      </c>
      <c r="BG27" s="310" t="str">
        <f t="shared" si="5"/>
        <v>--</v>
      </c>
    </row>
    <row r="28" spans="1:59" x14ac:dyDescent="0.25">
      <c r="C28" s="7" t="s">
        <v>1167</v>
      </c>
      <c r="D28" s="7" t="s">
        <v>3</v>
      </c>
      <c r="E28" s="317">
        <f>IF(E155="Yes",E208,"--")</f>
        <v>2436150.1022356944</v>
      </c>
      <c r="F28" s="317" t="str">
        <f t="shared" ref="F28:BG28" si="6">IF(F155="Yes",F208,"--")</f>
        <v>--</v>
      </c>
      <c r="G28" s="317">
        <f t="shared" si="6"/>
        <v>2451564.6972028352</v>
      </c>
      <c r="H28" s="317" t="str">
        <f t="shared" si="6"/>
        <v>--</v>
      </c>
      <c r="I28" s="317" t="str">
        <f t="shared" si="6"/>
        <v>--</v>
      </c>
      <c r="J28" s="317" t="str">
        <f t="shared" si="6"/>
        <v>--</v>
      </c>
      <c r="K28" s="317" t="str">
        <f t="shared" si="6"/>
        <v>--</v>
      </c>
      <c r="L28" s="317" t="str">
        <f t="shared" si="6"/>
        <v>--</v>
      </c>
      <c r="M28" s="317" t="str">
        <f t="shared" si="6"/>
        <v>--</v>
      </c>
      <c r="N28" s="317">
        <f t="shared" si="6"/>
        <v>2305476.7665144182</v>
      </c>
      <c r="O28" s="317" t="str">
        <f t="shared" si="6"/>
        <v>--</v>
      </c>
      <c r="P28" s="317" t="str">
        <f t="shared" si="6"/>
        <v>--</v>
      </c>
      <c r="Q28" s="317" t="str">
        <f t="shared" si="6"/>
        <v>--</v>
      </c>
      <c r="R28" s="317" t="str">
        <f t="shared" si="6"/>
        <v>--</v>
      </c>
      <c r="S28" s="317" t="str">
        <f t="shared" si="6"/>
        <v>--</v>
      </c>
      <c r="T28" s="317" t="str">
        <f t="shared" si="6"/>
        <v>--</v>
      </c>
      <c r="U28" s="317" t="str">
        <f t="shared" si="6"/>
        <v>--</v>
      </c>
      <c r="V28" s="317" t="str">
        <f t="shared" si="6"/>
        <v>--</v>
      </c>
      <c r="W28" s="317" t="str">
        <f t="shared" si="6"/>
        <v>--</v>
      </c>
      <c r="X28" s="317" t="str">
        <f t="shared" si="6"/>
        <v>--</v>
      </c>
      <c r="Y28" s="317" t="str">
        <f t="shared" si="6"/>
        <v>--</v>
      </c>
      <c r="Z28" s="317" t="str">
        <f t="shared" si="6"/>
        <v>--</v>
      </c>
      <c r="AA28" s="317">
        <f t="shared" si="6"/>
        <v>2451564.6972028352</v>
      </c>
      <c r="AB28" s="317" t="str">
        <f t="shared" si="6"/>
        <v>--</v>
      </c>
      <c r="AC28" s="317" t="str">
        <f t="shared" si="6"/>
        <v>--</v>
      </c>
      <c r="AD28" s="317" t="str">
        <f t="shared" si="6"/>
        <v>--</v>
      </c>
      <c r="AE28" s="317" t="str">
        <f t="shared" si="6"/>
        <v>--</v>
      </c>
      <c r="AF28" s="317" t="str">
        <f t="shared" si="6"/>
        <v>--</v>
      </c>
      <c r="AG28" s="317" t="str">
        <f t="shared" si="6"/>
        <v>--</v>
      </c>
      <c r="AH28" s="317" t="str">
        <f t="shared" si="6"/>
        <v>--</v>
      </c>
      <c r="AI28" s="317" t="str">
        <f t="shared" si="6"/>
        <v>--</v>
      </c>
      <c r="AJ28" s="317" t="str">
        <f t="shared" si="6"/>
        <v>--</v>
      </c>
      <c r="AK28" s="317" t="str">
        <f t="shared" si="6"/>
        <v>--</v>
      </c>
      <c r="AL28" s="317" t="str">
        <f t="shared" si="6"/>
        <v>--</v>
      </c>
      <c r="AM28" s="317">
        <f t="shared" si="6"/>
        <v>1948451.6855187304</v>
      </c>
      <c r="AN28" s="317" t="str">
        <f t="shared" si="6"/>
        <v>--</v>
      </c>
      <c r="AO28" s="317" t="str">
        <f t="shared" si="6"/>
        <v>--</v>
      </c>
      <c r="AP28" s="317" t="str">
        <f t="shared" si="6"/>
        <v>--</v>
      </c>
      <c r="AQ28" s="317" t="str">
        <f t="shared" si="6"/>
        <v>--</v>
      </c>
      <c r="AR28" s="317" t="str">
        <f t="shared" si="6"/>
        <v>--</v>
      </c>
      <c r="AS28" s="317" t="str">
        <f t="shared" si="6"/>
        <v>--</v>
      </c>
      <c r="AT28" s="317" t="str">
        <f t="shared" si="6"/>
        <v>--</v>
      </c>
      <c r="AU28" s="317">
        <f t="shared" si="6"/>
        <v>2441849.3681544415</v>
      </c>
      <c r="AV28" s="317">
        <f t="shared" si="6"/>
        <v>2450708.2827759809</v>
      </c>
      <c r="AW28" s="317">
        <f t="shared" si="6"/>
        <v>2427822.1578517044</v>
      </c>
      <c r="AX28" s="317" t="str">
        <f t="shared" si="6"/>
        <v>--</v>
      </c>
      <c r="AY28" s="317" t="str">
        <f t="shared" si="6"/>
        <v>--</v>
      </c>
      <c r="AZ28" s="317" t="str">
        <f t="shared" si="6"/>
        <v>--</v>
      </c>
      <c r="BA28" s="317" t="str">
        <f t="shared" si="6"/>
        <v>--</v>
      </c>
      <c r="BB28" s="317" t="str">
        <f t="shared" si="6"/>
        <v>--</v>
      </c>
      <c r="BC28" s="317" t="str">
        <f t="shared" si="6"/>
        <v>--</v>
      </c>
      <c r="BD28" s="317" t="str">
        <f t="shared" si="6"/>
        <v>--</v>
      </c>
      <c r="BE28" s="317" t="str">
        <f t="shared" si="6"/>
        <v>--</v>
      </c>
      <c r="BF28" s="317" t="str">
        <f t="shared" si="6"/>
        <v>--</v>
      </c>
      <c r="BG28" s="317" t="str">
        <f t="shared" si="6"/>
        <v>--</v>
      </c>
    </row>
    <row r="29" spans="1:59" ht="15.75" thickBot="1" x14ac:dyDescent="0.3">
      <c r="C29" s="213"/>
      <c r="D29" s="334" t="s">
        <v>168</v>
      </c>
      <c r="E29" s="335">
        <f>IF(E155="Yes",E222,"--")</f>
        <v>21131.602235694416</v>
      </c>
      <c r="F29" s="335" t="str">
        <f t="shared" ref="F29:BG29" si="7">IF(F155="Yes",F222,"--")</f>
        <v>--</v>
      </c>
      <c r="G29" s="335">
        <f t="shared" si="7"/>
        <v>36546.197202835232</v>
      </c>
      <c r="H29" s="335" t="str">
        <f t="shared" si="7"/>
        <v>--</v>
      </c>
      <c r="I29" s="335" t="str">
        <f t="shared" si="7"/>
        <v>--</v>
      </c>
      <c r="J29" s="335" t="str">
        <f t="shared" si="7"/>
        <v>--</v>
      </c>
      <c r="K29" s="335" t="str">
        <f t="shared" si="7"/>
        <v>--</v>
      </c>
      <c r="L29" s="335" t="str">
        <f t="shared" si="7"/>
        <v>--</v>
      </c>
      <c r="M29" s="335" t="str">
        <f t="shared" si="7"/>
        <v>--</v>
      </c>
      <c r="N29" s="335" t="str">
        <f t="shared" si="7"/>
        <v>1600-1-30.266514418181</v>
      </c>
      <c r="O29" s="335" t="str">
        <f t="shared" si="7"/>
        <v>--</v>
      </c>
      <c r="P29" s="335" t="str">
        <f t="shared" si="7"/>
        <v>--</v>
      </c>
      <c r="Q29" s="335" t="str">
        <f t="shared" si="7"/>
        <v>--</v>
      </c>
      <c r="R29" s="335" t="str">
        <f t="shared" si="7"/>
        <v>--</v>
      </c>
      <c r="S29" s="335" t="str">
        <f t="shared" si="7"/>
        <v>--</v>
      </c>
      <c r="T29" s="335" t="str">
        <f t="shared" si="7"/>
        <v>--</v>
      </c>
      <c r="U29" s="335" t="str">
        <f t="shared" si="7"/>
        <v>--</v>
      </c>
      <c r="V29" s="335" t="str">
        <f t="shared" si="7"/>
        <v>--</v>
      </c>
      <c r="W29" s="335" t="str">
        <f t="shared" si="7"/>
        <v>--</v>
      </c>
      <c r="X29" s="335" t="str">
        <f t="shared" si="7"/>
        <v>--</v>
      </c>
      <c r="Y29" s="335" t="str">
        <f t="shared" si="7"/>
        <v>--</v>
      </c>
      <c r="Z29" s="335" t="str">
        <f t="shared" si="7"/>
        <v>--</v>
      </c>
      <c r="AA29" s="335">
        <f t="shared" si="7"/>
        <v>36546.197202835232</v>
      </c>
      <c r="AB29" s="335" t="str">
        <f t="shared" si="7"/>
        <v>--</v>
      </c>
      <c r="AC29" s="335" t="str">
        <f t="shared" si="7"/>
        <v>--</v>
      </c>
      <c r="AD29" s="335" t="str">
        <f t="shared" si="7"/>
        <v>--</v>
      </c>
      <c r="AE29" s="335" t="str">
        <f t="shared" si="7"/>
        <v>--</v>
      </c>
      <c r="AF29" s="335" t="str">
        <f t="shared" si="7"/>
        <v>--</v>
      </c>
      <c r="AG29" s="335" t="str">
        <f t="shared" si="7"/>
        <v>--</v>
      </c>
      <c r="AH29" s="335" t="str">
        <f t="shared" si="7"/>
        <v>--</v>
      </c>
      <c r="AI29" s="335" t="str">
        <f t="shared" si="7"/>
        <v>--</v>
      </c>
      <c r="AJ29" s="335" t="str">
        <f t="shared" si="7"/>
        <v>--</v>
      </c>
      <c r="AK29" s="335" t="str">
        <f t="shared" si="7"/>
        <v>--</v>
      </c>
      <c r="AL29" s="335" t="str">
        <f t="shared" si="7"/>
        <v>--</v>
      </c>
      <c r="AM29" s="335" t="str">
        <f t="shared" si="7"/>
        <v>622-7-28.1855187304317</v>
      </c>
      <c r="AN29" s="335" t="str">
        <f t="shared" si="7"/>
        <v>--</v>
      </c>
      <c r="AO29" s="335" t="str">
        <f t="shared" si="7"/>
        <v>--</v>
      </c>
      <c r="AP29" s="335" t="str">
        <f t="shared" si="7"/>
        <v>--</v>
      </c>
      <c r="AQ29" s="335" t="str">
        <f t="shared" si="7"/>
        <v>--</v>
      </c>
      <c r="AR29" s="335" t="str">
        <f t="shared" si="7"/>
        <v>--</v>
      </c>
      <c r="AS29" s="335" t="str">
        <f t="shared" si="7"/>
        <v>--</v>
      </c>
      <c r="AT29" s="335" t="str">
        <f t="shared" si="7"/>
        <v>--</v>
      </c>
      <c r="AU29" s="335">
        <f t="shared" si="7"/>
        <v>26830.868154441472</v>
      </c>
      <c r="AV29" s="335">
        <f t="shared" si="7"/>
        <v>35689.782775980886</v>
      </c>
      <c r="AW29" s="335">
        <f t="shared" si="7"/>
        <v>12803.657851704396</v>
      </c>
      <c r="AX29" s="335" t="str">
        <f t="shared" si="7"/>
        <v>--</v>
      </c>
      <c r="AY29" s="335" t="str">
        <f t="shared" si="7"/>
        <v>--</v>
      </c>
      <c r="AZ29" s="335" t="str">
        <f t="shared" si="7"/>
        <v>--</v>
      </c>
      <c r="BA29" s="335" t="str">
        <f t="shared" si="7"/>
        <v>--</v>
      </c>
      <c r="BB29" s="335" t="str">
        <f t="shared" si="7"/>
        <v>--</v>
      </c>
      <c r="BC29" s="335" t="str">
        <f t="shared" si="7"/>
        <v>--</v>
      </c>
      <c r="BD29" s="335" t="str">
        <f t="shared" si="7"/>
        <v>--</v>
      </c>
      <c r="BE29" s="335" t="str">
        <f t="shared" si="7"/>
        <v>--</v>
      </c>
      <c r="BF29" s="335" t="str">
        <f t="shared" si="7"/>
        <v>--</v>
      </c>
      <c r="BG29" s="335" t="str">
        <f t="shared" si="7"/>
        <v>--</v>
      </c>
    </row>
    <row r="30" spans="1:59" x14ac:dyDescent="0.25">
      <c r="C30" s="312" t="s">
        <v>1051</v>
      </c>
      <c r="D30" s="313"/>
      <c r="E30" s="314"/>
      <c r="F30" s="314"/>
      <c r="G30" s="314"/>
      <c r="H30" s="314"/>
      <c r="I30" s="314"/>
      <c r="J30" s="314"/>
      <c r="K30" s="314"/>
      <c r="L30" s="314"/>
      <c r="M30" s="314"/>
      <c r="N30" s="314"/>
      <c r="O30" s="314"/>
      <c r="P30" s="314"/>
      <c r="Q30" s="314"/>
      <c r="R30" s="314"/>
      <c r="S30" s="314"/>
      <c r="T30" s="314"/>
      <c r="U30" s="314"/>
      <c r="V30" s="314"/>
      <c r="W30" s="314"/>
      <c r="X30" s="314"/>
      <c r="Y30" s="314"/>
      <c r="Z30" s="314"/>
      <c r="AA30" s="314"/>
      <c r="AB30" s="314"/>
      <c r="AC30" s="314"/>
      <c r="AD30" s="314"/>
      <c r="AE30" s="314"/>
      <c r="AF30" s="314"/>
      <c r="AG30" s="314"/>
      <c r="AH30" s="314"/>
      <c r="AI30" s="314"/>
      <c r="AJ30" s="314"/>
      <c r="AK30" s="314"/>
      <c r="AL30" s="314"/>
      <c r="AM30" s="314"/>
      <c r="AN30" s="314"/>
      <c r="AO30" s="314"/>
      <c r="AP30" s="314"/>
      <c r="AQ30" s="314"/>
      <c r="AR30" s="314"/>
      <c r="AS30" s="314"/>
      <c r="AT30" s="314"/>
      <c r="AU30" s="314"/>
      <c r="AV30" s="314"/>
      <c r="AW30" s="314"/>
      <c r="AX30" s="314"/>
      <c r="AY30" s="314"/>
      <c r="AZ30" s="314"/>
      <c r="BA30" s="314"/>
      <c r="BB30" s="314"/>
      <c r="BC30" s="314"/>
      <c r="BD30" s="314"/>
      <c r="BE30" s="314"/>
      <c r="BF30" s="314"/>
      <c r="BG30" s="314"/>
    </row>
    <row r="31" spans="1:59" x14ac:dyDescent="0.25">
      <c r="C31" s="312" t="s">
        <v>1196</v>
      </c>
      <c r="D31" s="313"/>
      <c r="E31" s="363" t="str">
        <f>IF(OR(E32=0,E35=0),"No","Yes")</f>
        <v>No</v>
      </c>
      <c r="F31" s="363" t="str">
        <f t="shared" ref="F31:BG31" si="8">IF(OR(F32=0,F35=0),"No","Yes")</f>
        <v>No</v>
      </c>
      <c r="G31" s="363" t="str">
        <f t="shared" si="8"/>
        <v>No</v>
      </c>
      <c r="H31" s="363" t="str">
        <f t="shared" si="8"/>
        <v>No</v>
      </c>
      <c r="I31" s="363" t="str">
        <f t="shared" si="8"/>
        <v>No</v>
      </c>
      <c r="J31" s="363" t="str">
        <f t="shared" si="8"/>
        <v>No</v>
      </c>
      <c r="K31" s="363" t="str">
        <f t="shared" si="8"/>
        <v>No</v>
      </c>
      <c r="L31" s="363" t="str">
        <f t="shared" si="8"/>
        <v>No</v>
      </c>
      <c r="M31" s="363" t="str">
        <f t="shared" si="8"/>
        <v>No</v>
      </c>
      <c r="N31" s="363" t="str">
        <f t="shared" si="8"/>
        <v>Yes</v>
      </c>
      <c r="O31" s="363" t="str">
        <f t="shared" si="8"/>
        <v>No</v>
      </c>
      <c r="P31" s="363" t="str">
        <f t="shared" si="8"/>
        <v>No</v>
      </c>
      <c r="Q31" s="363" t="str">
        <f t="shared" si="8"/>
        <v>Yes</v>
      </c>
      <c r="R31" s="363" t="str">
        <f t="shared" si="8"/>
        <v>No</v>
      </c>
      <c r="S31" s="363" t="str">
        <f t="shared" si="8"/>
        <v>No</v>
      </c>
      <c r="T31" s="363" t="str">
        <f t="shared" si="8"/>
        <v>Yes</v>
      </c>
      <c r="U31" s="363" t="str">
        <f t="shared" si="8"/>
        <v>No</v>
      </c>
      <c r="V31" s="363" t="str">
        <f t="shared" si="8"/>
        <v>No</v>
      </c>
      <c r="W31" s="363" t="str">
        <f t="shared" si="8"/>
        <v>No</v>
      </c>
      <c r="X31" s="363" t="str">
        <f t="shared" si="8"/>
        <v>No</v>
      </c>
      <c r="Y31" s="363" t="str">
        <f t="shared" si="8"/>
        <v>No</v>
      </c>
      <c r="Z31" s="363" t="str">
        <f t="shared" si="8"/>
        <v>No</v>
      </c>
      <c r="AA31" s="363" t="str">
        <f t="shared" si="8"/>
        <v>No</v>
      </c>
      <c r="AB31" s="363" t="str">
        <f t="shared" si="8"/>
        <v>Yes</v>
      </c>
      <c r="AC31" s="363" t="str">
        <f t="shared" si="8"/>
        <v>No</v>
      </c>
      <c r="AD31" s="363" t="str">
        <f t="shared" si="8"/>
        <v>No</v>
      </c>
      <c r="AE31" s="363" t="str">
        <f t="shared" si="8"/>
        <v>No</v>
      </c>
      <c r="AF31" s="363" t="str">
        <f t="shared" si="8"/>
        <v>No</v>
      </c>
      <c r="AG31" s="363" t="str">
        <f t="shared" si="8"/>
        <v>No</v>
      </c>
      <c r="AH31" s="363" t="str">
        <f t="shared" si="8"/>
        <v>No</v>
      </c>
      <c r="AI31" s="363" t="str">
        <f t="shared" si="8"/>
        <v>No</v>
      </c>
      <c r="AJ31" s="363" t="str">
        <f t="shared" si="8"/>
        <v>Yes</v>
      </c>
      <c r="AK31" s="363" t="str">
        <f t="shared" si="8"/>
        <v>No</v>
      </c>
      <c r="AL31" s="363" t="str">
        <f t="shared" si="8"/>
        <v>No</v>
      </c>
      <c r="AM31" s="363" t="str">
        <f t="shared" si="8"/>
        <v>Yes</v>
      </c>
      <c r="AN31" s="363" t="str">
        <f t="shared" si="8"/>
        <v>No</v>
      </c>
      <c r="AO31" s="363" t="str">
        <f t="shared" si="8"/>
        <v>No</v>
      </c>
      <c r="AP31" s="363" t="str">
        <f t="shared" si="8"/>
        <v>No</v>
      </c>
      <c r="AQ31" s="363" t="str">
        <f t="shared" si="8"/>
        <v>No</v>
      </c>
      <c r="AR31" s="363" t="str">
        <f t="shared" si="8"/>
        <v>Yes</v>
      </c>
      <c r="AS31" s="363" t="str">
        <f t="shared" si="8"/>
        <v>Yes</v>
      </c>
      <c r="AT31" s="363" t="str">
        <f t="shared" si="8"/>
        <v>Yes</v>
      </c>
      <c r="AU31" s="363" t="str">
        <f t="shared" si="8"/>
        <v>No</v>
      </c>
      <c r="AV31" s="363" t="str">
        <f t="shared" si="8"/>
        <v>Yes</v>
      </c>
      <c r="AW31" s="363" t="str">
        <f t="shared" si="8"/>
        <v>No</v>
      </c>
      <c r="AX31" s="363" t="str">
        <f t="shared" si="8"/>
        <v>Yes</v>
      </c>
      <c r="AY31" s="363" t="str">
        <f t="shared" si="8"/>
        <v>No</v>
      </c>
      <c r="AZ31" s="363" t="str">
        <f t="shared" si="8"/>
        <v>No</v>
      </c>
      <c r="BA31" s="363" t="str">
        <f t="shared" si="8"/>
        <v>No</v>
      </c>
      <c r="BB31" s="363" t="str">
        <f t="shared" si="8"/>
        <v>No</v>
      </c>
      <c r="BC31" s="363" t="str">
        <f t="shared" si="8"/>
        <v>No</v>
      </c>
      <c r="BD31" s="363" t="str">
        <f t="shared" si="8"/>
        <v>No</v>
      </c>
      <c r="BE31" s="363" t="str">
        <f t="shared" si="8"/>
        <v>No</v>
      </c>
      <c r="BF31" s="363" t="str">
        <f t="shared" si="8"/>
        <v>No</v>
      </c>
      <c r="BG31" s="363" t="str">
        <f t="shared" si="8"/>
        <v>No</v>
      </c>
    </row>
    <row r="32" spans="1:59" x14ac:dyDescent="0.25">
      <c r="B32">
        <v>380</v>
      </c>
      <c r="C32" s="314" t="s">
        <v>1197</v>
      </c>
      <c r="D32" s="313"/>
      <c r="E32" s="314">
        <f>IF(MIN(ABS(180-E11),ABS(360-E11))&lt;13.9,1,IF(MIN(ABS(180-E11),ABS(360-E11))&gt;21,0,-1))</f>
        <v>1</v>
      </c>
      <c r="F32" s="314">
        <f t="shared" ref="F32:BG32" si="9">IF(MIN(ABS(180-F11),ABS(360-F11))&lt;13.9,1,IF(MIN(ABS(180-F11),ABS(360-F11))&gt;21,0,-1))</f>
        <v>0</v>
      </c>
      <c r="G32" s="314">
        <f t="shared" si="9"/>
        <v>-1</v>
      </c>
      <c r="H32" s="314">
        <f t="shared" si="9"/>
        <v>0</v>
      </c>
      <c r="I32" s="314">
        <f t="shared" si="9"/>
        <v>0</v>
      </c>
      <c r="J32" s="314">
        <f t="shared" si="9"/>
        <v>0</v>
      </c>
      <c r="K32" s="314">
        <f t="shared" si="9"/>
        <v>0</v>
      </c>
      <c r="L32" s="314">
        <f t="shared" si="9"/>
        <v>0</v>
      </c>
      <c r="M32" s="314">
        <f t="shared" si="9"/>
        <v>0</v>
      </c>
      <c r="N32" s="314">
        <f t="shared" si="9"/>
        <v>1</v>
      </c>
      <c r="O32" s="314">
        <f t="shared" si="9"/>
        <v>0</v>
      </c>
      <c r="P32" s="314">
        <f t="shared" si="9"/>
        <v>0</v>
      </c>
      <c r="Q32" s="314">
        <f t="shared" si="9"/>
        <v>1</v>
      </c>
      <c r="R32" s="314">
        <f t="shared" si="9"/>
        <v>0</v>
      </c>
      <c r="S32" s="314">
        <f t="shared" si="9"/>
        <v>0</v>
      </c>
      <c r="T32" s="314">
        <f t="shared" si="9"/>
        <v>1</v>
      </c>
      <c r="U32" s="314">
        <f t="shared" si="9"/>
        <v>0</v>
      </c>
      <c r="V32" s="314">
        <f t="shared" si="9"/>
        <v>0</v>
      </c>
      <c r="W32" s="314">
        <f t="shared" si="9"/>
        <v>0</v>
      </c>
      <c r="X32" s="314">
        <f t="shared" si="9"/>
        <v>0</v>
      </c>
      <c r="Y32" s="314">
        <f t="shared" si="9"/>
        <v>0</v>
      </c>
      <c r="Z32" s="314">
        <f t="shared" si="9"/>
        <v>0</v>
      </c>
      <c r="AA32" s="314">
        <f t="shared" si="9"/>
        <v>-1</v>
      </c>
      <c r="AB32" s="314">
        <f t="shared" si="9"/>
        <v>1</v>
      </c>
      <c r="AC32" s="314">
        <f t="shared" si="9"/>
        <v>0</v>
      </c>
      <c r="AD32" s="314">
        <f t="shared" si="9"/>
        <v>0</v>
      </c>
      <c r="AE32" s="314">
        <f t="shared" si="9"/>
        <v>0</v>
      </c>
      <c r="AF32" s="314">
        <f t="shared" si="9"/>
        <v>0</v>
      </c>
      <c r="AG32" s="314">
        <f t="shared" si="9"/>
        <v>0</v>
      </c>
      <c r="AH32" s="314">
        <f t="shared" si="9"/>
        <v>0</v>
      </c>
      <c r="AI32" s="314">
        <f t="shared" si="9"/>
        <v>0</v>
      </c>
      <c r="AJ32" s="314">
        <f t="shared" si="9"/>
        <v>-1</v>
      </c>
      <c r="AK32" s="314">
        <f t="shared" si="9"/>
        <v>0</v>
      </c>
      <c r="AL32" s="314">
        <f t="shared" si="9"/>
        <v>0</v>
      </c>
      <c r="AM32" s="314">
        <f t="shared" si="9"/>
        <v>1</v>
      </c>
      <c r="AN32" s="314">
        <f t="shared" si="9"/>
        <v>0</v>
      </c>
      <c r="AO32" s="314">
        <f t="shared" si="9"/>
        <v>0</v>
      </c>
      <c r="AP32" s="314">
        <f t="shared" si="9"/>
        <v>0</v>
      </c>
      <c r="AQ32" s="314">
        <f t="shared" si="9"/>
        <v>0</v>
      </c>
      <c r="AR32" s="314">
        <f t="shared" si="9"/>
        <v>1</v>
      </c>
      <c r="AS32" s="314">
        <f t="shared" si="9"/>
        <v>1</v>
      </c>
      <c r="AT32" s="314">
        <f t="shared" si="9"/>
        <v>1</v>
      </c>
      <c r="AU32" s="314">
        <f t="shared" si="9"/>
        <v>0</v>
      </c>
      <c r="AV32" s="314">
        <f t="shared" si="9"/>
        <v>1</v>
      </c>
      <c r="AW32" s="314">
        <f t="shared" si="9"/>
        <v>-1</v>
      </c>
      <c r="AX32" s="314">
        <f t="shared" si="9"/>
        <v>1</v>
      </c>
      <c r="AY32" s="314">
        <f t="shared" si="9"/>
        <v>-1</v>
      </c>
      <c r="AZ32" s="314">
        <f t="shared" si="9"/>
        <v>-1</v>
      </c>
      <c r="BA32" s="314">
        <f t="shared" si="9"/>
        <v>0</v>
      </c>
      <c r="BB32" s="314">
        <f t="shared" si="9"/>
        <v>0</v>
      </c>
      <c r="BC32" s="314">
        <f t="shared" si="9"/>
        <v>0</v>
      </c>
      <c r="BD32" s="314">
        <f t="shared" si="9"/>
        <v>0</v>
      </c>
      <c r="BE32" s="314">
        <f t="shared" si="9"/>
        <v>0</v>
      </c>
      <c r="BF32" s="314">
        <f t="shared" si="9"/>
        <v>0</v>
      </c>
      <c r="BG32" s="314">
        <f t="shared" si="9"/>
        <v>0</v>
      </c>
    </row>
    <row r="33" spans="2:59" x14ac:dyDescent="0.25">
      <c r="C33" s="314" t="s">
        <v>1202</v>
      </c>
      <c r="D33" s="313"/>
      <c r="E33" s="314"/>
      <c r="F33" s="314"/>
      <c r="G33" s="314"/>
      <c r="H33" s="314"/>
      <c r="I33" s="314"/>
      <c r="J33" s="314"/>
      <c r="K33" s="314"/>
      <c r="L33" s="314"/>
      <c r="M33" s="314"/>
      <c r="N33" s="314"/>
      <c r="O33" s="314"/>
      <c r="P33" s="314"/>
      <c r="Q33" s="314"/>
      <c r="R33" s="314"/>
      <c r="S33" s="314"/>
      <c r="T33" s="314"/>
      <c r="U33" s="314"/>
      <c r="V33" s="314"/>
      <c r="W33" s="314"/>
      <c r="X33" s="314"/>
      <c r="Y33" s="314"/>
      <c r="Z33" s="314"/>
      <c r="AA33" s="314"/>
      <c r="AB33" s="314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14"/>
      <c r="AX33" s="314"/>
      <c r="AY33" s="314"/>
      <c r="AZ33" s="314"/>
      <c r="BA33" s="314"/>
      <c r="BB33" s="314"/>
      <c r="BC33" s="314"/>
      <c r="BD33" s="314"/>
      <c r="BE33" s="314"/>
      <c r="BF33" s="314"/>
      <c r="BG33" s="314"/>
    </row>
    <row r="34" spans="2:59" x14ac:dyDescent="0.25">
      <c r="C34" s="314" t="s">
        <v>1203</v>
      </c>
      <c r="D34" s="313"/>
      <c r="E34" s="314"/>
      <c r="F34" s="314"/>
      <c r="G34" s="314"/>
      <c r="H34" s="314"/>
      <c r="I34" s="314"/>
      <c r="J34" s="314"/>
      <c r="K34" s="314"/>
      <c r="L34" s="314"/>
      <c r="M34" s="314"/>
      <c r="N34" s="314"/>
      <c r="O34" s="314"/>
      <c r="P34" s="314"/>
      <c r="Q34" s="314"/>
      <c r="R34" s="314"/>
      <c r="S34" s="314"/>
      <c r="T34" s="314"/>
      <c r="U34" s="314"/>
      <c r="V34" s="314"/>
      <c r="W34" s="314"/>
      <c r="X34" s="314"/>
      <c r="Y34" s="314"/>
      <c r="Z34" s="314"/>
      <c r="AA34" s="314"/>
      <c r="AB34" s="314"/>
      <c r="AC34" s="314"/>
      <c r="AD34" s="314"/>
      <c r="AE34" s="314"/>
      <c r="AF34" s="314"/>
      <c r="AG34" s="314"/>
      <c r="AH34" s="314"/>
      <c r="AI34" s="314"/>
      <c r="AJ34" s="314"/>
      <c r="AK34" s="314"/>
      <c r="AL34" s="314"/>
      <c r="AM34" s="314"/>
      <c r="AN34" s="314"/>
      <c r="AO34" s="314"/>
      <c r="AP34" s="314"/>
      <c r="AQ34" s="314"/>
      <c r="AR34" s="314"/>
      <c r="AS34" s="314"/>
      <c r="AT34" s="314"/>
      <c r="AU34" s="314"/>
      <c r="AV34" s="314"/>
      <c r="AW34" s="314"/>
      <c r="AX34" s="314"/>
      <c r="AY34" s="314"/>
      <c r="AZ34" s="314"/>
      <c r="BA34" s="314"/>
      <c r="BB34" s="314"/>
      <c r="BC34" s="314"/>
      <c r="BD34" s="314"/>
      <c r="BE34" s="314"/>
      <c r="BF34" s="314"/>
      <c r="BG34" s="314"/>
    </row>
    <row r="35" spans="2:59" x14ac:dyDescent="0.25">
      <c r="B35">
        <v>380</v>
      </c>
      <c r="C35" s="314" t="s">
        <v>1204</v>
      </c>
      <c r="D35" s="313"/>
      <c r="E35" s="314">
        <f>IF( ABS(E119) &lt; 0.9972, 1, IF( ABS(E119) &gt; 1.5433 + E125, 0, IF( ABS(E119) &lt; 1.026, 0, -1) ) )</f>
        <v>0</v>
      </c>
      <c r="F35" s="314">
        <f t="shared" ref="F35:BG35" si="10">IF( ABS(F119) &lt; 0.9972, 1, IF( ABS(F119) &gt; 1.5433 + F125, 0, IF( ABS(F119) &lt; 1.026, 0, -1) ) )</f>
        <v>0</v>
      </c>
      <c r="G35" s="314">
        <f t="shared" si="10"/>
        <v>0</v>
      </c>
      <c r="H35" s="314">
        <f t="shared" si="10"/>
        <v>0</v>
      </c>
      <c r="I35" s="314">
        <f t="shared" si="10"/>
        <v>0</v>
      </c>
      <c r="J35" s="314">
        <f t="shared" si="10"/>
        <v>0</v>
      </c>
      <c r="K35" s="314">
        <f t="shared" si="10"/>
        <v>0</v>
      </c>
      <c r="L35" s="314">
        <f t="shared" si="10"/>
        <v>0</v>
      </c>
      <c r="M35" s="314">
        <f t="shared" si="10"/>
        <v>0</v>
      </c>
      <c r="N35" s="314">
        <f t="shared" si="10"/>
        <v>1</v>
      </c>
      <c r="O35" s="314">
        <f t="shared" si="10"/>
        <v>0</v>
      </c>
      <c r="P35" s="314">
        <f t="shared" si="10"/>
        <v>0</v>
      </c>
      <c r="Q35" s="314">
        <f t="shared" si="10"/>
        <v>1</v>
      </c>
      <c r="R35" s="314">
        <f t="shared" si="10"/>
        <v>0</v>
      </c>
      <c r="S35" s="314">
        <f t="shared" si="10"/>
        <v>0</v>
      </c>
      <c r="T35" s="314">
        <f t="shared" si="10"/>
        <v>1</v>
      </c>
      <c r="U35" s="314">
        <f t="shared" si="10"/>
        <v>0</v>
      </c>
      <c r="V35" s="314">
        <f t="shared" si="10"/>
        <v>0</v>
      </c>
      <c r="W35" s="314">
        <f t="shared" si="10"/>
        <v>0</v>
      </c>
      <c r="X35" s="314">
        <f t="shared" si="10"/>
        <v>0</v>
      </c>
      <c r="Y35" s="314">
        <f t="shared" si="10"/>
        <v>0</v>
      </c>
      <c r="Z35" s="314">
        <f t="shared" si="10"/>
        <v>0</v>
      </c>
      <c r="AA35" s="314">
        <f t="shared" si="10"/>
        <v>0</v>
      </c>
      <c r="AB35" s="314">
        <f t="shared" si="10"/>
        <v>1</v>
      </c>
      <c r="AC35" s="314">
        <f t="shared" si="10"/>
        <v>0</v>
      </c>
      <c r="AD35" s="314">
        <f t="shared" si="10"/>
        <v>0</v>
      </c>
      <c r="AE35" s="314">
        <f t="shared" si="10"/>
        <v>0</v>
      </c>
      <c r="AF35" s="314">
        <f t="shared" si="10"/>
        <v>-1</v>
      </c>
      <c r="AG35" s="314">
        <f t="shared" si="10"/>
        <v>0</v>
      </c>
      <c r="AH35" s="314">
        <f t="shared" si="10"/>
        <v>0</v>
      </c>
      <c r="AI35" s="314">
        <f t="shared" si="10"/>
        <v>0</v>
      </c>
      <c r="AJ35" s="314">
        <f t="shared" si="10"/>
        <v>-1</v>
      </c>
      <c r="AK35" s="314">
        <f t="shared" si="10"/>
        <v>0</v>
      </c>
      <c r="AL35" s="314">
        <f t="shared" si="10"/>
        <v>0</v>
      </c>
      <c r="AM35" s="314">
        <f t="shared" si="10"/>
        <v>-1</v>
      </c>
      <c r="AN35" s="314">
        <f t="shared" si="10"/>
        <v>0</v>
      </c>
      <c r="AO35" s="314">
        <f t="shared" si="10"/>
        <v>0</v>
      </c>
      <c r="AP35" s="314">
        <f t="shared" si="10"/>
        <v>0</v>
      </c>
      <c r="AQ35" s="314">
        <f t="shared" si="10"/>
        <v>0</v>
      </c>
      <c r="AR35" s="314">
        <f t="shared" si="10"/>
        <v>-1</v>
      </c>
      <c r="AS35" s="314">
        <f t="shared" si="10"/>
        <v>-1</v>
      </c>
      <c r="AT35" s="314">
        <f t="shared" si="10"/>
        <v>-1</v>
      </c>
      <c r="AU35" s="314">
        <f t="shared" si="10"/>
        <v>0</v>
      </c>
      <c r="AV35" s="314">
        <f t="shared" si="10"/>
        <v>-1</v>
      </c>
      <c r="AW35" s="314">
        <f t="shared" si="10"/>
        <v>0</v>
      </c>
      <c r="AX35" s="314">
        <f t="shared" si="10"/>
        <v>1</v>
      </c>
      <c r="AY35" s="314">
        <f t="shared" si="10"/>
        <v>0</v>
      </c>
      <c r="AZ35" s="314">
        <f t="shared" si="10"/>
        <v>0</v>
      </c>
      <c r="BA35" s="314">
        <f t="shared" si="10"/>
        <v>0</v>
      </c>
      <c r="BB35" s="314">
        <f t="shared" si="10"/>
        <v>0</v>
      </c>
      <c r="BC35" s="314">
        <f t="shared" si="10"/>
        <v>0</v>
      </c>
      <c r="BD35" s="314">
        <f t="shared" si="10"/>
        <v>0</v>
      </c>
      <c r="BE35" s="314">
        <f t="shared" si="10"/>
        <v>0</v>
      </c>
      <c r="BF35" s="314">
        <f t="shared" si="10"/>
        <v>0</v>
      </c>
      <c r="BG35" s="314">
        <f t="shared" si="10"/>
        <v>0</v>
      </c>
    </row>
    <row r="36" spans="2:59" x14ac:dyDescent="0.25">
      <c r="B36">
        <v>380</v>
      </c>
      <c r="C36" s="314" t="s">
        <v>1201</v>
      </c>
      <c r="D36" s="313"/>
      <c r="E36" s="363" t="str">
        <f>IF(E35=-1,IF( E125 &lt; E127,"Ann-Total","Annular"),"--")</f>
        <v>--</v>
      </c>
      <c r="F36" s="363" t="str">
        <f t="shared" ref="F36:BG36" si="11">IF(F35=-1,IF( F125 &lt; F127,"Ann-Total","Annular"),"--")</f>
        <v>--</v>
      </c>
      <c r="G36" s="363" t="str">
        <f t="shared" si="11"/>
        <v>--</v>
      </c>
      <c r="H36" s="363" t="str">
        <f t="shared" si="11"/>
        <v>--</v>
      </c>
      <c r="I36" s="363" t="str">
        <f t="shared" si="11"/>
        <v>--</v>
      </c>
      <c r="J36" s="363" t="str">
        <f t="shared" si="11"/>
        <v>--</v>
      </c>
      <c r="K36" s="363" t="str">
        <f t="shared" si="11"/>
        <v>--</v>
      </c>
      <c r="L36" s="363" t="str">
        <f t="shared" si="11"/>
        <v>--</v>
      </c>
      <c r="M36" s="363" t="str">
        <f t="shared" si="11"/>
        <v>--</v>
      </c>
      <c r="N36" s="363" t="str">
        <f t="shared" si="11"/>
        <v>--</v>
      </c>
      <c r="O36" s="363" t="str">
        <f t="shared" si="11"/>
        <v>--</v>
      </c>
      <c r="P36" s="363" t="str">
        <f t="shared" si="11"/>
        <v>--</v>
      </c>
      <c r="Q36" s="363" t="str">
        <f t="shared" si="11"/>
        <v>--</v>
      </c>
      <c r="R36" s="363" t="str">
        <f t="shared" si="11"/>
        <v>--</v>
      </c>
      <c r="S36" s="363" t="str">
        <f t="shared" si="11"/>
        <v>--</v>
      </c>
      <c r="T36" s="363" t="str">
        <f t="shared" si="11"/>
        <v>--</v>
      </c>
      <c r="U36" s="363" t="str">
        <f t="shared" si="11"/>
        <v>--</v>
      </c>
      <c r="V36" s="363" t="str">
        <f t="shared" si="11"/>
        <v>--</v>
      </c>
      <c r="W36" s="363" t="str">
        <f t="shared" si="11"/>
        <v>--</v>
      </c>
      <c r="X36" s="363" t="str">
        <f t="shared" si="11"/>
        <v>--</v>
      </c>
      <c r="Y36" s="363" t="str">
        <f t="shared" si="11"/>
        <v>--</v>
      </c>
      <c r="Z36" s="363" t="str">
        <f t="shared" si="11"/>
        <v>--</v>
      </c>
      <c r="AA36" s="363" t="str">
        <f t="shared" si="11"/>
        <v>--</v>
      </c>
      <c r="AB36" s="363" t="str">
        <f t="shared" si="11"/>
        <v>--</v>
      </c>
      <c r="AC36" s="363" t="str">
        <f t="shared" si="11"/>
        <v>--</v>
      </c>
      <c r="AD36" s="363" t="str">
        <f t="shared" si="11"/>
        <v>--</v>
      </c>
      <c r="AE36" s="363" t="str">
        <f t="shared" si="11"/>
        <v>--</v>
      </c>
      <c r="AF36" s="363" t="str">
        <f t="shared" si="11"/>
        <v>Annular</v>
      </c>
      <c r="AG36" s="363" t="str">
        <f t="shared" si="11"/>
        <v>--</v>
      </c>
      <c r="AH36" s="363" t="str">
        <f t="shared" si="11"/>
        <v>--</v>
      </c>
      <c r="AI36" s="363" t="str">
        <f t="shared" si="11"/>
        <v>--</v>
      </c>
      <c r="AJ36" s="363" t="str">
        <f t="shared" si="11"/>
        <v>Annular</v>
      </c>
      <c r="AK36" s="363" t="str">
        <f t="shared" si="11"/>
        <v>--</v>
      </c>
      <c r="AL36" s="363" t="str">
        <f t="shared" si="11"/>
        <v>--</v>
      </c>
      <c r="AM36" s="363" t="str">
        <f t="shared" si="11"/>
        <v>Ann-Total</v>
      </c>
      <c r="AN36" s="363" t="str">
        <f t="shared" si="11"/>
        <v>--</v>
      </c>
      <c r="AO36" s="363" t="str">
        <f t="shared" si="11"/>
        <v>--</v>
      </c>
      <c r="AP36" s="363" t="str">
        <f t="shared" si="11"/>
        <v>--</v>
      </c>
      <c r="AQ36" s="363" t="str">
        <f t="shared" si="11"/>
        <v>--</v>
      </c>
      <c r="AR36" s="363" t="str">
        <f t="shared" si="11"/>
        <v>Annular</v>
      </c>
      <c r="AS36" s="363" t="str">
        <f t="shared" si="11"/>
        <v>Annular</v>
      </c>
      <c r="AT36" s="363" t="str">
        <f t="shared" si="11"/>
        <v>Annular</v>
      </c>
      <c r="AU36" s="363" t="str">
        <f t="shared" si="11"/>
        <v>--</v>
      </c>
      <c r="AV36" s="363" t="str">
        <f t="shared" si="11"/>
        <v>Annular</v>
      </c>
      <c r="AW36" s="363" t="str">
        <f t="shared" si="11"/>
        <v>--</v>
      </c>
      <c r="AX36" s="363" t="str">
        <f t="shared" si="11"/>
        <v>--</v>
      </c>
      <c r="AY36" s="363" t="str">
        <f t="shared" si="11"/>
        <v>--</v>
      </c>
      <c r="AZ36" s="363" t="str">
        <f t="shared" si="11"/>
        <v>--</v>
      </c>
      <c r="BA36" s="363" t="str">
        <f t="shared" si="11"/>
        <v>--</v>
      </c>
      <c r="BB36" s="363" t="str">
        <f t="shared" si="11"/>
        <v>--</v>
      </c>
      <c r="BC36" s="363" t="str">
        <f t="shared" si="11"/>
        <v>--</v>
      </c>
      <c r="BD36" s="363" t="str">
        <f t="shared" si="11"/>
        <v>--</v>
      </c>
      <c r="BE36" s="363" t="str">
        <f t="shared" si="11"/>
        <v>--</v>
      </c>
      <c r="BF36" s="363" t="str">
        <f t="shared" si="11"/>
        <v>--</v>
      </c>
      <c r="BG36" s="363" t="str">
        <f t="shared" si="11"/>
        <v>--</v>
      </c>
    </row>
    <row r="37" spans="2:59" x14ac:dyDescent="0.25">
      <c r="B37">
        <v>380</v>
      </c>
      <c r="C37" t="s">
        <v>1137</v>
      </c>
      <c r="D37" s="7" t="s">
        <v>1053</v>
      </c>
      <c r="E37">
        <f>MIN(ABS(E11-360), ABS(E11-180))</f>
        <v>9.2919693990261294</v>
      </c>
      <c r="F37">
        <f t="shared" ref="F37:BG37" si="12">MIN(ABS(F11-360), ABS(F11-180))</f>
        <v>162.81219017226249</v>
      </c>
      <c r="G37">
        <f t="shared" si="12"/>
        <v>19.289199999999994</v>
      </c>
      <c r="H37">
        <f t="shared" si="12"/>
        <v>27.33523423171755</v>
      </c>
      <c r="I37">
        <f t="shared" si="12"/>
        <v>66.569681367327576</v>
      </c>
      <c r="J37">
        <f t="shared" si="12"/>
        <v>93.217165508343896</v>
      </c>
      <c r="K37">
        <f t="shared" si="12"/>
        <v>58.523643394226383</v>
      </c>
      <c r="L37">
        <f t="shared" si="12"/>
        <v>85.171127661618812</v>
      </c>
      <c r="M37">
        <f t="shared" si="12"/>
        <v>158.7028229891439</v>
      </c>
      <c r="N37">
        <f t="shared" si="12"/>
        <v>6.2923860498704016</v>
      </c>
      <c r="O37">
        <f t="shared" si="12"/>
        <v>147.57571496348828</v>
      </c>
      <c r="P37">
        <f t="shared" si="12"/>
        <v>92.004671870730817</v>
      </c>
      <c r="Q37">
        <f t="shared" si="12"/>
        <v>7.3380399346351624</v>
      </c>
      <c r="R37">
        <f t="shared" si="12"/>
        <v>38.008595261722803</v>
      </c>
      <c r="S37">
        <f t="shared" si="12"/>
        <v>85.65401142090559</v>
      </c>
      <c r="T37">
        <f t="shared" si="12"/>
        <v>2.3342632669955492</v>
      </c>
      <c r="U37">
        <f t="shared" si="12"/>
        <v>63.030337646603584</v>
      </c>
      <c r="V37">
        <f t="shared" si="12"/>
        <v>81.224934041500092</v>
      </c>
      <c r="W37">
        <f t="shared" si="12"/>
        <v>154.55817184561602</v>
      </c>
      <c r="X37">
        <f t="shared" si="12"/>
        <v>52.986979307737784</v>
      </c>
      <c r="Y37">
        <f t="shared" si="12"/>
        <v>59.041588074804167</v>
      </c>
      <c r="Z37">
        <f t="shared" si="12"/>
        <v>74.535967031843029</v>
      </c>
      <c r="AA37">
        <f t="shared" si="12"/>
        <v>19.289199999999994</v>
      </c>
      <c r="AB37">
        <f t="shared" si="12"/>
        <v>6.7826326649810653</v>
      </c>
      <c r="AC37">
        <f t="shared" si="12"/>
        <v>104.29051299115235</v>
      </c>
      <c r="AD37">
        <f t="shared" si="12"/>
        <v>146.51213394834485</v>
      </c>
      <c r="AE37">
        <f t="shared" si="12"/>
        <v>59.041588074804167</v>
      </c>
      <c r="AF37">
        <f t="shared" si="12"/>
        <v>167.62295505392831</v>
      </c>
      <c r="AG37">
        <f t="shared" si="12"/>
        <v>48.963961104745977</v>
      </c>
      <c r="AH37">
        <f t="shared" si="12"/>
        <v>122.37402207630657</v>
      </c>
      <c r="AI37">
        <f t="shared" si="12"/>
        <v>83.657482348942722</v>
      </c>
      <c r="AJ37">
        <f t="shared" si="12"/>
        <v>14.270439963765966</v>
      </c>
      <c r="AK37">
        <f t="shared" si="12"/>
        <v>61.403582355822437</v>
      </c>
      <c r="AL37">
        <f t="shared" si="12"/>
        <v>53.602959467927576</v>
      </c>
      <c r="AM37">
        <f t="shared" si="12"/>
        <v>12.945574556477368</v>
      </c>
      <c r="AN37">
        <f t="shared" si="12"/>
        <v>72.722308510517678</v>
      </c>
      <c r="AO37">
        <f t="shared" si="12"/>
        <v>157.42557101324201</v>
      </c>
      <c r="AP37">
        <f t="shared" si="12"/>
        <v>40.877985180151882</v>
      </c>
      <c r="AQ37">
        <f t="shared" si="12"/>
        <v>40.877985180151882</v>
      </c>
      <c r="AR37">
        <f t="shared" si="12"/>
        <v>10.207482933619758</v>
      </c>
      <c r="AS37">
        <f t="shared" si="12"/>
        <v>10.207482933619758</v>
      </c>
      <c r="AT37">
        <f t="shared" si="12"/>
        <v>10.207482933619758</v>
      </c>
      <c r="AU37">
        <f t="shared" si="12"/>
        <v>29.884748360273079</v>
      </c>
      <c r="AV37">
        <f t="shared" si="12"/>
        <v>8.7337832460507343</v>
      </c>
      <c r="AW37">
        <f t="shared" si="12"/>
        <v>18.374163800443057</v>
      </c>
      <c r="AX37">
        <f t="shared" si="12"/>
        <v>13.314993070729543</v>
      </c>
      <c r="AY37">
        <f t="shared" si="12"/>
        <v>20.463019310802338</v>
      </c>
      <c r="AZ37">
        <f t="shared" si="12"/>
        <v>20.463019310802338</v>
      </c>
      <c r="BA37">
        <f t="shared" si="12"/>
        <v>51.133521553128958</v>
      </c>
      <c r="BB37">
        <f t="shared" si="12"/>
        <v>51.133521553128958</v>
      </c>
      <c r="BC37">
        <f t="shared" si="12"/>
        <v>51.133521553128958</v>
      </c>
      <c r="BD37">
        <f t="shared" si="12"/>
        <v>51.133521553128958</v>
      </c>
      <c r="BE37">
        <f t="shared" si="12"/>
        <v>51.133521553128958</v>
      </c>
      <c r="BF37">
        <f t="shared" si="12"/>
        <v>51.133521553128958</v>
      </c>
      <c r="BG37">
        <f t="shared" si="12"/>
        <v>59.041588074804167</v>
      </c>
    </row>
    <row r="38" spans="2:59" x14ac:dyDescent="0.25">
      <c r="B38">
        <v>380</v>
      </c>
      <c r="C38" t="s">
        <v>1057</v>
      </c>
      <c r="D38" s="7" t="s">
        <v>1058</v>
      </c>
      <c r="E38">
        <f>ABS(SIN(E11*Deg2Rad))</f>
        <v>0.16146550139697033</v>
      </c>
      <c r="F38">
        <f>ABS(SIN(F11*Deg2Rad))</f>
        <v>0.29550479962537779</v>
      </c>
      <c r="G38">
        <f>ABS(SIN(G11*Deg2Rad))</f>
        <v>0.33033648455443643</v>
      </c>
      <c r="H38">
        <f>ABS(SIN(H11*Deg2Rad))</f>
        <v>0.45919592587331864</v>
      </c>
      <c r="I38">
        <f>ABS(SIN(I11*Deg2Rad))</f>
        <v>0.91754434243958904</v>
      </c>
      <c r="J38">
        <f>ABS(SIN(J11*Deg2Rad))</f>
        <v>0.99842399555013173</v>
      </c>
      <c r="K38">
        <f>ABS(SIN(K11*Deg2Rad))</f>
        <v>0.8528557034371177</v>
      </c>
      <c r="L38">
        <f>ABS(SIN(L11*Deg2Rad))</f>
        <v>0.99645056601169357</v>
      </c>
      <c r="M38">
        <f>ABS(SIN(M11*Deg2Rad))</f>
        <v>0.36320532518109605</v>
      </c>
      <c r="N38">
        <f>ABS(SIN(N11*Deg2Rad))</f>
        <v>0.10960222414323512</v>
      </c>
      <c r="O38">
        <f>ABS(SIN(O11*Deg2Rad))</f>
        <v>0.53618461847567278</v>
      </c>
      <c r="P38">
        <f>ABS(SIN(P11*Deg2Rad))</f>
        <v>0.99938797800834123</v>
      </c>
      <c r="Q38">
        <f>ABS(SIN(Q11*Deg2Rad))</f>
        <v>0.12772312119628035</v>
      </c>
      <c r="R38">
        <f>ABS(SIN(R11*Deg2Rad))</f>
        <v>0.61577968231709124</v>
      </c>
      <c r="S38">
        <f>ABS(SIN(S11*Deg2Rad))</f>
        <v>0.9971246304788135</v>
      </c>
      <c r="T38">
        <f>ABS(SIN(T11*Deg2Rad))</f>
        <v>4.0729310385482845E-2</v>
      </c>
      <c r="U38">
        <f>ABS(SIN(U11*Deg2Rad))</f>
        <v>0.89124678353135101</v>
      </c>
      <c r="V38">
        <f>ABS(SIN(V11*Deg2Rad))</f>
        <v>0.98829486441539827</v>
      </c>
      <c r="W38">
        <f>ABS(SIN(W11*Deg2Rad))</f>
        <v>0.42959448904913311</v>
      </c>
      <c r="X38">
        <f>ABS(SIN(X11*Deg2Rad))</f>
        <v>0.79849872458425997</v>
      </c>
      <c r="Y38">
        <f>ABS(SIN(Y11*Deg2Rad))</f>
        <v>0.857540914653802</v>
      </c>
      <c r="Z38">
        <f>ABS(SIN(Z11*Deg2Rad))</f>
        <v>0.96379802038688778</v>
      </c>
      <c r="AA38">
        <f>ABS(SIN(AA11*Deg2Rad))</f>
        <v>0.33033648455443643</v>
      </c>
      <c r="AB38">
        <f>ABS(SIN(AB11*Deg2Rad))</f>
        <v>0.11810297796858732</v>
      </c>
      <c r="AC38">
        <f>ABS(SIN(AC11*Deg2Rad))</f>
        <v>0.96905661610617666</v>
      </c>
      <c r="AD38">
        <f>ABS(SIN(AD11*Deg2Rad))</f>
        <v>0.55176037480678541</v>
      </c>
      <c r="AE38">
        <f>ABS(SIN(AE11*Deg2Rad))</f>
        <v>0.857540914653802</v>
      </c>
      <c r="AF38">
        <f>ABS(SIN(AF11*Deg2Rad))</f>
        <v>0.21434401472061612</v>
      </c>
      <c r="AG38">
        <f>ABS(SIN(AG11*Deg2Rad))</f>
        <v>0.75429677154321151</v>
      </c>
      <c r="AH38">
        <f>ABS(SIN(AH11*Deg2Rad))</f>
        <v>0.8445707827389517</v>
      </c>
      <c r="AI38">
        <f>ABS(SIN(AI11*Deg2Rad))</f>
        <v>0.99387925091970175</v>
      </c>
      <c r="AJ38">
        <f>ABS(SIN(AJ11*Deg2Rad))</f>
        <v>0.24649904531593644</v>
      </c>
      <c r="AK38">
        <f>ABS(SIN(AK11*Deg2Rad))</f>
        <v>0.87801290339564819</v>
      </c>
      <c r="AL38">
        <f>ABS(SIN(AL11*Deg2Rad))</f>
        <v>0.80492444782715478</v>
      </c>
      <c r="AM38">
        <f>ABS(SIN(AM11*Deg2Rad))</f>
        <v>0.2240253957653861</v>
      </c>
      <c r="AN38">
        <f>ABS(SIN(AN11*Deg2Rad))</f>
        <v>0.95487651210643365</v>
      </c>
      <c r="AO38">
        <f>ABS(SIN(AO11*Deg2Rad))</f>
        <v>0.38388325718219035</v>
      </c>
      <c r="AP38">
        <f>ABS(SIN(AP11*Deg2Rad))</f>
        <v>0.65445034299085802</v>
      </c>
      <c r="AQ38">
        <f>ABS(SIN(AQ11*Deg2Rad))</f>
        <v>0.65445034299085802</v>
      </c>
      <c r="AR38">
        <f>ABS(SIN(AR11*Deg2Rad))</f>
        <v>0.1772132765558268</v>
      </c>
      <c r="AS38">
        <f>ABS(SIN(AS11*Deg2Rad))</f>
        <v>0.1772132765558268</v>
      </c>
      <c r="AT38">
        <f>ABS(SIN(AT11*Deg2Rad))</f>
        <v>0.1772132765558268</v>
      </c>
      <c r="AU38">
        <f>ABS(SIN(AU11*Deg2Rad))</f>
        <v>0.49825696169748468</v>
      </c>
      <c r="AV38">
        <f>ABS(SIN(AV11*Deg2Rad))</f>
        <v>0.15184363845862595</v>
      </c>
      <c r="AW38">
        <f>ABS(SIN(AW11*Deg2Rad))</f>
        <v>0.31522113129573259</v>
      </c>
      <c r="AX38">
        <f>ABS(SIN(AX11*Deg2Rad))</f>
        <v>0.23030438924703708</v>
      </c>
      <c r="AY38">
        <f>ABS(SIN(AY11*Deg2Rad))</f>
        <v>0.34960274754152215</v>
      </c>
      <c r="AZ38">
        <f>ABS(SIN(AZ11*Deg2Rad))</f>
        <v>0.34960274754152215</v>
      </c>
      <c r="BA38">
        <f>ABS(SIN(BA11*Deg2Rad))</f>
        <v>0.77861041230111905</v>
      </c>
      <c r="BB38">
        <f>ABS(SIN(BB11*Deg2Rad))</f>
        <v>0.77861041230111905</v>
      </c>
      <c r="BC38">
        <f>ABS(SIN(BC11*Deg2Rad))</f>
        <v>0.77861041230111905</v>
      </c>
      <c r="BD38">
        <f>ABS(SIN(BD11*Deg2Rad))</f>
        <v>0.77861041230111905</v>
      </c>
      <c r="BE38">
        <f>ABS(SIN(BE11*Deg2Rad))</f>
        <v>0.77861041230111905</v>
      </c>
      <c r="BF38">
        <f>ABS(SIN(BF11*Deg2Rad))</f>
        <v>0.77861041230111905</v>
      </c>
      <c r="BG38">
        <f>ABS(SIN(BG11*Deg2Rad))</f>
        <v>0.857540914653802</v>
      </c>
    </row>
    <row r="39" spans="2:59" x14ac:dyDescent="0.25">
      <c r="C39" t="s">
        <v>1054</v>
      </c>
    </row>
    <row r="40" spans="2:59" x14ac:dyDescent="0.25">
      <c r="C40" t="s">
        <v>1055</v>
      </c>
      <c r="E40" t="s">
        <v>1060</v>
      </c>
      <c r="F40" t="s">
        <v>1060</v>
      </c>
      <c r="G40" t="s">
        <v>1060</v>
      </c>
      <c r="H40" t="s">
        <v>1060</v>
      </c>
      <c r="I40" t="s">
        <v>1060</v>
      </c>
      <c r="J40" t="s">
        <v>1060</v>
      </c>
      <c r="K40" t="s">
        <v>1060</v>
      </c>
      <c r="L40" t="s">
        <v>1060</v>
      </c>
      <c r="M40" t="s">
        <v>1060</v>
      </c>
      <c r="N40" t="s">
        <v>1060</v>
      </c>
      <c r="O40" t="s">
        <v>1060</v>
      </c>
      <c r="P40" t="s">
        <v>1060</v>
      </c>
      <c r="Q40" t="s">
        <v>1060</v>
      </c>
      <c r="R40" t="s">
        <v>1060</v>
      </c>
      <c r="S40" t="s">
        <v>1060</v>
      </c>
      <c r="T40" t="s">
        <v>1060</v>
      </c>
      <c r="U40" t="s">
        <v>1060</v>
      </c>
      <c r="V40" t="s">
        <v>1060</v>
      </c>
      <c r="W40" t="s">
        <v>1060</v>
      </c>
      <c r="X40" t="s">
        <v>1060</v>
      </c>
      <c r="Y40" t="s">
        <v>1060</v>
      </c>
      <c r="Z40" t="s">
        <v>1060</v>
      </c>
      <c r="AA40" t="s">
        <v>1060</v>
      </c>
      <c r="AB40" t="s">
        <v>1060</v>
      </c>
      <c r="AC40" t="s">
        <v>1060</v>
      </c>
      <c r="AD40" t="s">
        <v>1060</v>
      </c>
      <c r="AE40" t="s">
        <v>1060</v>
      </c>
      <c r="AF40" t="s">
        <v>1060</v>
      </c>
      <c r="AG40" t="s">
        <v>1060</v>
      </c>
      <c r="AH40" t="s">
        <v>1060</v>
      </c>
      <c r="AI40" t="s">
        <v>1060</v>
      </c>
      <c r="AJ40" t="s">
        <v>1060</v>
      </c>
      <c r="AK40" t="s">
        <v>1060</v>
      </c>
      <c r="AL40" t="s">
        <v>1060</v>
      </c>
      <c r="AM40" t="s">
        <v>1060</v>
      </c>
      <c r="AN40" t="s">
        <v>1060</v>
      </c>
      <c r="AO40" t="s">
        <v>1060</v>
      </c>
      <c r="AP40" t="s">
        <v>1060</v>
      </c>
      <c r="AQ40" t="s">
        <v>1060</v>
      </c>
      <c r="AR40" t="s">
        <v>1060</v>
      </c>
      <c r="AS40" t="s">
        <v>1060</v>
      </c>
      <c r="AT40" t="s">
        <v>1060</v>
      </c>
      <c r="AU40" t="s">
        <v>1060</v>
      </c>
      <c r="AV40" t="s">
        <v>1060</v>
      </c>
      <c r="AW40" t="s">
        <v>1060</v>
      </c>
      <c r="AX40" t="s">
        <v>1060</v>
      </c>
      <c r="AY40" t="s">
        <v>1060</v>
      </c>
      <c r="AZ40" t="s">
        <v>1060</v>
      </c>
      <c r="BA40" t="s">
        <v>1060</v>
      </c>
      <c r="BB40" t="s">
        <v>1060</v>
      </c>
      <c r="BC40" t="s">
        <v>1060</v>
      </c>
      <c r="BD40" t="s">
        <v>1060</v>
      </c>
      <c r="BE40" t="s">
        <v>1060</v>
      </c>
      <c r="BF40" t="s">
        <v>1060</v>
      </c>
      <c r="BG40" t="s">
        <v>1060</v>
      </c>
    </row>
    <row r="41" spans="2:59" x14ac:dyDescent="0.25">
      <c r="C41" t="s">
        <v>1056</v>
      </c>
      <c r="E41" t="s">
        <v>1061</v>
      </c>
      <c r="F41" t="s">
        <v>1061</v>
      </c>
      <c r="G41" t="s">
        <v>1061</v>
      </c>
      <c r="H41" t="s">
        <v>1061</v>
      </c>
      <c r="I41" t="s">
        <v>1061</v>
      </c>
      <c r="J41" t="s">
        <v>1061</v>
      </c>
      <c r="K41" t="s">
        <v>1061</v>
      </c>
      <c r="L41" t="s">
        <v>1061</v>
      </c>
      <c r="M41" t="s">
        <v>1061</v>
      </c>
      <c r="N41" t="s">
        <v>1061</v>
      </c>
      <c r="O41" t="s">
        <v>1061</v>
      </c>
      <c r="P41" t="s">
        <v>1061</v>
      </c>
      <c r="Q41" t="s">
        <v>1061</v>
      </c>
      <c r="R41" t="s">
        <v>1061</v>
      </c>
      <c r="S41" t="s">
        <v>1061</v>
      </c>
      <c r="T41" t="s">
        <v>1061</v>
      </c>
      <c r="U41" t="s">
        <v>1061</v>
      </c>
      <c r="V41" t="s">
        <v>1061</v>
      </c>
      <c r="W41" t="s">
        <v>1061</v>
      </c>
      <c r="X41" t="s">
        <v>1061</v>
      </c>
      <c r="Y41" t="s">
        <v>1061</v>
      </c>
      <c r="Z41" t="s">
        <v>1061</v>
      </c>
      <c r="AA41" t="s">
        <v>1061</v>
      </c>
      <c r="AB41" t="s">
        <v>1061</v>
      </c>
      <c r="AC41" t="s">
        <v>1061</v>
      </c>
      <c r="AD41" t="s">
        <v>1061</v>
      </c>
      <c r="AE41" t="s">
        <v>1061</v>
      </c>
      <c r="AF41" t="s">
        <v>1061</v>
      </c>
      <c r="AG41" t="s">
        <v>1061</v>
      </c>
      <c r="AH41" t="s">
        <v>1061</v>
      </c>
      <c r="AI41" t="s">
        <v>1061</v>
      </c>
      <c r="AJ41" t="s">
        <v>1061</v>
      </c>
      <c r="AK41" t="s">
        <v>1061</v>
      </c>
      <c r="AL41" t="s">
        <v>1061</v>
      </c>
      <c r="AM41" t="s">
        <v>1061</v>
      </c>
      <c r="AN41" t="s">
        <v>1061</v>
      </c>
      <c r="AO41" t="s">
        <v>1061</v>
      </c>
      <c r="AP41" t="s">
        <v>1061</v>
      </c>
      <c r="AQ41" t="s">
        <v>1061</v>
      </c>
      <c r="AR41" t="s">
        <v>1061</v>
      </c>
      <c r="AS41" t="s">
        <v>1061</v>
      </c>
      <c r="AT41" t="s">
        <v>1061</v>
      </c>
      <c r="AU41" t="s">
        <v>1061</v>
      </c>
      <c r="AV41" t="s">
        <v>1061</v>
      </c>
      <c r="AW41" t="s">
        <v>1061</v>
      </c>
      <c r="AX41" t="s">
        <v>1061</v>
      </c>
      <c r="AY41" t="s">
        <v>1061</v>
      </c>
      <c r="AZ41" t="s">
        <v>1061</v>
      </c>
      <c r="BA41" t="s">
        <v>1061</v>
      </c>
      <c r="BB41" t="s">
        <v>1061</v>
      </c>
      <c r="BC41" t="s">
        <v>1061</v>
      </c>
      <c r="BD41" t="s">
        <v>1061</v>
      </c>
      <c r="BE41" t="s">
        <v>1061</v>
      </c>
      <c r="BF41" t="s">
        <v>1061</v>
      </c>
      <c r="BG41" t="s">
        <v>1061</v>
      </c>
    </row>
    <row r="42" spans="2:59" x14ac:dyDescent="0.25">
      <c r="C42" s="6" t="s">
        <v>1059</v>
      </c>
    </row>
    <row r="43" spans="2:59" x14ac:dyDescent="0.25">
      <c r="B43">
        <v>380</v>
      </c>
      <c r="C43" t="s">
        <v>1062</v>
      </c>
      <c r="D43" s="7" t="s">
        <v>1063</v>
      </c>
      <c r="E43">
        <f>IF(E37&lt;13,1,IF(E37&gt;21,0,-1))</f>
        <v>1</v>
      </c>
      <c r="F43">
        <f t="shared" ref="F43:BG43" si="13">IF(F37&lt;13,1,IF(F37&gt;21,0,-1))</f>
        <v>0</v>
      </c>
      <c r="G43">
        <f t="shared" si="13"/>
        <v>-1</v>
      </c>
      <c r="H43">
        <f t="shared" si="13"/>
        <v>0</v>
      </c>
      <c r="I43">
        <f t="shared" si="13"/>
        <v>0</v>
      </c>
      <c r="J43">
        <f t="shared" si="13"/>
        <v>0</v>
      </c>
      <c r="K43">
        <f t="shared" si="13"/>
        <v>0</v>
      </c>
      <c r="L43">
        <f t="shared" si="13"/>
        <v>0</v>
      </c>
      <c r="M43">
        <f t="shared" si="13"/>
        <v>0</v>
      </c>
      <c r="N43">
        <f t="shared" si="13"/>
        <v>1</v>
      </c>
      <c r="O43">
        <f t="shared" si="13"/>
        <v>0</v>
      </c>
      <c r="P43">
        <f t="shared" si="13"/>
        <v>0</v>
      </c>
      <c r="Q43">
        <f t="shared" si="13"/>
        <v>1</v>
      </c>
      <c r="R43">
        <f t="shared" si="13"/>
        <v>0</v>
      </c>
      <c r="S43">
        <f t="shared" si="13"/>
        <v>0</v>
      </c>
      <c r="T43">
        <f t="shared" si="13"/>
        <v>1</v>
      </c>
      <c r="U43">
        <f t="shared" si="13"/>
        <v>0</v>
      </c>
      <c r="V43">
        <f t="shared" si="13"/>
        <v>0</v>
      </c>
      <c r="W43">
        <f t="shared" si="13"/>
        <v>0</v>
      </c>
      <c r="X43">
        <f t="shared" si="13"/>
        <v>0</v>
      </c>
      <c r="Y43">
        <f t="shared" si="13"/>
        <v>0</v>
      </c>
      <c r="Z43">
        <f t="shared" si="13"/>
        <v>0</v>
      </c>
      <c r="AA43">
        <f t="shared" si="13"/>
        <v>-1</v>
      </c>
      <c r="AB43">
        <f t="shared" si="13"/>
        <v>1</v>
      </c>
      <c r="AC43">
        <f t="shared" si="13"/>
        <v>0</v>
      </c>
      <c r="AD43">
        <f t="shared" si="13"/>
        <v>0</v>
      </c>
      <c r="AE43">
        <f t="shared" si="13"/>
        <v>0</v>
      </c>
      <c r="AF43">
        <f t="shared" si="13"/>
        <v>0</v>
      </c>
      <c r="AG43">
        <f t="shared" si="13"/>
        <v>0</v>
      </c>
      <c r="AH43">
        <f t="shared" si="13"/>
        <v>0</v>
      </c>
      <c r="AI43">
        <f t="shared" si="13"/>
        <v>0</v>
      </c>
      <c r="AJ43">
        <f t="shared" si="13"/>
        <v>-1</v>
      </c>
      <c r="AK43">
        <f t="shared" si="13"/>
        <v>0</v>
      </c>
      <c r="AL43">
        <f t="shared" si="13"/>
        <v>0</v>
      </c>
      <c r="AM43">
        <f t="shared" si="13"/>
        <v>1</v>
      </c>
      <c r="AN43">
        <f t="shared" si="13"/>
        <v>0</v>
      </c>
      <c r="AO43">
        <f t="shared" si="13"/>
        <v>0</v>
      </c>
      <c r="AP43">
        <f t="shared" si="13"/>
        <v>0</v>
      </c>
      <c r="AQ43">
        <f t="shared" si="13"/>
        <v>0</v>
      </c>
      <c r="AR43">
        <f t="shared" si="13"/>
        <v>1</v>
      </c>
      <c r="AS43">
        <f t="shared" si="13"/>
        <v>1</v>
      </c>
      <c r="AT43">
        <f t="shared" si="13"/>
        <v>1</v>
      </c>
      <c r="AU43">
        <f t="shared" si="13"/>
        <v>0</v>
      </c>
      <c r="AV43">
        <f t="shared" si="13"/>
        <v>1</v>
      </c>
      <c r="AW43">
        <f t="shared" si="13"/>
        <v>-1</v>
      </c>
      <c r="AX43">
        <f t="shared" si="13"/>
        <v>-1</v>
      </c>
      <c r="AY43">
        <f t="shared" si="13"/>
        <v>-1</v>
      </c>
      <c r="AZ43">
        <f t="shared" si="13"/>
        <v>-1</v>
      </c>
      <c r="BA43">
        <f t="shared" si="13"/>
        <v>0</v>
      </c>
      <c r="BB43">
        <f t="shared" si="13"/>
        <v>0</v>
      </c>
      <c r="BC43">
        <f t="shared" si="13"/>
        <v>0</v>
      </c>
      <c r="BD43">
        <f t="shared" si="13"/>
        <v>0</v>
      </c>
      <c r="BE43">
        <f t="shared" si="13"/>
        <v>0</v>
      </c>
      <c r="BF43">
        <f t="shared" si="13"/>
        <v>0</v>
      </c>
      <c r="BG43">
        <f t="shared" si="13"/>
        <v>0</v>
      </c>
    </row>
    <row r="44" spans="2:59" x14ac:dyDescent="0.25">
      <c r="D44" s="7" t="s">
        <v>1064</v>
      </c>
      <c r="E44">
        <f>IF(E47+E48=0,0,IF(E43=0,0,IF(E43=1,1,IF(E38&gt;0.36,0,1))))</f>
        <v>1</v>
      </c>
      <c r="F44">
        <f t="shared" ref="F44:BG44" si="14">IF(F47+F48=0,0,IF(F43=0,0,IF(F43=1,1,IF(F38&gt;0.36,0,1))))</f>
        <v>0</v>
      </c>
      <c r="G44">
        <f t="shared" si="14"/>
        <v>0</v>
      </c>
      <c r="H44">
        <f t="shared" si="14"/>
        <v>0</v>
      </c>
      <c r="I44">
        <f t="shared" si="14"/>
        <v>0</v>
      </c>
      <c r="J44">
        <f t="shared" si="14"/>
        <v>0</v>
      </c>
      <c r="K44">
        <f t="shared" si="14"/>
        <v>0</v>
      </c>
      <c r="L44">
        <f t="shared" si="14"/>
        <v>0</v>
      </c>
      <c r="M44">
        <f t="shared" si="14"/>
        <v>0</v>
      </c>
      <c r="N44">
        <f t="shared" si="14"/>
        <v>1</v>
      </c>
      <c r="O44">
        <f t="shared" si="14"/>
        <v>0</v>
      </c>
      <c r="P44">
        <f t="shared" si="14"/>
        <v>0</v>
      </c>
      <c r="Q44">
        <f t="shared" si="14"/>
        <v>1</v>
      </c>
      <c r="R44">
        <f t="shared" si="14"/>
        <v>0</v>
      </c>
      <c r="S44">
        <f t="shared" si="14"/>
        <v>0</v>
      </c>
      <c r="T44">
        <f t="shared" si="14"/>
        <v>1</v>
      </c>
      <c r="U44">
        <f t="shared" si="14"/>
        <v>0</v>
      </c>
      <c r="V44">
        <f t="shared" si="14"/>
        <v>0</v>
      </c>
      <c r="W44">
        <f t="shared" si="14"/>
        <v>0</v>
      </c>
      <c r="X44">
        <f t="shared" si="14"/>
        <v>0</v>
      </c>
      <c r="Y44">
        <f t="shared" si="14"/>
        <v>0</v>
      </c>
      <c r="Z44">
        <f t="shared" si="14"/>
        <v>0</v>
      </c>
      <c r="AA44">
        <f t="shared" si="14"/>
        <v>0</v>
      </c>
      <c r="AB44">
        <f t="shared" si="14"/>
        <v>1</v>
      </c>
      <c r="AC44">
        <f t="shared" si="14"/>
        <v>0</v>
      </c>
      <c r="AD44">
        <f t="shared" si="14"/>
        <v>0</v>
      </c>
      <c r="AE44">
        <f t="shared" si="14"/>
        <v>0</v>
      </c>
      <c r="AF44">
        <f t="shared" si="14"/>
        <v>0</v>
      </c>
      <c r="AG44">
        <f t="shared" si="14"/>
        <v>0</v>
      </c>
      <c r="AH44">
        <f t="shared" si="14"/>
        <v>0</v>
      </c>
      <c r="AI44">
        <f t="shared" si="14"/>
        <v>0</v>
      </c>
      <c r="AJ44">
        <f t="shared" si="14"/>
        <v>1</v>
      </c>
      <c r="AK44">
        <f t="shared" si="14"/>
        <v>0</v>
      </c>
      <c r="AL44">
        <f t="shared" si="14"/>
        <v>0</v>
      </c>
      <c r="AM44">
        <f t="shared" si="14"/>
        <v>1</v>
      </c>
      <c r="AN44">
        <f t="shared" si="14"/>
        <v>0</v>
      </c>
      <c r="AO44">
        <f t="shared" si="14"/>
        <v>0</v>
      </c>
      <c r="AP44">
        <f t="shared" si="14"/>
        <v>0</v>
      </c>
      <c r="AQ44">
        <f t="shared" si="14"/>
        <v>0</v>
      </c>
      <c r="AR44">
        <f t="shared" si="14"/>
        <v>1</v>
      </c>
      <c r="AS44">
        <f t="shared" si="14"/>
        <v>1</v>
      </c>
      <c r="AT44">
        <f t="shared" si="14"/>
        <v>1</v>
      </c>
      <c r="AU44">
        <f t="shared" si="14"/>
        <v>0</v>
      </c>
      <c r="AV44">
        <f t="shared" si="14"/>
        <v>1</v>
      </c>
      <c r="AW44">
        <f t="shared" si="14"/>
        <v>1</v>
      </c>
      <c r="AX44">
        <f t="shared" si="14"/>
        <v>1</v>
      </c>
      <c r="AY44">
        <f t="shared" si="14"/>
        <v>0</v>
      </c>
      <c r="AZ44">
        <f t="shared" si="14"/>
        <v>0</v>
      </c>
      <c r="BA44">
        <f t="shared" si="14"/>
        <v>0</v>
      </c>
      <c r="BB44">
        <f t="shared" si="14"/>
        <v>0</v>
      </c>
      <c r="BC44">
        <f t="shared" si="14"/>
        <v>0</v>
      </c>
      <c r="BD44">
        <f t="shared" si="14"/>
        <v>0</v>
      </c>
      <c r="BE44">
        <f t="shared" si="14"/>
        <v>0</v>
      </c>
      <c r="BF44">
        <f t="shared" si="14"/>
        <v>0</v>
      </c>
      <c r="BG44">
        <f t="shared" si="14"/>
        <v>0</v>
      </c>
    </row>
    <row r="45" spans="2:59" x14ac:dyDescent="0.25">
      <c r="C45" t="s">
        <v>1139</v>
      </c>
      <c r="E45" s="7" t="str">
        <f>IF(ABS(E11-180)&lt;ABS(E11-360),"Descending","Ascending")</f>
        <v>Ascending</v>
      </c>
      <c r="F45" s="7" t="str">
        <f t="shared" ref="F45:BG45" si="15">IF(ABS(F11-180)&lt;ABS(F11-360),"Descending","Ascending")</f>
        <v>Descending</v>
      </c>
      <c r="G45" s="7" t="str">
        <f t="shared" si="15"/>
        <v>Descending</v>
      </c>
      <c r="H45" s="7" t="str">
        <f t="shared" si="15"/>
        <v>Descending</v>
      </c>
      <c r="I45" s="7" t="str">
        <f t="shared" si="15"/>
        <v>Ascending</v>
      </c>
      <c r="J45" s="7" t="str">
        <f t="shared" si="15"/>
        <v>Descending</v>
      </c>
      <c r="K45" s="7" t="str">
        <f t="shared" si="15"/>
        <v>Ascending</v>
      </c>
      <c r="L45" s="7" t="str">
        <f t="shared" si="15"/>
        <v>Descending</v>
      </c>
      <c r="M45" s="7" t="str">
        <f t="shared" si="15"/>
        <v>Descending</v>
      </c>
      <c r="N45" s="7" t="str">
        <f t="shared" si="15"/>
        <v>Ascending</v>
      </c>
      <c r="O45" s="7" t="str">
        <f t="shared" si="15"/>
        <v>Descending</v>
      </c>
      <c r="P45" s="7" t="str">
        <f t="shared" si="15"/>
        <v>Descending</v>
      </c>
      <c r="Q45" s="7" t="str">
        <f t="shared" si="15"/>
        <v>Descending</v>
      </c>
      <c r="R45" s="7" t="str">
        <f t="shared" si="15"/>
        <v>Descending</v>
      </c>
      <c r="S45" s="7" t="str">
        <f t="shared" si="15"/>
        <v>Ascending</v>
      </c>
      <c r="T45" s="7" t="str">
        <f t="shared" si="15"/>
        <v>Descending</v>
      </c>
      <c r="U45" s="7" t="str">
        <f t="shared" si="15"/>
        <v>Ascending</v>
      </c>
      <c r="V45" s="7" t="str">
        <f t="shared" si="15"/>
        <v>Descending</v>
      </c>
      <c r="W45" s="7" t="str">
        <f t="shared" si="15"/>
        <v>Descending</v>
      </c>
      <c r="X45" s="7" t="str">
        <f t="shared" si="15"/>
        <v>Descending</v>
      </c>
      <c r="Y45" s="7" t="str">
        <f t="shared" si="15"/>
        <v>Descending</v>
      </c>
      <c r="Z45" s="7" t="str">
        <f t="shared" si="15"/>
        <v>Ascending</v>
      </c>
      <c r="AA45" s="7" t="str">
        <f t="shared" si="15"/>
        <v>Descending</v>
      </c>
      <c r="AB45" s="7" t="str">
        <f t="shared" si="15"/>
        <v>Descending</v>
      </c>
      <c r="AC45" s="7" t="str">
        <f t="shared" si="15"/>
        <v>Descending</v>
      </c>
      <c r="AD45" s="7" t="str">
        <f t="shared" si="15"/>
        <v>Descending</v>
      </c>
      <c r="AE45" s="7" t="str">
        <f t="shared" si="15"/>
        <v>Descending</v>
      </c>
      <c r="AF45" s="7" t="str">
        <f t="shared" si="15"/>
        <v>Descending</v>
      </c>
      <c r="AG45" s="7" t="str">
        <f t="shared" si="15"/>
        <v>Ascending</v>
      </c>
      <c r="AH45" s="7" t="str">
        <f t="shared" si="15"/>
        <v>Descending</v>
      </c>
      <c r="AI45" s="7" t="str">
        <f t="shared" si="15"/>
        <v>Descending</v>
      </c>
      <c r="AJ45" s="7" t="str">
        <f t="shared" si="15"/>
        <v>Descending</v>
      </c>
      <c r="AK45" s="7" t="str">
        <f t="shared" si="15"/>
        <v>Descending</v>
      </c>
      <c r="AL45" s="7" t="str">
        <f t="shared" si="15"/>
        <v>Descending</v>
      </c>
      <c r="AM45" s="7" t="str">
        <f t="shared" si="15"/>
        <v>Ascending</v>
      </c>
      <c r="AN45" s="7" t="str">
        <f t="shared" si="15"/>
        <v>Descending</v>
      </c>
      <c r="AO45" s="7" t="str">
        <f t="shared" si="15"/>
        <v>Descending</v>
      </c>
      <c r="AP45" s="7" t="str">
        <f t="shared" si="15"/>
        <v>Descending</v>
      </c>
      <c r="AQ45" s="7" t="str">
        <f t="shared" si="15"/>
        <v>Descending</v>
      </c>
      <c r="AR45" s="7" t="str">
        <f t="shared" si="15"/>
        <v>Descending</v>
      </c>
      <c r="AS45" s="7" t="str">
        <f t="shared" si="15"/>
        <v>Descending</v>
      </c>
      <c r="AT45" s="7" t="str">
        <f t="shared" si="15"/>
        <v>Descending</v>
      </c>
      <c r="AU45" s="7" t="str">
        <f t="shared" si="15"/>
        <v>Descending</v>
      </c>
      <c r="AV45" s="7" t="str">
        <f t="shared" si="15"/>
        <v>Ascending</v>
      </c>
      <c r="AW45" s="7" t="str">
        <f t="shared" si="15"/>
        <v>Ascending</v>
      </c>
      <c r="AX45" s="7" t="str">
        <f t="shared" si="15"/>
        <v>Descending</v>
      </c>
      <c r="AY45" s="7" t="str">
        <f t="shared" si="15"/>
        <v>Descending</v>
      </c>
      <c r="AZ45" s="7" t="str">
        <f t="shared" si="15"/>
        <v>Descending</v>
      </c>
      <c r="BA45" s="7" t="str">
        <f t="shared" si="15"/>
        <v>Descending</v>
      </c>
      <c r="BB45" s="7" t="str">
        <f t="shared" si="15"/>
        <v>Descending</v>
      </c>
      <c r="BC45" s="7" t="str">
        <f t="shared" si="15"/>
        <v>Descending</v>
      </c>
      <c r="BD45" s="7" t="str">
        <f t="shared" si="15"/>
        <v>Descending</v>
      </c>
      <c r="BE45" s="7" t="str">
        <f t="shared" si="15"/>
        <v>Descending</v>
      </c>
      <c r="BF45" s="7" t="str">
        <f t="shared" si="15"/>
        <v>Descending</v>
      </c>
      <c r="BG45" s="7" t="str">
        <f t="shared" si="15"/>
        <v>Descending</v>
      </c>
    </row>
    <row r="46" spans="2:59" x14ac:dyDescent="0.25">
      <c r="C46" t="s">
        <v>1148</v>
      </c>
      <c r="E46" s="7" t="str">
        <f>IF(E48=1,"Umbral (full)",IF(E47=1,"Penumbral (Partial)","--"))</f>
        <v>Umbral (full)</v>
      </c>
      <c r="F46" s="7" t="str">
        <f t="shared" ref="F46:BG46" si="16">IF(F48=1,"Umbral (full)",IF(F47=1,"Penumbral (Partial)","--"))</f>
        <v>--</v>
      </c>
      <c r="G46" s="7" t="str">
        <f t="shared" si="16"/>
        <v>--</v>
      </c>
      <c r="H46" s="7" t="str">
        <f t="shared" si="16"/>
        <v>--</v>
      </c>
      <c r="I46" s="7" t="str">
        <f t="shared" si="16"/>
        <v>--</v>
      </c>
      <c r="J46" s="7" t="str">
        <f t="shared" si="16"/>
        <v>--</v>
      </c>
      <c r="K46" s="7" t="str">
        <f t="shared" si="16"/>
        <v>--</v>
      </c>
      <c r="L46" s="7" t="str">
        <f t="shared" si="16"/>
        <v>--</v>
      </c>
      <c r="M46" s="7" t="str">
        <f t="shared" si="16"/>
        <v>--</v>
      </c>
      <c r="N46" s="7" t="str">
        <f t="shared" si="16"/>
        <v>Umbral (full)</v>
      </c>
      <c r="O46" s="7" t="str">
        <f t="shared" si="16"/>
        <v>--</v>
      </c>
      <c r="P46" s="7" t="str">
        <f t="shared" si="16"/>
        <v>--</v>
      </c>
      <c r="Q46" s="7" t="str">
        <f t="shared" si="16"/>
        <v>Umbral (full)</v>
      </c>
      <c r="R46" s="7" t="str">
        <f t="shared" si="16"/>
        <v>--</v>
      </c>
      <c r="S46" s="7" t="str">
        <f t="shared" si="16"/>
        <v>--</v>
      </c>
      <c r="T46" s="7" t="str">
        <f t="shared" si="16"/>
        <v>Umbral (full)</v>
      </c>
      <c r="U46" s="7" t="str">
        <f t="shared" si="16"/>
        <v>--</v>
      </c>
      <c r="V46" s="7" t="str">
        <f t="shared" si="16"/>
        <v>--</v>
      </c>
      <c r="W46" s="7" t="str">
        <f t="shared" si="16"/>
        <v>--</v>
      </c>
      <c r="X46" s="7" t="str">
        <f t="shared" si="16"/>
        <v>--</v>
      </c>
      <c r="Y46" s="7" t="str">
        <f t="shared" si="16"/>
        <v>--</v>
      </c>
      <c r="Z46" s="7" t="str">
        <f t="shared" si="16"/>
        <v>--</v>
      </c>
      <c r="AA46" s="7" t="str">
        <f t="shared" si="16"/>
        <v>--</v>
      </c>
      <c r="AB46" s="7" t="str">
        <f t="shared" si="16"/>
        <v>Umbral (full)</v>
      </c>
      <c r="AC46" s="7" t="str">
        <f t="shared" si="16"/>
        <v>--</v>
      </c>
      <c r="AD46" s="7" t="str">
        <f t="shared" si="16"/>
        <v>--</v>
      </c>
      <c r="AE46" s="7" t="str">
        <f t="shared" si="16"/>
        <v>--</v>
      </c>
      <c r="AF46" s="7" t="str">
        <f t="shared" si="16"/>
        <v>Penumbral (Partial)</v>
      </c>
      <c r="AG46" s="7" t="str">
        <f t="shared" si="16"/>
        <v>--</v>
      </c>
      <c r="AH46" s="7" t="str">
        <f t="shared" si="16"/>
        <v>--</v>
      </c>
      <c r="AI46" s="7" t="str">
        <f t="shared" si="16"/>
        <v>--</v>
      </c>
      <c r="AJ46" s="7" t="str">
        <f t="shared" si="16"/>
        <v>Penumbral (Partial)</v>
      </c>
      <c r="AK46" s="7" t="str">
        <f t="shared" si="16"/>
        <v>--</v>
      </c>
      <c r="AL46" s="7" t="str">
        <f t="shared" si="16"/>
        <v>--</v>
      </c>
      <c r="AM46" s="7" t="str">
        <f t="shared" si="16"/>
        <v>Penumbral (Partial)</v>
      </c>
      <c r="AN46" s="7" t="str">
        <f t="shared" si="16"/>
        <v>--</v>
      </c>
      <c r="AO46" s="7" t="str">
        <f t="shared" si="16"/>
        <v>--</v>
      </c>
      <c r="AP46" s="7" t="str">
        <f t="shared" si="16"/>
        <v>--</v>
      </c>
      <c r="AQ46" s="7" t="str">
        <f t="shared" si="16"/>
        <v>--</v>
      </c>
      <c r="AR46" s="7" t="str">
        <f t="shared" si="16"/>
        <v>Penumbral (Partial)</v>
      </c>
      <c r="AS46" s="7" t="str">
        <f t="shared" si="16"/>
        <v>Penumbral (Partial)</v>
      </c>
      <c r="AT46" s="7" t="str">
        <f t="shared" si="16"/>
        <v>Penumbral (Partial)</v>
      </c>
      <c r="AU46" s="7" t="str">
        <f t="shared" si="16"/>
        <v>--</v>
      </c>
      <c r="AV46" s="7" t="str">
        <f t="shared" si="16"/>
        <v>Penumbral (Partial)</v>
      </c>
      <c r="AW46" s="7" t="str">
        <f t="shared" si="16"/>
        <v>Penumbral (Partial)</v>
      </c>
      <c r="AX46" s="7" t="str">
        <f t="shared" si="16"/>
        <v>Umbral (full)</v>
      </c>
      <c r="AY46" s="7" t="str">
        <f t="shared" si="16"/>
        <v>--</v>
      </c>
      <c r="AZ46" s="7" t="str">
        <f t="shared" si="16"/>
        <v>--</v>
      </c>
      <c r="BA46" s="7" t="str">
        <f t="shared" si="16"/>
        <v>--</v>
      </c>
      <c r="BB46" s="7" t="str">
        <f t="shared" si="16"/>
        <v>--</v>
      </c>
      <c r="BC46" s="7" t="str">
        <f t="shared" si="16"/>
        <v>--</v>
      </c>
      <c r="BD46" s="7" t="str">
        <f t="shared" si="16"/>
        <v>--</v>
      </c>
      <c r="BE46" s="7" t="str">
        <f t="shared" si="16"/>
        <v>--</v>
      </c>
      <c r="BF46" s="7" t="str">
        <f t="shared" si="16"/>
        <v>--</v>
      </c>
      <c r="BG46" s="7" t="str">
        <f t="shared" si="16"/>
        <v>--</v>
      </c>
    </row>
    <row r="47" spans="2:59" x14ac:dyDescent="0.25">
      <c r="C47" t="s">
        <v>1146</v>
      </c>
      <c r="E47" s="7">
        <f>IF(E134&gt;0,1,0)</f>
        <v>1</v>
      </c>
      <c r="F47" s="7">
        <f t="shared" ref="F47:BG47" si="17">IF(F134&gt;0,1,0)</f>
        <v>0</v>
      </c>
      <c r="G47" s="7">
        <f t="shared" si="17"/>
        <v>0</v>
      </c>
      <c r="H47" s="7">
        <f t="shared" si="17"/>
        <v>0</v>
      </c>
      <c r="I47" s="7">
        <f t="shared" si="17"/>
        <v>0</v>
      </c>
      <c r="J47" s="7">
        <f t="shared" si="17"/>
        <v>0</v>
      </c>
      <c r="K47" s="7">
        <f t="shared" si="17"/>
        <v>0</v>
      </c>
      <c r="L47" s="7">
        <f t="shared" si="17"/>
        <v>0</v>
      </c>
      <c r="M47" s="7">
        <f t="shared" si="17"/>
        <v>0</v>
      </c>
      <c r="N47" s="7">
        <f t="shared" si="17"/>
        <v>1</v>
      </c>
      <c r="O47" s="7">
        <f t="shared" si="17"/>
        <v>0</v>
      </c>
      <c r="P47" s="7">
        <f t="shared" si="17"/>
        <v>0</v>
      </c>
      <c r="Q47" s="7">
        <f t="shared" si="17"/>
        <v>1</v>
      </c>
      <c r="R47" s="7">
        <f t="shared" si="17"/>
        <v>0</v>
      </c>
      <c r="S47" s="7">
        <f t="shared" si="17"/>
        <v>0</v>
      </c>
      <c r="T47" s="7">
        <f t="shared" si="17"/>
        <v>1</v>
      </c>
      <c r="U47" s="7">
        <f t="shared" si="17"/>
        <v>0</v>
      </c>
      <c r="V47" s="7">
        <f t="shared" si="17"/>
        <v>0</v>
      </c>
      <c r="W47" s="7">
        <f t="shared" si="17"/>
        <v>0</v>
      </c>
      <c r="X47" s="7">
        <f t="shared" si="17"/>
        <v>0</v>
      </c>
      <c r="Y47" s="7">
        <f t="shared" si="17"/>
        <v>0</v>
      </c>
      <c r="Z47" s="7">
        <f t="shared" si="17"/>
        <v>0</v>
      </c>
      <c r="AA47" s="7">
        <f t="shared" si="17"/>
        <v>0</v>
      </c>
      <c r="AB47" s="7">
        <f t="shared" si="17"/>
        <v>1</v>
      </c>
      <c r="AC47" s="7">
        <f t="shared" si="17"/>
        <v>0</v>
      </c>
      <c r="AD47" s="7">
        <f t="shared" si="17"/>
        <v>0</v>
      </c>
      <c r="AE47" s="7">
        <f t="shared" si="17"/>
        <v>0</v>
      </c>
      <c r="AF47" s="7">
        <f t="shared" si="17"/>
        <v>1</v>
      </c>
      <c r="AG47" s="7">
        <f t="shared" si="17"/>
        <v>0</v>
      </c>
      <c r="AH47" s="7">
        <f t="shared" si="17"/>
        <v>0</v>
      </c>
      <c r="AI47" s="7">
        <f t="shared" si="17"/>
        <v>0</v>
      </c>
      <c r="AJ47" s="7">
        <f t="shared" si="17"/>
        <v>1</v>
      </c>
      <c r="AK47" s="7">
        <f t="shared" si="17"/>
        <v>0</v>
      </c>
      <c r="AL47" s="7">
        <f t="shared" si="17"/>
        <v>0</v>
      </c>
      <c r="AM47" s="7">
        <f t="shared" si="17"/>
        <v>1</v>
      </c>
      <c r="AN47" s="7">
        <f t="shared" si="17"/>
        <v>0</v>
      </c>
      <c r="AO47" s="7">
        <f t="shared" si="17"/>
        <v>0</v>
      </c>
      <c r="AP47" s="7">
        <f t="shared" si="17"/>
        <v>0</v>
      </c>
      <c r="AQ47" s="7">
        <f t="shared" si="17"/>
        <v>0</v>
      </c>
      <c r="AR47" s="7">
        <f t="shared" si="17"/>
        <v>1</v>
      </c>
      <c r="AS47" s="7">
        <f t="shared" si="17"/>
        <v>1</v>
      </c>
      <c r="AT47" s="7">
        <f t="shared" si="17"/>
        <v>1</v>
      </c>
      <c r="AU47" s="7">
        <f t="shared" si="17"/>
        <v>0</v>
      </c>
      <c r="AV47" s="7">
        <f t="shared" si="17"/>
        <v>1</v>
      </c>
      <c r="AW47" s="7">
        <f t="shared" si="17"/>
        <v>1</v>
      </c>
      <c r="AX47" s="7">
        <f t="shared" si="17"/>
        <v>1</v>
      </c>
      <c r="AY47" s="7">
        <f t="shared" si="17"/>
        <v>0</v>
      </c>
      <c r="AZ47" s="7">
        <f t="shared" si="17"/>
        <v>0</v>
      </c>
      <c r="BA47" s="7">
        <f t="shared" si="17"/>
        <v>0</v>
      </c>
      <c r="BB47" s="7">
        <f t="shared" si="17"/>
        <v>0</v>
      </c>
      <c r="BC47" s="7">
        <f t="shared" si="17"/>
        <v>0</v>
      </c>
      <c r="BD47" s="7">
        <f t="shared" si="17"/>
        <v>0</v>
      </c>
      <c r="BE47" s="7">
        <f t="shared" si="17"/>
        <v>0</v>
      </c>
      <c r="BF47" s="7">
        <f t="shared" si="17"/>
        <v>0</v>
      </c>
      <c r="BG47" s="7">
        <f t="shared" si="17"/>
        <v>0</v>
      </c>
    </row>
    <row r="48" spans="2:59" x14ac:dyDescent="0.25">
      <c r="C48" t="s">
        <v>1147</v>
      </c>
      <c r="E48" s="7">
        <f>IF(E136&gt;0,1,0)</f>
        <v>1</v>
      </c>
      <c r="F48" s="7">
        <f t="shared" ref="F48:BG48" si="18">IF(F136&gt;0,1,0)</f>
        <v>0</v>
      </c>
      <c r="G48" s="7">
        <f t="shared" si="18"/>
        <v>0</v>
      </c>
      <c r="H48" s="7">
        <f t="shared" si="18"/>
        <v>0</v>
      </c>
      <c r="I48" s="7">
        <f t="shared" si="18"/>
        <v>0</v>
      </c>
      <c r="J48" s="7">
        <f t="shared" si="18"/>
        <v>0</v>
      </c>
      <c r="K48" s="7">
        <f t="shared" si="18"/>
        <v>0</v>
      </c>
      <c r="L48" s="7">
        <f t="shared" si="18"/>
        <v>0</v>
      </c>
      <c r="M48" s="7">
        <f t="shared" si="18"/>
        <v>0</v>
      </c>
      <c r="N48" s="7">
        <f t="shared" si="18"/>
        <v>1</v>
      </c>
      <c r="O48" s="7">
        <f t="shared" si="18"/>
        <v>0</v>
      </c>
      <c r="P48" s="7">
        <f t="shared" si="18"/>
        <v>0</v>
      </c>
      <c r="Q48" s="7">
        <f t="shared" si="18"/>
        <v>1</v>
      </c>
      <c r="R48" s="7">
        <f t="shared" si="18"/>
        <v>0</v>
      </c>
      <c r="S48" s="7">
        <f t="shared" si="18"/>
        <v>0</v>
      </c>
      <c r="T48" s="7">
        <f t="shared" si="18"/>
        <v>1</v>
      </c>
      <c r="U48" s="7">
        <f t="shared" si="18"/>
        <v>0</v>
      </c>
      <c r="V48" s="7">
        <f t="shared" si="18"/>
        <v>0</v>
      </c>
      <c r="W48" s="7">
        <f t="shared" si="18"/>
        <v>0</v>
      </c>
      <c r="X48" s="7">
        <f t="shared" si="18"/>
        <v>0</v>
      </c>
      <c r="Y48" s="7">
        <f t="shared" si="18"/>
        <v>0</v>
      </c>
      <c r="Z48" s="7">
        <f t="shared" si="18"/>
        <v>0</v>
      </c>
      <c r="AA48" s="7">
        <f t="shared" si="18"/>
        <v>0</v>
      </c>
      <c r="AB48" s="7">
        <f t="shared" si="18"/>
        <v>1</v>
      </c>
      <c r="AC48" s="7">
        <f t="shared" si="18"/>
        <v>0</v>
      </c>
      <c r="AD48" s="7">
        <f t="shared" si="18"/>
        <v>0</v>
      </c>
      <c r="AE48" s="7">
        <f t="shared" si="18"/>
        <v>0</v>
      </c>
      <c r="AF48" s="7">
        <f t="shared" si="18"/>
        <v>0</v>
      </c>
      <c r="AG48" s="7">
        <f t="shared" si="18"/>
        <v>0</v>
      </c>
      <c r="AH48" s="7">
        <f t="shared" si="18"/>
        <v>0</v>
      </c>
      <c r="AI48" s="7">
        <f t="shared" si="18"/>
        <v>0</v>
      </c>
      <c r="AJ48" s="7">
        <f t="shared" si="18"/>
        <v>0</v>
      </c>
      <c r="AK48" s="7">
        <f t="shared" si="18"/>
        <v>0</v>
      </c>
      <c r="AL48" s="7">
        <f t="shared" si="18"/>
        <v>0</v>
      </c>
      <c r="AM48" s="7">
        <f t="shared" si="18"/>
        <v>0</v>
      </c>
      <c r="AN48" s="7">
        <f t="shared" si="18"/>
        <v>0</v>
      </c>
      <c r="AO48" s="7">
        <f t="shared" si="18"/>
        <v>0</v>
      </c>
      <c r="AP48" s="7">
        <f t="shared" si="18"/>
        <v>0</v>
      </c>
      <c r="AQ48" s="7">
        <f t="shared" si="18"/>
        <v>0</v>
      </c>
      <c r="AR48" s="7">
        <f t="shared" si="18"/>
        <v>0</v>
      </c>
      <c r="AS48" s="7">
        <f t="shared" si="18"/>
        <v>0</v>
      </c>
      <c r="AT48" s="7">
        <f t="shared" si="18"/>
        <v>0</v>
      </c>
      <c r="AU48" s="7">
        <f t="shared" si="18"/>
        <v>0</v>
      </c>
      <c r="AV48" s="7">
        <f t="shared" si="18"/>
        <v>0</v>
      </c>
      <c r="AW48" s="7">
        <f t="shared" si="18"/>
        <v>0</v>
      </c>
      <c r="AX48" s="7">
        <f t="shared" si="18"/>
        <v>1</v>
      </c>
      <c r="AY48" s="7">
        <f t="shared" si="18"/>
        <v>0</v>
      </c>
      <c r="AZ48" s="7">
        <f t="shared" si="18"/>
        <v>0</v>
      </c>
      <c r="BA48" s="7">
        <f t="shared" si="18"/>
        <v>0</v>
      </c>
      <c r="BB48" s="7">
        <f t="shared" si="18"/>
        <v>0</v>
      </c>
      <c r="BC48" s="7">
        <f t="shared" si="18"/>
        <v>0</v>
      </c>
      <c r="BD48" s="7">
        <f t="shared" si="18"/>
        <v>0</v>
      </c>
      <c r="BE48" s="7">
        <f t="shared" si="18"/>
        <v>0</v>
      </c>
      <c r="BF48" s="7">
        <f t="shared" si="18"/>
        <v>0</v>
      </c>
      <c r="BG48" s="7">
        <f t="shared" si="18"/>
        <v>0</v>
      </c>
    </row>
    <row r="49" spans="1:59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x14ac:dyDescent="0.25">
      <c r="B50">
        <v>380</v>
      </c>
      <c r="C50" t="s">
        <v>1065</v>
      </c>
      <c r="D50" s="7" t="s">
        <v>1066</v>
      </c>
      <c r="E50">
        <f>E11-0.02665*SIN(E12*Deg2Rad)</f>
        <v>350.72553406163274</v>
      </c>
      <c r="F50">
        <f>F11-0.02665*SIN(F12*Deg2Rad)</f>
        <v>17.203575659658782</v>
      </c>
      <c r="G50">
        <f>G11-0.02665*SIN(G12*Deg2Rad)</f>
        <v>160.68890963314118</v>
      </c>
      <c r="H50">
        <f>H11-0.02665*SIN(H12*Deg2Rad)</f>
        <v>152.64892857763536</v>
      </c>
      <c r="I50">
        <f>I11-0.02665*SIN(I12*Deg2Rad)</f>
        <v>293.42343207926854</v>
      </c>
      <c r="J50">
        <f>J11-0.02665*SIN(J12*Deg2Rad)</f>
        <v>86.779514299944921</v>
      </c>
      <c r="K50">
        <f>K11-0.02665*SIN(K12*Deg2Rad)</f>
        <v>301.478117932136</v>
      </c>
      <c r="L50">
        <f>L11-0.02665*SIN(L12*Deg2Rad)</f>
        <v>94.834234838238245</v>
      </c>
      <c r="M50">
        <f>M11-0.02665*SIN(M12*Deg2Rad)</f>
        <v>21.323349957964016</v>
      </c>
      <c r="N50">
        <f>N11-0.02665*SIN(N12*Deg2Rad)</f>
        <v>353.73052714391758</v>
      </c>
      <c r="O50">
        <f>O11-0.02665*SIN(O12*Deg2Rad)</f>
        <v>32.450498988461739</v>
      </c>
      <c r="P50">
        <f>P11-0.02665*SIN(P12*Deg2Rad)</f>
        <v>88.019781855367498</v>
      </c>
      <c r="Q50">
        <f>Q11-0.02665*SIN(Q12*Deg2Rad)</f>
        <v>172.64052563735126</v>
      </c>
      <c r="R50">
        <f>R11-0.02665*SIN(R12*Deg2Rad)</f>
        <v>141.97041047360401</v>
      </c>
      <c r="S50">
        <f>S11-0.02665*SIN(S12*Deg2Rad)</f>
        <v>274.34615407176989</v>
      </c>
      <c r="T50">
        <f>T11-0.02665*SIN(T12*Deg2Rad)</f>
        <v>182.33660790927212</v>
      </c>
      <c r="U50">
        <f>U11-0.02665*SIN(U12*Deg2Rad)</f>
        <v>296.97770196183689</v>
      </c>
      <c r="V50">
        <f>V11-0.02665*SIN(V12*Deg2Rad)</f>
        <v>261.22875387330367</v>
      </c>
      <c r="W50">
        <f>W11-0.02665*SIN(W12*Deg2Rad)</f>
        <v>25.437070257436474</v>
      </c>
      <c r="X50">
        <f>X11-0.02665*SIN(X12*Deg2Rad)</f>
        <v>127.03962565638979</v>
      </c>
      <c r="Y50">
        <f>Y11-0.02665*SIN(Y12*Deg2Rad)</f>
        <v>120.97064221891637</v>
      </c>
      <c r="Z50">
        <f>Z11-0.02665*SIN(Z12*Deg2Rad)</f>
        <v>285.46677618247014</v>
      </c>
      <c r="AA50">
        <f>AA11-0.02665*SIN(AA12*Deg2Rad)</f>
        <v>160.68890963314118</v>
      </c>
      <c r="AB50">
        <f>AB11-0.02665*SIN(AB12*Deg2Rad)</f>
        <v>173.24308872971397</v>
      </c>
      <c r="AC50">
        <f>AC11-0.02665*SIN(AC12*Deg2Rad)</f>
        <v>75.706199942309581</v>
      </c>
      <c r="AD50">
        <f>AD11-0.02665*SIN(AD12*Deg2Rad)</f>
        <v>33.491796325569091</v>
      </c>
      <c r="AE50">
        <f>AE11-0.02665*SIN(AE12*Deg2Rad)</f>
        <v>120.97064221891637</v>
      </c>
      <c r="AF50">
        <f>AF11-0.02665*SIN(AF12*Deg2Rad)</f>
        <v>12.40335371503099</v>
      </c>
      <c r="AG50">
        <f>AG11-0.02665*SIN(AG12*Deg2Rad)</f>
        <v>311.06254040799286</v>
      </c>
      <c r="AH50">
        <f>AH11-0.02665*SIN(AH12*Deg2Rad)</f>
        <v>57.650086808116242</v>
      </c>
      <c r="AI50">
        <f>AI11-0.02665*SIN(AI12*Deg2Rad)</f>
        <v>96.369070444727129</v>
      </c>
      <c r="AJ50">
        <f>AJ11-0.02665*SIN(AJ12*Deg2Rad)</f>
        <v>165.75504591034024</v>
      </c>
      <c r="AK50">
        <f>AK11-0.02665*SIN(AK12*Deg2Rad)</f>
        <v>241.38480520078039</v>
      </c>
      <c r="AL50">
        <f>AL11-0.02665*SIN(AL12*Deg2Rad)</f>
        <v>233.62489432357791</v>
      </c>
      <c r="AM50">
        <f>AM11-0.02665*SIN(AM12*Deg2Rad)</f>
        <v>347.03310550918343</v>
      </c>
      <c r="AN50">
        <f>AN11-0.02665*SIN(AN12*Deg2Rad)</f>
        <v>252.69924833811405</v>
      </c>
      <c r="AO50">
        <f>AO11-0.02665*SIN(AO12*Deg2Rad)</f>
        <v>22.601060811536989</v>
      </c>
      <c r="AP50">
        <f>AP11-0.02665*SIN(AP12*Deg2Rad)</f>
        <v>139.10305262137598</v>
      </c>
      <c r="AQ50">
        <f>AQ11-0.02665*SIN(AQ12*Deg2Rad)</f>
        <v>139.10305262137598</v>
      </c>
      <c r="AR50">
        <f>AR11-0.02665*SIN(AR12*Deg2Rad)</f>
        <v>169.77407294499938</v>
      </c>
      <c r="AS50">
        <f>AS11-0.02665*SIN(AS12*Deg2Rad)</f>
        <v>169.77407294499938</v>
      </c>
      <c r="AT50">
        <f>AT11-0.02665*SIN(AT12*Deg2Rad)</f>
        <v>169.77407294499938</v>
      </c>
      <c r="AU50">
        <f>AU11-0.02665*SIN(AU12*Deg2Rad)</f>
        <v>150.14155506068988</v>
      </c>
      <c r="AV50">
        <f>AV11-0.02665*SIN(AV12*Deg2Rad)</f>
        <v>351.26164562153303</v>
      </c>
      <c r="AW50">
        <f>AW11-0.02665*SIN(AW12*Deg2Rad)</f>
        <v>341.6484280008022</v>
      </c>
      <c r="AX50">
        <f>AX11-0.02665*SIN(AX12*Deg2Rad)</f>
        <v>166.70555239316266</v>
      </c>
      <c r="AY50">
        <f>AY11-0.02665*SIN(AY12*Deg2Rad)</f>
        <v>200.44510700450311</v>
      </c>
      <c r="AZ50">
        <f>AZ11-0.02665*SIN(AZ12*Deg2Rad)</f>
        <v>200.44510700450311</v>
      </c>
      <c r="BA50">
        <f>BA11-0.02665*SIN(BA12*Deg2Rad)</f>
        <v>231.11615440378247</v>
      </c>
      <c r="BB50">
        <f>BB11-0.02665*SIN(BB12*Deg2Rad)</f>
        <v>231.11615440378247</v>
      </c>
      <c r="BC50">
        <f>BC11-0.02665*SIN(BC12*Deg2Rad)</f>
        <v>231.11615440378247</v>
      </c>
      <c r="BD50">
        <f>BD11-0.02665*SIN(BD12*Deg2Rad)</f>
        <v>231.11615440378247</v>
      </c>
      <c r="BE50">
        <f>BE11-0.02665*SIN(BE12*Deg2Rad)</f>
        <v>231.11615440378247</v>
      </c>
      <c r="BF50">
        <f>BF11-0.02665*SIN(BF12*Deg2Rad)</f>
        <v>231.11615440378247</v>
      </c>
      <c r="BG50">
        <f>BG11-0.02665*SIN(BG12*Deg2Rad)</f>
        <v>120.97064221891637</v>
      </c>
    </row>
    <row r="51" spans="1:59" x14ac:dyDescent="0.25">
      <c r="B51">
        <v>380</v>
      </c>
      <c r="C51" t="s">
        <v>1067</v>
      </c>
      <c r="D51" s="7" t="s">
        <v>1070</v>
      </c>
      <c r="E51">
        <f>299.77 + 0.107408*E6 - 0.009173 *E7^2</f>
        <v>243.70139012686207</v>
      </c>
      <c r="F51">
        <f t="shared" ref="F51:BG51" si="19">299.77 + 0.107408*F6 - 0.009173 *F7^2</f>
        <v>-1917.1018368014218</v>
      </c>
      <c r="G51">
        <f t="shared" si="19"/>
        <v>299.77</v>
      </c>
      <c r="H51">
        <f t="shared" si="19"/>
        <v>298.48110313654473</v>
      </c>
      <c r="I51">
        <f t="shared" si="19"/>
        <v>282.58456649684996</v>
      </c>
      <c r="J51">
        <f t="shared" si="19"/>
        <v>283.12161594089145</v>
      </c>
      <c r="K51">
        <f t="shared" si="19"/>
        <v>283.87348465886726</v>
      </c>
      <c r="L51">
        <f t="shared" si="19"/>
        <v>284.41053338336269</v>
      </c>
      <c r="M51">
        <f t="shared" si="19"/>
        <v>166.89712877493884</v>
      </c>
      <c r="N51">
        <f t="shared" si="19"/>
        <v>-231.72412026841309</v>
      </c>
      <c r="O51">
        <f t="shared" si="19"/>
        <v>-230.32704603637677</v>
      </c>
      <c r="P51">
        <f t="shared" si="19"/>
        <v>-1246.1045445499763</v>
      </c>
      <c r="Q51">
        <f t="shared" si="19"/>
        <v>-2523.2831542801696</v>
      </c>
      <c r="R51">
        <f t="shared" si="19"/>
        <v>-2523.3908770275857</v>
      </c>
      <c r="S51">
        <f t="shared" si="19"/>
        <v>-3693.2121998492494</v>
      </c>
      <c r="T51">
        <f t="shared" si="19"/>
        <v>-3693.5357586250971</v>
      </c>
      <c r="U51">
        <f t="shared" si="19"/>
        <v>-3694.3985825550249</v>
      </c>
      <c r="V51">
        <f t="shared" si="19"/>
        <v>-8658.2447965761512</v>
      </c>
      <c r="W51">
        <f t="shared" si="19"/>
        <v>282.90679619925208</v>
      </c>
      <c r="X51">
        <f t="shared" si="19"/>
        <v>289.56618588414341</v>
      </c>
      <c r="Y51">
        <f t="shared" si="19"/>
        <v>269.37305576899291</v>
      </c>
      <c r="Z51">
        <f t="shared" si="19"/>
        <v>358.19817750358573</v>
      </c>
      <c r="AA51">
        <f t="shared" si="19"/>
        <v>299.77</v>
      </c>
      <c r="AB51">
        <f t="shared" si="19"/>
        <v>239.29739538515781</v>
      </c>
      <c r="AC51">
        <f t="shared" si="19"/>
        <v>271.73610353171551</v>
      </c>
      <c r="AD51">
        <f t="shared" si="19"/>
        <v>284.1957139295418</v>
      </c>
      <c r="AE51">
        <f t="shared" si="19"/>
        <v>269.37305576899291</v>
      </c>
      <c r="AF51">
        <f t="shared" si="19"/>
        <v>290.42545861463503</v>
      </c>
      <c r="AG51">
        <f t="shared" si="19"/>
        <v>290.21064050396677</v>
      </c>
      <c r="AH51">
        <f t="shared" si="19"/>
        <v>288.0624567589482</v>
      </c>
      <c r="AI51">
        <f t="shared" si="19"/>
        <v>289.45877673886599</v>
      </c>
      <c r="AJ51">
        <f t="shared" si="19"/>
        <v>290.96250368143825</v>
      </c>
      <c r="AK51">
        <f t="shared" si="19"/>
        <v>57.964209163489755</v>
      </c>
      <c r="AL51">
        <f t="shared" si="19"/>
        <v>287.41800070003285</v>
      </c>
      <c r="AM51">
        <f t="shared" si="19"/>
        <v>-1531.8805541040913</v>
      </c>
      <c r="AN51">
        <f t="shared" si="19"/>
        <v>300.09222394603404</v>
      </c>
      <c r="AO51">
        <f t="shared" si="19"/>
        <v>-2359.4507364745728</v>
      </c>
      <c r="AP51">
        <f t="shared" si="19"/>
        <v>329.95117453272542</v>
      </c>
      <c r="AQ51">
        <f t="shared" si="19"/>
        <v>329.95117453272542</v>
      </c>
      <c r="AR51">
        <f t="shared" si="19"/>
        <v>330.05857915685539</v>
      </c>
      <c r="AS51">
        <f t="shared" si="19"/>
        <v>330.05857915685539</v>
      </c>
      <c r="AT51">
        <f t="shared" si="19"/>
        <v>330.05857915685539</v>
      </c>
      <c r="AU51">
        <f t="shared" si="19"/>
        <v>264.4321189634976</v>
      </c>
      <c r="AV51">
        <f t="shared" si="19"/>
        <v>296.65516295718169</v>
      </c>
      <c r="AW51">
        <f t="shared" si="19"/>
        <v>213.41009194952247</v>
      </c>
      <c r="AX51">
        <f t="shared" si="19"/>
        <v>243.05690435069624</v>
      </c>
      <c r="AY51">
        <f t="shared" si="19"/>
        <v>330.16598376899287</v>
      </c>
      <c r="AZ51">
        <f t="shared" si="19"/>
        <v>330.16598376899287</v>
      </c>
      <c r="BA51">
        <f t="shared" si="19"/>
        <v>330.27338836913793</v>
      </c>
      <c r="BB51">
        <f t="shared" si="19"/>
        <v>330.27338836913793</v>
      </c>
      <c r="BC51">
        <f t="shared" si="19"/>
        <v>330.27338836913793</v>
      </c>
      <c r="BD51">
        <f t="shared" si="19"/>
        <v>330.27338836913793</v>
      </c>
      <c r="BE51">
        <f t="shared" si="19"/>
        <v>330.27338836913793</v>
      </c>
      <c r="BF51">
        <f t="shared" si="19"/>
        <v>330.27338836913793</v>
      </c>
      <c r="BG51">
        <f t="shared" si="19"/>
        <v>269.37305576899291</v>
      </c>
    </row>
    <row r="52" spans="1:59" x14ac:dyDescent="0.25">
      <c r="C52" t="s">
        <v>1071</v>
      </c>
    </row>
    <row r="53" spans="1:59" x14ac:dyDescent="0.25">
      <c r="A53">
        <v>54.1</v>
      </c>
      <c r="B53" s="5">
        <v>380</v>
      </c>
      <c r="C53" s="5" t="s">
        <v>1138</v>
      </c>
      <c r="E53" s="304">
        <f>-0.4065 * SIN(E10*Deg2Rad)</f>
        <v>-0.28807031782942671</v>
      </c>
      <c r="F53" s="304">
        <f>-0.4065 * SIN(F10*Deg2Rad)</f>
        <v>-0.27490809368927854</v>
      </c>
      <c r="G53" s="304">
        <f>-0.4065 * SIN(G10*Deg2Rad)</f>
        <v>0.14940710500592508</v>
      </c>
      <c r="H53" s="304">
        <f>-0.4065 * SIN(H10*Deg2Rad)</f>
        <v>0.38607730017014702</v>
      </c>
      <c r="I53" s="304">
        <f>-0.4065 * SIN(I10*Deg2Rad)</f>
        <v>-0.20847950135213589</v>
      </c>
      <c r="J53" s="304">
        <f>-0.4065 * SIN(J10*Deg2Rad)</f>
        <v>-0.13943445440569796</v>
      </c>
      <c r="K53" s="304">
        <f>-0.4065 * SIN(K10*Deg2Rad)</f>
        <v>0.13463508030056501</v>
      </c>
      <c r="L53" s="304">
        <f>-0.4065 * SIN(L10*Deg2Rad)</f>
        <v>-0.38260555140507296</v>
      </c>
      <c r="M53" s="304">
        <f>-0.4065 * SIN(M10*Deg2Rad)</f>
        <v>0.32875650270709722</v>
      </c>
      <c r="N53" s="304">
        <f>-0.4065 * SIN(N10*Deg2Rad)</f>
        <v>0.39198612515334691</v>
      </c>
      <c r="O53" s="304">
        <f>-0.4065 * SIN(O10*Deg2Rad)</f>
        <v>0.40146866952976445</v>
      </c>
      <c r="P53" s="304">
        <f>-0.4065 * SIN(P10*Deg2Rad)</f>
        <v>-0.40649249852100139</v>
      </c>
      <c r="Q53" s="304">
        <f>-0.4065 * SIN(Q10*Deg2Rad)</f>
        <v>-0.13360537489557672</v>
      </c>
      <c r="R53" s="304">
        <f>-0.4065 * SIN(R10*Deg2Rad)</f>
        <v>-0.28746300323269003</v>
      </c>
      <c r="S53" s="304">
        <f>-0.4065 * SIN(S10*Deg2Rad)</f>
        <v>-0.19321830805776247</v>
      </c>
      <c r="T53" s="304">
        <f>-0.4065 * SIN(T10*Deg2Rad)</f>
        <v>0.30711054037668239</v>
      </c>
      <c r="U53" s="304">
        <f>-0.4065 * SIN(U10*Deg2Rad)</f>
        <v>-0.39373010761806226</v>
      </c>
      <c r="V53" s="304">
        <f>-0.4065 * SIN(V10*Deg2Rad)</f>
        <v>-0.40103446049384817</v>
      </c>
      <c r="W53" s="304">
        <f>-0.4065 * SIN(W10*Deg2Rad)</f>
        <v>-0.38592890312574879</v>
      </c>
      <c r="X53" s="304">
        <f>-0.4065 * SIN(X10*Deg2Rad)</f>
        <v>0.40643245700932323</v>
      </c>
      <c r="Y53" s="304">
        <f>-0.4065 * SIN(Y10*Deg2Rad)</f>
        <v>-0.40471446643321357</v>
      </c>
      <c r="Z53" s="304">
        <f>-0.4065 * SIN(Z10*Deg2Rad)</f>
        <v>0.17806506092130917</v>
      </c>
      <c r="AA53" s="304">
        <f>-0.4065 * SIN(AA10*Deg2Rad)</f>
        <v>0.14940710500592508</v>
      </c>
      <c r="AB53" s="304">
        <f>-0.4065 * SIN(AB10*Deg2Rad)</f>
        <v>-0.37315726482139605</v>
      </c>
      <c r="AC53" s="304">
        <f>-0.4065 * SIN(AC10*Deg2Rad)</f>
        <v>0.33958158779931402</v>
      </c>
      <c r="AD53" s="304">
        <f>-0.4065 * SIN(AD10*Deg2Rad)</f>
        <v>-0.34514010025733899</v>
      </c>
      <c r="AE53" s="304">
        <f>-0.4065 * SIN(AE10*Deg2Rad)</f>
        <v>-0.40471446643321357</v>
      </c>
      <c r="AF53" s="304">
        <f>-0.4065 * SIN(AF10*Deg2Rad)</f>
        <v>-0.36692845219966275</v>
      </c>
      <c r="AG53" s="304">
        <f>-0.4065 * SIN(AG10*Deg2Rad)</f>
        <v>-0.36491425431940366</v>
      </c>
      <c r="AH53" s="304">
        <f>-0.4065 * SIN(AH10*Deg2Rad)</f>
        <v>0.40611878704591148</v>
      </c>
      <c r="AI53" s="304">
        <f>-0.4065 * SIN(AI10*Deg2Rad)</f>
        <v>0.36263944554825672</v>
      </c>
      <c r="AJ53" s="304">
        <f>-0.4065 * SIN(AJ10*Deg2Rad)</f>
        <v>0.36713167479908859</v>
      </c>
      <c r="AK53" s="304">
        <f>-0.4065 * SIN(AK10*Deg2Rad)</f>
        <v>-0.3005575637899548</v>
      </c>
      <c r="AL53" s="304">
        <f>-0.4065 * SIN(AL10*Deg2Rad)</f>
        <v>-0.37523903452619967</v>
      </c>
      <c r="AM53" s="304">
        <f>-0.4065 * SIN(AM10*Deg2Rad)</f>
        <v>0.39976440590738777</v>
      </c>
      <c r="AN53" s="304">
        <f>-0.4065 * SIN(AN10*Deg2Rad)</f>
        <v>0.40147853097693087</v>
      </c>
      <c r="AO53" s="304">
        <f>-0.4065 * SIN(AO10*Deg2Rad)</f>
        <v>5.5499088989821449E-2</v>
      </c>
      <c r="AP53" s="304">
        <f>-0.4065 * SIN(AP10*Deg2Rad)</f>
        <v>0.39463655680635989</v>
      </c>
      <c r="AQ53" s="304">
        <f>-0.4065 * SIN(AQ10*Deg2Rad)</f>
        <v>0.39463655680635989</v>
      </c>
      <c r="AR53" s="304">
        <f>-0.4065 * SIN(AR10*Deg2Rad)</f>
        <v>0.39770439374579453</v>
      </c>
      <c r="AS53" s="304">
        <f>-0.4065 * SIN(AS10*Deg2Rad)</f>
        <v>0.39770439374579453</v>
      </c>
      <c r="AT53" s="304">
        <f>-0.4065 * SIN(AT10*Deg2Rad)</f>
        <v>0.39770439374579453</v>
      </c>
      <c r="AU53" s="304">
        <f>-0.4065 * SIN(AU10*Deg2Rad)</f>
        <v>8.5949617178009863E-2</v>
      </c>
      <c r="AV53" s="304">
        <f>-0.4065 * SIN(AV10*Deg2Rad)</f>
        <v>-5.0432797576932892E-2</v>
      </c>
      <c r="AW53" s="304">
        <f>-0.4065 * SIN(AW10*Deg2Rad)</f>
        <v>0.2345928484614537</v>
      </c>
      <c r="AX53" s="304">
        <f>-0.4065 * SIN(AX10*Deg2Rad)</f>
        <v>0.38252671372448649</v>
      </c>
      <c r="AY53" s="304">
        <f>-0.4065 * SIN(AY10*Deg2Rad)</f>
        <v>0.32138252562287078</v>
      </c>
      <c r="AZ53" s="304">
        <f>-0.4065 * SIN(AZ10*Deg2Rad)</f>
        <v>0.32138252562287078</v>
      </c>
      <c r="BA53" s="304">
        <f>-0.4065 * SIN(BA10*Deg2Rad)</f>
        <v>0.18090631481263353</v>
      </c>
      <c r="BB53" s="304">
        <f>-0.4065 * SIN(BB10*Deg2Rad)</f>
        <v>0.18090631481263353</v>
      </c>
      <c r="BC53" s="304">
        <f>-0.4065 * SIN(BC10*Deg2Rad)</f>
        <v>0.18090631481263353</v>
      </c>
      <c r="BD53" s="304">
        <f>-0.4065 * SIN(BD10*Deg2Rad)</f>
        <v>0.18090631481263353</v>
      </c>
      <c r="BE53" s="304">
        <f>-0.4065 * SIN(BE10*Deg2Rad)</f>
        <v>0.18090631481263353</v>
      </c>
      <c r="BF53" s="304">
        <f>-0.4065 * SIN(BF10*Deg2Rad)</f>
        <v>0.18090631481263353</v>
      </c>
      <c r="BG53" s="304">
        <f>-0.4065 * SIN(BG10*Deg2Rad)</f>
        <v>-0.40471446643321357</v>
      </c>
    </row>
    <row r="54" spans="1:59" x14ac:dyDescent="0.25">
      <c r="C54" t="s">
        <v>1072</v>
      </c>
      <c r="E54" s="304">
        <f>0.1727 *E8* SIN(E9*Deg2Rad)</f>
        <v>-0.16290913761967621</v>
      </c>
      <c r="F54" s="304">
        <f>0.1727 *F8* SIN(F9*Deg2Rad)</f>
        <v>0.17925628304107247</v>
      </c>
      <c r="G54" s="304">
        <f>0.1727 *G8* SIN(G9*Deg2Rad)</f>
        <v>7.6938691123980101E-3</v>
      </c>
      <c r="H54" s="304">
        <f>0.1727 *H8* SIN(H9*Deg2Rad)</f>
        <v>3.9698641993623683E-2</v>
      </c>
      <c r="I54" s="304">
        <f>0.1727 *I8* SIN(I9*Deg2Rad)</f>
        <v>7.4907313524943633E-2</v>
      </c>
      <c r="J54" s="304">
        <f>0.1727 *J8* SIN(J9*Deg2Rad)</f>
        <v>2.6360115265473601E-2</v>
      </c>
      <c r="K54" s="304">
        <f>0.1727 *K8* SIN(K9*Deg2Rad)</f>
        <v>4.4596768317254072E-2</v>
      </c>
      <c r="L54" s="304">
        <f>0.1727 *L8* SIN(L9*Deg2Rad)</f>
        <v>5.7701040675174051E-2</v>
      </c>
      <c r="M54" s="304">
        <f>0.1727 *M8* SIN(M9*Deg2Rad)</f>
        <v>-2.3352528501628727E-3</v>
      </c>
      <c r="N54" s="304">
        <f>0.1727 *N8* SIN(N9*Deg2Rad)</f>
        <v>5.4921208183852911E-2</v>
      </c>
      <c r="O54" s="304">
        <f>0.1727 *O8* SIN(O9*Deg2Rad)</f>
        <v>0.10429076831048494</v>
      </c>
      <c r="P54" s="304">
        <f>0.1727 *P8* SIN(P9*Deg2Rad)</f>
        <v>0.15617988956208267</v>
      </c>
      <c r="Q54" s="304">
        <f>0.1727 *Q8* SIN(Q9*Deg2Rad)</f>
        <v>0.14380719165359782</v>
      </c>
      <c r="R54" s="304">
        <f>0.1727 *R8* SIN(R9*Deg2Rad)</f>
        <v>7.1909986892710762E-2</v>
      </c>
      <c r="S54" s="304">
        <f>0.1727 *S8* SIN(S9*Deg2Rad)</f>
        <v>-0.1257131855328536</v>
      </c>
      <c r="T54" s="304">
        <f>0.1727 *T8* SIN(T9*Deg2Rad)</f>
        <v>0.1291218779493197</v>
      </c>
      <c r="U54" s="304">
        <f>0.1727 *U8* SIN(U9*Deg2Rad)</f>
        <v>-0.18311803595101725</v>
      </c>
      <c r="V54" s="304">
        <f>0.1727 *V8* SIN(V9*Deg2Rad)</f>
        <v>0.19472069245813628</v>
      </c>
      <c r="W54" s="304">
        <f>0.1727 *W8* SIN(W9*Deg2Rad)</f>
        <v>0.1590073297251543</v>
      </c>
      <c r="X54" s="304">
        <f>0.1727 *X8* SIN(X9*Deg2Rad)</f>
        <v>0.15315435552638926</v>
      </c>
      <c r="Y54" s="304">
        <f>0.1727 *Y8* SIN(Y9*Deg2Rad)</f>
        <v>0.12375010610007893</v>
      </c>
      <c r="Z54" s="304">
        <f>0.1727 *Z8* SIN(Z9*Deg2Rad)</f>
        <v>-1.243169365506515E-2</v>
      </c>
      <c r="AA54" s="304">
        <f>0.1727 *AA8* SIN(AA9*Deg2Rad)</f>
        <v>7.6938691123980101E-3</v>
      </c>
      <c r="AB54" s="304">
        <f>0.1727 *AB8* SIN(AB9*Deg2Rad)</f>
        <v>1.1345444518291741E-2</v>
      </c>
      <c r="AC54" s="304">
        <f>0.1727 *AC8* SIN(AC9*Deg2Rad)</f>
        <v>-9.6485546536182701E-2</v>
      </c>
      <c r="AD54" s="304">
        <f>0.1727 *AD8* SIN(AD9*Deg2Rad)</f>
        <v>0.16880048914942475</v>
      </c>
      <c r="AE54" s="304">
        <f>0.1727 *AE8* SIN(AE9*Deg2Rad)</f>
        <v>0.12375010610007893</v>
      </c>
      <c r="AF54" s="304">
        <f>0.1727 *AF8* SIN(AF9*Deg2Rad)</f>
        <v>-2.8843609166794595E-2</v>
      </c>
      <c r="AG54" s="304">
        <f>0.1727 *AG8* SIN(AG9*Deg2Rad)</f>
        <v>-0.15995337259444656</v>
      </c>
      <c r="AH54" s="304">
        <f>0.1727 *AH8* SIN(AH9*Deg2Rad)</f>
        <v>0.16239245438829397</v>
      </c>
      <c r="AI54" s="304">
        <f>0.1727 *AI8* SIN(AI9*Deg2Rad)</f>
        <v>0.17266962722084067</v>
      </c>
      <c r="AJ54" s="304">
        <f>0.1727 *AJ8* SIN(AJ9*Deg2Rad)</f>
        <v>0.12017354465625728</v>
      </c>
      <c r="AK54" s="304">
        <f>0.1727 *AK8* SIN(AK9*Deg2Rad)</f>
        <v>1.932471323140773E-2</v>
      </c>
      <c r="AL54" s="304">
        <f>0.1727 *AL8* SIN(AL9*Deg2Rad)</f>
        <v>-0.16719083009693972</v>
      </c>
      <c r="AM54" s="304">
        <f>0.1727 *AM8* SIN(AM9*Deg2Rad)</f>
        <v>-0.10130534245989561</v>
      </c>
      <c r="AN54" s="304">
        <f>0.1727 *AN8* SIN(AN9*Deg2Rad)</f>
        <v>0.17269849791237954</v>
      </c>
      <c r="AO54" s="304">
        <f>0.1727 *AO8* SIN(AO9*Deg2Rad)</f>
        <v>0.12035813845675505</v>
      </c>
      <c r="AP54" s="304">
        <f>0.1727 *AP8* SIN(AP9*Deg2Rad)</f>
        <v>-0.17055031210385732</v>
      </c>
      <c r="AQ54" s="304">
        <f>0.1727 *AQ8* SIN(AQ9*Deg2Rad)</f>
        <v>-0.17055031210385732</v>
      </c>
      <c r="AR54" s="304">
        <f>0.1727 *AR8* SIN(AR9*Deg2Rad)</f>
        <v>-0.16191804533497281</v>
      </c>
      <c r="AS54" s="304">
        <f>0.1727 *AS8* SIN(AS9*Deg2Rad)</f>
        <v>-0.16191804533497281</v>
      </c>
      <c r="AT54" s="304">
        <f>0.1727 *AT8* SIN(AT9*Deg2Rad)</f>
        <v>-0.16191804533497281</v>
      </c>
      <c r="AU54" s="304">
        <f>0.1727 *AU8* SIN(AU9*Deg2Rad)</f>
        <v>9.4397501788018937E-2</v>
      </c>
      <c r="AV54" s="304">
        <f>0.1727 *AV8* SIN(AV9*Deg2Rad)</f>
        <v>-0.14725658002540029</v>
      </c>
      <c r="AW54" s="304">
        <f>0.1727 *AW8* SIN(AW9*Deg2Rad)</f>
        <v>5.5741502515795427E-3</v>
      </c>
      <c r="AX54" s="304">
        <f>0.1727 *AX8* SIN(AX9*Deg2Rad)</f>
        <v>0.15678268239212373</v>
      </c>
      <c r="AY54" s="304">
        <f>0.1727 *AY8* SIN(AY9*Deg2Rad)</f>
        <v>-0.11239406169144225</v>
      </c>
      <c r="AZ54" s="304">
        <f>0.1727 *AZ8* SIN(AZ9*Deg2Rad)</f>
        <v>-0.11239406169144225</v>
      </c>
      <c r="BA54" s="304">
        <f>0.1727 *BA8* SIN(BA9*Deg2Rad)</f>
        <v>-3.448561103051543E-2</v>
      </c>
      <c r="BB54" s="304">
        <f>0.1727 *BB8* SIN(BB9*Deg2Rad)</f>
        <v>-3.448561103051543E-2</v>
      </c>
      <c r="BC54" s="304">
        <f>0.1727 *BC8* SIN(BC9*Deg2Rad)</f>
        <v>-3.448561103051543E-2</v>
      </c>
      <c r="BD54" s="304">
        <f>0.1727 *BD8* SIN(BD9*Deg2Rad)</f>
        <v>-3.448561103051543E-2</v>
      </c>
      <c r="BE54" s="304">
        <f>0.1727 *BE8* SIN(BE9*Deg2Rad)</f>
        <v>-3.448561103051543E-2</v>
      </c>
      <c r="BF54" s="304">
        <f>0.1727 *BF8* SIN(BF9*Deg2Rad)</f>
        <v>-3.448561103051543E-2</v>
      </c>
      <c r="BG54" s="304">
        <f>0.1727 *BG8* SIN(BG9*Deg2Rad)</f>
        <v>0.12375010610007893</v>
      </c>
    </row>
    <row r="55" spans="1:59" x14ac:dyDescent="0.25">
      <c r="C55" t="s">
        <v>1075</v>
      </c>
      <c r="E55" s="304">
        <f>0.0161* SIN(2*E10*Deg2Rad)</f>
        <v>1.6099844279776426E-2</v>
      </c>
      <c r="F55" s="304">
        <f>0.0161* SIN(2*F10*Deg2Rad)</f>
        <v>1.6041335837492628E-2</v>
      </c>
      <c r="G55" s="304">
        <f>0.0161* SIN(2*G10*Deg2Rad)</f>
        <v>1.1006574366109164E-2</v>
      </c>
      <c r="H55" s="304">
        <f>0.0161* SIN(2*H10*Deg2Rad)</f>
        <v>9.571641662237446E-3</v>
      </c>
      <c r="I55" s="304">
        <f>0.0161* SIN(2*I10*Deg2Rad)</f>
        <v>1.4176973460329948E-2</v>
      </c>
      <c r="J55" s="304">
        <f>0.0161* SIN(2*J10*Deg2Rad)</f>
        <v>-1.0374903284030009E-2</v>
      </c>
      <c r="K55" s="304">
        <f>0.0161* SIN(2*K10*Deg2Rad)</f>
        <v>-1.0062883292786418E-2</v>
      </c>
      <c r="L55" s="304">
        <f>0.0161* SIN(2*L10*Deg2Rad)</f>
        <v>-1.0237692825981904E-2</v>
      </c>
      <c r="M55" s="304">
        <f>0.0161* SIN(2*M10*Deg2Rad)</f>
        <v>-1.5316537461439479E-2</v>
      </c>
      <c r="N55" s="304">
        <f>0.0161* SIN(2*N10*Deg2Rad)</f>
        <v>-8.2230104214687152E-3</v>
      </c>
      <c r="O55" s="304">
        <f>0.0161* SIN(2*O10*Deg2Rad)</f>
        <v>4.9879847010143637E-3</v>
      </c>
      <c r="P55" s="304">
        <f>0.0161* SIN(2*P10*Deg2Rad)</f>
        <v>1.9561584291416016E-4</v>
      </c>
      <c r="Q55" s="304">
        <f>0.0161* SIN(2*Q10*Deg2Rad)</f>
        <v>-9.9952909966679552E-3</v>
      </c>
      <c r="R55" s="304">
        <f>0.0161* SIN(2*R10*Deg2Rad)</f>
        <v>-1.6099999773683815E-2</v>
      </c>
      <c r="S55" s="304">
        <f>0.0161* SIN(2*S10*Deg2Rad)</f>
        <v>1.3465841207520687E-2</v>
      </c>
      <c r="T55" s="304">
        <f>0.0161* SIN(2*T10*Deg2Rad)</f>
        <v>-1.5937870244488422E-2</v>
      </c>
      <c r="U55" s="304">
        <f>0.0161* SIN(2*U10*Deg2Rad)</f>
        <v>-7.7559403367080827E-3</v>
      </c>
      <c r="V55" s="304">
        <f>0.0161* SIN(2*V10*Deg2Rad)</f>
        <v>5.1917469405204841E-3</v>
      </c>
      <c r="W55" s="304">
        <f>0.0161* SIN(2*W10*Deg2Rad)</f>
        <v>-9.6017624117725447E-3</v>
      </c>
      <c r="X55" s="304">
        <f>0.0161* SIN(2*X10*Deg2Rad)</f>
        <v>5.8686813512277033E-4</v>
      </c>
      <c r="Y55" s="304">
        <f>0.0161* SIN(2*Y10*Deg2Rad)</f>
        <v>-3.0014793046287676E-3</v>
      </c>
      <c r="Z55" s="304">
        <f>0.0161* SIN(2*Z10*Deg2Rad)</f>
        <v>1.2679764180339103E-2</v>
      </c>
      <c r="AA55" s="304">
        <f>0.0161* SIN(2*AA10*Deg2Rad)</f>
        <v>1.1006574366109164E-2</v>
      </c>
      <c r="AB55" s="304">
        <f>0.0161* SIN(2*AB10*Deg2Rad)</f>
        <v>1.1724090157820111E-2</v>
      </c>
      <c r="AC55" s="304">
        <f>0.0161* SIN(2*AC10*Deg2Rad)</f>
        <v>-1.4785801842589524E-2</v>
      </c>
      <c r="AD55" s="304">
        <f>0.0161* SIN(2*AD10*Deg2Rad)</f>
        <v>1.4443667570594686E-2</v>
      </c>
      <c r="AE55" s="304">
        <f>0.0161* SIN(2*AE10*Deg2Rad)</f>
        <v>-3.0014793046287676E-3</v>
      </c>
      <c r="AF55" s="304">
        <f>0.0161* SIN(2*AF10*Deg2Rad)</f>
        <v>-1.2508860573009114E-2</v>
      </c>
      <c r="AG55" s="304">
        <f>0.0161* SIN(2*AG10*Deg2Rad)</f>
        <v>1.2736252966967331E-2</v>
      </c>
      <c r="AH55" s="304">
        <f>0.0161* SIN(2*AH10*Deg2Rad)</f>
        <v>1.3928845032226576E-3</v>
      </c>
      <c r="AI55" s="304">
        <f>0.0161* SIN(2*AI10*Deg2Rad)</f>
        <v>1.2979244540458434E-2</v>
      </c>
      <c r="AJ55" s="304">
        <f>0.0161* SIN(2*AJ10*Deg2Rad)</f>
        <v>1.2485249296585748E-2</v>
      </c>
      <c r="AK55" s="304">
        <f>0.0161* SIN(2*AK10*Deg2Rad)</f>
        <v>1.6029677973236643E-2</v>
      </c>
      <c r="AL55" s="304">
        <f>0.0161* SIN(2*AL10*Deg2Rad)</f>
        <v>-1.1430753886793137E-2</v>
      </c>
      <c r="AM55" s="304">
        <f>0.0161* SIN(2*AM10*Deg2Rad)</f>
        <v>-5.7407097852832769E-3</v>
      </c>
      <c r="AN55" s="304">
        <f>0.0161* SIN(2*AN10*Deg2Rad)</f>
        <v>-4.9832468713026778E-3</v>
      </c>
      <c r="AO55" s="304">
        <f>0.0161* SIN(2*AO10*Deg2Rad)</f>
        <v>4.3550716810796877E-3</v>
      </c>
      <c r="AP55" s="304">
        <f>0.0161* SIN(2*AP10*Deg2Rad)</f>
        <v>7.4970556985398257E-3</v>
      </c>
      <c r="AQ55" s="304">
        <f>0.0161* SIN(2*AQ10*Deg2Rad)</f>
        <v>7.4970556985398257E-3</v>
      </c>
      <c r="AR55" s="304">
        <f>0.0161* SIN(2*AR10*Deg2Rad)</f>
        <v>-6.5179537023330189E-3</v>
      </c>
      <c r="AS55" s="304">
        <f>0.0161* SIN(2*AS10*Deg2Rad)</f>
        <v>-6.5179537023330189E-3</v>
      </c>
      <c r="AT55" s="304">
        <f>0.0161* SIN(2*AT10*Deg2Rad)</f>
        <v>-6.5179537023330189E-3</v>
      </c>
      <c r="AU55" s="304">
        <f>0.0161* SIN(2*AU10*Deg2Rad)</f>
        <v>-6.6543826476420107E-3</v>
      </c>
      <c r="AV55" s="304">
        <f>0.0161* SIN(2*AV10*Deg2Rad)</f>
        <v>-3.9640578489488418E-3</v>
      </c>
      <c r="AW55" s="304">
        <f>0.0161* SIN(2*AW10*Deg2Rad)</f>
        <v>-1.5175988145338567E-2</v>
      </c>
      <c r="AX55" s="304">
        <f>0.0161* SIN(2*AX10*Deg2Rad)</f>
        <v>1.0251942947512584E-2</v>
      </c>
      <c r="AY55" s="304">
        <f>0.0161* SIN(2*AY10*Deg2Rad)</f>
        <v>-1.5588238512476702E-2</v>
      </c>
      <c r="AZ55" s="304">
        <f>0.0161* SIN(2*AZ10*Deg2Rad)</f>
        <v>-1.5588238512476702E-2</v>
      </c>
      <c r="BA55" s="304">
        <f>0.0161* SIN(2*BA10*Deg2Rad)</f>
        <v>-1.2832795500787548E-2</v>
      </c>
      <c r="BB55" s="304">
        <f>0.0161* SIN(2*BB10*Deg2Rad)</f>
        <v>-1.2832795500787548E-2</v>
      </c>
      <c r="BC55" s="304">
        <f>0.0161* SIN(2*BC10*Deg2Rad)</f>
        <v>-1.2832795500787548E-2</v>
      </c>
      <c r="BD55" s="304">
        <f>0.0161* SIN(2*BD10*Deg2Rad)</f>
        <v>-1.2832795500787548E-2</v>
      </c>
      <c r="BE55" s="304">
        <f>0.0161* SIN(2*BE10*Deg2Rad)</f>
        <v>-1.2832795500787548E-2</v>
      </c>
      <c r="BF55" s="304">
        <f>0.0161* SIN(2*BF10*Deg2Rad)</f>
        <v>-1.2832795500787548E-2</v>
      </c>
      <c r="BG55" s="304">
        <f>0.0161* SIN(2*BG10*Deg2Rad)</f>
        <v>-3.0014793046287676E-3</v>
      </c>
    </row>
    <row r="56" spans="1:59" x14ac:dyDescent="0.25">
      <c r="C56" s="5" t="s">
        <v>1076</v>
      </c>
      <c r="E56" s="305">
        <f t="shared" ref="E56:AJ56" si="20">-0.0097* SIN(2*E50*Deg2Rad)</f>
        <v>3.0857099729134536E-3</v>
      </c>
      <c r="F56" s="305">
        <f t="shared" ref="F56:BG56" si="21">-0.0097* SIN(2*F50*Deg2Rad)</f>
        <v>-5.4811788525234292E-3</v>
      </c>
      <c r="G56" s="305">
        <f t="shared" si="21"/>
        <v>6.0545663457343924E-3</v>
      </c>
      <c r="H56" s="305">
        <f t="shared" si="21"/>
        <v>7.9167442517252742E-3</v>
      </c>
      <c r="I56" s="305">
        <f t="shared" si="21"/>
        <v>7.0764244884190877E-3</v>
      </c>
      <c r="J56" s="305">
        <f t="shared" si="21"/>
        <v>-1.0881414701430457E-3</v>
      </c>
      <c r="K56" s="305">
        <f t="shared" si="21"/>
        <v>8.6393970872002887E-3</v>
      </c>
      <c r="L56" s="305">
        <f t="shared" si="21"/>
        <v>1.6290850620642294E-3</v>
      </c>
      <c r="M56" s="305">
        <f t="shared" si="21"/>
        <v>-6.5715144203737147E-3</v>
      </c>
      <c r="N56" s="305">
        <f t="shared" si="21"/>
        <v>2.1059008698231527E-3</v>
      </c>
      <c r="O56" s="305">
        <f t="shared" si="21"/>
        <v>-8.7840890194501309E-3</v>
      </c>
      <c r="P56" s="305">
        <f t="shared" si="21"/>
        <v>-6.6995593550062474E-4</v>
      </c>
      <c r="Q56" s="305">
        <f t="shared" si="21"/>
        <v>2.4645548851899282E-3</v>
      </c>
      <c r="R56" s="305">
        <f t="shared" si="21"/>
        <v>9.4142872989919548E-3</v>
      </c>
      <c r="S56" s="305">
        <f t="shared" si="21"/>
        <v>1.465942718787961E-3</v>
      </c>
      <c r="T56" s="305">
        <f t="shared" si="21"/>
        <v>-7.902842148411679E-4</v>
      </c>
      <c r="U56" s="305">
        <f t="shared" si="21"/>
        <v>7.8430247023894024E-3</v>
      </c>
      <c r="V56" s="305">
        <f t="shared" si="21"/>
        <v>-2.9237063093860705E-3</v>
      </c>
      <c r="W56" s="305">
        <f t="shared" si="21"/>
        <v>-7.5248883263726498E-3</v>
      </c>
      <c r="X56" s="305">
        <f t="shared" si="21"/>
        <v>9.3279277573625006E-3</v>
      </c>
      <c r="Y56" s="305">
        <f t="shared" si="21"/>
        <v>8.5599204357706595E-3</v>
      </c>
      <c r="Z56" s="305">
        <f t="shared" si="21"/>
        <v>4.9862233674872304E-3</v>
      </c>
      <c r="AA56" s="305">
        <f t="shared" si="21"/>
        <v>6.0545663457343924E-3</v>
      </c>
      <c r="AB56" s="305">
        <f t="shared" si="21"/>
        <v>2.2666954197407851E-3</v>
      </c>
      <c r="AC56" s="305">
        <f t="shared" si="21"/>
        <v>-4.6414677965708881E-3</v>
      </c>
      <c r="AD56" s="305">
        <f t="shared" si="21"/>
        <v>-8.9278113731116118E-3</v>
      </c>
      <c r="AE56" s="305">
        <f t="shared" si="21"/>
        <v>8.5599204357706595E-3</v>
      </c>
      <c r="AF56" s="305">
        <f t="shared" si="21"/>
        <v>-4.0697159961717915E-3</v>
      </c>
      <c r="AG56" s="305">
        <f t="shared" si="21"/>
        <v>9.6085244768821451E-3</v>
      </c>
      <c r="AH56" s="305">
        <f t="shared" si="21"/>
        <v>-8.7695881704693349E-3</v>
      </c>
      <c r="AI56" s="305">
        <f t="shared" si="21"/>
        <v>2.1388068682668712E-3</v>
      </c>
      <c r="AJ56" s="305">
        <f t="shared" si="21"/>
        <v>4.6269384310959408E-3</v>
      </c>
      <c r="AK56" s="305">
        <f t="shared" si="21"/>
        <v>-8.1562819230197332E-3</v>
      </c>
      <c r="AL56" s="305">
        <f t="shared" si="21"/>
        <v>-9.2637040718412042E-3</v>
      </c>
      <c r="AM56" s="305">
        <f t="shared" si="21"/>
        <v>4.2421224144302593E-3</v>
      </c>
      <c r="AN56" s="305">
        <f t="shared" si="21"/>
        <v>-5.5082938200009873E-3</v>
      </c>
      <c r="AO56" s="305">
        <f t="shared" si="21"/>
        <v>-6.883089233223021E-3</v>
      </c>
      <c r="AP56" s="305">
        <f t="shared" si="21"/>
        <v>9.6006819641914296E-3</v>
      </c>
      <c r="AQ56" s="305">
        <f t="shared" si="21"/>
        <v>9.6006819641914296E-3</v>
      </c>
      <c r="AR56" s="305">
        <f t="shared" si="21"/>
        <v>3.389375629982387E-3</v>
      </c>
      <c r="AS56" s="305">
        <f t="shared" si="21"/>
        <v>3.389375629982387E-3</v>
      </c>
      <c r="AT56" s="305">
        <f t="shared" si="21"/>
        <v>3.389375629982387E-3</v>
      </c>
      <c r="AU56" s="305">
        <f t="shared" si="21"/>
        <v>8.3763791256548543E-3</v>
      </c>
      <c r="AV56" s="305">
        <f t="shared" si="21"/>
        <v>2.9130853785343056E-3</v>
      </c>
      <c r="AW56" s="305">
        <f t="shared" si="21"/>
        <v>5.7973906774955149E-3</v>
      </c>
      <c r="AX56" s="305">
        <f t="shared" si="21"/>
        <v>4.341582054858204E-3</v>
      </c>
      <c r="AY56" s="305">
        <f t="shared" si="21"/>
        <v>-6.3497335490337896E-3</v>
      </c>
      <c r="AZ56" s="305">
        <f t="shared" si="21"/>
        <v>-6.3497335490337896E-3</v>
      </c>
      <c r="BA56" s="305">
        <f t="shared" si="21"/>
        <v>-9.4797767666694403E-3</v>
      </c>
      <c r="BB56" s="305">
        <f t="shared" si="21"/>
        <v>-9.4797767666694403E-3</v>
      </c>
      <c r="BC56" s="305">
        <f t="shared" si="21"/>
        <v>-9.4797767666694403E-3</v>
      </c>
      <c r="BD56" s="305">
        <f t="shared" si="21"/>
        <v>-9.4797767666694403E-3</v>
      </c>
      <c r="BE56" s="305">
        <f t="shared" si="21"/>
        <v>-9.4797767666694403E-3</v>
      </c>
      <c r="BF56" s="305">
        <f t="shared" si="21"/>
        <v>-9.4797767666694403E-3</v>
      </c>
      <c r="BG56" s="305">
        <f t="shared" si="21"/>
        <v>8.5599204357706595E-3</v>
      </c>
    </row>
    <row r="57" spans="1:59" x14ac:dyDescent="0.25">
      <c r="C57" t="s">
        <v>1077</v>
      </c>
      <c r="E57" s="304">
        <f>0.0073 *E8* SIN((E10  -E9)*Deg2Rad)</f>
        <v>6.5920779725790165E-3</v>
      </c>
      <c r="F57" s="304">
        <f>0.0073 *F8* SIN((F10  -F9)*Deg2Rad)</f>
        <v>-5.2700130063552311E-3</v>
      </c>
      <c r="G57" s="304">
        <f>0.0073 *G8* SIN((G10  -G9)*Deg2Rad)</f>
        <v>-2.3779605814673436E-3</v>
      </c>
      <c r="H57" s="304">
        <f>0.0073 *H8* SIN((H10  -H9)*Deg2Rad)</f>
        <v>-6.2225575599142869E-3</v>
      </c>
      <c r="I57" s="304">
        <f>0.0073 *I8* SIN((I10  -I9)*Deg2Rad)</f>
        <v>6.565664087116493E-4</v>
      </c>
      <c r="J57" s="304">
        <f>0.0073 *J8* SIN((J10  -J9)*Deg2Rad)</f>
        <v>-1.4288093570436898E-3</v>
      </c>
      <c r="K57" s="304">
        <f>0.0073 *K8* SIN((K10  -K9)*Deg2Rad)</f>
        <v>-4.1152493972790938E-3</v>
      </c>
      <c r="L57" s="304">
        <f>0.0073 *L8* SIN((L10  -L9)*Deg2Rad)</f>
        <v>-5.6542822185902787E-3</v>
      </c>
      <c r="M57" s="304">
        <f>0.0073 *M8* SIN((M10  -M9)*Deg2Rad)</f>
        <v>-5.8600850265369915E-3</v>
      </c>
      <c r="N57" s="304">
        <f>0.0073 *N8* SIN((N10  -N9)*Deg2Rad)</f>
        <v>-7.3625132267541712E-3</v>
      </c>
      <c r="O57" s="304">
        <f>0.0073 *O8* SIN((O10  -O9)*Deg2Rad)</f>
        <v>-5.1446360932834124E-3</v>
      </c>
      <c r="P57" s="304">
        <f>0.0073 *P8* SIN((P10  -P9)*Deg2Rad)</f>
        <v>-3.6123471474497145E-3</v>
      </c>
      <c r="Q57" s="304">
        <f>0.0073 *Q8* SIN((Q10  -Q9)*Deg2Rad)</f>
        <v>7.2758585981915298E-3</v>
      </c>
      <c r="R57" s="304">
        <f>0.0073 *R8* SIN((R10  -R9)*Deg2Rad)</f>
        <v>7.1254843586818321E-3</v>
      </c>
      <c r="S57" s="304">
        <f>0.0073 *S8* SIN((S10  -S9)*Deg2Rad)</f>
        <v>1.9596834651632441E-3</v>
      </c>
      <c r="T57" s="304">
        <f>0.0073 *T8* SIN((T10  -T9)*Deg2Rad)</f>
        <v>6.3657878392009827E-4</v>
      </c>
      <c r="U57" s="304">
        <f>0.0073 *U8* SIN((U10  -U9)*Deg2Rad)</f>
        <v>-2.8762491551929878E-3</v>
      </c>
      <c r="V57" s="304">
        <f>0.0073 *V8* SIN((V10  -V9)*Deg2Rad)</f>
        <v>-3.7449117730400163E-4</v>
      </c>
      <c r="W57" s="304">
        <f>0.0073 *W8* SIN((W10  -W9)*Deg2Rad)</f>
        <v>-5.9920120419425531E-4</v>
      </c>
      <c r="X57" s="304">
        <f>0.0073 *X8* SIN((X10  -X9)*Deg2Rad)</f>
        <v>3.4938950970277733E-3</v>
      </c>
      <c r="Y57" s="304">
        <f>0.0073 *Y8* SIN((Y10  -Y9)*Deg2Rad)</f>
        <v>5.5652959118181154E-3</v>
      </c>
      <c r="Z57" s="304">
        <f>0.0073 *Z8* SIN((Z10  -Z9)*Deg2Rad)</f>
        <v>-3.6582632958268219E-3</v>
      </c>
      <c r="AA57" s="304">
        <f>0.0073 *AA8* SIN((AA10  -AA9)*Deg2Rad)</f>
        <v>-2.3779605814673436E-3</v>
      </c>
      <c r="AB57" s="304">
        <f>0.0073 *AB8* SIN((AB10  -AB9)*Deg2Rad)</f>
        <v>-6.8846446208901905E-3</v>
      </c>
      <c r="AC57" s="304">
        <f>0.0073 *AC8* SIN((AC10  -AC9)*Deg2Rad)</f>
        <v>-2.8198589660745699E-3</v>
      </c>
      <c r="AD57" s="304">
        <f>0.0073 *AD8* SIN((AD10  -AD9)*Deg2Rad)</f>
        <v>-5.0878672493519465E-3</v>
      </c>
      <c r="AE57" s="304">
        <f>0.0073 *AE8* SIN((AE10  -AE9)*Deg2Rad)</f>
        <v>5.5652959118181154E-3</v>
      </c>
      <c r="AF57" s="304">
        <f>0.0073 *AF8* SIN((AF10  -AF9)*Deg2Rad)</f>
        <v>5.9732846761857443E-3</v>
      </c>
      <c r="AG57" s="304">
        <f>0.0073 *AG8* SIN((AG10  -AG9)*Deg2Rad)</f>
        <v>5.4531012386419614E-3</v>
      </c>
      <c r="AH57" s="304">
        <f>0.0073 *AH8* SIN((AH10  -AH9)*Deg2Rad)</f>
        <v>-2.1894296454466624E-3</v>
      </c>
      <c r="AI57" s="304">
        <f>0.0073 *AI8* SIN((AI10  -AI9)*Deg2Rad)</f>
        <v>3.1203881825061079E-3</v>
      </c>
      <c r="AJ57" s="304">
        <f>0.0073 *AJ8* SIN((AJ10  -AJ9)*Deg2Rad)</f>
        <v>6.9173594290773167E-3</v>
      </c>
      <c r="AK57" s="304">
        <f>0.0073 *AK8* SIN((AK10  -AK9)*Deg2Rad)</f>
        <v>4.8383284043786402E-3</v>
      </c>
      <c r="AL57" s="304">
        <f>0.0073 *AL8* SIN((AL10  -AL9)*Deg2Rad)</f>
        <v>-4.4125200861989651E-3</v>
      </c>
      <c r="AM57" s="304">
        <f>0.0073 *AM8* SIN((AM10  -AM9)*Deg2Rad)</f>
        <v>6.8827670932718205E-3</v>
      </c>
      <c r="AN57" s="304">
        <f>0.0073 *AN8* SIN((AN10  -AN9)*Deg2Rad)</f>
        <v>-1.1602876756030003E-3</v>
      </c>
      <c r="AO57" s="304">
        <f>0.0073 *AO8* SIN((AO10  -AO9)*Deg2Rad)</f>
        <v>4.2606851071160445E-3</v>
      </c>
      <c r="AP57" s="304">
        <f>0.0073 *AP8* SIN((AP10  -AP9)*Deg2Rad)</f>
        <v>-6.4030805874726857E-4</v>
      </c>
      <c r="AQ57" s="304">
        <f>0.0073 *AQ8* SIN((AQ10  -AQ9)*Deg2Rad)</f>
        <v>-6.4030805874726857E-4</v>
      </c>
      <c r="AR57" s="304">
        <f>0.0073 *AR8* SIN((AR10  -AR9)*Deg2Rad)</f>
        <v>-1.0561413205109811E-3</v>
      </c>
      <c r="AS57" s="304">
        <f>0.0073 *AS8* SIN((AS10  -AS9)*Deg2Rad)</f>
        <v>-1.0561413205109811E-3</v>
      </c>
      <c r="AT57" s="304">
        <f>0.0073 *AT8* SIN((AT10  -AT9)*Deg2Rad)</f>
        <v>-1.0561413205109811E-3</v>
      </c>
      <c r="AU57" s="304">
        <f>0.0073 *AU8* SIN((AU10  -AU9)*Deg2Rad)</f>
        <v>-2.6062038109633504E-3</v>
      </c>
      <c r="AV57" s="304">
        <f>0.0073 *AV8* SIN((AV10  -AV9)*Deg2Rad)</f>
        <v>-6.6496914659668113E-3</v>
      </c>
      <c r="AW57" s="304">
        <f>0.0073 *AW8* SIN((AW10  -AW9)*Deg2Rad)</f>
        <v>-4.4099686360681871E-3</v>
      </c>
      <c r="AX57" s="304">
        <f>0.0073 *AX8* SIN((AX10  -AX9)*Deg2Rad)</f>
        <v>5.1403466103619212E-3</v>
      </c>
      <c r="AY57" s="304">
        <f>0.0073 *AY8* SIN((AY10  -AY9)*Deg2Rad)</f>
        <v>-1.4684948776460787E-3</v>
      </c>
      <c r="AZ57" s="304">
        <f>0.0073 *AZ8* SIN((AZ10  -AZ9)*Deg2Rad)</f>
        <v>-1.4684948776460787E-3</v>
      </c>
      <c r="BA57" s="304">
        <f>0.0073 *BA8* SIN((BA10  -BA9)*Deg2Rad)</f>
        <v>-1.8760108116213996E-3</v>
      </c>
      <c r="BB57" s="304">
        <f>0.0073 *BB8* SIN((BB10  -BB9)*Deg2Rad)</f>
        <v>-1.8760108116213996E-3</v>
      </c>
      <c r="BC57" s="304">
        <f>0.0073 *BC8* SIN((BC10  -BC9)*Deg2Rad)</f>
        <v>-1.8760108116213996E-3</v>
      </c>
      <c r="BD57" s="304">
        <f>0.0073 *BD8* SIN((BD10  -BD9)*Deg2Rad)</f>
        <v>-1.8760108116213996E-3</v>
      </c>
      <c r="BE57" s="304">
        <f>0.0073 *BE8* SIN((BE10  -BE9)*Deg2Rad)</f>
        <v>-1.8760108116213996E-3</v>
      </c>
      <c r="BF57" s="304">
        <f>0.0073 *BF8* SIN((BF10  -BF9)*Deg2Rad)</f>
        <v>-1.8760108116213996E-3</v>
      </c>
      <c r="BG57" s="304">
        <f>0.0073 *BG8* SIN((BG10  -BG9)*Deg2Rad)</f>
        <v>5.5652959118181154E-3</v>
      </c>
    </row>
    <row r="58" spans="1:59" x14ac:dyDescent="0.25">
      <c r="C58" s="5" t="s">
        <v>1078</v>
      </c>
      <c r="E58" s="305">
        <f>-0.005*E8* SIN((E10 + E9)*Deg2Rad)</f>
        <v>2.1403821052861519E-3</v>
      </c>
      <c r="F58" s="305">
        <f>-0.005*F8* SIN((F10 + F9)*Deg2Rad)</f>
        <v>-4.0364978039754435E-3</v>
      </c>
      <c r="G58" s="305">
        <f>-0.005*G8* SIN((G10 + G9)*Deg2Rad)</f>
        <v>2.043062183093088E-3</v>
      </c>
      <c r="H58" s="305">
        <f>-0.005*H8* SIN((H10 + H9)*Deg2Rad)</f>
        <v>4.9814749610735398E-3</v>
      </c>
      <c r="I58" s="305">
        <f>-0.005*I8* SIN((I10 + I9)*Deg2Rad)</f>
        <v>-4.1732490695447974E-3</v>
      </c>
      <c r="J58" s="305">
        <f>-0.005*J8* SIN((J10 + J9)*Deg2Rad)</f>
        <v>2.4123871069252696E-3</v>
      </c>
      <c r="K58" s="305">
        <f>-0.005*K8* SIN((K10 + K9)*Deg2Rad)</f>
        <v>3.8208814130854569E-4</v>
      </c>
      <c r="L58" s="305">
        <f>-0.005*L8* SIN((L10 + L9)*Deg2Rad)</f>
        <v>5.0014136291824263E-3</v>
      </c>
      <c r="M58" s="305">
        <f>-0.005*M8* SIN((M10 + M9)*Deg2Rad)</f>
        <v>4.0932871448655702E-3</v>
      </c>
      <c r="N58" s="305">
        <f>-0.005*N8* SIN((N10 + N9)*Deg2Rad)</f>
        <v>4.2006224527517426E-3</v>
      </c>
      <c r="O58" s="305">
        <f>-0.005*O8* SIN((O10 + O9)*Deg2Rad)</f>
        <v>4.4709014811180128E-3</v>
      </c>
      <c r="P58" s="305">
        <f>-0.005*P8* SIN((P10 + P9)*Deg2Rad)</f>
        <v>2.4192703386751364E-3</v>
      </c>
      <c r="Q58" s="305">
        <f>-0.005*Q8* SIN((Q10 + Q9)*Deg2Rad)</f>
        <v>2.8809146316522453E-3</v>
      </c>
      <c r="R58" s="305">
        <f>-0.005*R8* SIN((R10 + R9)*Deg2Rad)</f>
        <v>-1.936416839655931E-3</v>
      </c>
      <c r="S58" s="305">
        <f>-0.005*S8* SIN((S10 + S9)*Deg2Rad)</f>
        <v>5.0621501259833094E-3</v>
      </c>
      <c r="T58" s="305">
        <f>-0.005*T8* SIN((T10 + T9)*Deg2Rad)</f>
        <v>-5.3343394698645158E-3</v>
      </c>
      <c r="U58" s="305">
        <f>-0.005*U8* SIN((U10 + U9)*Deg2Rad)</f>
        <v>-6.6677912042866752E-4</v>
      </c>
      <c r="V58" s="305">
        <f>-0.005*V8* SIN((V10 + V9)*Deg2Rad)</f>
        <v>-1.5862061226776119E-3</v>
      </c>
      <c r="W58" s="305">
        <f>-0.005*W8* SIN((W10 + W9)*Deg2Rad)</f>
        <v>3.3022442911863057E-3</v>
      </c>
      <c r="X58" s="305">
        <f>-0.005*X8* SIN((X10 + X9)*Deg2Rad)</f>
        <v>-2.231422084975536E-3</v>
      </c>
      <c r="Y58" s="305">
        <f>-0.005*Y8* SIN((Y10 + Y9)*Deg2Rad)</f>
        <v>-3.1409669778320825E-3</v>
      </c>
      <c r="Z58" s="305">
        <f>-0.005*Z8* SIN((Z10 + Z9)*Deg2Rad)</f>
        <v>1.8585542721072576E-3</v>
      </c>
      <c r="AA58" s="305">
        <f>-0.005*AA8* SIN((AA10 + AA9)*Deg2Rad)</f>
        <v>2.043062183093088E-3</v>
      </c>
      <c r="AB58" s="305">
        <f>-0.005*AB8* SIN((AB10 + AB9)*Deg2Rad)</f>
        <v>4.4549419987927547E-3</v>
      </c>
      <c r="AC58" s="305">
        <f>-0.005*AC8* SIN((AC10 + AC9)*Deg2Rad)</f>
        <v>5.002378658978286E-3</v>
      </c>
      <c r="AD58" s="305">
        <f>-0.005*AD8* SIN((AD10 + AD9)*Deg2Rad)</f>
        <v>-1.6789438621732584E-3</v>
      </c>
      <c r="AE58" s="305">
        <f>-0.005*AE8* SIN((AE10 + AE9)*Deg2Rad)</f>
        <v>-3.1409669778320825E-3</v>
      </c>
      <c r="AF58" s="305">
        <f>-0.005*AF8* SIN((AF10 + AF9)*Deg2Rad)</f>
        <v>-4.8100747160458122E-3</v>
      </c>
      <c r="AG58" s="305">
        <f>-0.005*AG8* SIN((AG10 + AG9)*Deg2Rad)</f>
        <v>3.4590514393323884E-4</v>
      </c>
      <c r="AH58" s="305">
        <f>-0.005*AH8* SIN((AH10 + AH9)*Deg2Rad)</f>
        <v>1.90674600908913E-3</v>
      </c>
      <c r="AI58" s="305">
        <f>-0.005*AI8* SIN((AI10 + AI9)*Deg2Rad)</f>
        <v>2.380294668610154E-3</v>
      </c>
      <c r="AJ58" s="305">
        <f>-0.005*AJ8* SIN((AJ10 + AJ9)*Deg2Rad)</f>
        <v>-1.7504954164363729E-3</v>
      </c>
      <c r="AK58" s="305">
        <f>-0.005*AK8* SIN((AK10 + AK9)*Deg2Rad)</f>
        <v>-4.0673182191854895E-3</v>
      </c>
      <c r="AL58" s="305">
        <f>-0.005*AL8* SIN((AL10 + AL9)*Deg2Rad)</f>
        <v>-7.0071416197661416E-4</v>
      </c>
      <c r="AM58" s="305">
        <f>-0.005*AM8* SIN((AM10 + AM9)*Deg2Rad)</f>
        <v>-3.6508007676056505E-3</v>
      </c>
      <c r="AN58" s="305">
        <f>-0.005*AN8* SIN((AN10 + AN9)*Deg2Rad)</f>
        <v>-7.7221739924820422E-4</v>
      </c>
      <c r="AO58" s="305">
        <f>-0.005*AO8* SIN((AO10 + AO9)*Deg2Rad)</f>
        <v>3.9856664644141605E-3</v>
      </c>
      <c r="AP58" s="305">
        <f>-0.005*AP8* SIN((AP10 + AP9)*Deg2Rad)</f>
        <v>-1.9298504560109615E-3</v>
      </c>
      <c r="AQ58" s="305">
        <f>-0.005*AQ8* SIN((AQ10 + AQ9)*Deg2Rad)</f>
        <v>-1.9298504560109615E-3</v>
      </c>
      <c r="AR58" s="305">
        <f>-0.005*AR8* SIN((AR10 + AR9)*Deg2Rad)</f>
        <v>2.663191257030414E-3</v>
      </c>
      <c r="AS58" s="305">
        <f>-0.005*AS8* SIN((AS10 + AS9)*Deg2Rad)</f>
        <v>2.663191257030414E-3</v>
      </c>
      <c r="AT58" s="305">
        <f>-0.005*AT8* SIN((AT10 + AT9)*Deg2Rad)</f>
        <v>2.663191257030414E-3</v>
      </c>
      <c r="AU58" s="305">
        <f>-0.005*AU8* SIN((AU10 + AU9)*Deg2Rad)</f>
        <v>-3.5573321410590645E-3</v>
      </c>
      <c r="AV58" s="305">
        <f>-0.005*AV8* SIN((AV10 + AV9)*Deg2Rad)</f>
        <v>-3.9062663932827781E-3</v>
      </c>
      <c r="AW58" s="305">
        <f>-0.005*AW8* SIN((AW10 + AW9)*Deg2Rad)</f>
        <v>2.7569338583023403E-3</v>
      </c>
      <c r="AX58" s="305">
        <f>-0.005*AX8* SIN((AX10 + AX9)*Deg2Rad)</f>
        <v>-4.4925477756852704E-4</v>
      </c>
      <c r="AY58" s="305">
        <f>-0.005*AY8* SIN((AY10 + AY9)*Deg2Rad)</f>
        <v>4.9908382638660471E-3</v>
      </c>
      <c r="AZ58" s="305">
        <f>-0.005*AZ8* SIN((AZ10 + AZ9)*Deg2Rad)</f>
        <v>4.9908382638660471E-3</v>
      </c>
      <c r="BA58" s="305">
        <f>-0.005*BA8* SIN((BA10 + BA9)*Deg2Rad)</f>
        <v>3.0731460033544015E-3</v>
      </c>
      <c r="BB58" s="305">
        <f>-0.005*BB8* SIN((BB10 + BB9)*Deg2Rad)</f>
        <v>3.0731460033544015E-3</v>
      </c>
      <c r="BC58" s="305">
        <f>-0.005*BC8* SIN((BC10 + BC9)*Deg2Rad)</f>
        <v>3.0731460033544015E-3</v>
      </c>
      <c r="BD58" s="305">
        <f>-0.005*BD8* SIN((BD10 + BD9)*Deg2Rad)</f>
        <v>3.0731460033544015E-3</v>
      </c>
      <c r="BE58" s="305">
        <f>-0.005*BE8* SIN((BE10 + BE9)*Deg2Rad)</f>
        <v>3.0731460033544015E-3</v>
      </c>
      <c r="BF58" s="305">
        <f>-0.005*BF8* SIN((BF10 + BF9)*Deg2Rad)</f>
        <v>3.0731460033544015E-3</v>
      </c>
      <c r="BG58" s="305">
        <f>-0.005*BG8* SIN((BG10 + BG9)*Deg2Rad)</f>
        <v>-3.1409669778320825E-3</v>
      </c>
    </row>
    <row r="59" spans="1:59" x14ac:dyDescent="0.25">
      <c r="C59" s="5" t="s">
        <v>1079</v>
      </c>
      <c r="E59" s="305">
        <f>-0.0023* SIN((E10 - 2*E50)*Deg2Rad)</f>
        <v>-2.0614727150264681E-3</v>
      </c>
      <c r="F59" s="305">
        <f>-0.0023* SIN((F10 - 2*F50)*Deg2Rad)</f>
        <v>-3.2592191231969555E-4</v>
      </c>
      <c r="G59" s="305">
        <f>-0.0023* SIN((G10 - 2*G50)*Deg2Rad)</f>
        <v>1.9955907803514252E-3</v>
      </c>
      <c r="H59" s="305">
        <f>-0.0023* SIN((H10 - 2*H50)*Deg2Rad)</f>
        <v>1.8497486089866047E-3</v>
      </c>
      <c r="I59" s="305">
        <f>-0.0023* SIN((I10 - 2*I50)*Deg2Rad)</f>
        <v>-6.336583294091414E-4</v>
      </c>
      <c r="J59" s="305">
        <f>-0.0023* SIN((J10 - 2*J50)*Deg2Rad)</f>
        <v>5.4158875571671866E-4</v>
      </c>
      <c r="K59" s="305">
        <f>-0.0023* SIN((K10 - 2*K50)*Deg2Rad)</f>
        <v>-2.2792516945129675E-3</v>
      </c>
      <c r="L59" s="305">
        <f>-0.0023* SIN((L10 - 2*L50)*Deg2Rad)</f>
        <v>2.2645385037644117E-3</v>
      </c>
      <c r="M59" s="305">
        <f>-0.0023* SIN((M10 - 2*M50)*Deg2Rad)</f>
        <v>2.2846622002476911E-3</v>
      </c>
      <c r="N59" s="305">
        <f>-0.0023* SIN((N10 - 2*N50)*Deg2Rad)</f>
        <v>2.03274148987199E-3</v>
      </c>
      <c r="O59" s="305">
        <f>-0.0023* SIN((O10 - 2*O50)*Deg2Rad)</f>
        <v>6.3686059333887721E-4</v>
      </c>
      <c r="P59" s="305">
        <f>-0.0023* SIN((P10 - 2*P50)*Deg2Rad)</f>
        <v>2.2954302819457096E-3</v>
      </c>
      <c r="Q59" s="305">
        <f>-0.0023* SIN((Q10 - 2*Q50)*Deg2Rad)</f>
        <v>-1.7922624628381262E-4</v>
      </c>
      <c r="R59" s="305">
        <f>-0.0023* SIN((R10 - 2*R50)*Deg2Rad)</f>
        <v>1.1864580435686071E-3</v>
      </c>
      <c r="S59" s="305">
        <f>-0.0023* SIN((S10 - 2*S50)*Deg2Rad)</f>
        <v>7.7486539949568904E-4</v>
      </c>
      <c r="T59" s="305">
        <f>-0.0023* SIN((T10 - 2*T50)*Deg2Rad)</f>
        <v>1.8546385798451552E-3</v>
      </c>
      <c r="U59" s="305">
        <f>-0.0023* SIN((U10 - 2*U50)*Deg2Rad)</f>
        <v>1.7733057872070124E-3</v>
      </c>
      <c r="V59" s="305">
        <f>-0.0023* SIN((V10 - 2*V50)*Deg2Rad)</f>
        <v>2.2768483710570438E-3</v>
      </c>
      <c r="W59" s="305">
        <f>-0.0023* SIN((W10 - 2*W50)*Deg2Rad)</f>
        <v>-1.9383213580177524E-3</v>
      </c>
      <c r="X59" s="305">
        <f>-0.0023* SIN((X10 - 2*X50)*Deg2Rad)</f>
        <v>-5.9048445323082066E-4</v>
      </c>
      <c r="Y59" s="305">
        <f>-0.0023* SIN((Y10 - 2*Y50)*Deg2Rad)</f>
        <v>1.2671408801002704E-3</v>
      </c>
      <c r="Z59" s="305">
        <f>-0.0023* SIN((Z10 - 2*Z50)*Deg2Rad)</f>
        <v>1.986337232410538E-4</v>
      </c>
      <c r="AA59" s="305">
        <f>-0.0023* SIN((AA10 - 2*AA50)*Deg2Rad)</f>
        <v>1.9955907803514252E-3</v>
      </c>
      <c r="AB59" s="305">
        <f>-0.0023* SIN((AB10 - 2*AB50)*Deg2Rad)</f>
        <v>-2.2660667391603156E-3</v>
      </c>
      <c r="AC59" s="305">
        <f>-0.0023* SIN((AC10 - 2*AC50)*Deg2Rad)</f>
        <v>-1.0821844126277975E-3</v>
      </c>
      <c r="AD59" s="305">
        <f>-0.0023* SIN((AD10 - 2*AD50)*Deg2Rad)</f>
        <v>3.5483287093233365E-4</v>
      </c>
      <c r="AE59" s="305">
        <f>-0.0023* SIN((AE10 - 2*AE50)*Deg2Rad)</f>
        <v>1.2671408801002704E-3</v>
      </c>
      <c r="AF59" s="305">
        <f>-0.0023* SIN((AF10 - 2*AF50)*Deg2Rad)</f>
        <v>-2.2998359747982747E-3</v>
      </c>
      <c r="AG59" s="305">
        <f>-0.0023* SIN((AG10 - 2*AG50)*Deg2Rad)</f>
        <v>-7.2096160717006498E-4</v>
      </c>
      <c r="AH59" s="305">
        <f>-0.0023* SIN((AH10 - 2*AH50)*Deg2Rad)</f>
        <v>-1.0720406609353514E-3</v>
      </c>
      <c r="AI59" s="305">
        <f>-0.0023* SIN((AI10 - 2*AI50)*Deg2Rad)</f>
        <v>-1.7721916411304499E-3</v>
      </c>
      <c r="AJ59" s="305">
        <f>-0.0023* SIN((AJ10 - 2*AJ50)*Deg2Rad)</f>
        <v>2.2967086859865082E-3</v>
      </c>
      <c r="AK59" s="305">
        <f>-0.0023* SIN((AK10 - 2*AK50)*Deg2Rad)</f>
        <v>2.2225727554932954E-3</v>
      </c>
      <c r="AL59" s="305">
        <f>-0.0023* SIN((AL10 - 2*AL50)*Deg2Rad)</f>
        <v>-2.1513214328587168E-4</v>
      </c>
      <c r="AM59" s="305">
        <f>-0.0023* SIN((AM10 - 2*AM50)*Deg2Rad)</f>
        <v>1.8517675401338624E-3</v>
      </c>
      <c r="AN59" s="305">
        <f>-0.0023* SIN((AN10 - 2*AN50)*Deg2Rad)</f>
        <v>-1.6651354163903559E-3</v>
      </c>
      <c r="AO59" s="305">
        <f>-0.0023* SIN((AO10 - 2*AO50)*Deg2Rad)</f>
        <v>-1.395531209981796E-3</v>
      </c>
      <c r="AP59" s="305">
        <f>-0.0023* SIN((AP10 - 2*AP50)*Deg2Rad)</f>
        <v>8.646625072837264E-4</v>
      </c>
      <c r="AQ59" s="305">
        <f>-0.0023* SIN((AQ10 - 2*AQ50)*Deg2Rad)</f>
        <v>8.646625072837264E-4</v>
      </c>
      <c r="AR59" s="305">
        <f>-0.0023* SIN((AR10 - 2*AR50)*Deg2Rad)</f>
        <v>1.942116340231699E-3</v>
      </c>
      <c r="AS59" s="305">
        <f>-0.0023* SIN((AS10 - 2*AS50)*Deg2Rad)</f>
        <v>1.942116340231699E-3</v>
      </c>
      <c r="AT59" s="305">
        <f>-0.0023* SIN((AT10 - 2*AT50)*Deg2Rad)</f>
        <v>1.942116340231699E-3</v>
      </c>
      <c r="AU59" s="305">
        <f>-0.0023* SIN((AU10 - 2*AU50)*Deg2Rad)</f>
        <v>-1.6960156565960793E-3</v>
      </c>
      <c r="AV59" s="305">
        <f>-0.0023* SIN((AV10 - 2*AV50)*Deg2Rad)</f>
        <v>4.1321543917982329E-4</v>
      </c>
      <c r="AW59" s="305">
        <f>-0.0023* SIN((AW10 - 2*AW50)*Deg2Rad)</f>
        <v>-5.8442152121065413E-5</v>
      </c>
      <c r="AX59" s="305">
        <f>-0.0023* SIN((AX10 - 2*AX50)*Deg2Rad)</f>
        <v>2.2837572633964496E-3</v>
      </c>
      <c r="AY59" s="305">
        <f>-0.0023* SIN((AY10 - 2*AY50)*Deg2Rad)</f>
        <v>2.296563054217739E-3</v>
      </c>
      <c r="AZ59" s="305">
        <f>-0.0023* SIN((AZ10 - 2*AZ50)*Deg2Rad)</f>
        <v>2.296563054217739E-3</v>
      </c>
      <c r="BA59" s="305">
        <f>-0.0023* SIN((BA10 - 2*BA50)*Deg2Rad)</f>
        <v>1.7960480714232141E-3</v>
      </c>
      <c r="BB59" s="305">
        <f>-0.0023* SIN((BB10 - 2*BB50)*Deg2Rad)</f>
        <v>1.7960480714232141E-3</v>
      </c>
      <c r="BC59" s="305">
        <f>-0.0023* SIN((BC10 - 2*BC50)*Deg2Rad)</f>
        <v>1.7960480714232141E-3</v>
      </c>
      <c r="BD59" s="305">
        <f>-0.0023* SIN((BD10 - 2*BD50)*Deg2Rad)</f>
        <v>1.7960480714232141E-3</v>
      </c>
      <c r="BE59" s="305">
        <f>-0.0023* SIN((BE10 - 2*BE50)*Deg2Rad)</f>
        <v>1.7960480714232141E-3</v>
      </c>
      <c r="BF59" s="305">
        <f>-0.0023* SIN((BF10 - 2*BF50)*Deg2Rad)</f>
        <v>1.7960480714232141E-3</v>
      </c>
      <c r="BG59" s="305">
        <f>-0.0023* SIN((BG10 - 2*BG50)*Deg2Rad)</f>
        <v>1.2671408801002704E-3</v>
      </c>
    </row>
    <row r="60" spans="1:59" x14ac:dyDescent="0.25">
      <c r="C60" t="s">
        <v>1080</v>
      </c>
      <c r="E60" s="304">
        <f>0.0021 *E8* SIN(2*E9*Deg2Rad)</f>
        <v>-1.3262339019328722E-3</v>
      </c>
      <c r="F60" s="304">
        <f>0.0021 *F8* SIN(2*F9*Deg2Rad)</f>
        <v>2.646346255036437E-4</v>
      </c>
      <c r="G60" s="304">
        <f>0.0021 *G8* SIN(2*G9*Deg2Rad)</f>
        <v>1.8692626842418912E-4</v>
      </c>
      <c r="H60" s="304">
        <f>0.0021 *H8* SIN(2*H9*Deg2Rad)</f>
        <v>9.3960379649626717E-4</v>
      </c>
      <c r="I60" s="304">
        <f>0.0021 *I8* SIN(2*I9*Deg2Rad)</f>
        <v>1.6415589512647055E-3</v>
      </c>
      <c r="J60" s="304">
        <f>0.0021 *J8* SIN(2*J9*Deg2Rad)</f>
        <v>-6.3356133272325513E-4</v>
      </c>
      <c r="K60" s="304">
        <f>0.0021 *K8* SIN(2*K9*Deg2Rad)</f>
        <v>1.0478135613403287E-3</v>
      </c>
      <c r="L60" s="304">
        <f>0.0021 *L8* SIN(2*L9*Deg2Rad)</f>
        <v>-1.3226754608132506E-3</v>
      </c>
      <c r="M60" s="304">
        <f>0.0021 *M8* SIN(2*M9*Deg2Rad)</f>
        <v>-5.6787317515432929E-5</v>
      </c>
      <c r="N60" s="304">
        <f>0.0021 *N8* SIN(2*N9*Deg2Rad)</f>
        <v>1.2677186062060753E-3</v>
      </c>
      <c r="O60" s="304">
        <f>0.0021 *O8* SIN(2*O9*Deg2Rad)</f>
        <v>2.0329339281273655E-3</v>
      </c>
      <c r="P60" s="304">
        <f>0.0021 *P8* SIN(2*P9*Deg2Rad)</f>
        <v>-1.8076227399721769E-3</v>
      </c>
      <c r="Q60" s="304">
        <f>0.0021 *Q8* SIN(2*Q9*Deg2Rad)</f>
        <v>2.1306308667653298E-3</v>
      </c>
      <c r="R60" s="304">
        <f>0.0021 *R8* SIN(2*R9*Deg2Rad)</f>
        <v>1.6054533570857323E-3</v>
      </c>
      <c r="S60" s="304">
        <f>0.0021 *S8* SIN(2*S9*Deg2Rad)</f>
        <v>2.2386248209365985E-3</v>
      </c>
      <c r="T60" s="304">
        <f>0.0021 *T8* SIN(2*T9*Deg2Rad)</f>
        <v>-2.24399950538871E-3</v>
      </c>
      <c r="U60" s="304">
        <f>0.0021 *U8* SIN(2*U9*Deg2Rad)</f>
        <v>5.6062390606012396E-4</v>
      </c>
      <c r="V60" s="304">
        <f>0.0021 *V8* SIN(2*V9*Deg2Rad)</f>
        <v>5.6208565742861224E-4</v>
      </c>
      <c r="W60" s="304">
        <f>0.0021 *W8* SIN(2*W9*Deg2Rad)</f>
        <v>-1.511727228295459E-3</v>
      </c>
      <c r="X60" s="304">
        <f>0.0021 *X8* SIN(2*X9*Deg2Rad)</f>
        <v>-1.7224215176694826E-3</v>
      </c>
      <c r="Y60" s="304">
        <f>0.0021 *Y8* SIN(2*Y9*Deg2Rad)</f>
        <v>2.1005119667261503E-3</v>
      </c>
      <c r="Z60" s="304">
        <f>0.0021 *Z8* SIN(2*Z9*Deg2Rad)</f>
        <v>-3.0154811292716226E-4</v>
      </c>
      <c r="AA60" s="304">
        <f>0.0021 *AA8* SIN(2*AA9*Deg2Rad)</f>
        <v>1.8692626842418912E-4</v>
      </c>
      <c r="AB60" s="304">
        <f>0.0021 *AB8* SIN(2*AB9*Deg2Rad)</f>
        <v>-2.7532232773061868E-4</v>
      </c>
      <c r="AC60" s="304">
        <f>0.0021 *AC8* SIN(2*AC9*Deg2Rad)</f>
        <v>-1.946596199993498E-3</v>
      </c>
      <c r="AD60" s="304">
        <f>0.0021 *AD8* SIN(2*AD9*Deg2Rad)</f>
        <v>-8.7289228638937381E-4</v>
      </c>
      <c r="AE60" s="304">
        <f>0.0021 *AE8* SIN(2*AE9*Deg2Rad)</f>
        <v>2.1005119667261503E-3</v>
      </c>
      <c r="AF60" s="304">
        <f>0.0021 *AF8* SIN(2*AF9*Deg2Rad)</f>
        <v>-6.9161677385655386E-4</v>
      </c>
      <c r="AG60" s="304">
        <f>0.0021 *AG8* SIN(2*AG9*Deg2Rad)</f>
        <v>-1.468335526216447E-3</v>
      </c>
      <c r="AH60" s="304">
        <f>0.0021 *AH8* SIN(2*AH9*Deg2Rad)</f>
        <v>1.3462445579672491E-3</v>
      </c>
      <c r="AI60" s="304">
        <f>0.0021 *AI8* SIN(2*AI9*Deg2Rad)</f>
        <v>1.143815120042293E-4</v>
      </c>
      <c r="AJ60" s="304">
        <f>0.0021 *AJ8* SIN(2*AJ9*Deg2Rad)</f>
        <v>-2.0992809811689155E-3</v>
      </c>
      <c r="AK60" s="304">
        <f>0.0021 *AK8* SIN(2*AK9*Deg2Rad)</f>
        <v>4.6704511977832146E-4</v>
      </c>
      <c r="AL60" s="304">
        <f>0.0021 *AL8* SIN(2*AL9*Deg2Rad)</f>
        <v>1.0223515947146338E-3</v>
      </c>
      <c r="AM60" s="304">
        <f>0.0021 *AM8* SIN(2*AM9*Deg2Rad)</f>
        <v>2.0281797955720277E-3</v>
      </c>
      <c r="AN60" s="304">
        <f>0.0021 *AN8* SIN(2*AN9*Deg2Rad)</f>
        <v>9.5682499163007538E-6</v>
      </c>
      <c r="AO60" s="304">
        <f>0.0021 *AO8* SIN(2*AO9*Deg2Rad)</f>
        <v>2.1849601622101616E-3</v>
      </c>
      <c r="AP60" s="304">
        <f>0.0021 *AP8* SIN(2*AP9*Deg2Rad)</f>
        <v>6.3750169580405788E-4</v>
      </c>
      <c r="AQ60" s="304">
        <f>0.0021 *AQ8* SIN(2*AQ9*Deg2Rad)</f>
        <v>6.3750169580405788E-4</v>
      </c>
      <c r="AR60" s="304">
        <f>0.0021 *AR8* SIN(2*AR9*Deg2Rad)</f>
        <v>-1.3638371814645635E-3</v>
      </c>
      <c r="AS60" s="304">
        <f>0.0021 *AS8* SIN(2*AS9*Deg2Rad)</f>
        <v>-1.3638371814645635E-3</v>
      </c>
      <c r="AT60" s="304">
        <f>0.0021 *AT8* SIN(2*AT9*Deg2Rad)</f>
        <v>-1.3638371814645635E-3</v>
      </c>
      <c r="AU60" s="304">
        <f>0.0021 *AU8* SIN(2*AU9*Deg2Rad)</f>
        <v>-1.9229651739108456E-3</v>
      </c>
      <c r="AV60" s="304">
        <f>0.0021 *AV8* SIN(2*AV9*Deg2Rad)</f>
        <v>1.8712887778995111E-3</v>
      </c>
      <c r="AW60" s="304">
        <f>0.0021 *AW8* SIN(2*AW9*Deg2Rad)</f>
        <v>1.3549086814441439E-4</v>
      </c>
      <c r="AX60" s="304">
        <f>0.0021 *AX8* SIN(2*AX9*Deg2Rad)</f>
        <v>-1.606878716048166E-3</v>
      </c>
      <c r="AY60" s="304">
        <f>0.0021 *AY8* SIN(2*AY9*Deg2Rad)</f>
        <v>-2.0744264850523072E-3</v>
      </c>
      <c r="AZ60" s="304">
        <f>0.0021 *AZ8* SIN(2*AZ9*Deg2Rad)</f>
        <v>-2.0744264850523072E-3</v>
      </c>
      <c r="BA60" s="304">
        <f>0.0021 *BA8* SIN(2*BA9*Deg2Rad)</f>
        <v>-8.2176668154956324E-4</v>
      </c>
      <c r="BB60" s="304">
        <f>0.0021 *BB8* SIN(2*BB9*Deg2Rad)</f>
        <v>-8.2176668154956324E-4</v>
      </c>
      <c r="BC60" s="304">
        <f>0.0021 *BC8* SIN(2*BC9*Deg2Rad)</f>
        <v>-8.2176668154956324E-4</v>
      </c>
      <c r="BD60" s="304">
        <f>0.0021 *BD8* SIN(2*BD9*Deg2Rad)</f>
        <v>-8.2176668154956324E-4</v>
      </c>
      <c r="BE60" s="304">
        <f>0.0021 *BE8* SIN(2*BE9*Deg2Rad)</f>
        <v>-8.2176668154956324E-4</v>
      </c>
      <c r="BF60" s="304">
        <f>0.0021 *BF8* SIN(2*BF9*Deg2Rad)</f>
        <v>-8.2176668154956324E-4</v>
      </c>
      <c r="BG60" s="304">
        <f>0.0021 *BG8* SIN(2*BG9*Deg2Rad)</f>
        <v>2.1005119667261503E-3</v>
      </c>
    </row>
    <row r="61" spans="1:59" x14ac:dyDescent="0.25">
      <c r="C61" t="s">
        <v>1081</v>
      </c>
      <c r="E61" s="304">
        <f>0.0012* SIN((E10 + 2*E50)*Deg2Rad)</f>
        <v>5.3688139807215457E-4</v>
      </c>
      <c r="F61" s="304">
        <f>0.0012* SIN((F10 + 2*F50)*Deg2Rad)</f>
        <v>1.1690592712223372E-3</v>
      </c>
      <c r="G61" s="304">
        <f>0.0012* SIN((G10 + 2*G50)*Deg2Rad)</f>
        <v>3.520051480848061E-4</v>
      </c>
      <c r="H61" s="304">
        <f>0.0012* SIN((H10 + 2*H50)*Deg2Rad)</f>
        <v>-3.5202625333559883E-4</v>
      </c>
      <c r="I61" s="304">
        <f>0.0012* SIN((I10 + 2*I50)*Deg2Rad)</f>
        <v>-1.1724622708465535E-3</v>
      </c>
      <c r="J61" s="304">
        <f>0.0012* SIN((J10 + 2*J50)*Deg2Rad)</f>
        <v>-5.354649447562868E-4</v>
      </c>
      <c r="K61" s="304">
        <f>0.0012* SIN((K10 + 2*K50)*Deg2Rad)</f>
        <v>-8.2775983655648117E-4</v>
      </c>
      <c r="L61" s="304">
        <f>0.0012* SIN((L10 + 2*L50)*Deg2Rad)</f>
        <v>-1.0453417257368731E-3</v>
      </c>
      <c r="M61" s="304">
        <f>0.0012* SIN((M10 + 2*M50)*Deg2Rad)</f>
        <v>-2.3569383651686357E-4</v>
      </c>
      <c r="N61" s="304">
        <f>0.0012* SIN((N10 + 2*N50)*Deg2Rad)</f>
        <v>-1.1985490745304512E-3</v>
      </c>
      <c r="O61" s="304">
        <f>0.0012* SIN((O10 + 2*O50)*Deg2Rad)</f>
        <v>-6.7316517587113068E-4</v>
      </c>
      <c r="P61" s="304">
        <f>0.0012* SIN((P10 + 2*P50)*Deg2Rad)</f>
        <v>-1.1966087704213372E-3</v>
      </c>
      <c r="Q61" s="304">
        <f>0.0012* SIN((Q10 + 2*Q50)*Deg2Rad)</f>
        <v>6.6941877931368798E-4</v>
      </c>
      <c r="R61" s="304">
        <f>0.0012* SIN((R10 + 2*R50)*Deg2Rad)</f>
        <v>1.0279099448092131E-3</v>
      </c>
      <c r="S61" s="304">
        <f>0.0012* SIN((S10 + 2*S50)*Deg2Rad)</f>
        <v>-7.2339199849361395E-4</v>
      </c>
      <c r="T61" s="304">
        <f>0.0012* SIN((T10 + 2*T50)*Deg2Rad)</f>
        <v>-8.3953341164980609E-4</v>
      </c>
      <c r="U61" s="304">
        <f>0.0012* SIN((U10 + 2*U50)*Deg2Rad)</f>
        <v>-4.4262937145334518E-4</v>
      </c>
      <c r="V61" s="304">
        <f>0.0012* SIN((V10 + 2*V50)*Deg2Rad)</f>
        <v>-1.0696957719528452E-3</v>
      </c>
      <c r="W61" s="304">
        <f>0.0012* SIN((W10 + 2*W50)*Deg2Rad)</f>
        <v>4.2652431496533757E-4</v>
      </c>
      <c r="X61" s="304">
        <f>0.0012* SIN((X10 + 2*X50)*Deg2Rad)</f>
        <v>3.5014971645688179E-4</v>
      </c>
      <c r="Y61" s="304">
        <f>0.0012* SIN((Y10 + 2*Y50)*Deg2Rad)</f>
        <v>-4.6282710619272602E-4</v>
      </c>
      <c r="Z61" s="304">
        <f>0.0012* SIN((Z10 + 2*Z50)*Deg2Rad)</f>
        <v>1.0054079993172245E-3</v>
      </c>
      <c r="AA61" s="304">
        <f>0.0012* SIN((AA10 + 2*AA50)*Deg2Rad)</f>
        <v>3.520051480848061E-4</v>
      </c>
      <c r="AB61" s="304">
        <f>0.0012* SIN((AB10 + 2*AB50)*Deg2Rad)</f>
        <v>9.5984968979521577E-4</v>
      </c>
      <c r="AC61" s="304">
        <f>0.0012* SIN((AC10 + 2*AC50)*Deg2Rad)</f>
        <v>1.1958663308793904E-3</v>
      </c>
      <c r="AD61" s="304">
        <f>0.0012* SIN((AD10 + 2*AD50)*Deg2Rad)</f>
        <v>9.8187087850713632E-4</v>
      </c>
      <c r="AE61" s="304">
        <f>0.0012* SIN((AE10 + 2*AE50)*Deg2Rad)</f>
        <v>-4.6282710619272602E-4</v>
      </c>
      <c r="AF61" s="304">
        <f>0.0012* SIN((AF10 + 2*AF50)*Deg2Rad)</f>
        <v>7.6655858349668996E-4</v>
      </c>
      <c r="AG61" s="304">
        <f>0.0012* SIN((AG10 + 2*AG50)*Deg2Rad)</f>
        <v>-6.7134057801991826E-4</v>
      </c>
      <c r="AH61" s="304">
        <f>0.0012* SIN((AH10 + 2*AH50)*Deg2Rad)</f>
        <v>4.653780226373846E-4</v>
      </c>
      <c r="AI61" s="304">
        <f>0.0012* SIN((AI10 + 2*AI50)*Deg2Rad)</f>
        <v>1.1637275355838588E-3</v>
      </c>
      <c r="AJ61" s="304">
        <f>0.0012* SIN((AJ10 + 2*AJ50)*Deg2Rad)</f>
        <v>-7.067943960468152E-4</v>
      </c>
      <c r="AK61" s="304">
        <f>0.0012* SIN((AK10 + 2*AK50)*Deg2Rad)</f>
        <v>1.9912803051803338E-4</v>
      </c>
      <c r="AL61" s="304">
        <f>0.0012* SIN((AL10 + 2*AL50)*Deg2Rad)</f>
        <v>-7.6920316654851065E-4</v>
      </c>
      <c r="AM61" s="304">
        <f>0.0012* SIN((AM10 + 2*AM50)*Deg2Rad)</f>
        <v>-1.1564177060940579E-3</v>
      </c>
      <c r="AN61" s="304">
        <f>0.0012* SIN((AN10 + 2*AN50)*Deg2Rad)</f>
        <v>1.0823220988558965E-3</v>
      </c>
      <c r="AO61" s="304">
        <f>0.0012* SIN((AO10 + 2*AO50)*Deg2Rad)</f>
        <v>-9.5898205010694359E-4</v>
      </c>
      <c r="AP61" s="304">
        <f>0.0012* SIN((AP10 + 2*AP50)*Deg2Rad)</f>
        <v>1.1856317429193364E-4</v>
      </c>
      <c r="AQ61" s="304">
        <f>0.0012* SIN((AQ10 + 2*AQ50)*Deg2Rad)</f>
        <v>1.1856317429193364E-4</v>
      </c>
      <c r="AR61" s="304">
        <f>0.0012* SIN((AR10 + 2*AR50)*Deg2Rad)</f>
        <v>-1.186784199539207E-3</v>
      </c>
      <c r="AS61" s="304">
        <f>0.0012* SIN((AS10 + 2*AS50)*Deg2Rad)</f>
        <v>-1.186784199539207E-3</v>
      </c>
      <c r="AT61" s="304">
        <f>0.0012* SIN((AT10 + 2*AT50)*Deg2Rad)</f>
        <v>-1.186784199539207E-3</v>
      </c>
      <c r="AU61" s="304">
        <f>0.0012* SIN((AU10 + 2*AU50)*Deg2Rad)</f>
        <v>-1.1407719257931288E-3</v>
      </c>
      <c r="AV61" s="304">
        <f>0.0012* SIN((AV10 + 2*AV50)*Deg2Rad)</f>
        <v>4.9960409466427453E-4</v>
      </c>
      <c r="AW61" s="304">
        <f>0.0012* SIN((AW10 + 2*AW50)*Deg2Rad)</f>
        <v>-1.1409455135998213E-3</v>
      </c>
      <c r="AX61" s="304">
        <f>0.0012* SIN((AX10 + 2*AX50)*Deg2Rad)</f>
        <v>-8.2808227624750984E-4</v>
      </c>
      <c r="AY61" s="304">
        <f>0.0012* SIN((AY10 + 2*AY50)*Deg2Rad)</f>
        <v>-2.3620814425830692E-4</v>
      </c>
      <c r="AZ61" s="304">
        <f>0.0012* SIN((AZ10 + 2*AZ50)*Deg2Rad)</f>
        <v>-2.3620814425830692E-4</v>
      </c>
      <c r="BA61" s="304">
        <f>0.0012* SIN((BA10 + 2*BA50)*Deg2Rad)</f>
        <v>1.1633693259227495E-3</v>
      </c>
      <c r="BB61" s="304">
        <f>0.0012* SIN((BB10 + 2*BB50)*Deg2Rad)</f>
        <v>1.1633693259227495E-3</v>
      </c>
      <c r="BC61" s="304">
        <f>0.0012* SIN((BC10 + 2*BC50)*Deg2Rad)</f>
        <v>1.1633693259227495E-3</v>
      </c>
      <c r="BD61" s="304">
        <f>0.0012* SIN((BD10 + 2*BD50)*Deg2Rad)</f>
        <v>1.1633693259227495E-3</v>
      </c>
      <c r="BE61" s="304">
        <f>0.0012* SIN((BE10 + 2*BE50)*Deg2Rad)</f>
        <v>1.1633693259227495E-3</v>
      </c>
      <c r="BF61" s="304">
        <f>0.0012* SIN((BF10 + 2*BF50)*Deg2Rad)</f>
        <v>1.1633693259227495E-3</v>
      </c>
      <c r="BG61" s="304">
        <f>0.0012* SIN((BG10 + 2*BG50)*Deg2Rad)</f>
        <v>-4.6282710619272602E-4</v>
      </c>
    </row>
    <row r="62" spans="1:59" x14ac:dyDescent="0.25">
      <c r="C62" t="s">
        <v>1082</v>
      </c>
      <c r="E62" s="304">
        <f>0.0006*E8* SIN((2*E10 + E9)*Deg2Rad)</f>
        <v>2.0354904420816347E-4</v>
      </c>
      <c r="F62" s="304">
        <f>0.0006*F8* SIN((2*F10 + F9)*Deg2Rad)</f>
        <v>9.0852844631160752E-5</v>
      </c>
      <c r="G62" s="304">
        <f>0.0006*G8* SIN((2*G10 + G9)*Deg2Rad)</f>
        <v>4.2928397085380293E-4</v>
      </c>
      <c r="H62" s="304">
        <f>0.0006*H8* SIN((2*H10 + H9)*Deg2Rad)</f>
        <v>2.3626238533454235E-4</v>
      </c>
      <c r="I62" s="304">
        <f>0.0006*I8* SIN((2*I10 + I9)*Deg2Rad)</f>
        <v>5.9958019691363248E-4</v>
      </c>
      <c r="J62" s="304">
        <f>0.0006*J8* SIN((2*J10 + J9)*Deg2Rad)</f>
        <v>4.5226599475688893E-4</v>
      </c>
      <c r="K62" s="304">
        <f>0.0006*K8* SIN((2*K10 + K9)*Deg2Rad)</f>
        <v>-2.414649670990789E-4</v>
      </c>
      <c r="L62" s="304">
        <f>0.0006*L8* SIN((2*L10 + L9)*Deg2Rad)</f>
        <v>2.0500389448870862E-4</v>
      </c>
      <c r="M62" s="304">
        <f>0.0006*M8* SIN((2*M10 + M9)*Deg2Rad)</f>
        <v>-5.696825833861113E-4</v>
      </c>
      <c r="N62" s="304">
        <f>0.0006*N8* SIN((2*N10 + N9)*Deg2Rad)</f>
        <v>-4.5779581534121673E-4</v>
      </c>
      <c r="O62" s="304">
        <f>0.0006*O8* SIN((2*O10 + O9)*Deg2Rad)</f>
        <v>-1.9403026650700024E-4</v>
      </c>
      <c r="P62" s="304">
        <f>0.0006*P8* SIN((2*P10 + P9)*Deg2Rad)</f>
        <v>-5.4613266733981693E-4</v>
      </c>
      <c r="Q62" s="304">
        <f>0.0006*Q8* SIN((2*Q10 + Q9)*Deg2Rad)</f>
        <v>1.5338731893736773E-4</v>
      </c>
      <c r="R62" s="304">
        <f>0.0006*R8* SIN((2*R10 + R9)*Deg2Rad)</f>
        <v>-5.7842531668931673E-4</v>
      </c>
      <c r="S62" s="304">
        <f>0.0006*S8* SIN((2*S10 + S9)*Deg2Rad)</f>
        <v>-6.3214086049685639E-4</v>
      </c>
      <c r="T62" s="304">
        <f>0.0006*T8* SIN((2*T10 + T9)*Deg2Rad)</f>
        <v>3.9014977019998144E-4</v>
      </c>
      <c r="U62" s="304">
        <f>0.0006*U8* SIN((2*U10 + U9)*Deg2Rad)</f>
        <v>5.9639920208174441E-4</v>
      </c>
      <c r="V62" s="304">
        <f>0.0006*V8* SIN((2*V10 + V9)*Deg2Rad)</f>
        <v>-6.1428825519844706E-4</v>
      </c>
      <c r="W62" s="304">
        <f>0.0006*W8* SIN((2*W10 + W9)*Deg2Rad)</f>
        <v>-3.0350333141367623E-4</v>
      </c>
      <c r="X62" s="304">
        <f>0.0006*X8* SIN((2*X10 + X9)*Deg2Rad)</f>
        <v>-5.4185612843500521E-4</v>
      </c>
      <c r="Y62" s="304">
        <f>0.0006*Y8* SIN((2*Y10 + Y9)*Deg2Rad)</f>
        <v>-5.0051411658549709E-4</v>
      </c>
      <c r="Z62" s="304">
        <f>0.0006*Z8* SIN((2*Z10 + Z9)*Deg2Rad)</f>
        <v>4.4417144689551559E-4</v>
      </c>
      <c r="AA62" s="304">
        <f>0.0006*AA8* SIN((2*AA10 + AA9)*Deg2Rad)</f>
        <v>4.2928397085380293E-4</v>
      </c>
      <c r="AB62" s="304">
        <f>0.0006*AB8* SIN((2*AB10 + AB9)*Deg2Rad)</f>
        <v>-4.6349420680879123E-4</v>
      </c>
      <c r="AC62" s="304">
        <f>0.0006*AC8* SIN((2*AC10 + AC9)*Deg2Rad)</f>
        <v>-3.2470969861817379E-4</v>
      </c>
      <c r="AD62" s="304">
        <f>0.0006*AD8* SIN((2*AD10 + AD9)*Deg2Rad)</f>
        <v>-3.735725362186698E-4</v>
      </c>
      <c r="AE62" s="304">
        <f>0.0006*AE8* SIN((2*AE10 + AE9)*Deg2Rad)</f>
        <v>-5.0051411658549709E-4</v>
      </c>
      <c r="AF62" s="304">
        <f>0.0006*AF8* SIN((2*AF10 + AF9)*Deg2Rad)</f>
        <v>-3.9661634735292667E-4</v>
      </c>
      <c r="AG62" s="304">
        <f>0.0006*AG8* SIN((2*AG10 + AG9)*Deg2Rad)</f>
        <v>5.1913692647764776E-4</v>
      </c>
      <c r="AH62" s="304">
        <f>0.0006*AH8* SIN((2*AH10 + AH9)*Deg2Rad)</f>
        <v>-5.4437524956302437E-4</v>
      </c>
      <c r="AI62" s="304">
        <f>0.0006*AI8* SIN((2*AI10 + AI9)*Deg2Rad)</f>
        <v>-3.4177485806946356E-4</v>
      </c>
      <c r="AJ62" s="304">
        <f>0.0006*AJ8* SIN((2*AJ10 + AJ9)*Deg2Rad)</f>
        <v>-5.9787586517285121E-4</v>
      </c>
      <c r="AK62" s="304">
        <f>0.0006*AK8* SIN((2*AK10 + AK9)*Deg2Rad)</f>
        <v>5.9009724229677242E-4</v>
      </c>
      <c r="AL62" s="304">
        <f>0.0006*AL8* SIN((2*AL10 + AL9)*Deg2Rad)</f>
        <v>5.1618676128032217E-4</v>
      </c>
      <c r="AM62" s="304">
        <f>0.0006*AM8* SIN((2*AM10 + AM9)*Deg2Rad)</f>
        <v>5.1080040517075334E-4</v>
      </c>
      <c r="AN62" s="304">
        <f>0.0006*AN8* SIN((2*AN10 + AN9)*Deg2Rad)</f>
        <v>-5.7095418179347506E-4</v>
      </c>
      <c r="AO62" s="304">
        <f>0.0006*AO8* SIN((2*AO10 + AO9)*Deg2Rad)</f>
        <v>5.2945058979587999E-4</v>
      </c>
      <c r="AP62" s="304">
        <f>0.0006*AP8* SIN((2*AP10 + AP9)*Deg2Rad)</f>
        <v>4.8145221795342115E-4</v>
      </c>
      <c r="AQ62" s="304">
        <f>0.0006*AQ8* SIN((2*AQ10 + AQ9)*Deg2Rad)</f>
        <v>4.8145221795342115E-4</v>
      </c>
      <c r="AR62" s="304">
        <f>0.0006*AR8* SIN((2*AR10 + AR9)*Deg2Rad)</f>
        <v>4.30299055903335E-4</v>
      </c>
      <c r="AS62" s="304">
        <f>0.0006*AS8* SIN((2*AS10 + AS9)*Deg2Rad)</f>
        <v>4.30299055903335E-4</v>
      </c>
      <c r="AT62" s="304">
        <f>0.0006*AT8* SIN((2*AT10 + AT9)*Deg2Rad)</f>
        <v>4.30299055903335E-4</v>
      </c>
      <c r="AU62" s="304">
        <f>0.0006*AU8* SIN((2*AU10 + AU9)*Deg2Rad)</f>
        <v>5.0649848584816918E-4</v>
      </c>
      <c r="AV62" s="304">
        <f>0.0006*AV8* SIN((2*AV10 + AV9)*Deg2Rad)</f>
        <v>-4.1865712163464096E-4</v>
      </c>
      <c r="AW62" s="304">
        <f>0.0006*AW8* SIN((2*AW10 + AW9)*Deg2Rad)</f>
        <v>-5.5972749315807719E-4</v>
      </c>
      <c r="AX62" s="304">
        <f>0.0006*AX8* SIN((2*AX10 + AX9)*Deg2Rad)</f>
        <v>-5.8117938278534425E-4</v>
      </c>
      <c r="AY62" s="304">
        <f>0.0006*AY8* SIN((2*AY10 + AY9)*Deg2Rad)</f>
        <v>-3.4295620403957587E-4</v>
      </c>
      <c r="AZ62" s="304">
        <f>0.0006*AZ8* SIN((2*AZ10 + AZ9)*Deg2Rad)</f>
        <v>-3.4295620403957587E-4</v>
      </c>
      <c r="BA62" s="304">
        <f>0.0006*BA8* SIN((2*BA10 + BA9)*Deg2Rad)</f>
        <v>-5.406795892796887E-4</v>
      </c>
      <c r="BB62" s="304">
        <f>0.0006*BB8* SIN((2*BB10 + BB9)*Deg2Rad)</f>
        <v>-5.406795892796887E-4</v>
      </c>
      <c r="BC62" s="304">
        <f>0.0006*BC8* SIN((2*BC10 + BC9)*Deg2Rad)</f>
        <v>-5.406795892796887E-4</v>
      </c>
      <c r="BD62" s="304">
        <f>0.0006*BD8* SIN((2*BD10 + BD9)*Deg2Rad)</f>
        <v>-5.406795892796887E-4</v>
      </c>
      <c r="BE62" s="304">
        <f>0.0006*BE8* SIN((2*BE10 + BE9)*Deg2Rad)</f>
        <v>-5.406795892796887E-4</v>
      </c>
      <c r="BF62" s="304">
        <f>0.0006*BF8* SIN((2*BF10 + BF9)*Deg2Rad)</f>
        <v>-5.406795892796887E-4</v>
      </c>
      <c r="BG62" s="304">
        <f>0.0006*BG8* SIN((2*BG10 + BG9)*Deg2Rad)</f>
        <v>-5.0051411658549709E-4</v>
      </c>
    </row>
    <row r="63" spans="1:59" x14ac:dyDescent="0.25">
      <c r="C63" s="5" t="s">
        <v>1083</v>
      </c>
      <c r="E63" s="305">
        <f>-0.0004* SIN(3*E10*Deg2Rad)</f>
        <v>-2.8097057276904233E-4</v>
      </c>
      <c r="F63" s="305">
        <f>-0.0004* SIN(3*F10*Deg2Rad)</f>
        <v>-3.166556581076298E-4</v>
      </c>
      <c r="G63" s="305">
        <f>-0.0004* SIN(3*G10*Deg2Rad)</f>
        <v>3.6161183409067692E-4</v>
      </c>
      <c r="H63" s="305">
        <f>-0.0004* SIN(3*H10*Deg2Rad)</f>
        <v>-2.3104750602660198E-4</v>
      </c>
      <c r="I63" s="305">
        <f>-0.0004* SIN(3*I10*Deg2Rad)</f>
        <v>-3.9959939207898852E-4</v>
      </c>
      <c r="J63" s="305">
        <f>-0.0004* SIN(3*J10*Deg2Rad)</f>
        <v>-3.470419713810957E-4</v>
      </c>
      <c r="K63" s="305">
        <f>-0.0004* SIN(3*K10*Deg2Rad)</f>
        <v>3.3931503012779303E-4</v>
      </c>
      <c r="L63" s="305">
        <f>-0.0004* SIN(3*L10*Deg2Rad)</f>
        <v>2.0464863740515053E-4</v>
      </c>
      <c r="M63" s="305">
        <f>-0.0004* SIN(3*M10*Deg2Rad)</f>
        <v>1.2412670447405584E-4</v>
      </c>
      <c r="N63" s="305">
        <f>-0.0004* SIN(3*N10*Deg2Rad)</f>
        <v>-2.7751010328573236E-4</v>
      </c>
      <c r="O63" s="305">
        <f>-0.0004* SIN(3*O10*Deg2Rad)</f>
        <v>-3.5617439397162801E-4</v>
      </c>
      <c r="P63" s="305">
        <f>-0.0004* SIN(3*P10*Deg2Rad)</f>
        <v>3.9993356787224992E-4</v>
      </c>
      <c r="Q63" s="305">
        <f>-0.0004* SIN(3*Q10*Deg2Rad)</f>
        <v>-3.3759892924076061E-4</v>
      </c>
      <c r="R63" s="305">
        <f>-0.0004* SIN(3*R10*Deg2Rad)</f>
        <v>-2.8277156643584616E-4</v>
      </c>
      <c r="S63" s="305">
        <f>-0.0004* SIN(3*S10*Deg2Rad)</f>
        <v>-3.9856241340556725E-4</v>
      </c>
      <c r="T63" s="305">
        <f>-0.0004* SIN(3*T10*Deg2Rad)</f>
        <v>2.1664162781255954E-4</v>
      </c>
      <c r="U63" s="305">
        <f>-0.0004* SIN(3*U10*Deg2Rad)</f>
        <v>2.9159600436911486E-4</v>
      </c>
      <c r="V63" s="305">
        <f>-0.0004* SIN(3*V10*Deg2Rad)</f>
        <v>3.5246054230301399E-4</v>
      </c>
      <c r="W63" s="305">
        <f>-0.0004* SIN(3*W10*Deg2Rad)</f>
        <v>2.2990554448059988E-4</v>
      </c>
      <c r="X63" s="305">
        <f>-0.0004* SIN(3*X10*Deg2Rad)</f>
        <v>-3.9940196580534105E-4</v>
      </c>
      <c r="Y63" s="305">
        <f>-0.0004* SIN(3*Y10*Deg2Rad)</f>
        <v>3.8427963064516002E-4</v>
      </c>
      <c r="Z63" s="305">
        <f>-0.0004* SIN(3*Z10*Deg2Rad)</f>
        <v>3.9116812331753387E-4</v>
      </c>
      <c r="AA63" s="305">
        <f>-0.0004* SIN(3*AA10*Deg2Rad)</f>
        <v>3.6161183409067692E-4</v>
      </c>
      <c r="AB63" s="305">
        <f>-0.0004* SIN(3*AB10*Deg2Rad)</f>
        <v>1.3612487765045627E-4</v>
      </c>
      <c r="AC63" s="305">
        <f>-0.0004* SIN(3*AC10*Deg2Rad)</f>
        <v>6.9693103976208636E-5</v>
      </c>
      <c r="AD63" s="305">
        <f>-0.0004* SIN(3*AD10*Deg2Rad)</f>
        <v>-3.9543828348481371E-5</v>
      </c>
      <c r="AE63" s="305">
        <f>-0.0004* SIN(3*AE10*Deg2Rad)</f>
        <v>3.8427963064516002E-4</v>
      </c>
      <c r="AF63" s="305">
        <f>-0.0004* SIN(3*AF10*Deg2Rad)</f>
        <v>9.3561751152707262E-5</v>
      </c>
      <c r="AG63" s="305">
        <f>-0.0004* SIN(3*AG10*Deg2Rad)</f>
        <v>8.0235210722293408E-5</v>
      </c>
      <c r="AH63" s="305">
        <f>-0.0004* SIN(3*AH10*Deg2Rad)</f>
        <v>-3.9662816438805655E-4</v>
      </c>
      <c r="AI63" s="305">
        <f>-0.0004* SIN(3*AI10*Deg2Rad)</f>
        <v>-6.5438749958165833E-5</v>
      </c>
      <c r="AJ63" s="305">
        <f>-0.0004* SIN(3*AJ10*Deg2Rad)</f>
        <v>-9.491812944353929E-5</v>
      </c>
      <c r="AK63" s="305">
        <f>-0.0004* SIN(3*AK10*Deg2Rad)</f>
        <v>-2.405273156505573E-4</v>
      </c>
      <c r="AL63" s="305">
        <f>-0.0004* SIN(3*AL10*Deg2Rad)</f>
        <v>1.5080978663143085E-4</v>
      </c>
      <c r="AM63" s="305">
        <f>-0.0004* SIN(3*AM10*Deg2Rad)</f>
        <v>-3.4165957142055E-4</v>
      </c>
      <c r="AN63" s="305">
        <f>-0.0004* SIN(3*AN10*Deg2Rad)</f>
        <v>-3.5625886592120402E-4</v>
      </c>
      <c r="AO63" s="305">
        <f>-0.0004* SIN(3*AO10*Deg2Rad)</f>
        <v>1.5976306037409379E-4</v>
      </c>
      <c r="AP63" s="305">
        <f>-0.0004* SIN(3*AP10*Deg2Rad)</f>
        <v>-2.9898481462348967E-4</v>
      </c>
      <c r="AQ63" s="305">
        <f>-0.0004* SIN(3*AQ10*Deg2Rad)</f>
        <v>-2.9898481462348967E-4</v>
      </c>
      <c r="AR63" s="305">
        <f>-0.0004* SIN(3*AR10*Deg2Rad)</f>
        <v>-3.2433637542290977E-4</v>
      </c>
      <c r="AS63" s="305">
        <f>-0.0004* SIN(3*AS10*Deg2Rad)</f>
        <v>-3.2433637542290977E-4</v>
      </c>
      <c r="AT63" s="305">
        <f>-0.0004* SIN(3*AT10*Deg2Rad)</f>
        <v>-3.2433637542290977E-4</v>
      </c>
      <c r="AU63" s="305">
        <f>-0.0004* SIN(3*AU10*Deg2Rad)</f>
        <v>2.3860168513652514E-4</v>
      </c>
      <c r="AV63" s="305">
        <f>-0.0004* SIN(3*AV10*Deg2Rad)</f>
        <v>-1.4582364083952172E-4</v>
      </c>
      <c r="AW63" s="305">
        <f>-0.0004* SIN(3*AW10*Deg2Rad)</f>
        <v>3.8499844802579745E-4</v>
      </c>
      <c r="AX63" s="305">
        <f>-0.0004* SIN(3*AX10*Deg2Rad)</f>
        <v>-2.0405683855163426E-4</v>
      </c>
      <c r="AY63" s="305">
        <f>-0.0004* SIN(3*AY10*Deg2Rad)</f>
        <v>1.5804276974351979E-4</v>
      </c>
      <c r="AZ63" s="305">
        <f>-0.0004* SIN(3*AZ10*Deg2Rad)</f>
        <v>1.5804276974351979E-4</v>
      </c>
      <c r="BA63" s="305">
        <f>-0.0004* SIN(3*BA10*Deg2Rad)</f>
        <v>3.9301467605557802E-4</v>
      </c>
      <c r="BB63" s="305">
        <f>-0.0004* SIN(3*BB10*Deg2Rad)</f>
        <v>3.9301467605557802E-4</v>
      </c>
      <c r="BC63" s="305">
        <f>-0.0004* SIN(3*BC10*Deg2Rad)</f>
        <v>3.9301467605557802E-4</v>
      </c>
      <c r="BD63" s="305">
        <f>-0.0004* SIN(3*BD10*Deg2Rad)</f>
        <v>3.9301467605557802E-4</v>
      </c>
      <c r="BE63" s="305">
        <f>-0.0004* SIN(3*BE10*Deg2Rad)</f>
        <v>3.9301467605557802E-4</v>
      </c>
      <c r="BF63" s="305">
        <f>-0.0004* SIN(3*BF10*Deg2Rad)</f>
        <v>3.9301467605557802E-4</v>
      </c>
      <c r="BG63" s="305">
        <f>-0.0004* SIN(3*BG10*Deg2Rad)</f>
        <v>3.8427963064516002E-4</v>
      </c>
    </row>
    <row r="64" spans="1:59" x14ac:dyDescent="0.25">
      <c r="C64" s="5" t="s">
        <v>1084</v>
      </c>
      <c r="E64" s="305">
        <f>-0.0003*E8* SIN((E9 + 2*E50)*Deg2Rad)</f>
        <v>3.0027166066294401E-4</v>
      </c>
      <c r="F64" s="305">
        <f>-0.0003*F8* SIN((F9 + 2*F50)*Deg2Rad)</f>
        <v>-2.6761028396245706E-4</v>
      </c>
      <c r="G64" s="305">
        <f>-0.0003*G8* SIN((G9 + 2*G50)*Deg2Rad)</f>
        <v>1.7662680396053111E-4</v>
      </c>
      <c r="H64" s="305">
        <f>-0.0003*H8* SIN((H9 + 2*H50)*Deg2Rad)</f>
        <v>1.9844954818431533E-4</v>
      </c>
      <c r="I64" s="305">
        <f>-0.0003*I8* SIN((I9 + 2*I50)*Deg2Rad)</f>
        <v>2.8627611869504145E-4</v>
      </c>
      <c r="J64" s="305">
        <f>-0.0003*J8* SIN((J9 + 2*J50)*Deg2Rad)</f>
        <v>7.8771812493853673E-5</v>
      </c>
      <c r="K64" s="305">
        <f>-0.0003*K8* SIN((K9 + 2*K50)*Deg2Rad)</f>
        <v>2.9344173228987433E-4</v>
      </c>
      <c r="L64" s="305">
        <f>-0.0003*L8* SIN((L9 + 2*L50)*Deg2Rad)</f>
        <v>5.1305485431094123E-5</v>
      </c>
      <c r="M64" s="305">
        <f>-0.0003*M8* SIN((M9 + 2*M50)*Deg2Rad)</f>
        <v>-2.0075027821751091E-4</v>
      </c>
      <c r="N64" s="305">
        <f>-0.0003*N8* SIN((N9 + 2*N50)*Deg2Rad)</f>
        <v>-3.0696477946627193E-5</v>
      </c>
      <c r="O64" s="305">
        <f>-0.0003*O8* SIN((O9 + 2*O50)*Deg2Rad)</f>
        <v>-2.9676149415919272E-4</v>
      </c>
      <c r="P64" s="305">
        <f>-0.0003*P8* SIN((P9 + 2*P50)*Deg2Rad)</f>
        <v>2.8079438886090356E-4</v>
      </c>
      <c r="Q64" s="305">
        <f>-0.0003*Q8* SIN((Q9 + 2*Q50)*Deg2Rad)</f>
        <v>-1.928511942641316E-4</v>
      </c>
      <c r="R64" s="305">
        <f>-0.0003*R8* SIN((R9 + 2*R50)*Deg2Rad)</f>
        <v>2.5057888529333094E-4</v>
      </c>
      <c r="S64" s="305">
        <f>-0.0003*S8* SIN((S9 + 2*S50)*Deg2Rad)</f>
        <v>-2.5135235236196354E-4</v>
      </c>
      <c r="T64" s="305">
        <f>-0.0003*T8* SIN((T9 + 2*T50)*Deg2Rad)</f>
        <v>-2.0488592664833218E-4</v>
      </c>
      <c r="U64" s="305">
        <f>-0.0003*U8* SIN((U9 + 2*U50)*Deg2Rad)</f>
        <v>-2.1981122962646331E-4</v>
      </c>
      <c r="V64" s="305">
        <f>-0.0003*V8* SIN((V9 + 2*V50)*Deg2Rad)</f>
        <v>3.1033404378161213E-4</v>
      </c>
      <c r="W64" s="305">
        <f>-0.0003*W8* SIN((W9 + 2*W50)*Deg2Rad)</f>
        <v>-8.3288694466337985E-5</v>
      </c>
      <c r="X64" s="305">
        <f>-0.0003*X8* SIN((X9 + 2*X50)*Deg2Rad)</f>
        <v>-6.0456940226306451E-5</v>
      </c>
      <c r="Y64" s="305">
        <f>-0.0003*Y8* SIN((Y9 + 2*Y50)*Deg2Rad)</f>
        <v>2.8599670830646421E-4</v>
      </c>
      <c r="Z64" s="305">
        <f>-0.0003*Z8* SIN((Z9 + 2*Z50)*Deg2Rad)</f>
        <v>1.3511803944279188E-4</v>
      </c>
      <c r="AA64" s="305">
        <f>-0.0003*AA8* SIN((AA9 + 2*AA50)*Deg2Rad)</f>
        <v>1.7662680396053111E-4</v>
      </c>
      <c r="AB64" s="305">
        <f>-0.0003*AB8* SIN((AB9 + 2*AB50)*Deg2Rad)</f>
        <v>-8.9195598518970593E-5</v>
      </c>
      <c r="AC64" s="305">
        <f>-0.0003*AC8* SIN((AC9 + 2*AC50)*Deg2Rad)</f>
        <v>-2.6632253188573109E-4</v>
      </c>
      <c r="AD64" s="305">
        <f>-0.0003*AD8* SIN((AD9 + 2*AD50)*Deg2Rad)</f>
        <v>-5.5920858002120036E-5</v>
      </c>
      <c r="AE64" s="305">
        <f>-0.0003*AE8* SIN((AE9 + 2*AE50)*Deg2Rad)</f>
        <v>2.8599670830646421E-4</v>
      </c>
      <c r="AF64" s="305">
        <f>-0.0003*AF8* SIN((AF9 + 2*AF50)*Deg2Rad)</f>
        <v>-7.864072496754317E-5</v>
      </c>
      <c r="AG64" s="305">
        <f>-0.0003*AG8* SIN((AG9 + 2*AG50)*Deg2Rad)</f>
        <v>7.4121918298848113E-5</v>
      </c>
      <c r="AH64" s="305">
        <f>-0.0003*AH8* SIN((AH9 + 2*AH50)*Deg2Rad)</f>
        <v>2.8080732108387157E-5</v>
      </c>
      <c r="AI64" s="305">
        <f>-0.0003*AI8* SIN((AI9 + 2*AI50)*Deg2Rad)</f>
        <v>2.9436707255473525E-4</v>
      </c>
      <c r="AJ64" s="305">
        <f>-0.0003*AJ8* SIN((AJ9 + 2*AJ50)*Deg2Rad)</f>
        <v>-2.8628185058558801E-4</v>
      </c>
      <c r="AK64" s="305">
        <f>-0.0003*AK8* SIN((AK9 + 2*AK50)*Deg2Rad)</f>
        <v>-2.3365824695688528E-4</v>
      </c>
      <c r="AL64" s="305">
        <f>-0.0003*AL8* SIN((AL9 + 2*AL50)*Deg2Rad)</f>
        <v>-1.4068111284145486E-5</v>
      </c>
      <c r="AM64" s="305">
        <f>-0.0003*AM8* SIN((AM9 + 2*AM50)*Deg2Rad)</f>
        <v>4.666008168621153E-5</v>
      </c>
      <c r="AN64" s="305">
        <f>-0.0003*AN8* SIN((AN9 + 2*AN50)*Deg2Rad)</f>
        <v>2.4654618644314287E-4</v>
      </c>
      <c r="AO64" s="305">
        <f>-0.0003*AO8* SIN((AO9 + 2*AO50)*Deg2Rad)</f>
        <v>-3.1374618584094626E-4</v>
      </c>
      <c r="AP64" s="305">
        <f>-0.0003*AP8* SIN((AP9 + 2*AP50)*Deg2Rad)</f>
        <v>-3.3242540546146754E-6</v>
      </c>
      <c r="AQ64" s="305">
        <f>-0.0003*AQ8* SIN((AQ9 + 2*AQ50)*Deg2Rad)</f>
        <v>-3.3242540546146754E-6</v>
      </c>
      <c r="AR64" s="305">
        <f>-0.0003*AR8* SIN((AR9 + 2*AR50)*Deg2Rad)</f>
        <v>2.9982617958512417E-4</v>
      </c>
      <c r="AS64" s="305">
        <f>-0.0003*AS8* SIN((AS9 + 2*AS50)*Deg2Rad)</f>
        <v>2.9982617958512417E-4</v>
      </c>
      <c r="AT64" s="305">
        <f>-0.0003*AT8* SIN((AT9 + 2*AT50)*Deg2Rad)</f>
        <v>2.9982617958512417E-4</v>
      </c>
      <c r="AU64" s="305">
        <f>-0.0003*AU8* SIN((AU9 + 2*AU50)*Deg2Rad)</f>
        <v>-2.9983557484410686E-4</v>
      </c>
      <c r="AV64" s="305">
        <f>-0.0003*AV8* SIN((AV9 + 2*AV50)*Deg2Rad)</f>
        <v>1.9691366548614794E-4</v>
      </c>
      <c r="AW64" s="305">
        <f>-0.0003*AW8* SIN((AW9 + 2*AW50)*Deg2Rad)</f>
        <v>1.7173692634170264E-4</v>
      </c>
      <c r="AX64" s="305">
        <f>-0.0003*AX8* SIN((AX9 + 2*AX50)*Deg2Rad)</f>
        <v>-3.0019519318155648E-4</v>
      </c>
      <c r="AY64" s="305">
        <f>-0.0003*AY8* SIN((AY9 + 2*AY50)*Deg2Rad)</f>
        <v>-1.3582656119411197E-6</v>
      </c>
      <c r="AZ64" s="305">
        <f>-0.0003*AZ8* SIN((AZ9 + 2*AZ50)*Deg2Rad)</f>
        <v>-1.3582656119411197E-6</v>
      </c>
      <c r="BA64" s="305">
        <f>-0.0003*BA8* SIN((BA9 + 2*BA50)*Deg2Rad)</f>
        <v>-2.9980374247446436E-4</v>
      </c>
      <c r="BB64" s="305">
        <f>-0.0003*BB8* SIN((BB9 + 2*BB50)*Deg2Rad)</f>
        <v>-2.9980374247446436E-4</v>
      </c>
      <c r="BC64" s="305">
        <f>-0.0003*BC8* SIN((BC9 + 2*BC50)*Deg2Rad)</f>
        <v>-2.9980374247446436E-4</v>
      </c>
      <c r="BD64" s="305">
        <f>-0.0003*BD8* SIN((BD9 + 2*BD50)*Deg2Rad)</f>
        <v>-2.9980374247446436E-4</v>
      </c>
      <c r="BE64" s="305">
        <f>-0.0003*BE8* SIN((BE9 + 2*BE50)*Deg2Rad)</f>
        <v>-2.9980374247446436E-4</v>
      </c>
      <c r="BF64" s="305">
        <f>-0.0003*BF8* SIN((BF9 + 2*BF50)*Deg2Rad)</f>
        <v>-2.9980374247446436E-4</v>
      </c>
      <c r="BG64" s="305">
        <f>-0.0003*BG8* SIN((BG9 + 2*BG50)*Deg2Rad)</f>
        <v>2.8599670830646421E-4</v>
      </c>
    </row>
    <row r="65" spans="3:59" x14ac:dyDescent="0.25">
      <c r="C65" t="s">
        <v>1085</v>
      </c>
      <c r="E65" s="304">
        <f t="shared" ref="E65:AJ65" si="22">0.0003 *SIN(E51*Deg2Rad)</f>
        <v>-2.6894915401249128E-4</v>
      </c>
      <c r="F65" s="304">
        <f t="shared" ref="F65:BG65" si="23">0.0003 *SIN(F51*Deg2Rad)</f>
        <v>-2.6705946005673635E-4</v>
      </c>
      <c r="G65" s="304">
        <f t="shared" si="23"/>
        <v>-2.6040766480893803E-4</v>
      </c>
      <c r="H65" s="304">
        <f t="shared" si="23"/>
        <v>-2.636923313335892E-4</v>
      </c>
      <c r="I65" s="304">
        <f t="shared" si="23"/>
        <v>-2.9279264603525676E-4</v>
      </c>
      <c r="J65" s="304">
        <f t="shared" si="23"/>
        <v>-2.9216711681339546E-4</v>
      </c>
      <c r="K65" s="304">
        <f t="shared" si="23"/>
        <v>-2.9124826510860816E-4</v>
      </c>
      <c r="L65" s="304">
        <f t="shared" si="23"/>
        <v>-2.90561227517883E-4</v>
      </c>
      <c r="M65" s="304">
        <f t="shared" si="23"/>
        <v>6.8010034607457194E-5</v>
      </c>
      <c r="N65" s="304">
        <f t="shared" si="23"/>
        <v>2.3551116431541979E-4</v>
      </c>
      <c r="O65" s="304">
        <f t="shared" si="23"/>
        <v>2.3091029843970049E-4</v>
      </c>
      <c r="P65" s="304">
        <f t="shared" si="23"/>
        <v>-7.2045314115884391E-5</v>
      </c>
      <c r="Q65" s="304">
        <f t="shared" si="23"/>
        <v>-1.7181149618337058E-5</v>
      </c>
      <c r="R65" s="304">
        <f t="shared" si="23"/>
        <v>-1.7744228155090867E-5</v>
      </c>
      <c r="S65" s="304">
        <f t="shared" si="23"/>
        <v>-2.995286566838229E-4</v>
      </c>
      <c r="T65" s="304">
        <f t="shared" si="23"/>
        <v>-2.9942895098682913E-4</v>
      </c>
      <c r="U65" s="304">
        <f t="shared" si="23"/>
        <v>-2.9911639496403667E-4</v>
      </c>
      <c r="V65" s="304">
        <f t="shared" si="23"/>
        <v>-9.3923266944666813E-5</v>
      </c>
      <c r="W65" s="304">
        <f t="shared" si="23"/>
        <v>-2.9242041188586943E-4</v>
      </c>
      <c r="X65" s="304">
        <f t="shared" si="23"/>
        <v>-2.8267657841517404E-4</v>
      </c>
      <c r="Y65" s="304">
        <f t="shared" si="23"/>
        <v>-2.9998204028329413E-4</v>
      </c>
      <c r="Z65" s="304">
        <f t="shared" si="23"/>
        <v>-9.4327655788985724E-6</v>
      </c>
      <c r="AA65" s="304">
        <f t="shared" si="23"/>
        <v>-2.6040766480893803E-4</v>
      </c>
      <c r="AB65" s="304">
        <f t="shared" si="23"/>
        <v>-2.5794871856533351E-4</v>
      </c>
      <c r="AC65" s="304">
        <f t="shared" si="23"/>
        <v>-2.9986229046661411E-4</v>
      </c>
      <c r="AD65" s="304">
        <f t="shared" si="23"/>
        <v>-2.9083910929713643E-4</v>
      </c>
      <c r="AE65" s="304">
        <f t="shared" si="23"/>
        <v>-2.9998204028329413E-4</v>
      </c>
      <c r="AF65" s="304">
        <f t="shared" si="23"/>
        <v>-2.811381040906809E-4</v>
      </c>
      <c r="AG65" s="304">
        <f t="shared" si="23"/>
        <v>-2.8152866418488837E-4</v>
      </c>
      <c r="AH65" s="304">
        <f t="shared" si="23"/>
        <v>-2.8521572978186267E-4</v>
      </c>
      <c r="AI65" s="304">
        <f t="shared" si="23"/>
        <v>-2.8286442449862117E-4</v>
      </c>
      <c r="AJ65" s="304">
        <f t="shared" si="23"/>
        <v>-2.8014442644294657E-4</v>
      </c>
      <c r="AK65" s="304">
        <f t="shared" si="23"/>
        <v>2.5431507214344548E-4</v>
      </c>
      <c r="AL65" s="304">
        <f t="shared" si="23"/>
        <v>-2.8624389940051066E-4</v>
      </c>
      <c r="AM65" s="304">
        <f t="shared" si="23"/>
        <v>-2.9983842332325777E-4</v>
      </c>
      <c r="AN65" s="304">
        <f t="shared" si="23"/>
        <v>-2.5956584295235512E-4</v>
      </c>
      <c r="AO65" s="304">
        <f t="shared" si="23"/>
        <v>9.9898872806155364E-5</v>
      </c>
      <c r="AP65" s="304">
        <f t="shared" si="23"/>
        <v>-1.5022134451305011E-4</v>
      </c>
      <c r="AQ65" s="304">
        <f t="shared" si="23"/>
        <v>-1.5022134451305011E-4</v>
      </c>
      <c r="AR65" s="304">
        <f t="shared" si="23"/>
        <v>-1.4973429455512619E-4</v>
      </c>
      <c r="AS65" s="304">
        <f t="shared" si="23"/>
        <v>-1.4973429455512619E-4</v>
      </c>
      <c r="AT65" s="304">
        <f t="shared" si="23"/>
        <v>-1.4973429455512619E-4</v>
      </c>
      <c r="AU65" s="304">
        <f t="shared" si="23"/>
        <v>-2.9858458403622754E-4</v>
      </c>
      <c r="AV65" s="304">
        <f t="shared" si="23"/>
        <v>-2.6811681934085915E-4</v>
      </c>
      <c r="AW65" s="304">
        <f t="shared" si="23"/>
        <v>-1.6518833393005657E-4</v>
      </c>
      <c r="AX65" s="304">
        <f t="shared" si="23"/>
        <v>-2.6743709209210519E-4</v>
      </c>
      <c r="AY65" s="304">
        <f t="shared" si="23"/>
        <v>-1.4924671848680343E-4</v>
      </c>
      <c r="AZ65" s="304">
        <f t="shared" si="23"/>
        <v>-1.4924671848680343E-4</v>
      </c>
      <c r="BA65" s="304">
        <f t="shared" si="23"/>
        <v>-1.4875861802159481E-4</v>
      </c>
      <c r="BB65" s="304">
        <f t="shared" si="23"/>
        <v>-1.4875861802159481E-4</v>
      </c>
      <c r="BC65" s="304">
        <f t="shared" si="23"/>
        <v>-1.4875861802159481E-4</v>
      </c>
      <c r="BD65" s="304">
        <f t="shared" si="23"/>
        <v>-1.4875861802159481E-4</v>
      </c>
      <c r="BE65" s="304">
        <f t="shared" si="23"/>
        <v>-1.4875861802159481E-4</v>
      </c>
      <c r="BF65" s="304">
        <f t="shared" si="23"/>
        <v>-1.4875861802159481E-4</v>
      </c>
      <c r="BG65" s="304">
        <f t="shared" si="23"/>
        <v>-2.9998204028329413E-4</v>
      </c>
    </row>
    <row r="66" spans="3:59" x14ac:dyDescent="0.25">
      <c r="C66" s="5" t="s">
        <v>1086</v>
      </c>
      <c r="E66" s="305">
        <f>-0.0002*E8* SIN((E9 - 2 *E50)*Deg2Rad)</f>
        <v>1.5754069148633766E-4</v>
      </c>
      <c r="F66" s="305">
        <f>-0.0002*F8* SIN((F9 - 2 *F50)*Deg2Rad)</f>
        <v>-1.6413891641821004E-4</v>
      </c>
      <c r="G66" s="305">
        <f>-0.0002*G8* SIN((G9 - 2 *G50)*Deg2Rad)</f>
        <v>-1.3167374472618622E-4</v>
      </c>
      <c r="H66" s="305">
        <f>-0.0002*H8* SIN((H9 - 2 *H50)*Deg2Rad)</f>
        <v>-1.8542986949985439E-4</v>
      </c>
      <c r="I66" s="305">
        <f>-0.0002*I8* SIN((I9 - 2 *I50)*Deg2Rad)</f>
        <v>-7.2187389240603079E-5</v>
      </c>
      <c r="J66" s="305">
        <f>-0.0002*J8* SIN((J9 - 2 *J50)*Deg2Rad)</f>
        <v>8.1541995947593064E-6</v>
      </c>
      <c r="K66" s="305">
        <f>-0.0002*K8* SIN((K9 - 2 *K50)*Deg2Rad)</f>
        <v>-1.4866347939670449E-4</v>
      </c>
      <c r="L66" s="305">
        <f>-0.0002*L8* SIN((L9 - 2 *L50)*Deg2Rad)</f>
        <v>9.7542625505751032E-5</v>
      </c>
      <c r="M66" s="305">
        <f>-0.0002*M8* SIN((M9 - 2 *M50)*Deg2Rad)</f>
        <v>1.3781194126008637E-4</v>
      </c>
      <c r="N66" s="305">
        <f>-0.0002*N8* SIN((N9 - 2 *N50)*Deg2Rad)</f>
        <v>-1.0370768790838058E-4</v>
      </c>
      <c r="O66" s="305">
        <f>-0.0002*O8* SIN((O9 - 2 *O50)*Deg2Rad)</f>
        <v>9.5377907024507644E-5</v>
      </c>
      <c r="P66" s="305">
        <f>-0.0002*P8* SIN((P9 - 2 *P50)*Deg2Rad)</f>
        <v>1.7367676666413088E-4</v>
      </c>
      <c r="Q66" s="305">
        <f>-0.0002*Q8* SIN((Q9 - 2 *Q50)*Deg2Rad)</f>
        <v>-1.9358188950657177E-4</v>
      </c>
      <c r="R66" s="305">
        <f>-0.0002*R8* SIN((R9 - 2 *R50)*Deg2Rad)</f>
        <v>-2.0717887554501076E-4</v>
      </c>
      <c r="S66" s="305">
        <f>-0.0002*S8* SIN((S9 - 2 *S50)*Deg2Rad)</f>
        <v>-1.2025867201723365E-4</v>
      </c>
      <c r="T66" s="305">
        <f>-0.0002*T8* SIN((T9 - 2 *T50)*Deg2Rad)</f>
        <v>-1.6148146756131542E-4</v>
      </c>
      <c r="U66" s="305">
        <f>-0.0002*U8* SIN((U9 - 2 *U50)*Deg2Rad)</f>
        <v>-1.0302341240498518E-4</v>
      </c>
      <c r="V66" s="305">
        <f>-0.0002*V8* SIN((V9 - 2 *V50)*Deg2Rad)</f>
        <v>2.2313947099443672E-4</v>
      </c>
      <c r="W66" s="305">
        <f>-0.0002*W8* SIN((W9 - 2 *W50)*Deg2Rad)</f>
        <v>-1.7687202426617911E-4</v>
      </c>
      <c r="X66" s="305">
        <f>-0.0002*X8* SIN((X9 - 2 *X50)*Deg2Rad)</f>
        <v>1.3760951424471066E-4</v>
      </c>
      <c r="Y66" s="305">
        <f>-0.0002*Y8* SIN((Y9 - 2 *Y50)*Deg2Rad)</f>
        <v>-5.5843169115339937E-5</v>
      </c>
      <c r="Z66" s="305">
        <f>-0.0002*Z8* SIN((Z9 - 2 *Z50)*Deg2Rad)</f>
        <v>-1.147769202691848E-4</v>
      </c>
      <c r="AA66" s="305">
        <f>-0.0002*AA8* SIN((AA9 - 2 *AA50)*Deg2Rad)</f>
        <v>-1.3167374472618622E-4</v>
      </c>
      <c r="AB66" s="305">
        <f>-0.0002*AB8* SIN((AB9 - 2 *AB50)*Deg2Rad)</f>
        <v>3.3913460882074711E-5</v>
      </c>
      <c r="AC66" s="305">
        <f>-0.0002*AC8* SIN((AC9 - 2 *AC50)*Deg2Rad)</f>
        <v>-1.8682475640005936E-5</v>
      </c>
      <c r="AD66" s="305">
        <f>-0.0002*AD8* SIN((AD9 - 2 *AD50)*Deg2Rad)</f>
        <v>-1.1558589784436812E-4</v>
      </c>
      <c r="AE66" s="305">
        <f>-0.0002*AE8* SIN((AE9 - 2 *AE50)*Deg2Rad)</f>
        <v>-5.5843169115339937E-5</v>
      </c>
      <c r="AF66" s="305">
        <f>-0.0002*AF8* SIN((AF9 - 2 *AF50)*Deg2Rad)</f>
        <v>1.1306910084916482E-4</v>
      </c>
      <c r="AG66" s="305">
        <f>-0.0002*AG8* SIN((AG9 - 2 *AG50)*Deg2Rad)</f>
        <v>-1.001739929791561E-4</v>
      </c>
      <c r="AH66" s="305">
        <f>-0.0002*AH8* SIN((AH9 - 2 *AH50)*Deg2Rad)</f>
        <v>1.4202099939961195E-4</v>
      </c>
      <c r="AI66" s="305">
        <f>-0.0002*AI8* SIN((AI9 - 2 *AI50)*Deg2Rad)</f>
        <v>1.9384186017655942E-4</v>
      </c>
      <c r="AJ66" s="305">
        <f>-0.0002*AJ8* SIN((AJ9 - 2 *AJ50)*Deg2Rad)</f>
        <v>-5.3779285477774668E-5</v>
      </c>
      <c r="AK66" s="305">
        <f>-0.0002*AK8* SIN((AK9 - 2 *AK50)*Deg2Rad)</f>
        <v>1.7999854265121125E-4</v>
      </c>
      <c r="AL66" s="305">
        <f>-0.0002*AL8* SIN((AL9 - 2 *AL50)*Deg2Rad)</f>
        <v>-1.0545262702989126E-4</v>
      </c>
      <c r="AM66" s="305">
        <f>-0.0002*AM8* SIN((AM9 - 2 *AM50)*Deg2Rad)</f>
        <v>1.7990404273880684E-4</v>
      </c>
      <c r="AN66" s="305">
        <f>-0.0002*AN8* SIN((AN9 - 2 *AN50)*Deg2Rad)</f>
        <v>1.6488159968721647E-4</v>
      </c>
      <c r="AO66" s="305">
        <f>-0.0002*AO8* SIN((AO9 - 2 *AO50)*Deg2Rad)</f>
        <v>1.2741890318163441E-5</v>
      </c>
      <c r="AP66" s="305">
        <f>-0.0002*AP8* SIN((AP9 - 2 *AP50)*Deg2Rad)</f>
        <v>5.8599253285103773E-5</v>
      </c>
      <c r="AQ66" s="305">
        <f>-0.0002*AQ8* SIN((AQ9 - 2 *AQ50)*Deg2Rad)</f>
        <v>5.8599253285103773E-5</v>
      </c>
      <c r="AR66" s="305">
        <f>-0.0002*AR8* SIN((AR9 - 2 *AR50)*Deg2Rad)</f>
        <v>1.5150378026069619E-4</v>
      </c>
      <c r="AS66" s="305">
        <f>-0.0002*AS8* SIN((AS9 - 2 *AS50)*Deg2Rad)</f>
        <v>1.5150378026069619E-4</v>
      </c>
      <c r="AT66" s="305">
        <f>-0.0002*AT8* SIN((AT9 - 2 *AT50)*Deg2Rad)</f>
        <v>1.5150378026069619E-4</v>
      </c>
      <c r="AU66" s="305">
        <f>-0.0002*AU8* SIN((AU9 - 2 *AU50)*Deg2Rad)</f>
        <v>8.9636487214605852E-5</v>
      </c>
      <c r="AV66" s="305">
        <f>-0.0002*AV8* SIN((AV9 - 2 *AV50)*Deg2Rad)</f>
        <v>1.9404926170553424E-4</v>
      </c>
      <c r="AW66" s="305">
        <f>-0.0002*AW8* SIN((AW9 - 2 *AW50)*Deg2Rad)</f>
        <v>-1.2484226304915731E-4</v>
      </c>
      <c r="AX66" s="305">
        <f>-0.0002*AX8* SIN((AX9 - 2 *AX50)*Deg2Rad)</f>
        <v>-1.2459830914752113E-4</v>
      </c>
      <c r="AY66" s="305">
        <f>-0.0002*AY8* SIN((AY9 - 2 *AY50)*Deg2Rad)</f>
        <v>1.9769997256714153E-4</v>
      </c>
      <c r="AZ66" s="305">
        <f>-0.0002*AZ8* SIN((AZ9 - 2 *AZ50)*Deg2Rad)</f>
        <v>1.9769997256714153E-4</v>
      </c>
      <c r="BA66" s="305">
        <f>-0.0002*BA8* SIN((BA9 - 2 *BA50)*Deg2Rad)</f>
        <v>1.8294577853094786E-4</v>
      </c>
      <c r="BB66" s="305">
        <f>-0.0002*BB8* SIN((BB9 - 2 *BB50)*Deg2Rad)</f>
        <v>1.8294577853094786E-4</v>
      </c>
      <c r="BC66" s="305">
        <f>-0.0002*BC8* SIN((BC9 - 2 *BC50)*Deg2Rad)</f>
        <v>1.8294577853094786E-4</v>
      </c>
      <c r="BD66" s="305">
        <f>-0.0002*BD8* SIN((BD9 - 2 *BD50)*Deg2Rad)</f>
        <v>1.8294577853094786E-4</v>
      </c>
      <c r="BE66" s="305">
        <f>-0.0002*BE8* SIN((BE9 - 2 *BE50)*Deg2Rad)</f>
        <v>1.8294577853094786E-4</v>
      </c>
      <c r="BF66" s="305">
        <f>-0.0002*BF8* SIN((BF9 - 2 *BF50)*Deg2Rad)</f>
        <v>1.8294577853094786E-4</v>
      </c>
      <c r="BG66" s="305">
        <f>-0.0002*BG8* SIN((BG9 - 2 *BG50)*Deg2Rad)</f>
        <v>-5.5843169115339937E-5</v>
      </c>
    </row>
    <row r="67" spans="3:59" x14ac:dyDescent="0.25">
      <c r="C67" s="5" t="s">
        <v>1087</v>
      </c>
      <c r="E67" s="305">
        <f>-0.0002*E8* SIN((2*E10-E9)*Deg2Rad)</f>
        <v>-6.6190145633857324E-5</v>
      </c>
      <c r="F67" s="305">
        <f>-0.0002*F8* SIN((2*F10-F9)*Deg2Rad)</f>
        <v>5.1264226540104693E-6</v>
      </c>
      <c r="G67" s="305">
        <f>-0.0002*G8* SIN((2*G10-G9)*Deg2Rad)</f>
        <v>-1.3008910241306892E-4</v>
      </c>
      <c r="H67" s="305">
        <f>-0.0002*H8* SIN((2*H10-H9)*Deg2Rad)</f>
        <v>-1.5268847549287955E-4</v>
      </c>
      <c r="I67" s="305">
        <f>-0.0002*I8* SIN((2*I10-I9)*Deg2Rad)</f>
        <v>-1.1763298554514998E-4</v>
      </c>
      <c r="J67" s="305">
        <f>-0.0002*J8* SIN((2*J10-J9)*Deg2Rad)</f>
        <v>-1.0406814672124788E-4</v>
      </c>
      <c r="K67" s="305">
        <f>-0.0002*K8* SIN((2*K10-K9)*Deg2Rad)</f>
        <v>1.6111945387823219E-4</v>
      </c>
      <c r="L67" s="305">
        <f>-0.0002*L8* SIN((2*L10-L9)*Deg2Rad)</f>
        <v>-1.7147972485948099E-4</v>
      </c>
      <c r="M67" s="305">
        <f>-0.0002*M8* SIN((2*M10-M9)*Deg2Rad)</f>
        <v>1.9156091952195808E-4</v>
      </c>
      <c r="N67" s="305">
        <f>-0.0002*N8* SIN((2*N10-N9)*Deg2Rad)</f>
        <v>4.323554379581046E-5</v>
      </c>
      <c r="O67" s="305">
        <f>-0.0002*O8* SIN((2*O10-O9)*Deg2Rad)</f>
        <v>-1.6499183172005477E-4</v>
      </c>
      <c r="P67" s="305">
        <f>-0.0002*P8* SIN((2*P10-P9)*Deg2Rad)</f>
        <v>-1.7966593668340111E-4</v>
      </c>
      <c r="Q67" s="305">
        <f>-0.0002*Q8* SIN((2*Q10-Q9)*Deg2Rad)</f>
        <v>2.0998836932758553E-4</v>
      </c>
      <c r="R67" s="305">
        <f>-0.0002*R8* SIN((2*R10-R9)*Deg2Rad)</f>
        <v>1.9278051238242895E-4</v>
      </c>
      <c r="S67" s="305">
        <f>-0.0002*S8* SIN((2*S10-S9)*Deg2Rad)</f>
        <v>5.1111482098852456E-5</v>
      </c>
      <c r="T67" s="305">
        <f>-0.0002*T8* SIN((2*T10-T9)*Deg2Rad)</f>
        <v>-1.7238543326102192E-4</v>
      </c>
      <c r="U67" s="305">
        <f>-0.0002*U8* SIN((2*U10-U9)*Deg2Rad)</f>
        <v>1.7287228743938205E-4</v>
      </c>
      <c r="V67" s="305">
        <f>-0.0002*V8* SIN((2*V10-V9)*Deg2Rad)</f>
        <v>-2.2214803988435071E-4</v>
      </c>
      <c r="W67" s="305">
        <f>-0.0002*W8* SIN((2*W10-W9)*Deg2Rad)</f>
        <v>-1.944551870920142E-4</v>
      </c>
      <c r="X67" s="305">
        <f>-0.0002*X8* SIN((2*X10-X9)*Deg2Rad)</f>
        <v>-1.7387480077893854E-4</v>
      </c>
      <c r="Y67" s="305">
        <f>-0.0002*Y8* SIN((2*Y10-Y9)*Deg2Rad)</f>
        <v>-1.1476152907659492E-4</v>
      </c>
      <c r="Z67" s="305">
        <f>-0.0002*Z8* SIN((2*Z10-Z9)*Deg2Rad)</f>
        <v>-1.6580082985492294E-4</v>
      </c>
      <c r="AA67" s="305">
        <f>-0.0002*AA8* SIN((2*AA10-AA9)*Deg2Rad)</f>
        <v>-1.3008910241306892E-4</v>
      </c>
      <c r="AB67" s="305">
        <f>-0.0002*AB8* SIN((2*AB10-AB9)*Deg2Rad)</f>
        <v>1.3648830738501678E-4</v>
      </c>
      <c r="AC67" s="305">
        <f>-0.0002*AC8* SIN((2*AC10-AC9)*Deg2Rad)</f>
        <v>1.9666947417652938E-4</v>
      </c>
      <c r="AD67" s="305">
        <f>-0.0002*AD8* SIN((2*AD10-AD9)*Deg2Rad)</f>
        <v>-4.8198682300542781E-5</v>
      </c>
      <c r="AE67" s="305">
        <f>-0.0002*AE8* SIN((2*AE10-AE9)*Deg2Rad)</f>
        <v>-1.1476152907659492E-4</v>
      </c>
      <c r="AF67" s="305">
        <f>-0.0002*AF8* SIN((2*AF10-AF9)*Deg2Rad)</f>
        <v>1.7426433788357418E-4</v>
      </c>
      <c r="AG67" s="305">
        <f>-0.0002*AG8* SIN((2*AG10-AG9)*Deg2Rad)</f>
        <v>5.3583761758652723E-5</v>
      </c>
      <c r="AH67" s="305">
        <f>-0.0002*AH8* SIN((2*AH10-AH9)*Deg2Rad)</f>
        <v>-1.9325745570906774E-4</v>
      </c>
      <c r="AI67" s="305">
        <f>-0.0002*AI8* SIN((2*AI10-AI9)*Deg2Rad)</f>
        <v>-1.2271014437789432E-4</v>
      </c>
      <c r="AJ67" s="305">
        <f>-0.0002*AJ8* SIN((2*AJ10-AJ9)*Deg2Rad)</f>
        <v>2.3555922849659433E-5</v>
      </c>
      <c r="AK67" s="305">
        <f>-0.0002*AK8* SIN((2*AK10-AK9)*Deg2Rad)</f>
        <v>-2.0087790121799885E-4</v>
      </c>
      <c r="AL67" s="305">
        <f>-0.0002*AL8* SIN((2*AL10-AL9)*Deg2Rad)</f>
        <v>1.0063870620602308E-4</v>
      </c>
      <c r="AM67" s="305">
        <f>-0.0002*AM8* SIN((2*AM10-AM9)*Deg2Rad)</f>
        <v>4.894932536545016E-5</v>
      </c>
      <c r="AN67" s="305">
        <f>-0.0002*AN8* SIN((2*AN10-AN9)*Deg2Rad)</f>
        <v>-1.9003600750587776E-4</v>
      </c>
      <c r="AO67" s="305">
        <f>-0.0002*AO8* SIN((2*AO10-AO9)*Deg2Rad)</f>
        <v>9.1892007969628166E-5</v>
      </c>
      <c r="AP67" s="305">
        <f>-0.0002*AP8* SIN((2*AP10-AP9)*Deg2Rad)</f>
        <v>1.8909607431676426E-4</v>
      </c>
      <c r="AQ67" s="305">
        <f>-0.0002*AQ8* SIN((2*AQ10-AQ9)*Deg2Rad)</f>
        <v>1.8909607431676426E-4</v>
      </c>
      <c r="AR67" s="305">
        <f>-0.0002*AR8* SIN((2*AR10-AR9)*Deg2Rad)</f>
        <v>1.9948698367372794E-4</v>
      </c>
      <c r="AS67" s="305">
        <f>-0.0002*AS8* SIN((2*AS10-AS9)*Deg2Rad)</f>
        <v>1.9948698367372794E-4</v>
      </c>
      <c r="AT67" s="305">
        <f>-0.0002*AT8* SIN((2*AT10-AT9)*Deg2Rad)</f>
        <v>1.9948698367372794E-4</v>
      </c>
      <c r="AU67" s="305">
        <f>-0.0002*AU8* SIN((2*AU10-AU9)*Deg2Rad)</f>
        <v>3.0257416475608085E-5</v>
      </c>
      <c r="AV67" s="305">
        <f>-0.0002*AV8* SIN((2*AV10-AV9)*Deg2Rad)</f>
        <v>-1.9101700527918185E-4</v>
      </c>
      <c r="AW67" s="305">
        <f>-0.0002*AW8* SIN((2*AW10-AW9)*Deg2Rad)</f>
        <v>1.9088669920471529E-4</v>
      </c>
      <c r="AX67" s="305">
        <f>-0.0002*AX8* SIN((2*AX10-AX9)*Deg2Rad)</f>
        <v>-8.6269643750453196E-5</v>
      </c>
      <c r="AY67" s="305">
        <f>-0.0002*AY8* SIN((2*AY10-AY9)*Deg2Rad)</f>
        <v>1.7943177778848886E-4</v>
      </c>
      <c r="AZ67" s="305">
        <f>-0.0002*AZ8* SIN((2*AZ10-AZ9)*Deg2Rad)</f>
        <v>1.7943177778848886E-4</v>
      </c>
      <c r="BA67" s="305">
        <f>-0.0002*BA8* SIN((2*BA10-BA9)*Deg2Rad)</f>
        <v>1.3199144332705985E-4</v>
      </c>
      <c r="BB67" s="305">
        <f>-0.0002*BB8* SIN((2*BB10-BB9)*Deg2Rad)</f>
        <v>1.3199144332705985E-4</v>
      </c>
      <c r="BC67" s="305">
        <f>-0.0002*BC8* SIN((2*BC10-BC9)*Deg2Rad)</f>
        <v>1.3199144332705985E-4</v>
      </c>
      <c r="BD67" s="305">
        <f>-0.0002*BD8* SIN((2*BD10-BD9)*Deg2Rad)</f>
        <v>1.3199144332705985E-4</v>
      </c>
      <c r="BE67" s="305">
        <f>-0.0002*BE8* SIN((2*BE10-BE9)*Deg2Rad)</f>
        <v>1.3199144332705985E-4</v>
      </c>
      <c r="BF67" s="305">
        <f>-0.0002*BF8* SIN((2*BF10-BF9)*Deg2Rad)</f>
        <v>1.3199144332705985E-4</v>
      </c>
      <c r="BG67" s="305">
        <f>-0.0002*BG8* SIN((2*BG10-BG9)*Deg2Rad)</f>
        <v>-1.1476152907659492E-4</v>
      </c>
    </row>
    <row r="68" spans="3:59" x14ac:dyDescent="0.25">
      <c r="C68" s="5" t="s">
        <v>1088</v>
      </c>
      <c r="E68" s="305">
        <f>-0.0002 *SIN(E12*Deg2Rad)</f>
        <v>1.3135805372497194E-4</v>
      </c>
      <c r="F68" s="305">
        <f>-0.0002 *SIN(F12*Deg2Rad)</f>
        <v>1.1831768796452516E-4</v>
      </c>
      <c r="G68" s="305">
        <f>-0.0002 *SIN(G12*Deg2Rad)</f>
        <v>-1.642804267079635E-4</v>
      </c>
      <c r="H68" s="305">
        <f>-0.0002 *SIN(H12*Deg2Rad)</f>
        <v>-1.1885321311132997E-4</v>
      </c>
      <c r="I68" s="305">
        <f>-0.0002 *SIN(I12*Deg2Rad)</f>
        <v>-5.1681451436492479E-5</v>
      </c>
      <c r="J68" s="305">
        <f>-0.0002 *SIN(J12*Deg2Rad)</f>
        <v>-2.4917010965707972E-5</v>
      </c>
      <c r="K68" s="305">
        <f>-0.0002 *SIN(K12*Deg2Rad)</f>
        <v>1.3218209098560452E-5</v>
      </c>
      <c r="L68" s="305">
        <f>-0.0002 *SIN(L12*Deg2Rad)</f>
        <v>4.0243901366325072E-5</v>
      </c>
      <c r="M68" s="305">
        <f>-0.0002 *SIN(M12*Deg2Rad)</f>
        <v>1.9641986572543432E-4</v>
      </c>
      <c r="N68" s="305">
        <f>-0.0002 *SIN(N12*Deg2Rad)</f>
        <v>1.7195642617607199E-4</v>
      </c>
      <c r="O68" s="305">
        <f>-0.0002 *SIN(O12*Deg2Rad)</f>
        <v>1.9672759437160906E-4</v>
      </c>
      <c r="P68" s="305">
        <f>-0.0002 *SIN(P12*Deg2Rad)</f>
        <v>1.8351764426500944E-4</v>
      </c>
      <c r="Q68" s="305">
        <f>-0.0002 *SIN(Q12*Deg2Rad)</f>
        <v>-1.6085874681866119E-4</v>
      </c>
      <c r="R68" s="305">
        <f>-0.0002 *SIN(R12*Deg2Rad)</f>
        <v>-1.5755545720967797E-4</v>
      </c>
      <c r="S68" s="305">
        <f>-0.0002 *SIN(S12*Deg2Rad)</f>
        <v>1.241971298192253E-6</v>
      </c>
      <c r="T68" s="305">
        <f>-0.0002 *SIN(T12*Deg2Rad)</f>
        <v>1.75958144582707E-5</v>
      </c>
      <c r="U68" s="305">
        <f>-0.0002 *SIN(U12*Deg2Rad)</f>
        <v>6.0334772536519722E-5</v>
      </c>
      <c r="V68" s="305">
        <f>-0.0002 *SIN(V12*Deg2Rad)</f>
        <v>2.866665518622258E-5</v>
      </c>
      <c r="W68" s="305">
        <f>-0.0002 *SIN(W12*Deg2Rad)</f>
        <v>-3.5706543696142422E-5</v>
      </c>
      <c r="X68" s="305">
        <f>-0.0002 *SIN(X12*Deg2Rad)</f>
        <v>1.9966201971907373E-4</v>
      </c>
      <c r="Y68" s="305">
        <f>-0.0002 *SIN(Y12*Deg2Rad)</f>
        <v>9.1784568259144819E-5</v>
      </c>
      <c r="Z68" s="305">
        <f>-0.0002 *SIN(Z12*Deg2Rad)</f>
        <v>2.0586974207452691E-5</v>
      </c>
      <c r="AA68" s="305">
        <f>-0.0002 *SIN(AA12*Deg2Rad)</f>
        <v>-1.642804267079635E-4</v>
      </c>
      <c r="AB68" s="305">
        <f>-0.0002 *SIN(AB12*Deg2Rad)</f>
        <v>1.9303110465315122E-4</v>
      </c>
      <c r="AC68" s="305">
        <f>-0.0002 *SIN(AC12*Deg2Rad)</f>
        <v>-2.4668416795996068E-5</v>
      </c>
      <c r="AD68" s="305">
        <f>-0.0002 *SIN(AD12*Deg2Rad)</f>
        <v>2.9495489035255729E-5</v>
      </c>
      <c r="AE68" s="305">
        <f>-0.0002 *SIN(AE12*Deg2Rad)</f>
        <v>9.1784568259144819E-5</v>
      </c>
      <c r="AF68" s="305">
        <f>-0.0002 *SIN(AF12*Deg2Rad)</f>
        <v>1.974391666739072E-4</v>
      </c>
      <c r="AG68" s="305">
        <f>-0.0002 *SIN(AG12*Deg2Rad)</f>
        <v>1.9888564907178107E-4</v>
      </c>
      <c r="AH68" s="305">
        <f>-0.0002 *SIN(AH12*Deg2Rad)</f>
        <v>1.8092971424252141E-4</v>
      </c>
      <c r="AI68" s="305">
        <f>-0.0002 *SIN(AI12*Deg2Rad)</f>
        <v>1.9927049658429485E-4</v>
      </c>
      <c r="AJ68" s="305">
        <f>-0.0002 *SIN(AJ12*Deg2Rad)</f>
        <v>1.9126359554379324E-4</v>
      </c>
      <c r="AK68" s="305">
        <f>-0.0002 *SIN(AK12*Deg2Rad)</f>
        <v>-1.409167357750995E-4</v>
      </c>
      <c r="AL68" s="305">
        <f>-0.0002 *SIN(AL12*Deg2Rad)</f>
        <v>1.6461430131577652E-4</v>
      </c>
      <c r="AM68" s="305">
        <f>-0.0002 *SIN(AM12*Deg2Rad)</f>
        <v>-1.5999950723592448E-4</v>
      </c>
      <c r="AN68" s="305">
        <f>-0.0002 *SIN(AN12*Deg2Rad)</f>
        <v>-1.7305945518674567E-4</v>
      </c>
      <c r="AO68" s="305">
        <f>-0.0002 *SIN(AO12*Deg2Rad)</f>
        <v>1.9986360059282384E-4</v>
      </c>
      <c r="AP68" s="305">
        <f>-0.0002 *SIN(AP12*Deg2Rad)</f>
        <v>-1.4230542943440813E-4</v>
      </c>
      <c r="AQ68" s="305">
        <f>-0.0002 *SIN(AQ12*Deg2Rad)</f>
        <v>-1.4230542943440813E-4</v>
      </c>
      <c r="AR68" s="305">
        <f>-0.0002 *SIN(AR12*Deg2Rad)</f>
        <v>-1.3841742124471364E-4</v>
      </c>
      <c r="AS68" s="305">
        <f>-0.0002 *SIN(AS12*Deg2Rad)</f>
        <v>-1.3841742124471364E-4</v>
      </c>
      <c r="AT68" s="305">
        <f>-0.0002 *SIN(AT12*Deg2Rad)</f>
        <v>-1.3841742124471364E-4</v>
      </c>
      <c r="AU68" s="305">
        <f>-0.0002 *SIN(AU12*Deg2Rad)</f>
        <v>1.9739903161686352E-4</v>
      </c>
      <c r="AV68" s="305">
        <f>-0.0002 *SIN(AV12*Deg2Rad)</f>
        <v>-3.4304933705288016E-5</v>
      </c>
      <c r="AW68" s="305">
        <f>-0.0002 *SIN(AW12*Deg2Rad)</f>
        <v>1.6954447463598803E-4</v>
      </c>
      <c r="AX68" s="305">
        <f>-0.0002 *SIN(AX12*Deg2Rad)</f>
        <v>1.5418734628304178E-4</v>
      </c>
      <c r="AY68" s="305">
        <f>-0.0002 *SIN(AY12*Deg2Rad)</f>
        <v>-1.3442631369017167E-4</v>
      </c>
      <c r="AZ68" s="305">
        <f>-0.0002 *SIN(AZ12*Deg2Rad)</f>
        <v>-1.3442631369017167E-4</v>
      </c>
      <c r="BA68" s="305">
        <f>-0.0002 *SIN(BA12*Deg2Rad)</f>
        <v>-1.3033507952341423E-4</v>
      </c>
      <c r="BB68" s="305">
        <f>-0.0002 *SIN(BB12*Deg2Rad)</f>
        <v>-1.3033507952341423E-4</v>
      </c>
      <c r="BC68" s="305">
        <f>-0.0002 *SIN(BC12*Deg2Rad)</f>
        <v>-1.3033507952341423E-4</v>
      </c>
      <c r="BD68" s="305">
        <f>-0.0002 *SIN(BD12*Deg2Rad)</f>
        <v>-1.3033507952341423E-4</v>
      </c>
      <c r="BE68" s="305">
        <f>-0.0002 *SIN(BE12*Deg2Rad)</f>
        <v>-1.3033507952341423E-4</v>
      </c>
      <c r="BF68" s="305">
        <f>-0.0002 *SIN(BF12*Deg2Rad)</f>
        <v>-1.3033507952341423E-4</v>
      </c>
      <c r="BG68" s="305">
        <f>-0.0002 *SIN(BG12*Deg2Rad)</f>
        <v>9.1784568259144819E-5</v>
      </c>
    </row>
    <row r="69" spans="3:59" x14ac:dyDescent="0.25">
      <c r="C69" s="35" t="s">
        <v>1089</v>
      </c>
      <c r="D69" s="86" t="s">
        <v>3</v>
      </c>
      <c r="E69" s="326">
        <f>E5+SUM(E53:E68)</f>
        <v>2436134.7045664084</v>
      </c>
      <c r="F69" s="326">
        <f t="shared" ref="F69:BG69" si="24">F5+SUM(F53:F68)</f>
        <v>1842747.4272492242</v>
      </c>
      <c r="G69" s="326">
        <f t="shared" si="24"/>
        <v>2451550.2743028104</v>
      </c>
      <c r="H69" s="326">
        <f t="shared" si="24"/>
        <v>2451196.1745372545</v>
      </c>
      <c r="I69" s="326">
        <f t="shared" si="24"/>
        <v>2446825.0873967526</v>
      </c>
      <c r="J69" s="326">
        <f t="shared" si="24"/>
        <v>2446972.7319787238</v>
      </c>
      <c r="K69" s="326">
        <f t="shared" si="24"/>
        <v>2447179.7426525038</v>
      </c>
      <c r="L69" s="326">
        <f t="shared" si="24"/>
        <v>2447326.889322178</v>
      </c>
      <c r="M69" s="326">
        <f t="shared" si="24"/>
        <v>2415021.0640995787</v>
      </c>
      <c r="N69" s="326">
        <f t="shared" si="24"/>
        <v>2305462.7163551752</v>
      </c>
      <c r="O69" s="326">
        <f t="shared" si="24"/>
        <v>2305846.6774833775</v>
      </c>
      <c r="P69" s="326">
        <f t="shared" si="24"/>
        <v>2026870.4679195904</v>
      </c>
      <c r="Q69" s="326">
        <f t="shared" si="24"/>
        <v>1676519.8790000917</v>
      </c>
      <c r="R69" s="326">
        <f t="shared" si="24"/>
        <v>1676490.1194765768</v>
      </c>
      <c r="S69" s="326">
        <f t="shared" si="24"/>
        <v>1355994.6286915801</v>
      </c>
      <c r="T69" s="326">
        <f t="shared" si="24"/>
        <v>1355906.7466497147</v>
      </c>
      <c r="U69" s="326">
        <f t="shared" si="24"/>
        <v>1355669.510724515</v>
      </c>
      <c r="V69" s="326">
        <f t="shared" si="24"/>
        <v>9.7535510121856959</v>
      </c>
      <c r="W69" s="326">
        <f t="shared" si="24"/>
        <v>2446913.5499862647</v>
      </c>
      <c r="X69" s="326">
        <f t="shared" si="24"/>
        <v>2448745.2593994462</v>
      </c>
      <c r="Y69" s="326">
        <f t="shared" si="24"/>
        <v>2443192.670734616</v>
      </c>
      <c r="Z69" s="326">
        <f t="shared" si="24"/>
        <v>2467614.9211334074</v>
      </c>
      <c r="AA69" s="326">
        <f t="shared" si="24"/>
        <v>2451550.2743028104</v>
      </c>
      <c r="AB69" s="326">
        <f t="shared" si="24"/>
        <v>2434924.0240198984</v>
      </c>
      <c r="AC69" s="326">
        <f t="shared" si="24"/>
        <v>2443842.8373246486</v>
      </c>
      <c r="AD69" s="326">
        <f t="shared" si="24"/>
        <v>2447267.984256357</v>
      </c>
      <c r="AE69" s="326">
        <f t="shared" si="24"/>
        <v>2443192.670734616</v>
      </c>
      <c r="AF69" s="326">
        <f t="shared" si="24"/>
        <v>2448980.522839474</v>
      </c>
      <c r="AG69" s="326">
        <f t="shared" si="24"/>
        <v>2448921.3762119501</v>
      </c>
      <c r="AH69" s="326">
        <f t="shared" si="24"/>
        <v>2448331.8239983409</v>
      </c>
      <c r="AI69" s="326">
        <f t="shared" si="24"/>
        <v>2448715.7164386893</v>
      </c>
      <c r="AJ69" s="326">
        <f t="shared" si="24"/>
        <v>2449129.0973508009</v>
      </c>
      <c r="AK69" s="326">
        <f t="shared" si="24"/>
        <v>2385076.4731548382</v>
      </c>
      <c r="AL69" s="326">
        <f t="shared" si="24"/>
        <v>2448153.5122692641</v>
      </c>
      <c r="AM69" s="326">
        <f t="shared" si="24"/>
        <v>1948437.7878439524</v>
      </c>
      <c r="AN69" s="326">
        <f t="shared" si="24"/>
        <v>2451639.2494678753</v>
      </c>
      <c r="AO69" s="326">
        <f t="shared" si="24"/>
        <v>1721436.0638442882</v>
      </c>
      <c r="AP69" s="326">
        <f t="shared" si="24"/>
        <v>2459848.4335067701</v>
      </c>
      <c r="AQ69" s="326">
        <f t="shared" si="24"/>
        <v>2459848.4335067701</v>
      </c>
      <c r="AR69" s="326">
        <f t="shared" si="24"/>
        <v>2459877.957851768</v>
      </c>
      <c r="AS69" s="326">
        <f t="shared" si="24"/>
        <v>2459877.957851768</v>
      </c>
      <c r="AT69" s="326">
        <f t="shared" si="24"/>
        <v>2459877.957851768</v>
      </c>
      <c r="AU69" s="326">
        <f t="shared" si="24"/>
        <v>2441834.7055454561</v>
      </c>
      <c r="AV69" s="326">
        <f t="shared" si="24"/>
        <v>2450693.5034039598</v>
      </c>
      <c r="AW69" s="326">
        <f t="shared" si="24"/>
        <v>2427807.7324199039</v>
      </c>
      <c r="AX69" s="326">
        <f t="shared" si="24"/>
        <v>2435958.503802795</v>
      </c>
      <c r="AY69" s="326">
        <f t="shared" si="24"/>
        <v>2459907.4447816936</v>
      </c>
      <c r="AZ69" s="326">
        <f t="shared" si="24"/>
        <v>2459907.4447816936</v>
      </c>
      <c r="BA69" s="326">
        <f t="shared" si="24"/>
        <v>2459936.9119359534</v>
      </c>
      <c r="BB69" s="326">
        <f t="shared" si="24"/>
        <v>2459936.9119359534</v>
      </c>
      <c r="BC69" s="326">
        <f t="shared" si="24"/>
        <v>2459936.9119359534</v>
      </c>
      <c r="BD69" s="326">
        <f t="shared" si="24"/>
        <v>2459936.9119359534</v>
      </c>
      <c r="BE69" s="326">
        <f t="shared" si="24"/>
        <v>2459936.9119359534</v>
      </c>
      <c r="BF69" s="326">
        <f t="shared" si="24"/>
        <v>2459936.9119359534</v>
      </c>
      <c r="BG69" s="326">
        <f t="shared" si="24"/>
        <v>2443192.670734616</v>
      </c>
    </row>
    <row r="71" spans="3:59" x14ac:dyDescent="0.25">
      <c r="C71" t="s">
        <v>1000</v>
      </c>
      <c r="D71" s="7" t="s">
        <v>1001</v>
      </c>
      <c r="E71">
        <f>_xlfn.FLOOR.MATH(E69+0.5)</f>
        <v>2436135</v>
      </c>
      <c r="F71">
        <f t="shared" ref="F71:BG71" si="25">_xlfn.FLOOR.MATH(F69+0.5)</f>
        <v>1842747</v>
      </c>
      <c r="G71">
        <f t="shared" si="25"/>
        <v>2451550</v>
      </c>
      <c r="H71">
        <f t="shared" si="25"/>
        <v>2451196</v>
      </c>
      <c r="I71">
        <f t="shared" si="25"/>
        <v>2446825</v>
      </c>
      <c r="J71">
        <f t="shared" si="25"/>
        <v>2446973</v>
      </c>
      <c r="K71">
        <f t="shared" si="25"/>
        <v>2447180</v>
      </c>
      <c r="L71">
        <f t="shared" si="25"/>
        <v>2447327</v>
      </c>
      <c r="M71">
        <f t="shared" si="25"/>
        <v>2415021</v>
      </c>
      <c r="N71">
        <f t="shared" si="25"/>
        <v>2305463</v>
      </c>
      <c r="O71">
        <f t="shared" si="25"/>
        <v>2305847</v>
      </c>
      <c r="P71">
        <f t="shared" si="25"/>
        <v>2026870</v>
      </c>
      <c r="Q71">
        <f t="shared" si="25"/>
        <v>1676520</v>
      </c>
      <c r="R71">
        <f t="shared" si="25"/>
        <v>1676490</v>
      </c>
      <c r="S71">
        <f t="shared" si="25"/>
        <v>1355995</v>
      </c>
      <c r="T71">
        <f t="shared" si="25"/>
        <v>1355907</v>
      </c>
      <c r="U71">
        <f t="shared" si="25"/>
        <v>1355670</v>
      </c>
      <c r="V71">
        <f t="shared" si="25"/>
        <v>10</v>
      </c>
      <c r="W71">
        <f t="shared" si="25"/>
        <v>2446914</v>
      </c>
      <c r="X71">
        <f t="shared" si="25"/>
        <v>2448745</v>
      </c>
      <c r="Y71">
        <f t="shared" si="25"/>
        <v>2443193</v>
      </c>
      <c r="Z71">
        <f t="shared" si="25"/>
        <v>2467615</v>
      </c>
      <c r="AA71">
        <f t="shared" si="25"/>
        <v>2451550</v>
      </c>
      <c r="AB71">
        <f t="shared" si="25"/>
        <v>2434924</v>
      </c>
      <c r="AC71">
        <f t="shared" si="25"/>
        <v>2443843</v>
      </c>
      <c r="AD71">
        <f t="shared" si="25"/>
        <v>2447268</v>
      </c>
      <c r="AE71">
        <f t="shared" si="25"/>
        <v>2443193</v>
      </c>
      <c r="AF71">
        <f t="shared" si="25"/>
        <v>2448981</v>
      </c>
      <c r="AG71">
        <f t="shared" si="25"/>
        <v>2448921</v>
      </c>
      <c r="AH71">
        <f t="shared" si="25"/>
        <v>2448332</v>
      </c>
      <c r="AI71">
        <f t="shared" si="25"/>
        <v>2448716</v>
      </c>
      <c r="AJ71">
        <f t="shared" si="25"/>
        <v>2449129</v>
      </c>
      <c r="AK71">
        <f t="shared" si="25"/>
        <v>2385076</v>
      </c>
      <c r="AL71">
        <f t="shared" si="25"/>
        <v>2448154</v>
      </c>
      <c r="AM71">
        <f t="shared" si="25"/>
        <v>1948438</v>
      </c>
      <c r="AN71">
        <f t="shared" si="25"/>
        <v>2451639</v>
      </c>
      <c r="AO71">
        <f t="shared" si="25"/>
        <v>1721436</v>
      </c>
      <c r="AP71">
        <f t="shared" si="25"/>
        <v>2459848</v>
      </c>
      <c r="AQ71">
        <f t="shared" si="25"/>
        <v>2459848</v>
      </c>
      <c r="AR71">
        <f t="shared" si="25"/>
        <v>2459878</v>
      </c>
      <c r="AS71">
        <f t="shared" si="25"/>
        <v>2459878</v>
      </c>
      <c r="AT71">
        <f t="shared" si="25"/>
        <v>2459878</v>
      </c>
      <c r="AU71">
        <f t="shared" si="25"/>
        <v>2441835</v>
      </c>
      <c r="AV71">
        <f t="shared" si="25"/>
        <v>2450694</v>
      </c>
      <c r="AW71">
        <f t="shared" si="25"/>
        <v>2427808</v>
      </c>
      <c r="AX71">
        <f t="shared" si="25"/>
        <v>2435959</v>
      </c>
      <c r="AY71">
        <f t="shared" si="25"/>
        <v>2459907</v>
      </c>
      <c r="AZ71">
        <f t="shared" si="25"/>
        <v>2459907</v>
      </c>
      <c r="BA71">
        <f t="shared" si="25"/>
        <v>2459937</v>
      </c>
      <c r="BB71">
        <f t="shared" si="25"/>
        <v>2459937</v>
      </c>
      <c r="BC71">
        <f t="shared" si="25"/>
        <v>2459937</v>
      </c>
      <c r="BD71">
        <f t="shared" si="25"/>
        <v>2459937</v>
      </c>
      <c r="BE71">
        <f t="shared" si="25"/>
        <v>2459937</v>
      </c>
      <c r="BF71">
        <f t="shared" si="25"/>
        <v>2459937</v>
      </c>
      <c r="BG71">
        <f t="shared" si="25"/>
        <v>2443193</v>
      </c>
    </row>
    <row r="72" spans="3:59" x14ac:dyDescent="0.25">
      <c r="C72" t="s">
        <v>1002</v>
      </c>
      <c r="D72" s="7" t="s">
        <v>7</v>
      </c>
      <c r="E72" s="285">
        <f>(E69+0.5)-E71</f>
        <v>0.20456640841439366</v>
      </c>
      <c r="F72" s="285">
        <f t="shared" ref="F72:BG72" si="26">(F69+0.5)-F71</f>
        <v>0.92724922415800393</v>
      </c>
      <c r="G72" s="285">
        <f t="shared" si="26"/>
        <v>0.77430281043052673</v>
      </c>
      <c r="H72" s="285">
        <f t="shared" si="26"/>
        <v>0.67453725449740887</v>
      </c>
      <c r="I72" s="285">
        <f t="shared" si="26"/>
        <v>0.5873967525549233</v>
      </c>
      <c r="J72" s="285">
        <f t="shared" si="26"/>
        <v>0.23197872377932072</v>
      </c>
      <c r="K72" s="285">
        <f t="shared" si="26"/>
        <v>0.24265250377357006</v>
      </c>
      <c r="L72" s="285">
        <f t="shared" si="26"/>
        <v>0.38932217797264457</v>
      </c>
      <c r="M72" s="285">
        <f t="shared" si="26"/>
        <v>0.56409957865253091</v>
      </c>
      <c r="N72" s="285">
        <f t="shared" si="26"/>
        <v>0.21635517524555326</v>
      </c>
      <c r="O72" s="285">
        <f t="shared" si="26"/>
        <v>0.17748337751254439</v>
      </c>
      <c r="P72" s="285">
        <f t="shared" si="26"/>
        <v>0.96791959041729569</v>
      </c>
      <c r="Q72" s="285">
        <f t="shared" si="26"/>
        <v>0.37900009169243276</v>
      </c>
      <c r="R72" s="285">
        <f t="shared" si="26"/>
        <v>0.61947657680138946</v>
      </c>
      <c r="S72" s="285">
        <f t="shared" si="26"/>
        <v>0.12869158014655113</v>
      </c>
      <c r="T72" s="285">
        <f t="shared" si="26"/>
        <v>0.24664971465244889</v>
      </c>
      <c r="U72" s="285">
        <f t="shared" si="26"/>
        <v>1.072451495565474E-2</v>
      </c>
      <c r="V72" s="285">
        <f t="shared" si="26"/>
        <v>0.25355101218569587</v>
      </c>
      <c r="W72" s="285">
        <f t="shared" si="26"/>
        <v>4.9986264668405056E-2</v>
      </c>
      <c r="X72" s="285">
        <f t="shared" si="26"/>
        <v>0.75939944619312882</v>
      </c>
      <c r="Y72" s="285">
        <f t="shared" si="26"/>
        <v>0.17073461599647999</v>
      </c>
      <c r="Z72" s="285">
        <f t="shared" si="26"/>
        <v>0.42113340739160776</v>
      </c>
      <c r="AA72" s="285">
        <f t="shared" si="26"/>
        <v>0.77430281043052673</v>
      </c>
      <c r="AB72" s="285">
        <f t="shared" si="26"/>
        <v>0.5240198983810842</v>
      </c>
      <c r="AC72" s="285">
        <f t="shared" si="26"/>
        <v>0.33732464862987399</v>
      </c>
      <c r="AD72" s="285">
        <f t="shared" si="26"/>
        <v>0.48425635695457458</v>
      </c>
      <c r="AE72" s="285">
        <f t="shared" si="26"/>
        <v>0.17073461599647999</v>
      </c>
      <c r="AF72" s="285">
        <f t="shared" si="26"/>
        <v>2.2839474026113749E-2</v>
      </c>
      <c r="AG72" s="285">
        <f t="shared" si="26"/>
        <v>0.87621195008978248</v>
      </c>
      <c r="AH72" s="285">
        <f t="shared" si="26"/>
        <v>0.32399834087118506</v>
      </c>
      <c r="AI72" s="285">
        <f t="shared" si="26"/>
        <v>0.21643868926912546</v>
      </c>
      <c r="AJ72" s="285">
        <f t="shared" si="26"/>
        <v>0.59735080087557435</v>
      </c>
      <c r="AK72" s="285">
        <f t="shared" si="26"/>
        <v>0.97315483819693327</v>
      </c>
      <c r="AL72" s="285">
        <f t="shared" si="26"/>
        <v>1.2269264087080956E-2</v>
      </c>
      <c r="AM72" s="285">
        <f t="shared" si="26"/>
        <v>0.28784395242109895</v>
      </c>
      <c r="AN72" s="285">
        <f t="shared" si="26"/>
        <v>0.74946787534281611</v>
      </c>
      <c r="AO72" s="285">
        <f t="shared" si="26"/>
        <v>0.56384428823366761</v>
      </c>
      <c r="AP72" s="285">
        <f t="shared" si="26"/>
        <v>0.93350677005946636</v>
      </c>
      <c r="AQ72" s="285">
        <f t="shared" si="26"/>
        <v>0.93350677005946636</v>
      </c>
      <c r="AR72" s="285">
        <f t="shared" si="26"/>
        <v>0.45785176800563931</v>
      </c>
      <c r="AS72" s="285">
        <f t="shared" si="26"/>
        <v>0.45785176800563931</v>
      </c>
      <c r="AT72" s="285">
        <f t="shared" si="26"/>
        <v>0.45785176800563931</v>
      </c>
      <c r="AU72" s="285">
        <f t="shared" si="26"/>
        <v>0.20554545614868402</v>
      </c>
      <c r="AV72" s="285">
        <f t="shared" si="26"/>
        <v>3.403959795832634E-3</v>
      </c>
      <c r="AW72" s="285">
        <f t="shared" si="26"/>
        <v>0.23241990385577083</v>
      </c>
      <c r="AX72" s="285">
        <f t="shared" si="26"/>
        <v>3.8027949631214142E-3</v>
      </c>
      <c r="AY72" s="285">
        <f t="shared" si="26"/>
        <v>0.94478169362992048</v>
      </c>
      <c r="AZ72" s="285">
        <f t="shared" si="26"/>
        <v>0.94478169362992048</v>
      </c>
      <c r="BA72" s="285">
        <f t="shared" si="26"/>
        <v>0.41193595342338085</v>
      </c>
      <c r="BB72" s="285">
        <f t="shared" si="26"/>
        <v>0.41193595342338085</v>
      </c>
      <c r="BC72" s="285">
        <f t="shared" si="26"/>
        <v>0.41193595342338085</v>
      </c>
      <c r="BD72" s="285">
        <f t="shared" si="26"/>
        <v>0.41193595342338085</v>
      </c>
      <c r="BE72" s="285">
        <f t="shared" si="26"/>
        <v>0.41193595342338085</v>
      </c>
      <c r="BF72" s="285">
        <f t="shared" si="26"/>
        <v>0.41193595342338085</v>
      </c>
      <c r="BG72" s="285">
        <f t="shared" si="26"/>
        <v>0.17073461599647999</v>
      </c>
    </row>
    <row r="73" spans="3:59" x14ac:dyDescent="0.25">
      <c r="C73" t="s">
        <v>1003</v>
      </c>
      <c r="D73" s="7" t="s">
        <v>281</v>
      </c>
      <c r="E73">
        <f>_xlfn.FLOOR.MATH((E71-1867216.25) /36524.25)</f>
        <v>15</v>
      </c>
      <c r="F73">
        <f t="shared" ref="F73:BG73" si="27">_xlfn.FLOOR.MATH((F71-1867216.25) /36524.25)</f>
        <v>-1</v>
      </c>
      <c r="G73">
        <f t="shared" si="27"/>
        <v>15</v>
      </c>
      <c r="H73">
        <f t="shared" si="27"/>
        <v>15</v>
      </c>
      <c r="I73">
        <f t="shared" si="27"/>
        <v>15</v>
      </c>
      <c r="J73">
        <f t="shared" si="27"/>
        <v>15</v>
      </c>
      <c r="K73">
        <f t="shared" si="27"/>
        <v>15</v>
      </c>
      <c r="L73">
        <f t="shared" si="27"/>
        <v>15</v>
      </c>
      <c r="M73">
        <f t="shared" si="27"/>
        <v>14</v>
      </c>
      <c r="N73">
        <f t="shared" si="27"/>
        <v>11</v>
      </c>
      <c r="O73">
        <f t="shared" si="27"/>
        <v>12</v>
      </c>
      <c r="P73">
        <f t="shared" si="27"/>
        <v>4</v>
      </c>
      <c r="Q73">
        <f t="shared" si="27"/>
        <v>-6</v>
      </c>
      <c r="R73">
        <f t="shared" si="27"/>
        <v>-6</v>
      </c>
      <c r="S73">
        <f t="shared" si="27"/>
        <v>-14</v>
      </c>
      <c r="T73">
        <f t="shared" si="27"/>
        <v>-14</v>
      </c>
      <c r="U73">
        <f t="shared" si="27"/>
        <v>-15</v>
      </c>
      <c r="V73">
        <f t="shared" si="27"/>
        <v>-52</v>
      </c>
      <c r="W73">
        <f t="shared" si="27"/>
        <v>15</v>
      </c>
      <c r="X73">
        <f t="shared" si="27"/>
        <v>15</v>
      </c>
      <c r="Y73">
        <f t="shared" si="27"/>
        <v>15</v>
      </c>
      <c r="Z73">
        <f t="shared" si="27"/>
        <v>16</v>
      </c>
      <c r="AA73">
        <f t="shared" si="27"/>
        <v>15</v>
      </c>
      <c r="AB73">
        <f t="shared" si="27"/>
        <v>15</v>
      </c>
      <c r="AC73">
        <f t="shared" si="27"/>
        <v>15</v>
      </c>
      <c r="AD73">
        <f t="shared" si="27"/>
        <v>15</v>
      </c>
      <c r="AE73">
        <f t="shared" si="27"/>
        <v>15</v>
      </c>
      <c r="AF73">
        <f t="shared" si="27"/>
        <v>15</v>
      </c>
      <c r="AG73">
        <f t="shared" si="27"/>
        <v>15</v>
      </c>
      <c r="AH73">
        <f t="shared" si="27"/>
        <v>15</v>
      </c>
      <c r="AI73">
        <f t="shared" si="27"/>
        <v>15</v>
      </c>
      <c r="AJ73">
        <f t="shared" si="27"/>
        <v>15</v>
      </c>
      <c r="AK73">
        <f t="shared" si="27"/>
        <v>14</v>
      </c>
      <c r="AL73">
        <f t="shared" si="27"/>
        <v>15</v>
      </c>
      <c r="AM73">
        <f t="shared" si="27"/>
        <v>2</v>
      </c>
      <c r="AN73">
        <f t="shared" si="27"/>
        <v>16</v>
      </c>
      <c r="AO73">
        <f t="shared" si="27"/>
        <v>-4</v>
      </c>
      <c r="AP73">
        <f t="shared" si="27"/>
        <v>16</v>
      </c>
      <c r="AQ73">
        <f t="shared" si="27"/>
        <v>16</v>
      </c>
      <c r="AR73">
        <f t="shared" si="27"/>
        <v>16</v>
      </c>
      <c r="AS73">
        <f t="shared" si="27"/>
        <v>16</v>
      </c>
      <c r="AT73">
        <f t="shared" si="27"/>
        <v>16</v>
      </c>
      <c r="AU73">
        <f t="shared" si="27"/>
        <v>15</v>
      </c>
      <c r="AV73">
        <f t="shared" si="27"/>
        <v>15</v>
      </c>
      <c r="AW73">
        <f t="shared" si="27"/>
        <v>15</v>
      </c>
      <c r="AX73">
        <f t="shared" si="27"/>
        <v>15</v>
      </c>
      <c r="AY73">
        <f t="shared" si="27"/>
        <v>16</v>
      </c>
      <c r="AZ73">
        <f t="shared" si="27"/>
        <v>16</v>
      </c>
      <c r="BA73">
        <f t="shared" si="27"/>
        <v>16</v>
      </c>
      <c r="BB73">
        <f t="shared" si="27"/>
        <v>16</v>
      </c>
      <c r="BC73">
        <f t="shared" si="27"/>
        <v>16</v>
      </c>
      <c r="BD73">
        <f t="shared" si="27"/>
        <v>16</v>
      </c>
      <c r="BE73">
        <f t="shared" si="27"/>
        <v>16</v>
      </c>
      <c r="BF73">
        <f t="shared" si="27"/>
        <v>16</v>
      </c>
      <c r="BG73">
        <f t="shared" si="27"/>
        <v>15</v>
      </c>
    </row>
    <row r="74" spans="3:59" x14ac:dyDescent="0.25">
      <c r="C74" t="s">
        <v>1004</v>
      </c>
      <c r="D74" s="7" t="s">
        <v>256</v>
      </c>
      <c r="E74">
        <f>E71+1+E73-_xlfn.FLOOR.MATH(E73/4)</f>
        <v>2436148</v>
      </c>
      <c r="F74">
        <f t="shared" ref="F74:BG74" si="28">F71+1+F73-_xlfn.FLOOR.MATH(F73/4)</f>
        <v>1842748</v>
      </c>
      <c r="G74">
        <f t="shared" si="28"/>
        <v>2451563</v>
      </c>
      <c r="H74">
        <f t="shared" si="28"/>
        <v>2451209</v>
      </c>
      <c r="I74">
        <f t="shared" si="28"/>
        <v>2446838</v>
      </c>
      <c r="J74">
        <f t="shared" si="28"/>
        <v>2446986</v>
      </c>
      <c r="K74">
        <f t="shared" si="28"/>
        <v>2447193</v>
      </c>
      <c r="L74">
        <f t="shared" si="28"/>
        <v>2447340</v>
      </c>
      <c r="M74">
        <f t="shared" si="28"/>
        <v>2415033</v>
      </c>
      <c r="N74">
        <f t="shared" si="28"/>
        <v>2305473</v>
      </c>
      <c r="O74">
        <f t="shared" si="28"/>
        <v>2305857</v>
      </c>
      <c r="P74">
        <f t="shared" si="28"/>
        <v>2026874</v>
      </c>
      <c r="Q74">
        <f t="shared" si="28"/>
        <v>1676517</v>
      </c>
      <c r="R74">
        <f t="shared" si="28"/>
        <v>1676487</v>
      </c>
      <c r="S74">
        <f t="shared" si="28"/>
        <v>1355986</v>
      </c>
      <c r="T74">
        <f t="shared" si="28"/>
        <v>1355898</v>
      </c>
      <c r="U74">
        <f t="shared" si="28"/>
        <v>1355660</v>
      </c>
      <c r="V74">
        <f t="shared" si="28"/>
        <v>-28</v>
      </c>
      <c r="W74">
        <f t="shared" si="28"/>
        <v>2446927</v>
      </c>
      <c r="X74">
        <f t="shared" si="28"/>
        <v>2448758</v>
      </c>
      <c r="Y74">
        <f t="shared" si="28"/>
        <v>2443206</v>
      </c>
      <c r="Z74">
        <f t="shared" si="28"/>
        <v>2467628</v>
      </c>
      <c r="AA74">
        <f t="shared" si="28"/>
        <v>2451563</v>
      </c>
      <c r="AB74">
        <f t="shared" si="28"/>
        <v>2434937</v>
      </c>
      <c r="AC74">
        <f t="shared" si="28"/>
        <v>2443856</v>
      </c>
      <c r="AD74">
        <f t="shared" si="28"/>
        <v>2447281</v>
      </c>
      <c r="AE74">
        <f t="shared" si="28"/>
        <v>2443206</v>
      </c>
      <c r="AF74">
        <f t="shared" si="28"/>
        <v>2448994</v>
      </c>
      <c r="AG74">
        <f t="shared" si="28"/>
        <v>2448934</v>
      </c>
      <c r="AH74">
        <f t="shared" si="28"/>
        <v>2448345</v>
      </c>
      <c r="AI74">
        <f t="shared" si="28"/>
        <v>2448729</v>
      </c>
      <c r="AJ74">
        <f t="shared" si="28"/>
        <v>2449142</v>
      </c>
      <c r="AK74">
        <f t="shared" si="28"/>
        <v>2385088</v>
      </c>
      <c r="AL74">
        <f t="shared" si="28"/>
        <v>2448167</v>
      </c>
      <c r="AM74">
        <f t="shared" si="28"/>
        <v>1948441</v>
      </c>
      <c r="AN74">
        <f t="shared" si="28"/>
        <v>2451652</v>
      </c>
      <c r="AO74">
        <f t="shared" si="28"/>
        <v>1721434</v>
      </c>
      <c r="AP74">
        <f t="shared" si="28"/>
        <v>2459861</v>
      </c>
      <c r="AQ74">
        <f t="shared" si="28"/>
        <v>2459861</v>
      </c>
      <c r="AR74">
        <f t="shared" si="28"/>
        <v>2459891</v>
      </c>
      <c r="AS74">
        <f t="shared" si="28"/>
        <v>2459891</v>
      </c>
      <c r="AT74">
        <f t="shared" si="28"/>
        <v>2459891</v>
      </c>
      <c r="AU74">
        <f t="shared" si="28"/>
        <v>2441848</v>
      </c>
      <c r="AV74">
        <f t="shared" si="28"/>
        <v>2450707</v>
      </c>
      <c r="AW74">
        <f t="shared" si="28"/>
        <v>2427821</v>
      </c>
      <c r="AX74">
        <f t="shared" si="28"/>
        <v>2435972</v>
      </c>
      <c r="AY74">
        <f t="shared" si="28"/>
        <v>2459920</v>
      </c>
      <c r="AZ74">
        <f t="shared" si="28"/>
        <v>2459920</v>
      </c>
      <c r="BA74">
        <f t="shared" si="28"/>
        <v>2459950</v>
      </c>
      <c r="BB74">
        <f t="shared" si="28"/>
        <v>2459950</v>
      </c>
      <c r="BC74">
        <f t="shared" si="28"/>
        <v>2459950</v>
      </c>
      <c r="BD74">
        <f t="shared" si="28"/>
        <v>2459950</v>
      </c>
      <c r="BE74">
        <f t="shared" si="28"/>
        <v>2459950</v>
      </c>
      <c r="BF74">
        <f t="shared" si="28"/>
        <v>2459950</v>
      </c>
      <c r="BG74">
        <f t="shared" si="28"/>
        <v>2443206</v>
      </c>
    </row>
    <row r="75" spans="3:59" x14ac:dyDescent="0.25">
      <c r="C75" t="s">
        <v>1005</v>
      </c>
      <c r="D75" s="7" t="s">
        <v>110</v>
      </c>
      <c r="E75">
        <f>IF(E71&lt;2299161,E71,E74)</f>
        <v>2436148</v>
      </c>
      <c r="F75">
        <f t="shared" ref="F75:BG75" si="29">IF(F71&lt;2299161,F71,F74)</f>
        <v>1842747</v>
      </c>
      <c r="G75">
        <f t="shared" si="29"/>
        <v>2451563</v>
      </c>
      <c r="H75">
        <f t="shared" si="29"/>
        <v>2451209</v>
      </c>
      <c r="I75">
        <f t="shared" si="29"/>
        <v>2446838</v>
      </c>
      <c r="J75">
        <f t="shared" si="29"/>
        <v>2446986</v>
      </c>
      <c r="K75">
        <f t="shared" si="29"/>
        <v>2447193</v>
      </c>
      <c r="L75">
        <f t="shared" si="29"/>
        <v>2447340</v>
      </c>
      <c r="M75">
        <f t="shared" si="29"/>
        <v>2415033</v>
      </c>
      <c r="N75">
        <f t="shared" si="29"/>
        <v>2305473</v>
      </c>
      <c r="O75">
        <f t="shared" si="29"/>
        <v>2305857</v>
      </c>
      <c r="P75">
        <f t="shared" si="29"/>
        <v>2026870</v>
      </c>
      <c r="Q75">
        <f t="shared" si="29"/>
        <v>1676520</v>
      </c>
      <c r="R75">
        <f t="shared" si="29"/>
        <v>1676490</v>
      </c>
      <c r="S75">
        <f t="shared" si="29"/>
        <v>1355995</v>
      </c>
      <c r="T75">
        <f t="shared" si="29"/>
        <v>1355907</v>
      </c>
      <c r="U75">
        <f t="shared" si="29"/>
        <v>1355670</v>
      </c>
      <c r="V75">
        <f t="shared" si="29"/>
        <v>10</v>
      </c>
      <c r="W75">
        <f t="shared" si="29"/>
        <v>2446927</v>
      </c>
      <c r="X75">
        <f t="shared" si="29"/>
        <v>2448758</v>
      </c>
      <c r="Y75">
        <f t="shared" si="29"/>
        <v>2443206</v>
      </c>
      <c r="Z75">
        <f t="shared" si="29"/>
        <v>2467628</v>
      </c>
      <c r="AA75">
        <f t="shared" si="29"/>
        <v>2451563</v>
      </c>
      <c r="AB75">
        <f t="shared" si="29"/>
        <v>2434937</v>
      </c>
      <c r="AC75">
        <f t="shared" si="29"/>
        <v>2443856</v>
      </c>
      <c r="AD75">
        <f t="shared" si="29"/>
        <v>2447281</v>
      </c>
      <c r="AE75">
        <f t="shared" si="29"/>
        <v>2443206</v>
      </c>
      <c r="AF75">
        <f t="shared" si="29"/>
        <v>2448994</v>
      </c>
      <c r="AG75">
        <f t="shared" si="29"/>
        <v>2448934</v>
      </c>
      <c r="AH75">
        <f t="shared" si="29"/>
        <v>2448345</v>
      </c>
      <c r="AI75">
        <f t="shared" si="29"/>
        <v>2448729</v>
      </c>
      <c r="AJ75">
        <f t="shared" si="29"/>
        <v>2449142</v>
      </c>
      <c r="AK75">
        <f t="shared" si="29"/>
        <v>2385088</v>
      </c>
      <c r="AL75">
        <f t="shared" si="29"/>
        <v>2448167</v>
      </c>
      <c r="AM75">
        <f t="shared" si="29"/>
        <v>1948438</v>
      </c>
      <c r="AN75">
        <f t="shared" si="29"/>
        <v>2451652</v>
      </c>
      <c r="AO75">
        <f t="shared" si="29"/>
        <v>1721436</v>
      </c>
      <c r="AP75">
        <f t="shared" si="29"/>
        <v>2459861</v>
      </c>
      <c r="AQ75">
        <f t="shared" si="29"/>
        <v>2459861</v>
      </c>
      <c r="AR75">
        <f t="shared" si="29"/>
        <v>2459891</v>
      </c>
      <c r="AS75">
        <f t="shared" si="29"/>
        <v>2459891</v>
      </c>
      <c r="AT75">
        <f t="shared" si="29"/>
        <v>2459891</v>
      </c>
      <c r="AU75">
        <f t="shared" si="29"/>
        <v>2441848</v>
      </c>
      <c r="AV75">
        <f t="shared" si="29"/>
        <v>2450707</v>
      </c>
      <c r="AW75">
        <f t="shared" si="29"/>
        <v>2427821</v>
      </c>
      <c r="AX75">
        <f t="shared" si="29"/>
        <v>2435972</v>
      </c>
      <c r="AY75">
        <f t="shared" si="29"/>
        <v>2459920</v>
      </c>
      <c r="AZ75">
        <f t="shared" si="29"/>
        <v>2459920</v>
      </c>
      <c r="BA75">
        <f t="shared" si="29"/>
        <v>2459950</v>
      </c>
      <c r="BB75">
        <f t="shared" si="29"/>
        <v>2459950</v>
      </c>
      <c r="BC75">
        <f t="shared" si="29"/>
        <v>2459950</v>
      </c>
      <c r="BD75">
        <f t="shared" si="29"/>
        <v>2459950</v>
      </c>
      <c r="BE75">
        <f t="shared" si="29"/>
        <v>2459950</v>
      </c>
      <c r="BF75">
        <f t="shared" si="29"/>
        <v>2459950</v>
      </c>
      <c r="BG75">
        <f t="shared" si="29"/>
        <v>2443206</v>
      </c>
    </row>
    <row r="76" spans="3:59" x14ac:dyDescent="0.25">
      <c r="C76" t="s">
        <v>1006</v>
      </c>
      <c r="D76" s="7" t="s">
        <v>111</v>
      </c>
      <c r="E76">
        <f>E75+1524</f>
        <v>2437672</v>
      </c>
      <c r="F76">
        <f t="shared" ref="F76:BG76" si="30">F75+1524</f>
        <v>1844271</v>
      </c>
      <c r="G76">
        <f t="shared" si="30"/>
        <v>2453087</v>
      </c>
      <c r="H76">
        <f t="shared" si="30"/>
        <v>2452733</v>
      </c>
      <c r="I76">
        <f t="shared" si="30"/>
        <v>2448362</v>
      </c>
      <c r="J76">
        <f t="shared" si="30"/>
        <v>2448510</v>
      </c>
      <c r="K76">
        <f t="shared" si="30"/>
        <v>2448717</v>
      </c>
      <c r="L76">
        <f t="shared" si="30"/>
        <v>2448864</v>
      </c>
      <c r="M76">
        <f t="shared" si="30"/>
        <v>2416557</v>
      </c>
      <c r="N76">
        <f t="shared" si="30"/>
        <v>2306997</v>
      </c>
      <c r="O76">
        <f t="shared" si="30"/>
        <v>2307381</v>
      </c>
      <c r="P76">
        <f t="shared" si="30"/>
        <v>2028394</v>
      </c>
      <c r="Q76">
        <f t="shared" si="30"/>
        <v>1678044</v>
      </c>
      <c r="R76">
        <f t="shared" si="30"/>
        <v>1678014</v>
      </c>
      <c r="S76">
        <f t="shared" si="30"/>
        <v>1357519</v>
      </c>
      <c r="T76">
        <f t="shared" si="30"/>
        <v>1357431</v>
      </c>
      <c r="U76">
        <f t="shared" si="30"/>
        <v>1357194</v>
      </c>
      <c r="V76">
        <f t="shared" si="30"/>
        <v>1534</v>
      </c>
      <c r="W76">
        <f t="shared" si="30"/>
        <v>2448451</v>
      </c>
      <c r="X76">
        <f t="shared" si="30"/>
        <v>2450282</v>
      </c>
      <c r="Y76">
        <f t="shared" si="30"/>
        <v>2444730</v>
      </c>
      <c r="Z76">
        <f t="shared" si="30"/>
        <v>2469152</v>
      </c>
      <c r="AA76">
        <f t="shared" si="30"/>
        <v>2453087</v>
      </c>
      <c r="AB76">
        <f t="shared" si="30"/>
        <v>2436461</v>
      </c>
      <c r="AC76">
        <f t="shared" si="30"/>
        <v>2445380</v>
      </c>
      <c r="AD76">
        <f t="shared" si="30"/>
        <v>2448805</v>
      </c>
      <c r="AE76">
        <f t="shared" si="30"/>
        <v>2444730</v>
      </c>
      <c r="AF76">
        <f t="shared" si="30"/>
        <v>2450518</v>
      </c>
      <c r="AG76">
        <f t="shared" si="30"/>
        <v>2450458</v>
      </c>
      <c r="AH76">
        <f t="shared" si="30"/>
        <v>2449869</v>
      </c>
      <c r="AI76">
        <f t="shared" si="30"/>
        <v>2450253</v>
      </c>
      <c r="AJ76">
        <f t="shared" si="30"/>
        <v>2450666</v>
      </c>
      <c r="AK76">
        <f t="shared" si="30"/>
        <v>2386612</v>
      </c>
      <c r="AL76">
        <f t="shared" si="30"/>
        <v>2449691</v>
      </c>
      <c r="AM76">
        <f t="shared" si="30"/>
        <v>1949962</v>
      </c>
      <c r="AN76">
        <f t="shared" si="30"/>
        <v>2453176</v>
      </c>
      <c r="AO76">
        <f t="shared" si="30"/>
        <v>1722960</v>
      </c>
      <c r="AP76">
        <f t="shared" si="30"/>
        <v>2461385</v>
      </c>
      <c r="AQ76">
        <f t="shared" si="30"/>
        <v>2461385</v>
      </c>
      <c r="AR76">
        <f t="shared" si="30"/>
        <v>2461415</v>
      </c>
      <c r="AS76">
        <f t="shared" si="30"/>
        <v>2461415</v>
      </c>
      <c r="AT76">
        <f t="shared" si="30"/>
        <v>2461415</v>
      </c>
      <c r="AU76">
        <f t="shared" si="30"/>
        <v>2443372</v>
      </c>
      <c r="AV76">
        <f t="shared" si="30"/>
        <v>2452231</v>
      </c>
      <c r="AW76">
        <f t="shared" si="30"/>
        <v>2429345</v>
      </c>
      <c r="AX76">
        <f t="shared" si="30"/>
        <v>2437496</v>
      </c>
      <c r="AY76">
        <f t="shared" si="30"/>
        <v>2461444</v>
      </c>
      <c r="AZ76">
        <f t="shared" si="30"/>
        <v>2461444</v>
      </c>
      <c r="BA76">
        <f t="shared" si="30"/>
        <v>2461474</v>
      </c>
      <c r="BB76">
        <f t="shared" si="30"/>
        <v>2461474</v>
      </c>
      <c r="BC76">
        <f t="shared" si="30"/>
        <v>2461474</v>
      </c>
      <c r="BD76">
        <f t="shared" si="30"/>
        <v>2461474</v>
      </c>
      <c r="BE76">
        <f t="shared" si="30"/>
        <v>2461474</v>
      </c>
      <c r="BF76">
        <f t="shared" si="30"/>
        <v>2461474</v>
      </c>
      <c r="BG76">
        <f t="shared" si="30"/>
        <v>2444730</v>
      </c>
    </row>
    <row r="77" spans="3:59" x14ac:dyDescent="0.25">
      <c r="C77" t="s">
        <v>1007</v>
      </c>
      <c r="D77" s="7" t="s">
        <v>161</v>
      </c>
      <c r="E77">
        <f>_xlfn.FLOOR.MATH((E76-122.1)/365.25)</f>
        <v>6673</v>
      </c>
      <c r="F77">
        <f t="shared" ref="F77:BG77" si="31">_xlfn.FLOOR.MATH((F76-122.1)/365.25)</f>
        <v>5049</v>
      </c>
      <c r="G77">
        <f t="shared" si="31"/>
        <v>6715</v>
      </c>
      <c r="H77">
        <f t="shared" si="31"/>
        <v>6714</v>
      </c>
      <c r="I77">
        <f t="shared" si="31"/>
        <v>6702</v>
      </c>
      <c r="J77">
        <f t="shared" si="31"/>
        <v>6703</v>
      </c>
      <c r="K77">
        <f t="shared" si="31"/>
        <v>6703</v>
      </c>
      <c r="L77">
        <f t="shared" si="31"/>
        <v>6704</v>
      </c>
      <c r="M77">
        <f t="shared" si="31"/>
        <v>6615</v>
      </c>
      <c r="N77">
        <f t="shared" si="31"/>
        <v>6315</v>
      </c>
      <c r="O77">
        <f t="shared" si="31"/>
        <v>6316</v>
      </c>
      <c r="P77">
        <f t="shared" si="31"/>
        <v>5553</v>
      </c>
      <c r="Q77">
        <f t="shared" si="31"/>
        <v>4593</v>
      </c>
      <c r="R77">
        <f t="shared" si="31"/>
        <v>4593</v>
      </c>
      <c r="S77">
        <f t="shared" si="31"/>
        <v>3716</v>
      </c>
      <c r="T77">
        <f t="shared" si="31"/>
        <v>3716</v>
      </c>
      <c r="U77">
        <f t="shared" si="31"/>
        <v>3715</v>
      </c>
      <c r="V77">
        <f t="shared" si="31"/>
        <v>3</v>
      </c>
      <c r="W77">
        <f t="shared" si="31"/>
        <v>6703</v>
      </c>
      <c r="X77">
        <f t="shared" si="31"/>
        <v>6708</v>
      </c>
      <c r="Y77">
        <f t="shared" si="31"/>
        <v>6692</v>
      </c>
      <c r="Z77">
        <f t="shared" si="31"/>
        <v>6759</v>
      </c>
      <c r="AA77">
        <f t="shared" si="31"/>
        <v>6715</v>
      </c>
      <c r="AB77">
        <f t="shared" si="31"/>
        <v>6670</v>
      </c>
      <c r="AC77">
        <f t="shared" si="31"/>
        <v>6694</v>
      </c>
      <c r="AD77">
        <f t="shared" si="31"/>
        <v>6704</v>
      </c>
      <c r="AE77">
        <f t="shared" si="31"/>
        <v>6692</v>
      </c>
      <c r="AF77">
        <f t="shared" si="31"/>
        <v>6708</v>
      </c>
      <c r="AG77">
        <f t="shared" si="31"/>
        <v>6708</v>
      </c>
      <c r="AH77">
        <f t="shared" si="31"/>
        <v>6707</v>
      </c>
      <c r="AI77">
        <f t="shared" si="31"/>
        <v>6708</v>
      </c>
      <c r="AJ77">
        <f t="shared" si="31"/>
        <v>6709</v>
      </c>
      <c r="AK77">
        <f t="shared" si="31"/>
        <v>6533</v>
      </c>
      <c r="AL77">
        <f t="shared" si="31"/>
        <v>6706</v>
      </c>
      <c r="AM77">
        <f t="shared" si="31"/>
        <v>5338</v>
      </c>
      <c r="AN77">
        <f t="shared" si="31"/>
        <v>6716</v>
      </c>
      <c r="AO77">
        <f t="shared" si="31"/>
        <v>4716</v>
      </c>
      <c r="AP77">
        <f t="shared" si="31"/>
        <v>6738</v>
      </c>
      <c r="AQ77">
        <f t="shared" si="31"/>
        <v>6738</v>
      </c>
      <c r="AR77">
        <f t="shared" si="31"/>
        <v>6738</v>
      </c>
      <c r="AS77">
        <f t="shared" si="31"/>
        <v>6738</v>
      </c>
      <c r="AT77">
        <f t="shared" si="31"/>
        <v>6738</v>
      </c>
      <c r="AU77">
        <f t="shared" si="31"/>
        <v>6689</v>
      </c>
      <c r="AV77">
        <f t="shared" si="31"/>
        <v>6713</v>
      </c>
      <c r="AW77">
        <f t="shared" si="31"/>
        <v>6650</v>
      </c>
      <c r="AX77">
        <f t="shared" si="31"/>
        <v>6673</v>
      </c>
      <c r="AY77">
        <f t="shared" si="31"/>
        <v>6738</v>
      </c>
      <c r="AZ77">
        <f t="shared" si="31"/>
        <v>6738</v>
      </c>
      <c r="BA77">
        <f t="shared" si="31"/>
        <v>6738</v>
      </c>
      <c r="BB77">
        <f t="shared" si="31"/>
        <v>6738</v>
      </c>
      <c r="BC77">
        <f t="shared" si="31"/>
        <v>6738</v>
      </c>
      <c r="BD77">
        <f t="shared" si="31"/>
        <v>6738</v>
      </c>
      <c r="BE77">
        <f t="shared" si="31"/>
        <v>6738</v>
      </c>
      <c r="BF77">
        <f t="shared" si="31"/>
        <v>6738</v>
      </c>
      <c r="BG77">
        <f t="shared" si="31"/>
        <v>6692</v>
      </c>
    </row>
    <row r="78" spans="3:59" x14ac:dyDescent="0.25">
      <c r="C78" t="s">
        <v>1008</v>
      </c>
      <c r="D78" s="7" t="s">
        <v>162</v>
      </c>
      <c r="E78">
        <f>_xlfn.FLOOR.MATH(365.25*E77)</f>
        <v>2437313</v>
      </c>
      <c r="F78">
        <f t="shared" ref="F78:BG78" si="32">_xlfn.FLOOR.MATH(365.25*F77)</f>
        <v>1844147</v>
      </c>
      <c r="G78">
        <f t="shared" si="32"/>
        <v>2452653</v>
      </c>
      <c r="H78">
        <f t="shared" si="32"/>
        <v>2452288</v>
      </c>
      <c r="I78">
        <f t="shared" si="32"/>
        <v>2447905</v>
      </c>
      <c r="J78">
        <f t="shared" si="32"/>
        <v>2448270</v>
      </c>
      <c r="K78">
        <f t="shared" si="32"/>
        <v>2448270</v>
      </c>
      <c r="L78">
        <f t="shared" si="32"/>
        <v>2448636</v>
      </c>
      <c r="M78">
        <f t="shared" si="32"/>
        <v>2416128</v>
      </c>
      <c r="N78">
        <f t="shared" si="32"/>
        <v>2306553</v>
      </c>
      <c r="O78">
        <f t="shared" si="32"/>
        <v>2306919</v>
      </c>
      <c r="P78">
        <f t="shared" si="32"/>
        <v>2028233</v>
      </c>
      <c r="Q78">
        <f t="shared" si="32"/>
        <v>1677593</v>
      </c>
      <c r="R78">
        <f t="shared" si="32"/>
        <v>1677593</v>
      </c>
      <c r="S78">
        <f t="shared" si="32"/>
        <v>1357269</v>
      </c>
      <c r="T78">
        <f t="shared" si="32"/>
        <v>1357269</v>
      </c>
      <c r="U78">
        <f t="shared" si="32"/>
        <v>1356903</v>
      </c>
      <c r="V78">
        <f t="shared" si="32"/>
        <v>1095</v>
      </c>
      <c r="W78">
        <f t="shared" si="32"/>
        <v>2448270</v>
      </c>
      <c r="X78">
        <f t="shared" si="32"/>
        <v>2450097</v>
      </c>
      <c r="Y78">
        <f t="shared" si="32"/>
        <v>2444253</v>
      </c>
      <c r="Z78">
        <f t="shared" si="32"/>
        <v>2468724</v>
      </c>
      <c r="AA78">
        <f t="shared" si="32"/>
        <v>2452653</v>
      </c>
      <c r="AB78">
        <f t="shared" si="32"/>
        <v>2436217</v>
      </c>
      <c r="AC78">
        <f t="shared" si="32"/>
        <v>2444983</v>
      </c>
      <c r="AD78">
        <f t="shared" si="32"/>
        <v>2448636</v>
      </c>
      <c r="AE78">
        <f t="shared" si="32"/>
        <v>2444253</v>
      </c>
      <c r="AF78">
        <f t="shared" si="32"/>
        <v>2450097</v>
      </c>
      <c r="AG78">
        <f t="shared" si="32"/>
        <v>2450097</v>
      </c>
      <c r="AH78">
        <f t="shared" si="32"/>
        <v>2449731</v>
      </c>
      <c r="AI78">
        <f t="shared" si="32"/>
        <v>2450097</v>
      </c>
      <c r="AJ78">
        <f t="shared" si="32"/>
        <v>2450462</v>
      </c>
      <c r="AK78">
        <f t="shared" si="32"/>
        <v>2386178</v>
      </c>
      <c r="AL78">
        <f t="shared" si="32"/>
        <v>2449366</v>
      </c>
      <c r="AM78">
        <f t="shared" si="32"/>
        <v>1949704</v>
      </c>
      <c r="AN78">
        <f t="shared" si="32"/>
        <v>2453019</v>
      </c>
      <c r="AO78">
        <f t="shared" si="32"/>
        <v>1722519</v>
      </c>
      <c r="AP78">
        <f t="shared" si="32"/>
        <v>2461054</v>
      </c>
      <c r="AQ78">
        <f t="shared" si="32"/>
        <v>2461054</v>
      </c>
      <c r="AR78">
        <f t="shared" si="32"/>
        <v>2461054</v>
      </c>
      <c r="AS78">
        <f t="shared" si="32"/>
        <v>2461054</v>
      </c>
      <c r="AT78">
        <f t="shared" si="32"/>
        <v>2461054</v>
      </c>
      <c r="AU78">
        <f t="shared" si="32"/>
        <v>2443157</v>
      </c>
      <c r="AV78">
        <f t="shared" si="32"/>
        <v>2451923</v>
      </c>
      <c r="AW78">
        <f t="shared" si="32"/>
        <v>2428912</v>
      </c>
      <c r="AX78">
        <f t="shared" si="32"/>
        <v>2437313</v>
      </c>
      <c r="AY78">
        <f t="shared" si="32"/>
        <v>2461054</v>
      </c>
      <c r="AZ78">
        <f t="shared" si="32"/>
        <v>2461054</v>
      </c>
      <c r="BA78">
        <f t="shared" si="32"/>
        <v>2461054</v>
      </c>
      <c r="BB78">
        <f t="shared" si="32"/>
        <v>2461054</v>
      </c>
      <c r="BC78">
        <f t="shared" si="32"/>
        <v>2461054</v>
      </c>
      <c r="BD78">
        <f t="shared" si="32"/>
        <v>2461054</v>
      </c>
      <c r="BE78">
        <f t="shared" si="32"/>
        <v>2461054</v>
      </c>
      <c r="BF78">
        <f t="shared" si="32"/>
        <v>2461054</v>
      </c>
      <c r="BG78">
        <f t="shared" si="32"/>
        <v>2444253</v>
      </c>
    </row>
    <row r="79" spans="3:59" x14ac:dyDescent="0.25">
      <c r="C79" t="s">
        <v>1009</v>
      </c>
      <c r="D79" s="7" t="s">
        <v>4</v>
      </c>
      <c r="E79">
        <f>_xlfn.FLOOR.MATH((E76-E78)/30.6001)</f>
        <v>11</v>
      </c>
      <c r="F79">
        <f t="shared" ref="F79:BG79" si="33">_xlfn.FLOOR.MATH((F76-F78)/30.6001)</f>
        <v>4</v>
      </c>
      <c r="G79">
        <f t="shared" si="33"/>
        <v>14</v>
      </c>
      <c r="H79">
        <f t="shared" si="33"/>
        <v>14</v>
      </c>
      <c r="I79">
        <f t="shared" si="33"/>
        <v>14</v>
      </c>
      <c r="J79">
        <f t="shared" si="33"/>
        <v>7</v>
      </c>
      <c r="K79">
        <f t="shared" si="33"/>
        <v>14</v>
      </c>
      <c r="L79">
        <f t="shared" si="33"/>
        <v>7</v>
      </c>
      <c r="M79">
        <f t="shared" si="33"/>
        <v>14</v>
      </c>
      <c r="N79">
        <f t="shared" si="33"/>
        <v>14</v>
      </c>
      <c r="O79">
        <f t="shared" si="33"/>
        <v>15</v>
      </c>
      <c r="P79">
        <f t="shared" si="33"/>
        <v>5</v>
      </c>
      <c r="Q79">
        <f t="shared" si="33"/>
        <v>14</v>
      </c>
      <c r="R79">
        <f t="shared" si="33"/>
        <v>13</v>
      </c>
      <c r="S79">
        <f t="shared" si="33"/>
        <v>8</v>
      </c>
      <c r="T79">
        <f t="shared" si="33"/>
        <v>5</v>
      </c>
      <c r="U79">
        <f t="shared" si="33"/>
        <v>9</v>
      </c>
      <c r="V79">
        <f t="shared" si="33"/>
        <v>14</v>
      </c>
      <c r="W79">
        <f t="shared" si="33"/>
        <v>5</v>
      </c>
      <c r="X79">
        <f t="shared" si="33"/>
        <v>6</v>
      </c>
      <c r="Y79">
        <f t="shared" si="33"/>
        <v>15</v>
      </c>
      <c r="Z79">
        <f t="shared" si="33"/>
        <v>13</v>
      </c>
      <c r="AA79">
        <f t="shared" si="33"/>
        <v>14</v>
      </c>
      <c r="AB79">
        <f t="shared" si="33"/>
        <v>7</v>
      </c>
      <c r="AC79">
        <f t="shared" si="33"/>
        <v>12</v>
      </c>
      <c r="AD79">
        <f t="shared" si="33"/>
        <v>5</v>
      </c>
      <c r="AE79">
        <f t="shared" si="33"/>
        <v>15</v>
      </c>
      <c r="AF79">
        <f t="shared" si="33"/>
        <v>13</v>
      </c>
      <c r="AG79">
        <f t="shared" si="33"/>
        <v>11</v>
      </c>
      <c r="AH79">
        <f t="shared" si="33"/>
        <v>4</v>
      </c>
      <c r="AI79">
        <f t="shared" si="33"/>
        <v>5</v>
      </c>
      <c r="AJ79">
        <f t="shared" si="33"/>
        <v>6</v>
      </c>
      <c r="AK79">
        <f t="shared" si="33"/>
        <v>14</v>
      </c>
      <c r="AL79">
        <f t="shared" si="33"/>
        <v>10</v>
      </c>
      <c r="AM79">
        <f t="shared" si="33"/>
        <v>8</v>
      </c>
      <c r="AN79">
        <f t="shared" si="33"/>
        <v>5</v>
      </c>
      <c r="AO79">
        <f t="shared" si="33"/>
        <v>14</v>
      </c>
      <c r="AP79">
        <f t="shared" si="33"/>
        <v>10</v>
      </c>
      <c r="AQ79">
        <f t="shared" si="33"/>
        <v>10</v>
      </c>
      <c r="AR79">
        <f t="shared" si="33"/>
        <v>11</v>
      </c>
      <c r="AS79">
        <f t="shared" si="33"/>
        <v>11</v>
      </c>
      <c r="AT79">
        <f t="shared" si="33"/>
        <v>11</v>
      </c>
      <c r="AU79">
        <f t="shared" si="33"/>
        <v>7</v>
      </c>
      <c r="AV79">
        <f t="shared" si="33"/>
        <v>10</v>
      </c>
      <c r="AW79">
        <f t="shared" si="33"/>
        <v>14</v>
      </c>
      <c r="AX79">
        <f t="shared" si="33"/>
        <v>5</v>
      </c>
      <c r="AY79">
        <f t="shared" si="33"/>
        <v>12</v>
      </c>
      <c r="AZ79">
        <f t="shared" si="33"/>
        <v>12</v>
      </c>
      <c r="BA79">
        <f t="shared" si="33"/>
        <v>13</v>
      </c>
      <c r="BB79">
        <f t="shared" si="33"/>
        <v>13</v>
      </c>
      <c r="BC79">
        <f t="shared" si="33"/>
        <v>13</v>
      </c>
      <c r="BD79">
        <f t="shared" si="33"/>
        <v>13</v>
      </c>
      <c r="BE79">
        <f t="shared" si="33"/>
        <v>13</v>
      </c>
      <c r="BF79">
        <f t="shared" si="33"/>
        <v>13</v>
      </c>
      <c r="BG79">
        <f t="shared" si="33"/>
        <v>15</v>
      </c>
    </row>
    <row r="80" spans="3:59" x14ac:dyDescent="0.25">
      <c r="C80" t="s">
        <v>1010</v>
      </c>
      <c r="D80" s="7" t="s">
        <v>1011</v>
      </c>
      <c r="E80" s="2">
        <f>E76-E78-_xlfn.FLOOR.MATH(30.6001*E79)+E72</f>
        <v>23.204566408414394</v>
      </c>
      <c r="F80" s="2">
        <f t="shared" ref="F80:BG80" si="34">F76-F78-_xlfn.FLOOR.MATH(30.6001*F79)+F72</f>
        <v>2.9272492241580039</v>
      </c>
      <c r="G80" s="2">
        <f t="shared" si="34"/>
        <v>6.7743028104305267</v>
      </c>
      <c r="H80" s="2">
        <f t="shared" si="34"/>
        <v>17.674537254497409</v>
      </c>
      <c r="I80" s="2">
        <f t="shared" si="34"/>
        <v>29.587396752554923</v>
      </c>
      <c r="J80" s="2">
        <f t="shared" si="34"/>
        <v>26.231978723779321</v>
      </c>
      <c r="K80" s="2">
        <f t="shared" si="34"/>
        <v>19.24265250377357</v>
      </c>
      <c r="L80" s="2">
        <f t="shared" si="34"/>
        <v>14.389322177972645</v>
      </c>
      <c r="M80" s="2">
        <f t="shared" si="34"/>
        <v>1.5640995786525309</v>
      </c>
      <c r="N80" s="2">
        <f t="shared" si="34"/>
        <v>16.216355175245553</v>
      </c>
      <c r="O80" s="2">
        <f t="shared" si="34"/>
        <v>3.1774833775125444</v>
      </c>
      <c r="P80" s="2">
        <f t="shared" si="34"/>
        <v>8.9679195904172957</v>
      </c>
      <c r="Q80" s="2">
        <f t="shared" si="34"/>
        <v>23.379000091692433</v>
      </c>
      <c r="R80" s="2">
        <f t="shared" si="34"/>
        <v>24.619476576801389</v>
      </c>
      <c r="S80" s="2">
        <f t="shared" si="34"/>
        <v>6.1286915801465511</v>
      </c>
      <c r="T80" s="2">
        <f t="shared" si="34"/>
        <v>9.2466497146524489</v>
      </c>
      <c r="U80" s="2">
        <f t="shared" si="34"/>
        <v>16.010724514955655</v>
      </c>
      <c r="V80" s="2">
        <f t="shared" si="34"/>
        <v>11.253551012185696</v>
      </c>
      <c r="W80" s="2">
        <f t="shared" si="34"/>
        <v>28.049986264668405</v>
      </c>
      <c r="X80" s="2">
        <f t="shared" si="34"/>
        <v>2.7593994461931288</v>
      </c>
      <c r="Y80" s="2">
        <f t="shared" si="34"/>
        <v>18.17073461599648</v>
      </c>
      <c r="Z80" s="2">
        <f t="shared" si="34"/>
        <v>31.421133407391608</v>
      </c>
      <c r="AA80" s="2">
        <f t="shared" si="34"/>
        <v>6.7743028104305267</v>
      </c>
      <c r="AB80" s="2">
        <f t="shared" si="34"/>
        <v>30.524019898381084</v>
      </c>
      <c r="AC80" s="2">
        <f t="shared" si="34"/>
        <v>30.337324648629874</v>
      </c>
      <c r="AD80" s="2">
        <f t="shared" si="34"/>
        <v>16.484256356954575</v>
      </c>
      <c r="AE80" s="2">
        <f t="shared" si="34"/>
        <v>18.17073461599648</v>
      </c>
      <c r="AF80" s="2">
        <f t="shared" si="34"/>
        <v>24.022839474026114</v>
      </c>
      <c r="AG80" s="2">
        <f t="shared" si="34"/>
        <v>25.876211950089782</v>
      </c>
      <c r="AH80" s="2">
        <f t="shared" si="34"/>
        <v>16.323998340871185</v>
      </c>
      <c r="AI80" s="2">
        <f t="shared" si="34"/>
        <v>3.2164386892691255</v>
      </c>
      <c r="AJ80" s="2">
        <f t="shared" si="34"/>
        <v>21.597350800875574</v>
      </c>
      <c r="AK80" s="2">
        <f t="shared" si="34"/>
        <v>6.9731548381969333</v>
      </c>
      <c r="AL80" s="2">
        <f t="shared" si="34"/>
        <v>19.012269264087081</v>
      </c>
      <c r="AM80" s="2">
        <f t="shared" si="34"/>
        <v>14.287843952421099</v>
      </c>
      <c r="AN80" s="2">
        <f t="shared" si="34"/>
        <v>4.7494678753428161</v>
      </c>
      <c r="AO80" s="2">
        <f t="shared" si="34"/>
        <v>13.563844288233668</v>
      </c>
      <c r="AP80" s="2">
        <f t="shared" si="34"/>
        <v>25.933506770059466</v>
      </c>
      <c r="AQ80" s="2">
        <f t="shared" si="34"/>
        <v>25.933506770059466</v>
      </c>
      <c r="AR80" s="2">
        <f t="shared" si="34"/>
        <v>25.457851768005639</v>
      </c>
      <c r="AS80" s="2">
        <f t="shared" si="34"/>
        <v>25.457851768005639</v>
      </c>
      <c r="AT80" s="2">
        <f t="shared" si="34"/>
        <v>25.457851768005639</v>
      </c>
      <c r="AU80" s="2">
        <f t="shared" si="34"/>
        <v>1.205545456148684</v>
      </c>
      <c r="AV80" s="2">
        <f t="shared" si="34"/>
        <v>2.0034039597958326</v>
      </c>
      <c r="AW80" s="2">
        <f t="shared" si="34"/>
        <v>5.2324199038557708</v>
      </c>
      <c r="AX80" s="2">
        <f t="shared" si="34"/>
        <v>30.003802794963121</v>
      </c>
      <c r="AY80" s="2">
        <f t="shared" si="34"/>
        <v>23.94478169362992</v>
      </c>
      <c r="AZ80" s="2">
        <f t="shared" si="34"/>
        <v>23.94478169362992</v>
      </c>
      <c r="BA80" s="2">
        <f t="shared" si="34"/>
        <v>23.411935953423381</v>
      </c>
      <c r="BB80" s="2">
        <f t="shared" si="34"/>
        <v>23.411935953423381</v>
      </c>
      <c r="BC80" s="2">
        <f t="shared" si="34"/>
        <v>23.411935953423381</v>
      </c>
      <c r="BD80" s="2">
        <f t="shared" si="34"/>
        <v>23.411935953423381</v>
      </c>
      <c r="BE80" s="2">
        <f t="shared" si="34"/>
        <v>23.411935953423381</v>
      </c>
      <c r="BF80" s="2">
        <f t="shared" si="34"/>
        <v>23.411935953423381</v>
      </c>
      <c r="BG80" s="2">
        <f t="shared" si="34"/>
        <v>18.17073461599648</v>
      </c>
    </row>
    <row r="81" spans="3:59" x14ac:dyDescent="0.25">
      <c r="C81" t="s">
        <v>1012</v>
      </c>
      <c r="D81" s="7" t="s">
        <v>1013</v>
      </c>
      <c r="E81">
        <f>IF(E79&lt;14,E79-1,E79-13)</f>
        <v>10</v>
      </c>
      <c r="F81">
        <f t="shared" ref="F81:BG81" si="35">IF(F79&lt;14,F79-1,F79-13)</f>
        <v>3</v>
      </c>
      <c r="G81">
        <f t="shared" si="35"/>
        <v>1</v>
      </c>
      <c r="H81">
        <f t="shared" si="35"/>
        <v>1</v>
      </c>
      <c r="I81">
        <f t="shared" si="35"/>
        <v>1</v>
      </c>
      <c r="J81">
        <f t="shared" si="35"/>
        <v>6</v>
      </c>
      <c r="K81">
        <f t="shared" si="35"/>
        <v>1</v>
      </c>
      <c r="L81">
        <f t="shared" si="35"/>
        <v>6</v>
      </c>
      <c r="M81">
        <f t="shared" si="35"/>
        <v>1</v>
      </c>
      <c r="N81">
        <f t="shared" si="35"/>
        <v>1</v>
      </c>
      <c r="O81">
        <f t="shared" si="35"/>
        <v>2</v>
      </c>
      <c r="P81">
        <f t="shared" si="35"/>
        <v>4</v>
      </c>
      <c r="Q81">
        <f t="shared" si="35"/>
        <v>1</v>
      </c>
      <c r="R81">
        <f t="shared" si="35"/>
        <v>12</v>
      </c>
      <c r="S81">
        <f t="shared" si="35"/>
        <v>7</v>
      </c>
      <c r="T81">
        <f t="shared" si="35"/>
        <v>4</v>
      </c>
      <c r="U81">
        <f t="shared" si="35"/>
        <v>8</v>
      </c>
      <c r="V81">
        <f t="shared" si="35"/>
        <v>1</v>
      </c>
      <c r="W81">
        <f t="shared" si="35"/>
        <v>4</v>
      </c>
      <c r="X81">
        <f t="shared" si="35"/>
        <v>5</v>
      </c>
      <c r="Y81">
        <f t="shared" si="35"/>
        <v>2</v>
      </c>
      <c r="Z81">
        <f t="shared" si="35"/>
        <v>12</v>
      </c>
      <c r="AA81">
        <f t="shared" si="35"/>
        <v>1</v>
      </c>
      <c r="AB81">
        <f t="shared" si="35"/>
        <v>6</v>
      </c>
      <c r="AC81">
        <f t="shared" si="35"/>
        <v>11</v>
      </c>
      <c r="AD81">
        <f t="shared" si="35"/>
        <v>4</v>
      </c>
      <c r="AE81">
        <f t="shared" si="35"/>
        <v>2</v>
      </c>
      <c r="AF81">
        <f t="shared" si="35"/>
        <v>12</v>
      </c>
      <c r="AG81">
        <f t="shared" si="35"/>
        <v>10</v>
      </c>
      <c r="AH81">
        <f t="shared" si="35"/>
        <v>3</v>
      </c>
      <c r="AI81">
        <f t="shared" si="35"/>
        <v>4</v>
      </c>
      <c r="AJ81">
        <f t="shared" si="35"/>
        <v>5</v>
      </c>
      <c r="AK81">
        <f t="shared" si="35"/>
        <v>1</v>
      </c>
      <c r="AL81">
        <f t="shared" si="35"/>
        <v>9</v>
      </c>
      <c r="AM81">
        <f t="shared" si="35"/>
        <v>7</v>
      </c>
      <c r="AN81">
        <f t="shared" si="35"/>
        <v>4</v>
      </c>
      <c r="AO81">
        <f t="shared" si="35"/>
        <v>1</v>
      </c>
      <c r="AP81">
        <f t="shared" si="35"/>
        <v>9</v>
      </c>
      <c r="AQ81">
        <f t="shared" si="35"/>
        <v>9</v>
      </c>
      <c r="AR81">
        <f t="shared" si="35"/>
        <v>10</v>
      </c>
      <c r="AS81">
        <f t="shared" si="35"/>
        <v>10</v>
      </c>
      <c r="AT81">
        <f t="shared" si="35"/>
        <v>10</v>
      </c>
      <c r="AU81">
        <f t="shared" si="35"/>
        <v>6</v>
      </c>
      <c r="AV81">
        <f t="shared" si="35"/>
        <v>9</v>
      </c>
      <c r="AW81">
        <f t="shared" si="35"/>
        <v>1</v>
      </c>
      <c r="AX81">
        <f t="shared" si="35"/>
        <v>4</v>
      </c>
      <c r="AY81">
        <f t="shared" si="35"/>
        <v>11</v>
      </c>
      <c r="AZ81">
        <f t="shared" si="35"/>
        <v>11</v>
      </c>
      <c r="BA81">
        <f t="shared" si="35"/>
        <v>12</v>
      </c>
      <c r="BB81">
        <f t="shared" si="35"/>
        <v>12</v>
      </c>
      <c r="BC81">
        <f t="shared" si="35"/>
        <v>12</v>
      </c>
      <c r="BD81">
        <f t="shared" si="35"/>
        <v>12</v>
      </c>
      <c r="BE81">
        <f t="shared" si="35"/>
        <v>12</v>
      </c>
      <c r="BF81">
        <f t="shared" si="35"/>
        <v>12</v>
      </c>
      <c r="BG81">
        <f t="shared" si="35"/>
        <v>2</v>
      </c>
    </row>
    <row r="82" spans="3:59" x14ac:dyDescent="0.25">
      <c r="C82" t="s">
        <v>1014</v>
      </c>
      <c r="D82" s="7" t="s">
        <v>980</v>
      </c>
      <c r="E82">
        <f>IF(E81&gt;2, E77-4716,E77-4715)</f>
        <v>1957</v>
      </c>
      <c r="F82">
        <f t="shared" ref="F82:BG82" si="36">IF(F81&gt;2, F77-4716,F77-4715)</f>
        <v>333</v>
      </c>
      <c r="G82">
        <f t="shared" si="36"/>
        <v>2000</v>
      </c>
      <c r="H82">
        <f t="shared" si="36"/>
        <v>1999</v>
      </c>
      <c r="I82">
        <f t="shared" si="36"/>
        <v>1987</v>
      </c>
      <c r="J82">
        <f t="shared" si="36"/>
        <v>1987</v>
      </c>
      <c r="K82">
        <f t="shared" si="36"/>
        <v>1988</v>
      </c>
      <c r="L82">
        <f t="shared" si="36"/>
        <v>1988</v>
      </c>
      <c r="M82">
        <f t="shared" si="36"/>
        <v>1900</v>
      </c>
      <c r="N82">
        <f t="shared" si="36"/>
        <v>1600</v>
      </c>
      <c r="O82">
        <f t="shared" si="36"/>
        <v>1601</v>
      </c>
      <c r="P82">
        <f t="shared" si="36"/>
        <v>837</v>
      </c>
      <c r="Q82">
        <f t="shared" si="36"/>
        <v>-122</v>
      </c>
      <c r="R82">
        <f t="shared" si="36"/>
        <v>-123</v>
      </c>
      <c r="S82">
        <f t="shared" si="36"/>
        <v>-1000</v>
      </c>
      <c r="T82">
        <f t="shared" si="36"/>
        <v>-1000</v>
      </c>
      <c r="U82">
        <f t="shared" si="36"/>
        <v>-1001</v>
      </c>
      <c r="V82">
        <f t="shared" si="36"/>
        <v>-4712</v>
      </c>
      <c r="W82">
        <f t="shared" si="36"/>
        <v>1987</v>
      </c>
      <c r="X82">
        <f t="shared" si="36"/>
        <v>1992</v>
      </c>
      <c r="Y82">
        <f t="shared" si="36"/>
        <v>1977</v>
      </c>
      <c r="Z82">
        <f t="shared" si="36"/>
        <v>2043</v>
      </c>
      <c r="AA82">
        <f t="shared" si="36"/>
        <v>2000</v>
      </c>
      <c r="AB82">
        <f t="shared" si="36"/>
        <v>1954</v>
      </c>
      <c r="AC82">
        <f t="shared" si="36"/>
        <v>1978</v>
      </c>
      <c r="AD82">
        <f t="shared" si="36"/>
        <v>1988</v>
      </c>
      <c r="AE82">
        <f t="shared" si="36"/>
        <v>1977</v>
      </c>
      <c r="AF82">
        <f t="shared" si="36"/>
        <v>1992</v>
      </c>
      <c r="AG82">
        <f t="shared" si="36"/>
        <v>1992</v>
      </c>
      <c r="AH82">
        <f t="shared" si="36"/>
        <v>1991</v>
      </c>
      <c r="AI82">
        <f t="shared" si="36"/>
        <v>1992</v>
      </c>
      <c r="AJ82">
        <f t="shared" si="36"/>
        <v>1993</v>
      </c>
      <c r="AK82">
        <f t="shared" si="36"/>
        <v>1818</v>
      </c>
      <c r="AL82">
        <f t="shared" si="36"/>
        <v>1990</v>
      </c>
      <c r="AM82">
        <f t="shared" si="36"/>
        <v>622</v>
      </c>
      <c r="AN82">
        <f t="shared" si="36"/>
        <v>2000</v>
      </c>
      <c r="AO82">
        <f t="shared" si="36"/>
        <v>1</v>
      </c>
      <c r="AP82">
        <f t="shared" si="36"/>
        <v>2022</v>
      </c>
      <c r="AQ82">
        <f t="shared" si="36"/>
        <v>2022</v>
      </c>
      <c r="AR82">
        <f t="shared" si="36"/>
        <v>2022</v>
      </c>
      <c r="AS82">
        <f t="shared" si="36"/>
        <v>2022</v>
      </c>
      <c r="AT82">
        <f t="shared" si="36"/>
        <v>2022</v>
      </c>
      <c r="AU82">
        <f t="shared" si="36"/>
        <v>1973</v>
      </c>
      <c r="AV82">
        <f t="shared" si="36"/>
        <v>1997</v>
      </c>
      <c r="AW82">
        <f t="shared" si="36"/>
        <v>1935</v>
      </c>
      <c r="AX82">
        <f t="shared" si="36"/>
        <v>1957</v>
      </c>
      <c r="AY82">
        <f t="shared" si="36"/>
        <v>2022</v>
      </c>
      <c r="AZ82">
        <f t="shared" si="36"/>
        <v>2022</v>
      </c>
      <c r="BA82">
        <f t="shared" si="36"/>
        <v>2022</v>
      </c>
      <c r="BB82">
        <f t="shared" si="36"/>
        <v>2022</v>
      </c>
      <c r="BC82">
        <f t="shared" si="36"/>
        <v>2022</v>
      </c>
      <c r="BD82">
        <f t="shared" si="36"/>
        <v>2022</v>
      </c>
      <c r="BE82">
        <f t="shared" si="36"/>
        <v>2022</v>
      </c>
      <c r="BF82">
        <f t="shared" si="36"/>
        <v>2022</v>
      </c>
      <c r="BG82">
        <f t="shared" si="36"/>
        <v>1977</v>
      </c>
    </row>
    <row r="83" spans="3:59" x14ac:dyDescent="0.25">
      <c r="C83" s="35"/>
      <c r="D83" s="60" t="s">
        <v>938</v>
      </c>
      <c r="E83" s="122">
        <f>IF(E82&gt;1899,DATE(E82,E81,E80)+E72,E82&amp;"-"&amp;E81&amp;"-"&amp;E80)</f>
        <v>21116.204566408414</v>
      </c>
      <c r="F83" s="122" t="str">
        <f t="shared" ref="F83:BG83" si="37">IF(F82&gt;1899,DATE(F82,F81,F80)+F72,F82&amp;"-"&amp;F81&amp;"-"&amp;F80)</f>
        <v>333-3-2.927249224158</v>
      </c>
      <c r="G83" s="122">
        <f t="shared" si="37"/>
        <v>36531.774302810431</v>
      </c>
      <c r="H83" s="122">
        <f t="shared" si="37"/>
        <v>36177.674537254497</v>
      </c>
      <c r="I83" s="122">
        <f t="shared" si="37"/>
        <v>31806.587396752555</v>
      </c>
      <c r="J83" s="122">
        <f t="shared" si="37"/>
        <v>31954.231978723779</v>
      </c>
      <c r="K83" s="122">
        <f t="shared" si="37"/>
        <v>32161.242652503774</v>
      </c>
      <c r="L83" s="122">
        <f t="shared" si="37"/>
        <v>32308.389322177973</v>
      </c>
      <c r="M83" s="122">
        <f t="shared" si="37"/>
        <v>1.5640995786525309</v>
      </c>
      <c r="N83" s="122" t="str">
        <f t="shared" si="37"/>
        <v>1600-1-16.2163551752455</v>
      </c>
      <c r="O83" s="122" t="str">
        <f t="shared" si="37"/>
        <v>1601-2-3.17748337751254</v>
      </c>
      <c r="P83" s="122" t="str">
        <f t="shared" si="37"/>
        <v>837-4-8.96791959041729</v>
      </c>
      <c r="Q83" s="122" t="str">
        <f t="shared" si="37"/>
        <v>-122-1-23.3790000916924</v>
      </c>
      <c r="R83" s="122" t="str">
        <f t="shared" si="37"/>
        <v>-123-12-24.6194765768013</v>
      </c>
      <c r="S83" s="122" t="str">
        <f t="shared" si="37"/>
        <v>-1000-7-6.12869158014655</v>
      </c>
      <c r="T83" s="122" t="str">
        <f t="shared" si="37"/>
        <v>-1000-4-9.24664971465244</v>
      </c>
      <c r="U83" s="122" t="str">
        <f t="shared" si="37"/>
        <v>-1001-8-16.0107245149556</v>
      </c>
      <c r="V83" s="122" t="str">
        <f t="shared" si="37"/>
        <v>-4712-1-11.2535510121857</v>
      </c>
      <c r="W83" s="122">
        <f t="shared" si="37"/>
        <v>31895.049986264668</v>
      </c>
      <c r="X83" s="122">
        <f t="shared" si="37"/>
        <v>33726.759399446193</v>
      </c>
      <c r="Y83" s="122">
        <f t="shared" si="37"/>
        <v>28174.170734615996</v>
      </c>
      <c r="Z83" s="122">
        <f t="shared" si="37"/>
        <v>52596.421133407392</v>
      </c>
      <c r="AA83" s="122">
        <f t="shared" si="37"/>
        <v>36531.774302810431</v>
      </c>
      <c r="AB83" s="122">
        <f t="shared" si="37"/>
        <v>19905.524019898381</v>
      </c>
      <c r="AC83" s="122">
        <f t="shared" si="37"/>
        <v>28824.33732464863</v>
      </c>
      <c r="AD83" s="122">
        <f t="shared" si="37"/>
        <v>32249.484256356955</v>
      </c>
      <c r="AE83" s="122">
        <f t="shared" si="37"/>
        <v>28174.170734615996</v>
      </c>
      <c r="AF83" s="122">
        <f t="shared" si="37"/>
        <v>33962.022839474026</v>
      </c>
      <c r="AG83" s="122">
        <f t="shared" si="37"/>
        <v>33902.87621195009</v>
      </c>
      <c r="AH83" s="122">
        <f t="shared" si="37"/>
        <v>33313.323998340871</v>
      </c>
      <c r="AI83" s="122">
        <f t="shared" si="37"/>
        <v>33697.216438689269</v>
      </c>
      <c r="AJ83" s="122">
        <f t="shared" si="37"/>
        <v>34110.597350800876</v>
      </c>
      <c r="AK83" s="122" t="str">
        <f t="shared" si="37"/>
        <v>1818-1-6.97315483819693</v>
      </c>
      <c r="AL83" s="122">
        <f t="shared" si="37"/>
        <v>33135.012269264087</v>
      </c>
      <c r="AM83" s="122" t="str">
        <f t="shared" si="37"/>
        <v>622-7-14.287843952421</v>
      </c>
      <c r="AN83" s="122">
        <f t="shared" si="37"/>
        <v>36620.749467875343</v>
      </c>
      <c r="AO83" s="122" t="str">
        <f t="shared" si="37"/>
        <v>1-1-13.5638442882336</v>
      </c>
      <c r="AP83" s="122">
        <f t="shared" si="37"/>
        <v>44829.933506770059</v>
      </c>
      <c r="AQ83" s="122">
        <f t="shared" si="37"/>
        <v>44829.933506770059</v>
      </c>
      <c r="AR83" s="122">
        <f t="shared" si="37"/>
        <v>44859.457851768006</v>
      </c>
      <c r="AS83" s="122">
        <f t="shared" si="37"/>
        <v>44859.457851768006</v>
      </c>
      <c r="AT83" s="122">
        <f t="shared" si="37"/>
        <v>44859.457851768006</v>
      </c>
      <c r="AU83" s="122">
        <f t="shared" si="37"/>
        <v>26816.205545456149</v>
      </c>
      <c r="AV83" s="122">
        <f t="shared" si="37"/>
        <v>35675.003403959796</v>
      </c>
      <c r="AW83" s="122">
        <f t="shared" si="37"/>
        <v>12789.232419903856</v>
      </c>
      <c r="AX83" s="122">
        <f t="shared" si="37"/>
        <v>20940.003802794963</v>
      </c>
      <c r="AY83" s="122">
        <f t="shared" si="37"/>
        <v>44888.94478169363</v>
      </c>
      <c r="AZ83" s="122">
        <f t="shared" si="37"/>
        <v>44888.94478169363</v>
      </c>
      <c r="BA83" s="122">
        <f t="shared" si="37"/>
        <v>44918.411935953423</v>
      </c>
      <c r="BB83" s="122">
        <f t="shared" si="37"/>
        <v>44918.411935953423</v>
      </c>
      <c r="BC83" s="122">
        <f t="shared" si="37"/>
        <v>44918.411935953423</v>
      </c>
      <c r="BD83" s="122">
        <f t="shared" si="37"/>
        <v>44918.411935953423</v>
      </c>
      <c r="BE83" s="122">
        <f t="shared" si="37"/>
        <v>44918.411935953423</v>
      </c>
      <c r="BF83" s="122">
        <f t="shared" si="37"/>
        <v>44918.411935953423</v>
      </c>
      <c r="BG83" s="122">
        <f t="shared" si="37"/>
        <v>28174.170734615996</v>
      </c>
    </row>
    <row r="84" spans="3:59" x14ac:dyDescent="0.25">
      <c r="C84" s="7" t="s">
        <v>1167</v>
      </c>
      <c r="D84" s="19" t="s">
        <v>3</v>
      </c>
      <c r="E84" s="332">
        <f>E69-E4</f>
        <v>2436134.7041937234</v>
      </c>
      <c r="F84" s="332">
        <f t="shared" ref="F84:BG84" si="38">F69-F4</f>
        <v>1842747.3643759699</v>
      </c>
      <c r="G84" s="332">
        <f t="shared" si="38"/>
        <v>2451550.2735504955</v>
      </c>
      <c r="H84" s="332">
        <f t="shared" si="38"/>
        <v>2451196.1733684754</v>
      </c>
      <c r="I84" s="332">
        <f t="shared" si="38"/>
        <v>2446825.086750919</v>
      </c>
      <c r="J84" s="332">
        <f t="shared" si="38"/>
        <v>2446972.7313328902</v>
      </c>
      <c r="K84" s="332">
        <f t="shared" si="38"/>
        <v>2447179.7420066702</v>
      </c>
      <c r="L84" s="332">
        <f t="shared" si="38"/>
        <v>2447326.8886763444</v>
      </c>
      <c r="M84" s="332">
        <f t="shared" si="38"/>
        <v>2415021.0641319859</v>
      </c>
      <c r="N84" s="332">
        <f t="shared" si="38"/>
        <v>2305462.7152116569</v>
      </c>
      <c r="O84" s="332">
        <f t="shared" si="38"/>
        <v>2305846.6763398591</v>
      </c>
      <c r="P84" s="332">
        <f t="shared" si="38"/>
        <v>2026870.4408624195</v>
      </c>
      <c r="Q84" s="332">
        <f t="shared" si="38"/>
        <v>1676519.7709031429</v>
      </c>
      <c r="R84" s="332">
        <f t="shared" si="38"/>
        <v>1676490.0114921264</v>
      </c>
      <c r="S84" s="332">
        <f t="shared" si="38"/>
        <v>1355994.3993860246</v>
      </c>
      <c r="T84" s="332">
        <f t="shared" si="38"/>
        <v>1355906.5173441591</v>
      </c>
      <c r="U84" s="332">
        <f t="shared" si="38"/>
        <v>1355669.2812550412</v>
      </c>
      <c r="V84" s="332">
        <f t="shared" si="38"/>
        <v>8.512409249222733</v>
      </c>
      <c r="W84" s="332">
        <f t="shared" si="38"/>
        <v>2446913.5493404311</v>
      </c>
      <c r="X84" s="332">
        <f t="shared" si="38"/>
        <v>2448745.2587246778</v>
      </c>
      <c r="Y84" s="332">
        <f t="shared" si="38"/>
        <v>2443192.6701790607</v>
      </c>
      <c r="Z84" s="332">
        <f t="shared" si="38"/>
        <v>2467614.9196165316</v>
      </c>
      <c r="AA84" s="332">
        <f t="shared" si="38"/>
        <v>2451550.2735504955</v>
      </c>
      <c r="AB84" s="332">
        <f t="shared" si="38"/>
        <v>2434924.0236645741</v>
      </c>
      <c r="AC84" s="332">
        <f t="shared" si="38"/>
        <v>2443842.8367633061</v>
      </c>
      <c r="AD84" s="332">
        <f t="shared" si="38"/>
        <v>2447267.9836105234</v>
      </c>
      <c r="AE84" s="332">
        <f t="shared" si="38"/>
        <v>2443192.6701790607</v>
      </c>
      <c r="AF84" s="332">
        <f t="shared" si="38"/>
        <v>2448980.5221647057</v>
      </c>
      <c r="AG84" s="332">
        <f t="shared" si="38"/>
        <v>2448921.3755371817</v>
      </c>
      <c r="AH84" s="332">
        <f t="shared" si="38"/>
        <v>2448331.8233235725</v>
      </c>
      <c r="AI84" s="332">
        <f t="shared" si="38"/>
        <v>2448715.7157639209</v>
      </c>
      <c r="AJ84" s="332">
        <f t="shared" si="38"/>
        <v>2449129.0966563565</v>
      </c>
      <c r="AK84" s="332">
        <f t="shared" si="38"/>
        <v>2385076.4731529434</v>
      </c>
      <c r="AL84" s="332">
        <f t="shared" si="38"/>
        <v>2448153.5116106994</v>
      </c>
      <c r="AM84" s="332">
        <f t="shared" si="38"/>
        <v>1948437.7473275575</v>
      </c>
      <c r="AN84" s="332">
        <f t="shared" si="38"/>
        <v>2451639.2487155604</v>
      </c>
      <c r="AO84" s="332">
        <f t="shared" si="38"/>
        <v>1721435.969250509</v>
      </c>
      <c r="AP84" s="332">
        <f t="shared" si="38"/>
        <v>2459848.4323863476</v>
      </c>
      <c r="AQ84" s="332">
        <f t="shared" si="38"/>
        <v>2459848.4323863476</v>
      </c>
      <c r="AR84" s="332">
        <f t="shared" si="38"/>
        <v>2459877.9567313455</v>
      </c>
      <c r="AS84" s="332">
        <f t="shared" si="38"/>
        <v>2459877.9567313455</v>
      </c>
      <c r="AT84" s="332">
        <f t="shared" si="38"/>
        <v>2459877.9567313455</v>
      </c>
      <c r="AU84" s="332">
        <f t="shared" si="38"/>
        <v>2441834.7050304101</v>
      </c>
      <c r="AV84" s="332">
        <f t="shared" si="38"/>
        <v>2450693.5026747934</v>
      </c>
      <c r="AW84" s="332">
        <f t="shared" si="38"/>
        <v>2427807.7321432834</v>
      </c>
      <c r="AX84" s="332">
        <f t="shared" si="38"/>
        <v>2435958.5034301099</v>
      </c>
      <c r="AY84" s="332">
        <f t="shared" si="38"/>
        <v>2459907.4436612711</v>
      </c>
      <c r="AZ84" s="332">
        <f t="shared" si="38"/>
        <v>2459907.4436612711</v>
      </c>
      <c r="BA84" s="332">
        <f t="shared" si="38"/>
        <v>2459936.9108155309</v>
      </c>
      <c r="BB84" s="332">
        <f t="shared" si="38"/>
        <v>2459936.9108155309</v>
      </c>
      <c r="BC84" s="332">
        <f t="shared" si="38"/>
        <v>2459936.9108155309</v>
      </c>
      <c r="BD84" s="332">
        <f t="shared" si="38"/>
        <v>2459936.9108155309</v>
      </c>
      <c r="BE84" s="332">
        <f t="shared" si="38"/>
        <v>2459936.9108155309</v>
      </c>
      <c r="BF84" s="332">
        <f t="shared" si="38"/>
        <v>2459936.9108155309</v>
      </c>
      <c r="BG84" s="332">
        <f t="shared" si="38"/>
        <v>2443192.6701790607</v>
      </c>
    </row>
    <row r="85" spans="3:59" x14ac:dyDescent="0.25"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</row>
    <row r="86" spans="3:59" x14ac:dyDescent="0.25">
      <c r="C86" t="s">
        <v>1000</v>
      </c>
      <c r="D86" s="7" t="s">
        <v>1001</v>
      </c>
      <c r="E86">
        <f>_xlfn.FLOOR.MATH(E84+0.5)</f>
        <v>2436135</v>
      </c>
      <c r="F86">
        <f t="shared" ref="F86:BG86" si="39">_xlfn.FLOOR.MATH(F84+0.5)</f>
        <v>1842747</v>
      </c>
      <c r="G86">
        <f t="shared" si="39"/>
        <v>2451550</v>
      </c>
      <c r="H86">
        <f t="shared" si="39"/>
        <v>2451196</v>
      </c>
      <c r="I86">
        <f t="shared" si="39"/>
        <v>2446825</v>
      </c>
      <c r="J86">
        <f t="shared" si="39"/>
        <v>2446973</v>
      </c>
      <c r="K86">
        <f t="shared" si="39"/>
        <v>2447180</v>
      </c>
      <c r="L86">
        <f t="shared" si="39"/>
        <v>2447327</v>
      </c>
      <c r="M86">
        <f t="shared" si="39"/>
        <v>2415021</v>
      </c>
      <c r="N86">
        <f t="shared" si="39"/>
        <v>2305463</v>
      </c>
      <c r="O86">
        <f t="shared" si="39"/>
        <v>2305847</v>
      </c>
      <c r="P86">
        <f t="shared" si="39"/>
        <v>2026870</v>
      </c>
      <c r="Q86">
        <f t="shared" si="39"/>
        <v>1676520</v>
      </c>
      <c r="R86">
        <f t="shared" si="39"/>
        <v>1676490</v>
      </c>
      <c r="S86">
        <f t="shared" si="39"/>
        <v>1355994</v>
      </c>
      <c r="T86">
        <f t="shared" si="39"/>
        <v>1355907</v>
      </c>
      <c r="U86">
        <f t="shared" si="39"/>
        <v>1355669</v>
      </c>
      <c r="V86">
        <f t="shared" si="39"/>
        <v>9</v>
      </c>
      <c r="W86">
        <f t="shared" si="39"/>
        <v>2446914</v>
      </c>
      <c r="X86">
        <f t="shared" si="39"/>
        <v>2448745</v>
      </c>
      <c r="Y86">
        <f t="shared" si="39"/>
        <v>2443193</v>
      </c>
      <c r="Z86">
        <f t="shared" si="39"/>
        <v>2467615</v>
      </c>
      <c r="AA86">
        <f t="shared" si="39"/>
        <v>2451550</v>
      </c>
      <c r="AB86">
        <f t="shared" si="39"/>
        <v>2434924</v>
      </c>
      <c r="AC86">
        <f t="shared" si="39"/>
        <v>2443843</v>
      </c>
      <c r="AD86">
        <f t="shared" si="39"/>
        <v>2447268</v>
      </c>
      <c r="AE86">
        <f t="shared" si="39"/>
        <v>2443193</v>
      </c>
      <c r="AF86">
        <f t="shared" si="39"/>
        <v>2448981</v>
      </c>
      <c r="AG86">
        <f t="shared" si="39"/>
        <v>2448921</v>
      </c>
      <c r="AH86">
        <f t="shared" si="39"/>
        <v>2448332</v>
      </c>
      <c r="AI86">
        <f t="shared" si="39"/>
        <v>2448716</v>
      </c>
      <c r="AJ86">
        <f t="shared" si="39"/>
        <v>2449129</v>
      </c>
      <c r="AK86">
        <f t="shared" si="39"/>
        <v>2385076</v>
      </c>
      <c r="AL86">
        <f t="shared" si="39"/>
        <v>2448154</v>
      </c>
      <c r="AM86">
        <f t="shared" si="39"/>
        <v>1948438</v>
      </c>
      <c r="AN86">
        <f t="shared" si="39"/>
        <v>2451639</v>
      </c>
      <c r="AO86">
        <f t="shared" si="39"/>
        <v>1721436</v>
      </c>
      <c r="AP86">
        <f t="shared" si="39"/>
        <v>2459848</v>
      </c>
      <c r="AQ86">
        <f t="shared" si="39"/>
        <v>2459848</v>
      </c>
      <c r="AR86">
        <f t="shared" si="39"/>
        <v>2459878</v>
      </c>
      <c r="AS86">
        <f t="shared" si="39"/>
        <v>2459878</v>
      </c>
      <c r="AT86">
        <f t="shared" si="39"/>
        <v>2459878</v>
      </c>
      <c r="AU86">
        <f t="shared" si="39"/>
        <v>2441835</v>
      </c>
      <c r="AV86">
        <f t="shared" si="39"/>
        <v>2450694</v>
      </c>
      <c r="AW86">
        <f t="shared" si="39"/>
        <v>2427808</v>
      </c>
      <c r="AX86">
        <f t="shared" si="39"/>
        <v>2435959</v>
      </c>
      <c r="AY86">
        <f t="shared" si="39"/>
        <v>2459907</v>
      </c>
      <c r="AZ86">
        <f t="shared" si="39"/>
        <v>2459907</v>
      </c>
      <c r="BA86">
        <f t="shared" si="39"/>
        <v>2459937</v>
      </c>
      <c r="BB86">
        <f t="shared" si="39"/>
        <v>2459937</v>
      </c>
      <c r="BC86">
        <f t="shared" si="39"/>
        <v>2459937</v>
      </c>
      <c r="BD86">
        <f t="shared" si="39"/>
        <v>2459937</v>
      </c>
      <c r="BE86">
        <f t="shared" si="39"/>
        <v>2459937</v>
      </c>
      <c r="BF86">
        <f t="shared" si="39"/>
        <v>2459937</v>
      </c>
      <c r="BG86">
        <f t="shared" si="39"/>
        <v>2443193</v>
      </c>
    </row>
    <row r="87" spans="3:59" x14ac:dyDescent="0.25">
      <c r="C87" t="s">
        <v>1002</v>
      </c>
      <c r="D87" s="7" t="s">
        <v>7</v>
      </c>
      <c r="E87" s="285">
        <f>(E84+0.5)-E86</f>
        <v>0.20419372338801622</v>
      </c>
      <c r="F87" s="285">
        <f t="shared" ref="F87:BG87" si="40">(F84+0.5)-F86</f>
        <v>0.86437596986070275</v>
      </c>
      <c r="G87" s="285">
        <f t="shared" si="40"/>
        <v>0.77355049550533295</v>
      </c>
      <c r="H87" s="285">
        <f t="shared" si="40"/>
        <v>0.6733684753999114</v>
      </c>
      <c r="I87" s="285">
        <f t="shared" si="40"/>
        <v>0.58675091899931431</v>
      </c>
      <c r="J87" s="285">
        <f t="shared" si="40"/>
        <v>0.23133289022371173</v>
      </c>
      <c r="K87" s="285">
        <f t="shared" si="40"/>
        <v>0.24200667021796107</v>
      </c>
      <c r="L87" s="285">
        <f t="shared" si="40"/>
        <v>0.38867634441703558</v>
      </c>
      <c r="M87" s="285">
        <f t="shared" si="40"/>
        <v>0.5641319858841598</v>
      </c>
      <c r="N87" s="285">
        <f t="shared" si="40"/>
        <v>0.21521165687590837</v>
      </c>
      <c r="O87" s="285">
        <f t="shared" si="40"/>
        <v>0.17633985914289951</v>
      </c>
      <c r="P87" s="285">
        <f t="shared" si="40"/>
        <v>0.94086241954937577</v>
      </c>
      <c r="Q87" s="285">
        <f t="shared" si="40"/>
        <v>0.27090314286760986</v>
      </c>
      <c r="R87" s="285">
        <f t="shared" si="40"/>
        <v>0.5114921263884753</v>
      </c>
      <c r="S87" s="285">
        <f t="shared" si="40"/>
        <v>0.89938602456822991</v>
      </c>
      <c r="T87" s="285">
        <f t="shared" si="40"/>
        <v>1.7344159074127674E-2</v>
      </c>
      <c r="U87" s="285">
        <f t="shared" si="40"/>
        <v>0.78125504124909639</v>
      </c>
      <c r="V87" s="285">
        <f t="shared" si="40"/>
        <v>1.240924922273301E-2</v>
      </c>
      <c r="W87" s="285">
        <f t="shared" si="40"/>
        <v>4.9340431112796068E-2</v>
      </c>
      <c r="X87" s="285">
        <f t="shared" si="40"/>
        <v>0.7587246778421104</v>
      </c>
      <c r="Y87" s="285">
        <f t="shared" si="40"/>
        <v>0.17017906066030264</v>
      </c>
      <c r="Z87" s="285">
        <f t="shared" si="40"/>
        <v>0.41961653158068657</v>
      </c>
      <c r="AA87" s="285">
        <f t="shared" si="40"/>
        <v>0.77355049550533295</v>
      </c>
      <c r="AB87" s="285">
        <f t="shared" si="40"/>
        <v>0.52366457413882017</v>
      </c>
      <c r="AC87" s="285">
        <f t="shared" si="40"/>
        <v>0.33676330605521798</v>
      </c>
      <c r="AD87" s="285">
        <f t="shared" si="40"/>
        <v>0.4836105233989656</v>
      </c>
      <c r="AE87" s="285">
        <f t="shared" si="40"/>
        <v>0.17017906066030264</v>
      </c>
      <c r="AF87" s="285">
        <f t="shared" si="40"/>
        <v>2.216470567509532E-2</v>
      </c>
      <c r="AG87" s="285">
        <f t="shared" si="40"/>
        <v>0.87553718173876405</v>
      </c>
      <c r="AH87" s="285">
        <f t="shared" si="40"/>
        <v>0.32332357252016664</v>
      </c>
      <c r="AI87" s="285">
        <f t="shared" si="40"/>
        <v>0.21576392091810703</v>
      </c>
      <c r="AJ87" s="285">
        <f t="shared" si="40"/>
        <v>0.59665635647252202</v>
      </c>
      <c r="AK87" s="285">
        <f t="shared" si="40"/>
        <v>0.97315294342115521</v>
      </c>
      <c r="AL87" s="285">
        <f t="shared" si="40"/>
        <v>1.1610699351876974E-2</v>
      </c>
      <c r="AM87" s="285">
        <f t="shared" si="40"/>
        <v>0.24732755753211677</v>
      </c>
      <c r="AN87" s="285">
        <f t="shared" si="40"/>
        <v>0.74871556041762233</v>
      </c>
      <c r="AO87" s="285">
        <f t="shared" si="40"/>
        <v>0.46925050904974341</v>
      </c>
      <c r="AP87" s="285">
        <f t="shared" si="40"/>
        <v>0.93238634755834937</v>
      </c>
      <c r="AQ87" s="285">
        <f t="shared" si="40"/>
        <v>0.93238634755834937</v>
      </c>
      <c r="AR87" s="285">
        <f t="shared" si="40"/>
        <v>0.45673134550452232</v>
      </c>
      <c r="AS87" s="285">
        <f t="shared" si="40"/>
        <v>0.45673134550452232</v>
      </c>
      <c r="AT87" s="285">
        <f t="shared" si="40"/>
        <v>0.45673134550452232</v>
      </c>
      <c r="AU87" s="285">
        <f t="shared" si="40"/>
        <v>0.20503041008487344</v>
      </c>
      <c r="AV87" s="285">
        <f t="shared" si="40"/>
        <v>2.6747933588922024E-3</v>
      </c>
      <c r="AW87" s="285">
        <f t="shared" si="40"/>
        <v>0.23214328335598111</v>
      </c>
      <c r="AX87" s="285">
        <f t="shared" si="40"/>
        <v>3.4301099367439747E-3</v>
      </c>
      <c r="AY87" s="285">
        <f t="shared" si="40"/>
        <v>0.94366127112880349</v>
      </c>
      <c r="AZ87" s="285">
        <f t="shared" si="40"/>
        <v>0.94366127112880349</v>
      </c>
      <c r="BA87" s="285">
        <f t="shared" si="40"/>
        <v>0.41081553092226386</v>
      </c>
      <c r="BB87" s="285">
        <f t="shared" si="40"/>
        <v>0.41081553092226386</v>
      </c>
      <c r="BC87" s="285">
        <f t="shared" si="40"/>
        <v>0.41081553092226386</v>
      </c>
      <c r="BD87" s="285">
        <f t="shared" si="40"/>
        <v>0.41081553092226386</v>
      </c>
      <c r="BE87" s="285">
        <f t="shared" si="40"/>
        <v>0.41081553092226386</v>
      </c>
      <c r="BF87" s="285">
        <f t="shared" si="40"/>
        <v>0.41081553092226386</v>
      </c>
      <c r="BG87" s="285">
        <f t="shared" si="40"/>
        <v>0.17017906066030264</v>
      </c>
    </row>
    <row r="88" spans="3:59" x14ac:dyDescent="0.25">
      <c r="C88" t="s">
        <v>1003</v>
      </c>
      <c r="D88" s="7" t="s">
        <v>281</v>
      </c>
      <c r="E88">
        <f>_xlfn.FLOOR.MATH((E86-1867216.25) /36524.25)</f>
        <v>15</v>
      </c>
      <c r="F88">
        <f t="shared" ref="F88:BG88" si="41">_xlfn.FLOOR.MATH((F86-1867216.25) /36524.25)</f>
        <v>-1</v>
      </c>
      <c r="G88">
        <f t="shared" si="41"/>
        <v>15</v>
      </c>
      <c r="H88">
        <f t="shared" si="41"/>
        <v>15</v>
      </c>
      <c r="I88">
        <f t="shared" si="41"/>
        <v>15</v>
      </c>
      <c r="J88">
        <f t="shared" si="41"/>
        <v>15</v>
      </c>
      <c r="K88">
        <f t="shared" si="41"/>
        <v>15</v>
      </c>
      <c r="L88">
        <f t="shared" si="41"/>
        <v>15</v>
      </c>
      <c r="M88">
        <f t="shared" si="41"/>
        <v>14</v>
      </c>
      <c r="N88">
        <f t="shared" si="41"/>
        <v>11</v>
      </c>
      <c r="O88">
        <f t="shared" si="41"/>
        <v>12</v>
      </c>
      <c r="P88">
        <f t="shared" si="41"/>
        <v>4</v>
      </c>
      <c r="Q88">
        <f t="shared" si="41"/>
        <v>-6</v>
      </c>
      <c r="R88">
        <f t="shared" si="41"/>
        <v>-6</v>
      </c>
      <c r="S88">
        <f t="shared" si="41"/>
        <v>-14</v>
      </c>
      <c r="T88">
        <f t="shared" si="41"/>
        <v>-14</v>
      </c>
      <c r="U88">
        <f t="shared" si="41"/>
        <v>-15</v>
      </c>
      <c r="V88">
        <f t="shared" si="41"/>
        <v>-52</v>
      </c>
      <c r="W88">
        <f t="shared" si="41"/>
        <v>15</v>
      </c>
      <c r="X88">
        <f t="shared" si="41"/>
        <v>15</v>
      </c>
      <c r="Y88">
        <f t="shared" si="41"/>
        <v>15</v>
      </c>
      <c r="Z88">
        <f t="shared" si="41"/>
        <v>16</v>
      </c>
      <c r="AA88">
        <f t="shared" si="41"/>
        <v>15</v>
      </c>
      <c r="AB88">
        <f t="shared" si="41"/>
        <v>15</v>
      </c>
      <c r="AC88">
        <f t="shared" si="41"/>
        <v>15</v>
      </c>
      <c r="AD88">
        <f t="shared" si="41"/>
        <v>15</v>
      </c>
      <c r="AE88">
        <f t="shared" si="41"/>
        <v>15</v>
      </c>
      <c r="AF88">
        <f t="shared" si="41"/>
        <v>15</v>
      </c>
      <c r="AG88">
        <f t="shared" si="41"/>
        <v>15</v>
      </c>
      <c r="AH88">
        <f t="shared" si="41"/>
        <v>15</v>
      </c>
      <c r="AI88">
        <f t="shared" si="41"/>
        <v>15</v>
      </c>
      <c r="AJ88">
        <f t="shared" si="41"/>
        <v>15</v>
      </c>
      <c r="AK88">
        <f t="shared" si="41"/>
        <v>14</v>
      </c>
      <c r="AL88">
        <f t="shared" si="41"/>
        <v>15</v>
      </c>
      <c r="AM88">
        <f t="shared" si="41"/>
        <v>2</v>
      </c>
      <c r="AN88">
        <f t="shared" si="41"/>
        <v>16</v>
      </c>
      <c r="AO88">
        <f t="shared" si="41"/>
        <v>-4</v>
      </c>
      <c r="AP88">
        <f t="shared" si="41"/>
        <v>16</v>
      </c>
      <c r="AQ88">
        <f t="shared" si="41"/>
        <v>16</v>
      </c>
      <c r="AR88">
        <f t="shared" si="41"/>
        <v>16</v>
      </c>
      <c r="AS88">
        <f t="shared" si="41"/>
        <v>16</v>
      </c>
      <c r="AT88">
        <f t="shared" si="41"/>
        <v>16</v>
      </c>
      <c r="AU88">
        <f t="shared" si="41"/>
        <v>15</v>
      </c>
      <c r="AV88">
        <f t="shared" si="41"/>
        <v>15</v>
      </c>
      <c r="AW88">
        <f t="shared" si="41"/>
        <v>15</v>
      </c>
      <c r="AX88">
        <f t="shared" si="41"/>
        <v>15</v>
      </c>
      <c r="AY88">
        <f t="shared" si="41"/>
        <v>16</v>
      </c>
      <c r="AZ88">
        <f t="shared" si="41"/>
        <v>16</v>
      </c>
      <c r="BA88">
        <f t="shared" si="41"/>
        <v>16</v>
      </c>
      <c r="BB88">
        <f t="shared" si="41"/>
        <v>16</v>
      </c>
      <c r="BC88">
        <f t="shared" si="41"/>
        <v>16</v>
      </c>
      <c r="BD88">
        <f t="shared" si="41"/>
        <v>16</v>
      </c>
      <c r="BE88">
        <f t="shared" si="41"/>
        <v>16</v>
      </c>
      <c r="BF88">
        <f t="shared" si="41"/>
        <v>16</v>
      </c>
      <c r="BG88">
        <f t="shared" si="41"/>
        <v>15</v>
      </c>
    </row>
    <row r="89" spans="3:59" x14ac:dyDescent="0.25">
      <c r="C89" t="s">
        <v>1004</v>
      </c>
      <c r="D89" s="7" t="s">
        <v>256</v>
      </c>
      <c r="E89">
        <f>E86+1+E88-_xlfn.FLOOR.MATH(E88/4)</f>
        <v>2436148</v>
      </c>
      <c r="F89">
        <f t="shared" ref="F89:BG89" si="42">F86+1+F88-_xlfn.FLOOR.MATH(F88/4)</f>
        <v>1842748</v>
      </c>
      <c r="G89">
        <f t="shared" si="42"/>
        <v>2451563</v>
      </c>
      <c r="H89">
        <f t="shared" si="42"/>
        <v>2451209</v>
      </c>
      <c r="I89">
        <f t="shared" si="42"/>
        <v>2446838</v>
      </c>
      <c r="J89">
        <f t="shared" si="42"/>
        <v>2446986</v>
      </c>
      <c r="K89">
        <f t="shared" si="42"/>
        <v>2447193</v>
      </c>
      <c r="L89">
        <f t="shared" si="42"/>
        <v>2447340</v>
      </c>
      <c r="M89">
        <f t="shared" si="42"/>
        <v>2415033</v>
      </c>
      <c r="N89">
        <f t="shared" si="42"/>
        <v>2305473</v>
      </c>
      <c r="O89">
        <f t="shared" si="42"/>
        <v>2305857</v>
      </c>
      <c r="P89">
        <f t="shared" si="42"/>
        <v>2026874</v>
      </c>
      <c r="Q89">
        <f t="shared" si="42"/>
        <v>1676517</v>
      </c>
      <c r="R89">
        <f t="shared" si="42"/>
        <v>1676487</v>
      </c>
      <c r="S89">
        <f t="shared" si="42"/>
        <v>1355985</v>
      </c>
      <c r="T89">
        <f t="shared" si="42"/>
        <v>1355898</v>
      </c>
      <c r="U89">
        <f t="shared" si="42"/>
        <v>1355659</v>
      </c>
      <c r="V89">
        <f t="shared" si="42"/>
        <v>-29</v>
      </c>
      <c r="W89">
        <f t="shared" si="42"/>
        <v>2446927</v>
      </c>
      <c r="X89">
        <f t="shared" si="42"/>
        <v>2448758</v>
      </c>
      <c r="Y89">
        <f t="shared" si="42"/>
        <v>2443206</v>
      </c>
      <c r="Z89">
        <f t="shared" si="42"/>
        <v>2467628</v>
      </c>
      <c r="AA89">
        <f t="shared" si="42"/>
        <v>2451563</v>
      </c>
      <c r="AB89">
        <f t="shared" si="42"/>
        <v>2434937</v>
      </c>
      <c r="AC89">
        <f t="shared" si="42"/>
        <v>2443856</v>
      </c>
      <c r="AD89">
        <f t="shared" si="42"/>
        <v>2447281</v>
      </c>
      <c r="AE89">
        <f t="shared" si="42"/>
        <v>2443206</v>
      </c>
      <c r="AF89">
        <f t="shared" si="42"/>
        <v>2448994</v>
      </c>
      <c r="AG89">
        <f t="shared" si="42"/>
        <v>2448934</v>
      </c>
      <c r="AH89">
        <f t="shared" si="42"/>
        <v>2448345</v>
      </c>
      <c r="AI89">
        <f t="shared" si="42"/>
        <v>2448729</v>
      </c>
      <c r="AJ89">
        <f t="shared" si="42"/>
        <v>2449142</v>
      </c>
      <c r="AK89">
        <f t="shared" si="42"/>
        <v>2385088</v>
      </c>
      <c r="AL89">
        <f t="shared" si="42"/>
        <v>2448167</v>
      </c>
      <c r="AM89">
        <f t="shared" si="42"/>
        <v>1948441</v>
      </c>
      <c r="AN89">
        <f t="shared" si="42"/>
        <v>2451652</v>
      </c>
      <c r="AO89">
        <f t="shared" si="42"/>
        <v>1721434</v>
      </c>
      <c r="AP89">
        <f t="shared" si="42"/>
        <v>2459861</v>
      </c>
      <c r="AQ89">
        <f t="shared" si="42"/>
        <v>2459861</v>
      </c>
      <c r="AR89">
        <f t="shared" si="42"/>
        <v>2459891</v>
      </c>
      <c r="AS89">
        <f t="shared" si="42"/>
        <v>2459891</v>
      </c>
      <c r="AT89">
        <f t="shared" si="42"/>
        <v>2459891</v>
      </c>
      <c r="AU89">
        <f t="shared" si="42"/>
        <v>2441848</v>
      </c>
      <c r="AV89">
        <f t="shared" si="42"/>
        <v>2450707</v>
      </c>
      <c r="AW89">
        <f t="shared" si="42"/>
        <v>2427821</v>
      </c>
      <c r="AX89">
        <f t="shared" si="42"/>
        <v>2435972</v>
      </c>
      <c r="AY89">
        <f t="shared" si="42"/>
        <v>2459920</v>
      </c>
      <c r="AZ89">
        <f t="shared" si="42"/>
        <v>2459920</v>
      </c>
      <c r="BA89">
        <f t="shared" si="42"/>
        <v>2459950</v>
      </c>
      <c r="BB89">
        <f t="shared" si="42"/>
        <v>2459950</v>
      </c>
      <c r="BC89">
        <f t="shared" si="42"/>
        <v>2459950</v>
      </c>
      <c r="BD89">
        <f t="shared" si="42"/>
        <v>2459950</v>
      </c>
      <c r="BE89">
        <f t="shared" si="42"/>
        <v>2459950</v>
      </c>
      <c r="BF89">
        <f t="shared" si="42"/>
        <v>2459950</v>
      </c>
      <c r="BG89">
        <f t="shared" si="42"/>
        <v>2443206</v>
      </c>
    </row>
    <row r="90" spans="3:59" x14ac:dyDescent="0.25">
      <c r="C90" t="s">
        <v>1005</v>
      </c>
      <c r="D90" s="7" t="s">
        <v>110</v>
      </c>
      <c r="E90">
        <f>IF(E86&lt;2299161,E86,E89)</f>
        <v>2436148</v>
      </c>
      <c r="F90">
        <f t="shared" ref="F90:BG90" si="43">IF(F86&lt;2299161,F86,F89)</f>
        <v>1842747</v>
      </c>
      <c r="G90">
        <f t="shared" si="43"/>
        <v>2451563</v>
      </c>
      <c r="H90">
        <f t="shared" si="43"/>
        <v>2451209</v>
      </c>
      <c r="I90">
        <f t="shared" si="43"/>
        <v>2446838</v>
      </c>
      <c r="J90">
        <f t="shared" si="43"/>
        <v>2446986</v>
      </c>
      <c r="K90">
        <f t="shared" si="43"/>
        <v>2447193</v>
      </c>
      <c r="L90">
        <f t="shared" si="43"/>
        <v>2447340</v>
      </c>
      <c r="M90">
        <f t="shared" si="43"/>
        <v>2415033</v>
      </c>
      <c r="N90">
        <f t="shared" si="43"/>
        <v>2305473</v>
      </c>
      <c r="O90">
        <f t="shared" si="43"/>
        <v>2305857</v>
      </c>
      <c r="P90">
        <f t="shared" si="43"/>
        <v>2026870</v>
      </c>
      <c r="Q90">
        <f t="shared" si="43"/>
        <v>1676520</v>
      </c>
      <c r="R90">
        <f t="shared" si="43"/>
        <v>1676490</v>
      </c>
      <c r="S90">
        <f t="shared" si="43"/>
        <v>1355994</v>
      </c>
      <c r="T90">
        <f t="shared" si="43"/>
        <v>1355907</v>
      </c>
      <c r="U90">
        <f t="shared" si="43"/>
        <v>1355669</v>
      </c>
      <c r="V90">
        <f t="shared" si="43"/>
        <v>9</v>
      </c>
      <c r="W90">
        <f t="shared" si="43"/>
        <v>2446927</v>
      </c>
      <c r="X90">
        <f t="shared" si="43"/>
        <v>2448758</v>
      </c>
      <c r="Y90">
        <f t="shared" si="43"/>
        <v>2443206</v>
      </c>
      <c r="Z90">
        <f t="shared" si="43"/>
        <v>2467628</v>
      </c>
      <c r="AA90">
        <f t="shared" si="43"/>
        <v>2451563</v>
      </c>
      <c r="AB90">
        <f t="shared" si="43"/>
        <v>2434937</v>
      </c>
      <c r="AC90">
        <f t="shared" si="43"/>
        <v>2443856</v>
      </c>
      <c r="AD90">
        <f t="shared" si="43"/>
        <v>2447281</v>
      </c>
      <c r="AE90">
        <f t="shared" si="43"/>
        <v>2443206</v>
      </c>
      <c r="AF90">
        <f t="shared" si="43"/>
        <v>2448994</v>
      </c>
      <c r="AG90">
        <f t="shared" si="43"/>
        <v>2448934</v>
      </c>
      <c r="AH90">
        <f t="shared" si="43"/>
        <v>2448345</v>
      </c>
      <c r="AI90">
        <f t="shared" si="43"/>
        <v>2448729</v>
      </c>
      <c r="AJ90">
        <f t="shared" si="43"/>
        <v>2449142</v>
      </c>
      <c r="AK90">
        <f t="shared" si="43"/>
        <v>2385088</v>
      </c>
      <c r="AL90">
        <f t="shared" si="43"/>
        <v>2448167</v>
      </c>
      <c r="AM90">
        <f t="shared" si="43"/>
        <v>1948438</v>
      </c>
      <c r="AN90">
        <f t="shared" si="43"/>
        <v>2451652</v>
      </c>
      <c r="AO90">
        <f t="shared" si="43"/>
        <v>1721436</v>
      </c>
      <c r="AP90">
        <f t="shared" si="43"/>
        <v>2459861</v>
      </c>
      <c r="AQ90">
        <f t="shared" si="43"/>
        <v>2459861</v>
      </c>
      <c r="AR90">
        <f t="shared" si="43"/>
        <v>2459891</v>
      </c>
      <c r="AS90">
        <f t="shared" si="43"/>
        <v>2459891</v>
      </c>
      <c r="AT90">
        <f t="shared" si="43"/>
        <v>2459891</v>
      </c>
      <c r="AU90">
        <f t="shared" si="43"/>
        <v>2441848</v>
      </c>
      <c r="AV90">
        <f t="shared" si="43"/>
        <v>2450707</v>
      </c>
      <c r="AW90">
        <f t="shared" si="43"/>
        <v>2427821</v>
      </c>
      <c r="AX90">
        <f t="shared" si="43"/>
        <v>2435972</v>
      </c>
      <c r="AY90">
        <f t="shared" si="43"/>
        <v>2459920</v>
      </c>
      <c r="AZ90">
        <f t="shared" si="43"/>
        <v>2459920</v>
      </c>
      <c r="BA90">
        <f t="shared" si="43"/>
        <v>2459950</v>
      </c>
      <c r="BB90">
        <f t="shared" si="43"/>
        <v>2459950</v>
      </c>
      <c r="BC90">
        <f t="shared" si="43"/>
        <v>2459950</v>
      </c>
      <c r="BD90">
        <f t="shared" si="43"/>
        <v>2459950</v>
      </c>
      <c r="BE90">
        <f t="shared" si="43"/>
        <v>2459950</v>
      </c>
      <c r="BF90">
        <f t="shared" si="43"/>
        <v>2459950</v>
      </c>
      <c r="BG90">
        <f t="shared" si="43"/>
        <v>2443206</v>
      </c>
    </row>
    <row r="91" spans="3:59" x14ac:dyDescent="0.25">
      <c r="C91" t="s">
        <v>1006</v>
      </c>
      <c r="D91" s="7" t="s">
        <v>111</v>
      </c>
      <c r="E91">
        <f>E90+1524</f>
        <v>2437672</v>
      </c>
      <c r="F91">
        <f t="shared" ref="F91:BG91" si="44">F90+1524</f>
        <v>1844271</v>
      </c>
      <c r="G91">
        <f t="shared" si="44"/>
        <v>2453087</v>
      </c>
      <c r="H91">
        <f t="shared" si="44"/>
        <v>2452733</v>
      </c>
      <c r="I91">
        <f t="shared" si="44"/>
        <v>2448362</v>
      </c>
      <c r="J91">
        <f t="shared" si="44"/>
        <v>2448510</v>
      </c>
      <c r="K91">
        <f t="shared" si="44"/>
        <v>2448717</v>
      </c>
      <c r="L91">
        <f t="shared" si="44"/>
        <v>2448864</v>
      </c>
      <c r="M91">
        <f t="shared" si="44"/>
        <v>2416557</v>
      </c>
      <c r="N91">
        <f t="shared" si="44"/>
        <v>2306997</v>
      </c>
      <c r="O91">
        <f t="shared" si="44"/>
        <v>2307381</v>
      </c>
      <c r="P91">
        <f t="shared" si="44"/>
        <v>2028394</v>
      </c>
      <c r="Q91">
        <f t="shared" si="44"/>
        <v>1678044</v>
      </c>
      <c r="R91">
        <f t="shared" si="44"/>
        <v>1678014</v>
      </c>
      <c r="S91">
        <f t="shared" si="44"/>
        <v>1357518</v>
      </c>
      <c r="T91">
        <f t="shared" si="44"/>
        <v>1357431</v>
      </c>
      <c r="U91">
        <f t="shared" si="44"/>
        <v>1357193</v>
      </c>
      <c r="V91">
        <f t="shared" si="44"/>
        <v>1533</v>
      </c>
      <c r="W91">
        <f t="shared" si="44"/>
        <v>2448451</v>
      </c>
      <c r="X91">
        <f t="shared" si="44"/>
        <v>2450282</v>
      </c>
      <c r="Y91">
        <f t="shared" si="44"/>
        <v>2444730</v>
      </c>
      <c r="Z91">
        <f t="shared" si="44"/>
        <v>2469152</v>
      </c>
      <c r="AA91">
        <f t="shared" si="44"/>
        <v>2453087</v>
      </c>
      <c r="AB91">
        <f t="shared" si="44"/>
        <v>2436461</v>
      </c>
      <c r="AC91">
        <f t="shared" si="44"/>
        <v>2445380</v>
      </c>
      <c r="AD91">
        <f t="shared" si="44"/>
        <v>2448805</v>
      </c>
      <c r="AE91">
        <f t="shared" si="44"/>
        <v>2444730</v>
      </c>
      <c r="AF91">
        <f t="shared" si="44"/>
        <v>2450518</v>
      </c>
      <c r="AG91">
        <f t="shared" si="44"/>
        <v>2450458</v>
      </c>
      <c r="AH91">
        <f t="shared" si="44"/>
        <v>2449869</v>
      </c>
      <c r="AI91">
        <f t="shared" si="44"/>
        <v>2450253</v>
      </c>
      <c r="AJ91">
        <f t="shared" si="44"/>
        <v>2450666</v>
      </c>
      <c r="AK91">
        <f t="shared" si="44"/>
        <v>2386612</v>
      </c>
      <c r="AL91">
        <f t="shared" si="44"/>
        <v>2449691</v>
      </c>
      <c r="AM91">
        <f t="shared" si="44"/>
        <v>1949962</v>
      </c>
      <c r="AN91">
        <f t="shared" si="44"/>
        <v>2453176</v>
      </c>
      <c r="AO91">
        <f t="shared" si="44"/>
        <v>1722960</v>
      </c>
      <c r="AP91">
        <f t="shared" si="44"/>
        <v>2461385</v>
      </c>
      <c r="AQ91">
        <f t="shared" si="44"/>
        <v>2461385</v>
      </c>
      <c r="AR91">
        <f t="shared" si="44"/>
        <v>2461415</v>
      </c>
      <c r="AS91">
        <f t="shared" si="44"/>
        <v>2461415</v>
      </c>
      <c r="AT91">
        <f t="shared" si="44"/>
        <v>2461415</v>
      </c>
      <c r="AU91">
        <f t="shared" si="44"/>
        <v>2443372</v>
      </c>
      <c r="AV91">
        <f t="shared" si="44"/>
        <v>2452231</v>
      </c>
      <c r="AW91">
        <f t="shared" si="44"/>
        <v>2429345</v>
      </c>
      <c r="AX91">
        <f t="shared" si="44"/>
        <v>2437496</v>
      </c>
      <c r="AY91">
        <f t="shared" si="44"/>
        <v>2461444</v>
      </c>
      <c r="AZ91">
        <f t="shared" si="44"/>
        <v>2461444</v>
      </c>
      <c r="BA91">
        <f t="shared" si="44"/>
        <v>2461474</v>
      </c>
      <c r="BB91">
        <f t="shared" si="44"/>
        <v>2461474</v>
      </c>
      <c r="BC91">
        <f t="shared" si="44"/>
        <v>2461474</v>
      </c>
      <c r="BD91">
        <f t="shared" si="44"/>
        <v>2461474</v>
      </c>
      <c r="BE91">
        <f t="shared" si="44"/>
        <v>2461474</v>
      </c>
      <c r="BF91">
        <f t="shared" si="44"/>
        <v>2461474</v>
      </c>
      <c r="BG91">
        <f t="shared" si="44"/>
        <v>2444730</v>
      </c>
    </row>
    <row r="92" spans="3:59" x14ac:dyDescent="0.25">
      <c r="C92" t="s">
        <v>1007</v>
      </c>
      <c r="D92" s="7" t="s">
        <v>161</v>
      </c>
      <c r="E92">
        <f>_xlfn.FLOOR.MATH((E91-122.1)/365.25)</f>
        <v>6673</v>
      </c>
      <c r="F92">
        <f t="shared" ref="F92:BG92" si="45">_xlfn.FLOOR.MATH((F91-122.1)/365.25)</f>
        <v>5049</v>
      </c>
      <c r="G92">
        <f t="shared" si="45"/>
        <v>6715</v>
      </c>
      <c r="H92">
        <f t="shared" si="45"/>
        <v>6714</v>
      </c>
      <c r="I92">
        <f t="shared" si="45"/>
        <v>6702</v>
      </c>
      <c r="J92">
        <f t="shared" si="45"/>
        <v>6703</v>
      </c>
      <c r="K92">
        <f t="shared" si="45"/>
        <v>6703</v>
      </c>
      <c r="L92">
        <f t="shared" si="45"/>
        <v>6704</v>
      </c>
      <c r="M92">
        <f t="shared" si="45"/>
        <v>6615</v>
      </c>
      <c r="N92">
        <f t="shared" si="45"/>
        <v>6315</v>
      </c>
      <c r="O92">
        <f t="shared" si="45"/>
        <v>6316</v>
      </c>
      <c r="P92">
        <f t="shared" si="45"/>
        <v>5553</v>
      </c>
      <c r="Q92">
        <f t="shared" si="45"/>
        <v>4593</v>
      </c>
      <c r="R92">
        <f t="shared" si="45"/>
        <v>4593</v>
      </c>
      <c r="S92">
        <f t="shared" si="45"/>
        <v>3716</v>
      </c>
      <c r="T92">
        <f t="shared" si="45"/>
        <v>3716</v>
      </c>
      <c r="U92">
        <f t="shared" si="45"/>
        <v>3715</v>
      </c>
      <c r="V92">
        <f t="shared" si="45"/>
        <v>3</v>
      </c>
      <c r="W92">
        <f t="shared" si="45"/>
        <v>6703</v>
      </c>
      <c r="X92">
        <f t="shared" si="45"/>
        <v>6708</v>
      </c>
      <c r="Y92">
        <f t="shared" si="45"/>
        <v>6692</v>
      </c>
      <c r="Z92">
        <f t="shared" si="45"/>
        <v>6759</v>
      </c>
      <c r="AA92">
        <f t="shared" si="45"/>
        <v>6715</v>
      </c>
      <c r="AB92">
        <f t="shared" si="45"/>
        <v>6670</v>
      </c>
      <c r="AC92">
        <f t="shared" si="45"/>
        <v>6694</v>
      </c>
      <c r="AD92">
        <f t="shared" si="45"/>
        <v>6704</v>
      </c>
      <c r="AE92">
        <f t="shared" si="45"/>
        <v>6692</v>
      </c>
      <c r="AF92">
        <f t="shared" si="45"/>
        <v>6708</v>
      </c>
      <c r="AG92">
        <f t="shared" si="45"/>
        <v>6708</v>
      </c>
      <c r="AH92">
        <f t="shared" si="45"/>
        <v>6707</v>
      </c>
      <c r="AI92">
        <f t="shared" si="45"/>
        <v>6708</v>
      </c>
      <c r="AJ92">
        <f t="shared" si="45"/>
        <v>6709</v>
      </c>
      <c r="AK92">
        <f t="shared" si="45"/>
        <v>6533</v>
      </c>
      <c r="AL92">
        <f t="shared" si="45"/>
        <v>6706</v>
      </c>
      <c r="AM92">
        <f t="shared" si="45"/>
        <v>5338</v>
      </c>
      <c r="AN92">
        <f t="shared" si="45"/>
        <v>6716</v>
      </c>
      <c r="AO92">
        <f t="shared" si="45"/>
        <v>4716</v>
      </c>
      <c r="AP92">
        <f t="shared" si="45"/>
        <v>6738</v>
      </c>
      <c r="AQ92">
        <f t="shared" si="45"/>
        <v>6738</v>
      </c>
      <c r="AR92">
        <f t="shared" si="45"/>
        <v>6738</v>
      </c>
      <c r="AS92">
        <f t="shared" si="45"/>
        <v>6738</v>
      </c>
      <c r="AT92">
        <f t="shared" si="45"/>
        <v>6738</v>
      </c>
      <c r="AU92">
        <f t="shared" si="45"/>
        <v>6689</v>
      </c>
      <c r="AV92">
        <f t="shared" si="45"/>
        <v>6713</v>
      </c>
      <c r="AW92">
        <f t="shared" si="45"/>
        <v>6650</v>
      </c>
      <c r="AX92">
        <f t="shared" si="45"/>
        <v>6673</v>
      </c>
      <c r="AY92">
        <f t="shared" si="45"/>
        <v>6738</v>
      </c>
      <c r="AZ92">
        <f t="shared" si="45"/>
        <v>6738</v>
      </c>
      <c r="BA92">
        <f t="shared" si="45"/>
        <v>6738</v>
      </c>
      <c r="BB92">
        <f t="shared" si="45"/>
        <v>6738</v>
      </c>
      <c r="BC92">
        <f t="shared" si="45"/>
        <v>6738</v>
      </c>
      <c r="BD92">
        <f t="shared" si="45"/>
        <v>6738</v>
      </c>
      <c r="BE92">
        <f t="shared" si="45"/>
        <v>6738</v>
      </c>
      <c r="BF92">
        <f t="shared" si="45"/>
        <v>6738</v>
      </c>
      <c r="BG92">
        <f t="shared" si="45"/>
        <v>6692</v>
      </c>
    </row>
    <row r="93" spans="3:59" x14ac:dyDescent="0.25">
      <c r="C93" t="s">
        <v>1008</v>
      </c>
      <c r="D93" s="7" t="s">
        <v>162</v>
      </c>
      <c r="E93">
        <f>_xlfn.FLOOR.MATH(365.25*E92)</f>
        <v>2437313</v>
      </c>
      <c r="F93">
        <f t="shared" ref="F93:BG93" si="46">_xlfn.FLOOR.MATH(365.25*F92)</f>
        <v>1844147</v>
      </c>
      <c r="G93">
        <f t="shared" si="46"/>
        <v>2452653</v>
      </c>
      <c r="H93">
        <f t="shared" si="46"/>
        <v>2452288</v>
      </c>
      <c r="I93">
        <f t="shared" si="46"/>
        <v>2447905</v>
      </c>
      <c r="J93">
        <f t="shared" si="46"/>
        <v>2448270</v>
      </c>
      <c r="K93">
        <f t="shared" si="46"/>
        <v>2448270</v>
      </c>
      <c r="L93">
        <f t="shared" si="46"/>
        <v>2448636</v>
      </c>
      <c r="M93">
        <f t="shared" si="46"/>
        <v>2416128</v>
      </c>
      <c r="N93">
        <f t="shared" si="46"/>
        <v>2306553</v>
      </c>
      <c r="O93">
        <f t="shared" si="46"/>
        <v>2306919</v>
      </c>
      <c r="P93">
        <f t="shared" si="46"/>
        <v>2028233</v>
      </c>
      <c r="Q93">
        <f t="shared" si="46"/>
        <v>1677593</v>
      </c>
      <c r="R93">
        <f t="shared" si="46"/>
        <v>1677593</v>
      </c>
      <c r="S93">
        <f t="shared" si="46"/>
        <v>1357269</v>
      </c>
      <c r="T93">
        <f t="shared" si="46"/>
        <v>1357269</v>
      </c>
      <c r="U93">
        <f t="shared" si="46"/>
        <v>1356903</v>
      </c>
      <c r="V93">
        <f t="shared" si="46"/>
        <v>1095</v>
      </c>
      <c r="W93">
        <f t="shared" si="46"/>
        <v>2448270</v>
      </c>
      <c r="X93">
        <f t="shared" si="46"/>
        <v>2450097</v>
      </c>
      <c r="Y93">
        <f t="shared" si="46"/>
        <v>2444253</v>
      </c>
      <c r="Z93">
        <f t="shared" si="46"/>
        <v>2468724</v>
      </c>
      <c r="AA93">
        <f t="shared" si="46"/>
        <v>2452653</v>
      </c>
      <c r="AB93">
        <f t="shared" si="46"/>
        <v>2436217</v>
      </c>
      <c r="AC93">
        <f t="shared" si="46"/>
        <v>2444983</v>
      </c>
      <c r="AD93">
        <f t="shared" si="46"/>
        <v>2448636</v>
      </c>
      <c r="AE93">
        <f t="shared" si="46"/>
        <v>2444253</v>
      </c>
      <c r="AF93">
        <f t="shared" si="46"/>
        <v>2450097</v>
      </c>
      <c r="AG93">
        <f t="shared" si="46"/>
        <v>2450097</v>
      </c>
      <c r="AH93">
        <f t="shared" si="46"/>
        <v>2449731</v>
      </c>
      <c r="AI93">
        <f t="shared" si="46"/>
        <v>2450097</v>
      </c>
      <c r="AJ93">
        <f t="shared" si="46"/>
        <v>2450462</v>
      </c>
      <c r="AK93">
        <f t="shared" si="46"/>
        <v>2386178</v>
      </c>
      <c r="AL93">
        <f t="shared" si="46"/>
        <v>2449366</v>
      </c>
      <c r="AM93">
        <f t="shared" si="46"/>
        <v>1949704</v>
      </c>
      <c r="AN93">
        <f t="shared" si="46"/>
        <v>2453019</v>
      </c>
      <c r="AO93">
        <f t="shared" si="46"/>
        <v>1722519</v>
      </c>
      <c r="AP93">
        <f t="shared" si="46"/>
        <v>2461054</v>
      </c>
      <c r="AQ93">
        <f t="shared" si="46"/>
        <v>2461054</v>
      </c>
      <c r="AR93">
        <f t="shared" si="46"/>
        <v>2461054</v>
      </c>
      <c r="AS93">
        <f t="shared" si="46"/>
        <v>2461054</v>
      </c>
      <c r="AT93">
        <f t="shared" si="46"/>
        <v>2461054</v>
      </c>
      <c r="AU93">
        <f t="shared" si="46"/>
        <v>2443157</v>
      </c>
      <c r="AV93">
        <f t="shared" si="46"/>
        <v>2451923</v>
      </c>
      <c r="AW93">
        <f t="shared" si="46"/>
        <v>2428912</v>
      </c>
      <c r="AX93">
        <f t="shared" si="46"/>
        <v>2437313</v>
      </c>
      <c r="AY93">
        <f t="shared" si="46"/>
        <v>2461054</v>
      </c>
      <c r="AZ93">
        <f t="shared" si="46"/>
        <v>2461054</v>
      </c>
      <c r="BA93">
        <f t="shared" si="46"/>
        <v>2461054</v>
      </c>
      <c r="BB93">
        <f t="shared" si="46"/>
        <v>2461054</v>
      </c>
      <c r="BC93">
        <f t="shared" si="46"/>
        <v>2461054</v>
      </c>
      <c r="BD93">
        <f t="shared" si="46"/>
        <v>2461054</v>
      </c>
      <c r="BE93">
        <f t="shared" si="46"/>
        <v>2461054</v>
      </c>
      <c r="BF93">
        <f t="shared" si="46"/>
        <v>2461054</v>
      </c>
      <c r="BG93">
        <f t="shared" si="46"/>
        <v>2444253</v>
      </c>
    </row>
    <row r="94" spans="3:59" x14ac:dyDescent="0.25">
      <c r="C94" t="s">
        <v>1009</v>
      </c>
      <c r="D94" s="7" t="s">
        <v>4</v>
      </c>
      <c r="E94">
        <f>_xlfn.FLOOR.MATH((E91-E93)/30.6001)</f>
        <v>11</v>
      </c>
      <c r="F94">
        <f t="shared" ref="F94:BG94" si="47">_xlfn.FLOOR.MATH((F91-F93)/30.6001)</f>
        <v>4</v>
      </c>
      <c r="G94">
        <f t="shared" si="47"/>
        <v>14</v>
      </c>
      <c r="H94">
        <f t="shared" si="47"/>
        <v>14</v>
      </c>
      <c r="I94">
        <f t="shared" si="47"/>
        <v>14</v>
      </c>
      <c r="J94">
        <f t="shared" si="47"/>
        <v>7</v>
      </c>
      <c r="K94">
        <f t="shared" si="47"/>
        <v>14</v>
      </c>
      <c r="L94">
        <f t="shared" si="47"/>
        <v>7</v>
      </c>
      <c r="M94">
        <f t="shared" si="47"/>
        <v>14</v>
      </c>
      <c r="N94">
        <f t="shared" si="47"/>
        <v>14</v>
      </c>
      <c r="O94">
        <f t="shared" si="47"/>
        <v>15</v>
      </c>
      <c r="P94">
        <f t="shared" si="47"/>
        <v>5</v>
      </c>
      <c r="Q94">
        <f t="shared" si="47"/>
        <v>14</v>
      </c>
      <c r="R94">
        <f t="shared" si="47"/>
        <v>13</v>
      </c>
      <c r="S94">
        <f t="shared" si="47"/>
        <v>8</v>
      </c>
      <c r="T94">
        <f t="shared" si="47"/>
        <v>5</v>
      </c>
      <c r="U94">
        <f t="shared" si="47"/>
        <v>9</v>
      </c>
      <c r="V94">
        <f t="shared" si="47"/>
        <v>14</v>
      </c>
      <c r="W94">
        <f t="shared" si="47"/>
        <v>5</v>
      </c>
      <c r="X94">
        <f t="shared" si="47"/>
        <v>6</v>
      </c>
      <c r="Y94">
        <f t="shared" si="47"/>
        <v>15</v>
      </c>
      <c r="Z94">
        <f t="shared" si="47"/>
        <v>13</v>
      </c>
      <c r="AA94">
        <f t="shared" si="47"/>
        <v>14</v>
      </c>
      <c r="AB94">
        <f t="shared" si="47"/>
        <v>7</v>
      </c>
      <c r="AC94">
        <f t="shared" si="47"/>
        <v>12</v>
      </c>
      <c r="AD94">
        <f t="shared" si="47"/>
        <v>5</v>
      </c>
      <c r="AE94">
        <f t="shared" si="47"/>
        <v>15</v>
      </c>
      <c r="AF94">
        <f t="shared" si="47"/>
        <v>13</v>
      </c>
      <c r="AG94">
        <f t="shared" si="47"/>
        <v>11</v>
      </c>
      <c r="AH94">
        <f t="shared" si="47"/>
        <v>4</v>
      </c>
      <c r="AI94">
        <f t="shared" si="47"/>
        <v>5</v>
      </c>
      <c r="AJ94">
        <f t="shared" si="47"/>
        <v>6</v>
      </c>
      <c r="AK94">
        <f t="shared" si="47"/>
        <v>14</v>
      </c>
      <c r="AL94">
        <f t="shared" si="47"/>
        <v>10</v>
      </c>
      <c r="AM94">
        <f t="shared" si="47"/>
        <v>8</v>
      </c>
      <c r="AN94">
        <f t="shared" si="47"/>
        <v>5</v>
      </c>
      <c r="AO94">
        <f t="shared" si="47"/>
        <v>14</v>
      </c>
      <c r="AP94">
        <f t="shared" si="47"/>
        <v>10</v>
      </c>
      <c r="AQ94">
        <f t="shared" si="47"/>
        <v>10</v>
      </c>
      <c r="AR94">
        <f t="shared" si="47"/>
        <v>11</v>
      </c>
      <c r="AS94">
        <f t="shared" si="47"/>
        <v>11</v>
      </c>
      <c r="AT94">
        <f t="shared" si="47"/>
        <v>11</v>
      </c>
      <c r="AU94">
        <f t="shared" si="47"/>
        <v>7</v>
      </c>
      <c r="AV94">
        <f t="shared" si="47"/>
        <v>10</v>
      </c>
      <c r="AW94">
        <f t="shared" si="47"/>
        <v>14</v>
      </c>
      <c r="AX94">
        <f t="shared" si="47"/>
        <v>5</v>
      </c>
      <c r="AY94">
        <f t="shared" si="47"/>
        <v>12</v>
      </c>
      <c r="AZ94">
        <f t="shared" si="47"/>
        <v>12</v>
      </c>
      <c r="BA94">
        <f t="shared" si="47"/>
        <v>13</v>
      </c>
      <c r="BB94">
        <f t="shared" si="47"/>
        <v>13</v>
      </c>
      <c r="BC94">
        <f t="shared" si="47"/>
        <v>13</v>
      </c>
      <c r="BD94">
        <f t="shared" si="47"/>
        <v>13</v>
      </c>
      <c r="BE94">
        <f t="shared" si="47"/>
        <v>13</v>
      </c>
      <c r="BF94">
        <f t="shared" si="47"/>
        <v>13</v>
      </c>
      <c r="BG94">
        <f t="shared" si="47"/>
        <v>15</v>
      </c>
    </row>
    <row r="95" spans="3:59" x14ac:dyDescent="0.25">
      <c r="C95" t="s">
        <v>1010</v>
      </c>
      <c r="D95" s="7" t="s">
        <v>1011</v>
      </c>
      <c r="E95" s="2">
        <f>E91-E93-_xlfn.FLOOR.MATH(30.6001*E94)+E87</f>
        <v>23.204193723388016</v>
      </c>
      <c r="F95" s="2">
        <f t="shared" ref="F95:BG95" si="48">F91-F93-_xlfn.FLOOR.MATH(30.6001*F94)+F87</f>
        <v>2.8643759698607028</v>
      </c>
      <c r="G95" s="2">
        <f t="shared" si="48"/>
        <v>6.7735504955053329</v>
      </c>
      <c r="H95" s="2">
        <f t="shared" si="48"/>
        <v>17.673368475399911</v>
      </c>
      <c r="I95" s="2">
        <f t="shared" si="48"/>
        <v>29.586750918999314</v>
      </c>
      <c r="J95" s="2">
        <f t="shared" si="48"/>
        <v>26.231332890223712</v>
      </c>
      <c r="K95" s="2">
        <f t="shared" si="48"/>
        <v>19.242006670217961</v>
      </c>
      <c r="L95" s="2">
        <f t="shared" si="48"/>
        <v>14.388676344417036</v>
      </c>
      <c r="M95" s="2">
        <f t="shared" si="48"/>
        <v>1.5641319858841598</v>
      </c>
      <c r="N95" s="2">
        <f t="shared" si="48"/>
        <v>16.215211656875908</v>
      </c>
      <c r="O95" s="2">
        <f t="shared" si="48"/>
        <v>3.1763398591428995</v>
      </c>
      <c r="P95" s="2">
        <f t="shared" si="48"/>
        <v>8.9408624195493758</v>
      </c>
      <c r="Q95" s="2">
        <f t="shared" si="48"/>
        <v>23.27090314286761</v>
      </c>
      <c r="R95" s="2">
        <f t="shared" si="48"/>
        <v>24.511492126388475</v>
      </c>
      <c r="S95" s="2">
        <f t="shared" si="48"/>
        <v>5.8993860245682299</v>
      </c>
      <c r="T95" s="2">
        <f t="shared" si="48"/>
        <v>9.0173441590741277</v>
      </c>
      <c r="U95" s="2">
        <f t="shared" si="48"/>
        <v>15.781255041249096</v>
      </c>
      <c r="V95" s="2">
        <f t="shared" si="48"/>
        <v>10.012409249222733</v>
      </c>
      <c r="W95" s="2">
        <f t="shared" si="48"/>
        <v>28.049340431112796</v>
      </c>
      <c r="X95" s="2">
        <f t="shared" si="48"/>
        <v>2.7587246778421104</v>
      </c>
      <c r="Y95" s="2">
        <f t="shared" si="48"/>
        <v>18.170179060660303</v>
      </c>
      <c r="Z95" s="2">
        <f t="shared" si="48"/>
        <v>31.419616531580687</v>
      </c>
      <c r="AA95" s="2">
        <f t="shared" si="48"/>
        <v>6.7735504955053329</v>
      </c>
      <c r="AB95" s="2">
        <f t="shared" si="48"/>
        <v>30.52366457413882</v>
      </c>
      <c r="AC95" s="2">
        <f t="shared" si="48"/>
        <v>30.336763306055218</v>
      </c>
      <c r="AD95" s="2">
        <f t="shared" si="48"/>
        <v>16.483610523398966</v>
      </c>
      <c r="AE95" s="2">
        <f t="shared" si="48"/>
        <v>18.170179060660303</v>
      </c>
      <c r="AF95" s="2">
        <f t="shared" si="48"/>
        <v>24.022164705675095</v>
      </c>
      <c r="AG95" s="2">
        <f t="shared" si="48"/>
        <v>25.875537181738764</v>
      </c>
      <c r="AH95" s="2">
        <f t="shared" si="48"/>
        <v>16.323323572520167</v>
      </c>
      <c r="AI95" s="2">
        <f t="shared" si="48"/>
        <v>3.215763920918107</v>
      </c>
      <c r="AJ95" s="2">
        <f t="shared" si="48"/>
        <v>21.596656356472522</v>
      </c>
      <c r="AK95" s="2">
        <f t="shared" si="48"/>
        <v>6.9731529434211552</v>
      </c>
      <c r="AL95" s="2">
        <f t="shared" si="48"/>
        <v>19.011610699351877</v>
      </c>
      <c r="AM95" s="2">
        <f t="shared" si="48"/>
        <v>14.247327557532117</v>
      </c>
      <c r="AN95" s="2">
        <f t="shared" si="48"/>
        <v>4.7487155604176223</v>
      </c>
      <c r="AO95" s="2">
        <f t="shared" si="48"/>
        <v>13.469250509049743</v>
      </c>
      <c r="AP95" s="2">
        <f t="shared" si="48"/>
        <v>25.932386347558349</v>
      </c>
      <c r="AQ95" s="2">
        <f t="shared" si="48"/>
        <v>25.932386347558349</v>
      </c>
      <c r="AR95" s="2">
        <f t="shared" si="48"/>
        <v>25.456731345504522</v>
      </c>
      <c r="AS95" s="2">
        <f t="shared" si="48"/>
        <v>25.456731345504522</v>
      </c>
      <c r="AT95" s="2">
        <f t="shared" si="48"/>
        <v>25.456731345504522</v>
      </c>
      <c r="AU95" s="2">
        <f t="shared" si="48"/>
        <v>1.2050304100848734</v>
      </c>
      <c r="AV95" s="2">
        <f t="shared" si="48"/>
        <v>2.0026747933588922</v>
      </c>
      <c r="AW95" s="2">
        <f t="shared" si="48"/>
        <v>5.2321432833559811</v>
      </c>
      <c r="AX95" s="2">
        <f t="shared" si="48"/>
        <v>30.003430109936744</v>
      </c>
      <c r="AY95" s="2">
        <f t="shared" si="48"/>
        <v>23.943661271128803</v>
      </c>
      <c r="AZ95" s="2">
        <f t="shared" si="48"/>
        <v>23.943661271128803</v>
      </c>
      <c r="BA95" s="2">
        <f t="shared" si="48"/>
        <v>23.410815530922264</v>
      </c>
      <c r="BB95" s="2">
        <f t="shared" si="48"/>
        <v>23.410815530922264</v>
      </c>
      <c r="BC95" s="2">
        <f t="shared" si="48"/>
        <v>23.410815530922264</v>
      </c>
      <c r="BD95" s="2">
        <f t="shared" si="48"/>
        <v>23.410815530922264</v>
      </c>
      <c r="BE95" s="2">
        <f t="shared" si="48"/>
        <v>23.410815530922264</v>
      </c>
      <c r="BF95" s="2">
        <f t="shared" si="48"/>
        <v>23.410815530922264</v>
      </c>
      <c r="BG95" s="2">
        <f t="shared" si="48"/>
        <v>18.170179060660303</v>
      </c>
    </row>
    <row r="96" spans="3:59" x14ac:dyDescent="0.25">
      <c r="C96" t="s">
        <v>1012</v>
      </c>
      <c r="D96" s="7" t="s">
        <v>1013</v>
      </c>
      <c r="E96">
        <f>IF(E94&lt;14,E94-1,E94-13)</f>
        <v>10</v>
      </c>
      <c r="F96">
        <f t="shared" ref="F96:BG96" si="49">IF(F94&lt;14,F94-1,F94-13)</f>
        <v>3</v>
      </c>
      <c r="G96">
        <f t="shared" si="49"/>
        <v>1</v>
      </c>
      <c r="H96">
        <f t="shared" si="49"/>
        <v>1</v>
      </c>
      <c r="I96">
        <f t="shared" si="49"/>
        <v>1</v>
      </c>
      <c r="J96">
        <f t="shared" si="49"/>
        <v>6</v>
      </c>
      <c r="K96">
        <f t="shared" si="49"/>
        <v>1</v>
      </c>
      <c r="L96">
        <f t="shared" si="49"/>
        <v>6</v>
      </c>
      <c r="M96">
        <f t="shared" si="49"/>
        <v>1</v>
      </c>
      <c r="N96">
        <f t="shared" si="49"/>
        <v>1</v>
      </c>
      <c r="O96">
        <f t="shared" si="49"/>
        <v>2</v>
      </c>
      <c r="P96">
        <f t="shared" si="49"/>
        <v>4</v>
      </c>
      <c r="Q96">
        <f t="shared" si="49"/>
        <v>1</v>
      </c>
      <c r="R96">
        <f t="shared" si="49"/>
        <v>12</v>
      </c>
      <c r="S96">
        <f t="shared" si="49"/>
        <v>7</v>
      </c>
      <c r="T96">
        <f t="shared" si="49"/>
        <v>4</v>
      </c>
      <c r="U96">
        <f t="shared" si="49"/>
        <v>8</v>
      </c>
      <c r="V96">
        <f t="shared" si="49"/>
        <v>1</v>
      </c>
      <c r="W96">
        <f t="shared" si="49"/>
        <v>4</v>
      </c>
      <c r="X96">
        <f t="shared" si="49"/>
        <v>5</v>
      </c>
      <c r="Y96">
        <f t="shared" si="49"/>
        <v>2</v>
      </c>
      <c r="Z96">
        <f t="shared" si="49"/>
        <v>12</v>
      </c>
      <c r="AA96">
        <f t="shared" si="49"/>
        <v>1</v>
      </c>
      <c r="AB96">
        <f t="shared" si="49"/>
        <v>6</v>
      </c>
      <c r="AC96">
        <f t="shared" si="49"/>
        <v>11</v>
      </c>
      <c r="AD96">
        <f t="shared" si="49"/>
        <v>4</v>
      </c>
      <c r="AE96">
        <f t="shared" si="49"/>
        <v>2</v>
      </c>
      <c r="AF96">
        <f t="shared" si="49"/>
        <v>12</v>
      </c>
      <c r="AG96">
        <f t="shared" si="49"/>
        <v>10</v>
      </c>
      <c r="AH96">
        <f t="shared" si="49"/>
        <v>3</v>
      </c>
      <c r="AI96">
        <f t="shared" si="49"/>
        <v>4</v>
      </c>
      <c r="AJ96">
        <f t="shared" si="49"/>
        <v>5</v>
      </c>
      <c r="AK96">
        <f t="shared" si="49"/>
        <v>1</v>
      </c>
      <c r="AL96">
        <f t="shared" si="49"/>
        <v>9</v>
      </c>
      <c r="AM96">
        <f t="shared" si="49"/>
        <v>7</v>
      </c>
      <c r="AN96">
        <f t="shared" si="49"/>
        <v>4</v>
      </c>
      <c r="AO96">
        <f t="shared" si="49"/>
        <v>1</v>
      </c>
      <c r="AP96">
        <f t="shared" si="49"/>
        <v>9</v>
      </c>
      <c r="AQ96">
        <f t="shared" si="49"/>
        <v>9</v>
      </c>
      <c r="AR96">
        <f t="shared" si="49"/>
        <v>10</v>
      </c>
      <c r="AS96">
        <f t="shared" si="49"/>
        <v>10</v>
      </c>
      <c r="AT96">
        <f t="shared" si="49"/>
        <v>10</v>
      </c>
      <c r="AU96">
        <f t="shared" si="49"/>
        <v>6</v>
      </c>
      <c r="AV96">
        <f t="shared" si="49"/>
        <v>9</v>
      </c>
      <c r="AW96">
        <f t="shared" si="49"/>
        <v>1</v>
      </c>
      <c r="AX96">
        <f t="shared" si="49"/>
        <v>4</v>
      </c>
      <c r="AY96">
        <f t="shared" si="49"/>
        <v>11</v>
      </c>
      <c r="AZ96">
        <f t="shared" si="49"/>
        <v>11</v>
      </c>
      <c r="BA96">
        <f t="shared" si="49"/>
        <v>12</v>
      </c>
      <c r="BB96">
        <f t="shared" si="49"/>
        <v>12</v>
      </c>
      <c r="BC96">
        <f t="shared" si="49"/>
        <v>12</v>
      </c>
      <c r="BD96">
        <f t="shared" si="49"/>
        <v>12</v>
      </c>
      <c r="BE96">
        <f t="shared" si="49"/>
        <v>12</v>
      </c>
      <c r="BF96">
        <f t="shared" si="49"/>
        <v>12</v>
      </c>
      <c r="BG96">
        <f t="shared" si="49"/>
        <v>2</v>
      </c>
    </row>
    <row r="97" spans="2:59" x14ac:dyDescent="0.25">
      <c r="C97" t="s">
        <v>1014</v>
      </c>
      <c r="D97" s="7" t="s">
        <v>980</v>
      </c>
      <c r="E97">
        <f>IF(E96&gt;2, E92-4716,E92-4715)</f>
        <v>1957</v>
      </c>
      <c r="F97">
        <f t="shared" ref="F97:BG97" si="50">IF(F96&gt;2, F92-4716,F92-4715)</f>
        <v>333</v>
      </c>
      <c r="G97">
        <f t="shared" si="50"/>
        <v>2000</v>
      </c>
      <c r="H97">
        <f t="shared" si="50"/>
        <v>1999</v>
      </c>
      <c r="I97">
        <f t="shared" si="50"/>
        <v>1987</v>
      </c>
      <c r="J97">
        <f t="shared" si="50"/>
        <v>1987</v>
      </c>
      <c r="K97">
        <f t="shared" si="50"/>
        <v>1988</v>
      </c>
      <c r="L97">
        <f t="shared" si="50"/>
        <v>1988</v>
      </c>
      <c r="M97">
        <f t="shared" si="50"/>
        <v>1900</v>
      </c>
      <c r="N97">
        <f t="shared" si="50"/>
        <v>1600</v>
      </c>
      <c r="O97">
        <f t="shared" si="50"/>
        <v>1601</v>
      </c>
      <c r="P97">
        <f t="shared" si="50"/>
        <v>837</v>
      </c>
      <c r="Q97">
        <f t="shared" si="50"/>
        <v>-122</v>
      </c>
      <c r="R97">
        <f t="shared" si="50"/>
        <v>-123</v>
      </c>
      <c r="S97">
        <f t="shared" si="50"/>
        <v>-1000</v>
      </c>
      <c r="T97">
        <f t="shared" si="50"/>
        <v>-1000</v>
      </c>
      <c r="U97">
        <f t="shared" si="50"/>
        <v>-1001</v>
      </c>
      <c r="V97">
        <f t="shared" si="50"/>
        <v>-4712</v>
      </c>
      <c r="W97">
        <f t="shared" si="50"/>
        <v>1987</v>
      </c>
      <c r="X97">
        <f t="shared" si="50"/>
        <v>1992</v>
      </c>
      <c r="Y97">
        <f t="shared" si="50"/>
        <v>1977</v>
      </c>
      <c r="Z97">
        <f t="shared" si="50"/>
        <v>2043</v>
      </c>
      <c r="AA97">
        <f t="shared" si="50"/>
        <v>2000</v>
      </c>
      <c r="AB97">
        <f t="shared" si="50"/>
        <v>1954</v>
      </c>
      <c r="AC97">
        <f t="shared" si="50"/>
        <v>1978</v>
      </c>
      <c r="AD97">
        <f t="shared" si="50"/>
        <v>1988</v>
      </c>
      <c r="AE97">
        <f t="shared" si="50"/>
        <v>1977</v>
      </c>
      <c r="AF97">
        <f t="shared" si="50"/>
        <v>1992</v>
      </c>
      <c r="AG97">
        <f t="shared" si="50"/>
        <v>1992</v>
      </c>
      <c r="AH97">
        <f t="shared" si="50"/>
        <v>1991</v>
      </c>
      <c r="AI97">
        <f t="shared" si="50"/>
        <v>1992</v>
      </c>
      <c r="AJ97">
        <f t="shared" si="50"/>
        <v>1993</v>
      </c>
      <c r="AK97">
        <f t="shared" si="50"/>
        <v>1818</v>
      </c>
      <c r="AL97">
        <f t="shared" si="50"/>
        <v>1990</v>
      </c>
      <c r="AM97">
        <f t="shared" si="50"/>
        <v>622</v>
      </c>
      <c r="AN97">
        <f t="shared" si="50"/>
        <v>2000</v>
      </c>
      <c r="AO97">
        <f t="shared" si="50"/>
        <v>1</v>
      </c>
      <c r="AP97">
        <f t="shared" si="50"/>
        <v>2022</v>
      </c>
      <c r="AQ97">
        <f t="shared" si="50"/>
        <v>2022</v>
      </c>
      <c r="AR97">
        <f t="shared" si="50"/>
        <v>2022</v>
      </c>
      <c r="AS97">
        <f t="shared" si="50"/>
        <v>2022</v>
      </c>
      <c r="AT97">
        <f t="shared" si="50"/>
        <v>2022</v>
      </c>
      <c r="AU97">
        <f t="shared" si="50"/>
        <v>1973</v>
      </c>
      <c r="AV97">
        <f t="shared" si="50"/>
        <v>1997</v>
      </c>
      <c r="AW97">
        <f t="shared" si="50"/>
        <v>1935</v>
      </c>
      <c r="AX97">
        <f t="shared" si="50"/>
        <v>1957</v>
      </c>
      <c r="AY97">
        <f t="shared" si="50"/>
        <v>2022</v>
      </c>
      <c r="AZ97">
        <f t="shared" si="50"/>
        <v>2022</v>
      </c>
      <c r="BA97">
        <f t="shared" si="50"/>
        <v>2022</v>
      </c>
      <c r="BB97">
        <f t="shared" si="50"/>
        <v>2022</v>
      </c>
      <c r="BC97">
        <f t="shared" si="50"/>
        <v>2022</v>
      </c>
      <c r="BD97">
        <f t="shared" si="50"/>
        <v>2022</v>
      </c>
      <c r="BE97">
        <f t="shared" si="50"/>
        <v>2022</v>
      </c>
      <c r="BF97">
        <f t="shared" si="50"/>
        <v>2022</v>
      </c>
      <c r="BG97">
        <f t="shared" si="50"/>
        <v>1977</v>
      </c>
    </row>
    <row r="98" spans="2:59" x14ac:dyDescent="0.25">
      <c r="C98" s="35"/>
      <c r="D98" s="60" t="s">
        <v>938</v>
      </c>
      <c r="E98" s="333">
        <f>IF(E97&gt;1899,DATE(E97,E96,E95)+E87,E97&amp;"-"&amp;E96&amp;"-"&amp;E95)</f>
        <v>21116.204193723388</v>
      </c>
      <c r="F98" s="333" t="str">
        <f t="shared" ref="F98:BG98" si="51">IF(F97&gt;1899,DATE(F97,F96,F95)+F87,F97&amp;"-"&amp;F96&amp;"-"&amp;F95)</f>
        <v>333-3-2.8643759698607</v>
      </c>
      <c r="G98" s="333">
        <f t="shared" si="51"/>
        <v>36531.773550495505</v>
      </c>
      <c r="H98" s="333">
        <f t="shared" si="51"/>
        <v>36177.6733684754</v>
      </c>
      <c r="I98" s="333">
        <f t="shared" si="51"/>
        <v>31806.586750918999</v>
      </c>
      <c r="J98" s="333">
        <f t="shared" si="51"/>
        <v>31954.231332890224</v>
      </c>
      <c r="K98" s="333">
        <f t="shared" si="51"/>
        <v>32161.242006670218</v>
      </c>
      <c r="L98" s="333">
        <f t="shared" si="51"/>
        <v>32308.388676344417</v>
      </c>
      <c r="M98" s="333">
        <f t="shared" si="51"/>
        <v>1.5641319858841598</v>
      </c>
      <c r="N98" s="333" t="str">
        <f t="shared" si="51"/>
        <v>1600-1-16.2152116568759</v>
      </c>
      <c r="O98" s="333" t="str">
        <f t="shared" si="51"/>
        <v>1601-2-3.17633985914289</v>
      </c>
      <c r="P98" s="333" t="str">
        <f t="shared" si="51"/>
        <v>837-4-8.94086241954937</v>
      </c>
      <c r="Q98" s="333" t="str">
        <f t="shared" si="51"/>
        <v>-122-1-23.2709031428676</v>
      </c>
      <c r="R98" s="333" t="str">
        <f t="shared" si="51"/>
        <v>-123-12-24.5114921263884</v>
      </c>
      <c r="S98" s="333" t="str">
        <f t="shared" si="51"/>
        <v>-1000-7-5.89938602456822</v>
      </c>
      <c r="T98" s="333" t="str">
        <f t="shared" si="51"/>
        <v>-1000-4-9.01734415907412</v>
      </c>
      <c r="U98" s="333" t="str">
        <f t="shared" si="51"/>
        <v>-1001-8-15.781255041249</v>
      </c>
      <c r="V98" s="333" t="str">
        <f t="shared" si="51"/>
        <v>-4712-1-10.0124092492227</v>
      </c>
      <c r="W98" s="333">
        <f t="shared" si="51"/>
        <v>31895.049340431113</v>
      </c>
      <c r="X98" s="333">
        <f t="shared" si="51"/>
        <v>33726.758724677842</v>
      </c>
      <c r="Y98" s="333">
        <f t="shared" si="51"/>
        <v>28174.17017906066</v>
      </c>
      <c r="Z98" s="333">
        <f t="shared" si="51"/>
        <v>52596.419616531581</v>
      </c>
      <c r="AA98" s="333">
        <f t="shared" si="51"/>
        <v>36531.773550495505</v>
      </c>
      <c r="AB98" s="333">
        <f t="shared" si="51"/>
        <v>19905.523664574139</v>
      </c>
      <c r="AC98" s="333">
        <f t="shared" si="51"/>
        <v>28824.336763306055</v>
      </c>
      <c r="AD98" s="333">
        <f t="shared" si="51"/>
        <v>32249.483610523399</v>
      </c>
      <c r="AE98" s="333">
        <f t="shared" si="51"/>
        <v>28174.17017906066</v>
      </c>
      <c r="AF98" s="333">
        <f t="shared" si="51"/>
        <v>33962.022164705675</v>
      </c>
      <c r="AG98" s="333">
        <f t="shared" si="51"/>
        <v>33902.875537181739</v>
      </c>
      <c r="AH98" s="333">
        <f t="shared" si="51"/>
        <v>33313.32332357252</v>
      </c>
      <c r="AI98" s="333">
        <f t="shared" si="51"/>
        <v>33697.215763920918</v>
      </c>
      <c r="AJ98" s="333">
        <f t="shared" si="51"/>
        <v>34110.596656356473</v>
      </c>
      <c r="AK98" s="333" t="str">
        <f t="shared" si="51"/>
        <v>1818-1-6.97315294342115</v>
      </c>
      <c r="AL98" s="333">
        <f t="shared" si="51"/>
        <v>33135.011610699352</v>
      </c>
      <c r="AM98" s="333" t="str">
        <f t="shared" si="51"/>
        <v>622-7-14.2473275575321</v>
      </c>
      <c r="AN98" s="333">
        <f t="shared" si="51"/>
        <v>36620.748715560418</v>
      </c>
      <c r="AO98" s="333" t="str">
        <f t="shared" si="51"/>
        <v>1-1-13.4692505090497</v>
      </c>
      <c r="AP98" s="333">
        <f t="shared" si="51"/>
        <v>44829.932386347558</v>
      </c>
      <c r="AQ98" s="333">
        <f t="shared" si="51"/>
        <v>44829.932386347558</v>
      </c>
      <c r="AR98" s="333">
        <f t="shared" si="51"/>
        <v>44859.456731345505</v>
      </c>
      <c r="AS98" s="333">
        <f t="shared" si="51"/>
        <v>44859.456731345505</v>
      </c>
      <c r="AT98" s="333">
        <f t="shared" si="51"/>
        <v>44859.456731345505</v>
      </c>
      <c r="AU98" s="333">
        <f t="shared" si="51"/>
        <v>26816.205030410085</v>
      </c>
      <c r="AV98" s="333">
        <f t="shared" si="51"/>
        <v>35675.002674793359</v>
      </c>
      <c r="AW98" s="333">
        <f t="shared" si="51"/>
        <v>12789.232143283356</v>
      </c>
      <c r="AX98" s="333">
        <f t="shared" si="51"/>
        <v>20940.003430109937</v>
      </c>
      <c r="AY98" s="333">
        <f t="shared" si="51"/>
        <v>44888.943661271129</v>
      </c>
      <c r="AZ98" s="333">
        <f t="shared" si="51"/>
        <v>44888.943661271129</v>
      </c>
      <c r="BA98" s="333">
        <f t="shared" si="51"/>
        <v>44918.410815530922</v>
      </c>
      <c r="BB98" s="333">
        <f t="shared" si="51"/>
        <v>44918.410815530922</v>
      </c>
      <c r="BC98" s="333">
        <f t="shared" si="51"/>
        <v>44918.410815530922</v>
      </c>
      <c r="BD98" s="333">
        <f t="shared" si="51"/>
        <v>44918.410815530922</v>
      </c>
      <c r="BE98" s="333">
        <f t="shared" si="51"/>
        <v>44918.410815530922</v>
      </c>
      <c r="BF98" s="333">
        <f t="shared" si="51"/>
        <v>44918.410815530922</v>
      </c>
      <c r="BG98" s="333">
        <f t="shared" si="51"/>
        <v>28174.17017906066</v>
      </c>
    </row>
    <row r="100" spans="2:59" x14ac:dyDescent="0.25">
      <c r="B100">
        <v>381</v>
      </c>
      <c r="C100" t="s">
        <v>1090</v>
      </c>
      <c r="E100" s="75">
        <f>0.207 *E8* SIN(E9*Deg2Rad)</f>
        <v>-0.19526457143759685</v>
      </c>
      <c r="F100" s="75">
        <f>0.207 *F8* SIN(F9*Deg2Rad)</f>
        <v>0.21485842842792124</v>
      </c>
      <c r="G100" s="75">
        <f>0.207 *G8* SIN(G9*Deg2Rad)</f>
        <v>9.2219508179871915E-3</v>
      </c>
      <c r="H100" s="75">
        <f>0.207 *H8* SIN(H9*Deg2Rad)</f>
        <v>4.7583201463115822E-2</v>
      </c>
      <c r="I100" s="75">
        <f>0.207 *I8* SIN(I9*Deg2Rad)</f>
        <v>8.9784678052480207E-2</v>
      </c>
      <c r="J100" s="75">
        <f>0.207 *J8* SIN(J9*Deg2Rad)</f>
        <v>3.1595505848019893E-2</v>
      </c>
      <c r="K100" s="75">
        <f>0.207 *K8* SIN(K9*Deg2Rad)</f>
        <v>5.3454146159071181E-2</v>
      </c>
      <c r="L100" s="75">
        <f>0.207 *L8* SIN(L9*Deg2Rad)</f>
        <v>6.9161062071575144E-2</v>
      </c>
      <c r="M100" s="75">
        <f>0.207 *M8* SIN(M9*Deg2Rad)</f>
        <v>-2.7990581354007801E-3</v>
      </c>
      <c r="N100" s="75">
        <f>0.207 *N8* SIN(N9*Deg2Rad)</f>
        <v>6.5829126196048374E-2</v>
      </c>
      <c r="O100" s="75">
        <f>0.207 *O8* SIN(O9*Deg2Rad)</f>
        <v>0.1250039898104828</v>
      </c>
      <c r="P100" s="75">
        <f>0.207 *P8* SIN(P9*Deg2Rad)</f>
        <v>0.18719882535814192</v>
      </c>
      <c r="Q100" s="75">
        <f>0.207 *Q8* SIN(Q9*Deg2Rad)</f>
        <v>0.17236878212098872</v>
      </c>
      <c r="R100" s="75">
        <f>0.207 *R8* SIN(R9*Deg2Rad)</f>
        <v>8.6192051457968336E-2</v>
      </c>
      <c r="S100" s="75">
        <f>0.207 *S8* SIN(S9*Deg2Rad)</f>
        <v>-0.15068111989172375</v>
      </c>
      <c r="T100" s="75">
        <f>0.207 *T8* SIN(T9*Deg2Rad)</f>
        <v>0.15476681375511975</v>
      </c>
      <c r="U100" s="75">
        <f>0.207 *U8* SIN(U9*Deg2Rad)</f>
        <v>-0.21948716526844569</v>
      </c>
      <c r="V100" s="75">
        <f>0.207 *V8* SIN(V9*Deg2Rad)</f>
        <v>0.23339422894518938</v>
      </c>
      <c r="W100" s="75">
        <f>0.207 *W8* SIN(W9*Deg2Rad)</f>
        <v>0.19058782427971591</v>
      </c>
      <c r="X100" s="75">
        <f>0.207 *X8* SIN(X9*Deg2Rad)</f>
        <v>0.18357238907911161</v>
      </c>
      <c r="Y100" s="75">
        <f>0.207 *Y8* SIN(Y9*Deg2Rad)</f>
        <v>0.14832815265035515</v>
      </c>
      <c r="Z100" s="75">
        <f>0.207 *Z8* SIN(Z9*Deg2Rad)</f>
        <v>-1.4900756147067087E-2</v>
      </c>
      <c r="AA100" s="75">
        <f>0.207 *AA8* SIN(AA9*Deg2Rad)</f>
        <v>9.2219508179871915E-3</v>
      </c>
      <c r="AB100" s="75">
        <f>0.207 *AB8* SIN(AB9*Deg2Rad)</f>
        <v>1.3598766735879505E-2</v>
      </c>
      <c r="AC100" s="75">
        <f>0.207 *AC8* SIN(AC9*Deg2Rad)</f>
        <v>-0.11564857054423752</v>
      </c>
      <c r="AD100" s="75">
        <f>0.207 *AD8* SIN(AD9*Deg2Rad)</f>
        <v>0.2023260061026689</v>
      </c>
      <c r="AE100" s="75">
        <f>0.207 *AE8* SIN(AE9*Deg2Rad)</f>
        <v>0.14832815265035515</v>
      </c>
      <c r="AF100" s="75">
        <f>0.207 *AF8* SIN(AF9*Deg2Rad)</f>
        <v>-3.4572247235243082E-2</v>
      </c>
      <c r="AG100" s="75">
        <f>0.207 *AG8* SIN(AG9*Deg2Rad)</f>
        <v>-0.19172176101360994</v>
      </c>
      <c r="AH100" s="75">
        <f>0.207 *AH8* SIN(AH9*Deg2Rad)</f>
        <v>0.1946452695910646</v>
      </c>
      <c r="AI100" s="75">
        <f>0.207 *AI8* SIN(AI9*Deg2Rad)</f>
        <v>0.20696359487385069</v>
      </c>
      <c r="AJ100" s="75">
        <f>0.207 *AJ8* SIN(AJ9*Deg2Rad)</f>
        <v>0.14404124924056316</v>
      </c>
      <c r="AK100" s="75">
        <f>0.207 *AK8* SIN(AK9*Deg2Rad)</f>
        <v>2.3162800456869716E-2</v>
      </c>
      <c r="AL100" s="75">
        <f>0.207 *AL8* SIN(AL9*Deg2Rad)</f>
        <v>-0.20039665217178065</v>
      </c>
      <c r="AM100" s="75">
        <f>0.207 *AM8* SIN(AM9*Deg2Rad)</f>
        <v>-0.12142562761550892</v>
      </c>
      <c r="AN100" s="75">
        <f>0.207 *AN8* SIN(AN9*Deg2Rad)</f>
        <v>0.20699819958229626</v>
      </c>
      <c r="AO100" s="75">
        <f>0.207 *AO8* SIN(AO9*Deg2Rad)</f>
        <v>0.1442625052724279</v>
      </c>
      <c r="AP100" s="75">
        <f>0.207 *AP8* SIN(AP9*Deg2Rad)</f>
        <v>-0.20442336193108548</v>
      </c>
      <c r="AQ100" s="75">
        <f>0.207 *AQ8* SIN(AQ9*Deg2Rad)</f>
        <v>-0.20442336193108548</v>
      </c>
      <c r="AR100" s="75">
        <f>0.207 *AR8* SIN(AR9*Deg2Rad)</f>
        <v>-0.19407663801007163</v>
      </c>
      <c r="AS100" s="75">
        <f>0.207 *AS8* SIN(AS9*Deg2Rad)</f>
        <v>-0.19407663801007163</v>
      </c>
      <c r="AT100" s="75">
        <f>0.207 *AT8* SIN(AT9*Deg2Rad)</f>
        <v>-0.19407663801007163</v>
      </c>
      <c r="AU100" s="75">
        <f>0.207 *AU8* SIN(AU9*Deg2Rad)</f>
        <v>0.11314581858783973</v>
      </c>
      <c r="AV100" s="75">
        <f>0.207 *AV8* SIN(AV9*Deg2Rad)</f>
        <v>-0.17650325457589958</v>
      </c>
      <c r="AW100" s="75">
        <f>0.207 *AW8* SIN(AW9*Deg2Rad)</f>
        <v>6.6812339436998569E-3</v>
      </c>
      <c r="AX100" s="75">
        <f>0.207 *AX8* SIN(AX9*Deg2Rad)</f>
        <v>0.18792133905714889</v>
      </c>
      <c r="AY100" s="75">
        <f>0.207 *AY8* SIN(AY9*Deg2Rad)</f>
        <v>-0.1347166807766563</v>
      </c>
      <c r="AZ100" s="75">
        <f>0.207 *AZ8* SIN(AZ9*Deg2Rad)</f>
        <v>-0.1347166807766563</v>
      </c>
      <c r="BA100" s="75">
        <f>0.207 *BA8* SIN(BA9*Deg2Rad)</f>
        <v>-4.1334808820594642E-2</v>
      </c>
      <c r="BB100" s="75">
        <f>0.207 *BB8* SIN(BB9*Deg2Rad)</f>
        <v>-4.1334808820594642E-2</v>
      </c>
      <c r="BC100" s="75">
        <f>0.207 *BC8* SIN(BC9*Deg2Rad)</f>
        <v>-4.1334808820594642E-2</v>
      </c>
      <c r="BD100" s="75">
        <f>0.207 *BD8* SIN(BD9*Deg2Rad)</f>
        <v>-4.1334808820594642E-2</v>
      </c>
      <c r="BE100" s="75">
        <f>0.207 *BE8* SIN(BE9*Deg2Rad)</f>
        <v>-4.1334808820594642E-2</v>
      </c>
      <c r="BF100" s="75">
        <f>0.207 *BF8* SIN(BF9*Deg2Rad)</f>
        <v>-4.1334808820594642E-2</v>
      </c>
      <c r="BG100" s="75">
        <f>0.207 *BG8* SIN(BG9*Deg2Rad)</f>
        <v>0.14832815265035515</v>
      </c>
    </row>
    <row r="101" spans="2:59" x14ac:dyDescent="0.25">
      <c r="C101" t="s">
        <v>1091</v>
      </c>
      <c r="E101" s="75">
        <f>0.0024*E8*SIN(2*E9*Deg2Rad)</f>
        <v>-1.5156958879232825E-3</v>
      </c>
      <c r="F101" s="75">
        <f>0.0024*F8*SIN(2*F9*Deg2Rad)</f>
        <v>3.024395720041643E-4</v>
      </c>
      <c r="G101" s="75">
        <f>0.0024*G8*SIN(2*G9*Deg2Rad)</f>
        <v>2.1363002105621615E-4</v>
      </c>
      <c r="H101" s="75">
        <f>0.0024*H8*SIN(2*H9*Deg2Rad)</f>
        <v>1.0738329102814481E-3</v>
      </c>
      <c r="I101" s="75">
        <f>0.0024*I8*SIN(2*I9*Deg2Rad)</f>
        <v>1.8760673728739489E-3</v>
      </c>
      <c r="J101" s="75">
        <f>0.0024*J8*SIN(2*J9*Deg2Rad)</f>
        <v>-7.2407009454086293E-4</v>
      </c>
      <c r="K101" s="75">
        <f>0.0024*K8*SIN(2*K9*Deg2Rad)</f>
        <v>1.1975012129603756E-3</v>
      </c>
      <c r="L101" s="75">
        <f>0.0024*L8*SIN(2*L9*Deg2Rad)</f>
        <v>-1.5116290980722864E-3</v>
      </c>
      <c r="M101" s="75">
        <f>0.0024*M8*SIN(2*M9*Deg2Rad)</f>
        <v>-6.4899791446209056E-5</v>
      </c>
      <c r="N101" s="75">
        <f>0.0024*N8*SIN(2*N9*Deg2Rad)</f>
        <v>1.4488212642355149E-3</v>
      </c>
      <c r="O101" s="75">
        <f>0.0024*O8*SIN(2*O9*Deg2Rad)</f>
        <v>2.323353060716989E-3</v>
      </c>
      <c r="P101" s="75">
        <f>0.0024*P8*SIN(2*P9*Deg2Rad)</f>
        <v>-2.0658545599682018E-3</v>
      </c>
      <c r="Q101" s="75">
        <f>0.0024*Q8*SIN(2*Q9*Deg2Rad)</f>
        <v>2.435006704874663E-3</v>
      </c>
      <c r="R101" s="75">
        <f>0.0024*R8*SIN(2*R9*Deg2Rad)</f>
        <v>1.8348038366694083E-3</v>
      </c>
      <c r="S101" s="75">
        <f>0.0024*S8*SIN(2*S9*Deg2Rad)</f>
        <v>2.558428366784684E-3</v>
      </c>
      <c r="T101" s="75">
        <f>0.0024*T8*SIN(2*T9*Deg2Rad)</f>
        <v>-2.564570863301383E-3</v>
      </c>
      <c r="U101" s="75">
        <f>0.0024*U8*SIN(2*U9*Deg2Rad)</f>
        <v>6.4071303549728459E-4</v>
      </c>
      <c r="V101" s="75">
        <f>0.0024*V8*SIN(2*V9*Deg2Rad)</f>
        <v>6.4238360848984245E-4</v>
      </c>
      <c r="W101" s="75">
        <f>0.0024*W8*SIN(2*W9*Deg2Rad)</f>
        <v>-1.7276882609090958E-3</v>
      </c>
      <c r="X101" s="75">
        <f>0.0024*X8*SIN(2*X9*Deg2Rad)</f>
        <v>-1.9684817344794085E-3</v>
      </c>
      <c r="Y101" s="75">
        <f>0.0024*Y8*SIN(2*Y9*Deg2Rad)</f>
        <v>2.4005851048298859E-3</v>
      </c>
      <c r="Z101" s="75">
        <f>0.0024*Z8*SIN(2*Z9*Deg2Rad)</f>
        <v>-3.4462641477389975E-4</v>
      </c>
      <c r="AA101" s="75">
        <f>0.0024*AA8*SIN(2*AA9*Deg2Rad)</f>
        <v>2.1363002105621615E-4</v>
      </c>
      <c r="AB101" s="75">
        <f>0.0024*AB8*SIN(2*AB9*Deg2Rad)</f>
        <v>-3.1465408883499279E-4</v>
      </c>
      <c r="AC101" s="75">
        <f>0.0024*AC8*SIN(2*AC9*Deg2Rad)</f>
        <v>-2.2246813714211404E-3</v>
      </c>
      <c r="AD101" s="75">
        <f>0.0024*AD8*SIN(2*AD9*Deg2Rad)</f>
        <v>-9.9759118444499848E-4</v>
      </c>
      <c r="AE101" s="75">
        <f>0.0024*AE8*SIN(2*AE9*Deg2Rad)</f>
        <v>2.4005851048298859E-3</v>
      </c>
      <c r="AF101" s="75">
        <f>0.0024*AF8*SIN(2*AF9*Deg2Rad)</f>
        <v>-7.9041917012177582E-4</v>
      </c>
      <c r="AG101" s="75">
        <f>0.0024*AG8*SIN(2*AG9*Deg2Rad)</f>
        <v>-1.6780977442473679E-3</v>
      </c>
      <c r="AH101" s="75">
        <f>0.0024*AH8*SIN(2*AH9*Deg2Rad)</f>
        <v>1.5385652091054274E-3</v>
      </c>
      <c r="AI101" s="75">
        <f>0.0024*AI8*SIN(2*AI9*Deg2Rad)</f>
        <v>1.3072172800483348E-4</v>
      </c>
      <c r="AJ101" s="75">
        <f>0.0024*AJ8*SIN(2*AJ9*Deg2Rad)</f>
        <v>-2.3991782641930464E-3</v>
      </c>
      <c r="AK101" s="75">
        <f>0.0024*AK8*SIN(2*AK9*Deg2Rad)</f>
        <v>5.3376585117522444E-4</v>
      </c>
      <c r="AL101" s="75">
        <f>0.0024*AL8*SIN(2*AL9*Deg2Rad)</f>
        <v>1.16840182253101E-3</v>
      </c>
      <c r="AM101" s="75">
        <f>0.0024*AM8*SIN(2*AM9*Deg2Rad)</f>
        <v>2.3179197663680319E-3</v>
      </c>
      <c r="AN101" s="75">
        <f>0.0024*AN8*SIN(2*AN9*Deg2Rad)</f>
        <v>1.0935142761486577E-5</v>
      </c>
      <c r="AO101" s="75">
        <f>0.0024*AO8*SIN(2*AO9*Deg2Rad)</f>
        <v>2.4970973282401848E-3</v>
      </c>
      <c r="AP101" s="75">
        <f>0.0024*AP8*SIN(2*AP9*Deg2Rad)</f>
        <v>7.2857336663320908E-4</v>
      </c>
      <c r="AQ101" s="75">
        <f>0.0024*AQ8*SIN(2*AQ9*Deg2Rad)</f>
        <v>7.2857336663320908E-4</v>
      </c>
      <c r="AR101" s="75">
        <f>0.0024*AR8*SIN(2*AR9*Deg2Rad)</f>
        <v>-1.5586710645309296E-3</v>
      </c>
      <c r="AS101" s="75">
        <f>0.0024*AS8*SIN(2*AS9*Deg2Rad)</f>
        <v>-1.5586710645309296E-3</v>
      </c>
      <c r="AT101" s="75">
        <f>0.0024*AT8*SIN(2*AT9*Deg2Rad)</f>
        <v>-1.5586710645309296E-3</v>
      </c>
      <c r="AU101" s="75">
        <f>0.0024*AU8*SIN(2*AU9*Deg2Rad)</f>
        <v>-2.1976744844695376E-3</v>
      </c>
      <c r="AV101" s="75">
        <f>0.0024*AV8*SIN(2*AV9*Deg2Rad)</f>
        <v>2.1386157461708698E-3</v>
      </c>
      <c r="AW101" s="75">
        <f>0.0024*AW8*SIN(2*AW9*Deg2Rad)</f>
        <v>1.5484670645075929E-4</v>
      </c>
      <c r="AX101" s="75">
        <f>0.0024*AX8*SIN(2*AX9*Deg2Rad)</f>
        <v>-1.8364328183407613E-3</v>
      </c>
      <c r="AY101" s="75">
        <f>0.0024*AY8*SIN(2*AY9*Deg2Rad)</f>
        <v>-2.3707731257740657E-3</v>
      </c>
      <c r="AZ101" s="75">
        <f>0.0024*AZ8*SIN(2*AZ9*Deg2Rad)</f>
        <v>-2.3707731257740657E-3</v>
      </c>
      <c r="BA101" s="75">
        <f>0.0024*BA8*SIN(2*BA9*Deg2Rad)</f>
        <v>-9.3916192177092921E-4</v>
      </c>
      <c r="BB101" s="75">
        <f>0.0024*BB8*SIN(2*BB9*Deg2Rad)</f>
        <v>-9.3916192177092921E-4</v>
      </c>
      <c r="BC101" s="75">
        <f>0.0024*BC8*SIN(2*BC9*Deg2Rad)</f>
        <v>-9.3916192177092921E-4</v>
      </c>
      <c r="BD101" s="75">
        <f>0.0024*BD8*SIN(2*BD9*Deg2Rad)</f>
        <v>-9.3916192177092921E-4</v>
      </c>
      <c r="BE101" s="75">
        <f>0.0024*BE8*SIN(2*BE9*Deg2Rad)</f>
        <v>-9.3916192177092921E-4</v>
      </c>
      <c r="BF101" s="75">
        <f>0.0024*BF8*SIN(2*BF9*Deg2Rad)</f>
        <v>-9.3916192177092921E-4</v>
      </c>
      <c r="BG101" s="75">
        <f>0.0024*BG8*SIN(2*BG9*Deg2Rad)</f>
        <v>2.4005851048298859E-3</v>
      </c>
    </row>
    <row r="102" spans="2:59" x14ac:dyDescent="0.25">
      <c r="C102" s="5" t="s">
        <v>1092</v>
      </c>
      <c r="E102" s="306">
        <f>-0.0392* SIN(E10*Deg2Rad)</f>
        <v>-2.7779474683674116E-2</v>
      </c>
      <c r="F102" s="306">
        <f>-0.0392* SIN(F10*Deg2Rad)</f>
        <v>-2.6510202392668436E-2</v>
      </c>
      <c r="G102" s="306">
        <f>-0.0392* SIN(G10*Deg2Rad)</f>
        <v>1.4407770027631644E-2</v>
      </c>
      <c r="H102" s="306">
        <f>-0.0392* SIN(H10*Deg2Rad)</f>
        <v>3.7230578515792777E-2</v>
      </c>
      <c r="I102" s="306">
        <f>-0.0392* SIN(I10*Deg2Rad)</f>
        <v>-2.0104296317352343E-2</v>
      </c>
      <c r="J102" s="306">
        <f>-0.0392* SIN(J10*Deg2Rad)</f>
        <v>-1.3446077768027946E-2</v>
      </c>
      <c r="K102" s="306">
        <f>-0.0392* SIN(K10*Deg2Rad)</f>
        <v>1.2983259896143047E-2</v>
      </c>
      <c r="L102" s="306">
        <f>-0.0392* SIN(L10*Deg2Rad)</f>
        <v>-3.6895787490968904E-2</v>
      </c>
      <c r="M102" s="306">
        <f>-0.0392* SIN(M10*Deg2Rad)</f>
        <v>3.1702964098691784E-2</v>
      </c>
      <c r="N102" s="306">
        <f>-0.0392* SIN(N10*Deg2Rad)</f>
        <v>3.7800384024627799E-2</v>
      </c>
      <c r="O102" s="306">
        <f>-0.0392* SIN(O10*Deg2Rad)</f>
        <v>3.8714813888233134E-2</v>
      </c>
      <c r="P102" s="306">
        <f>-0.0392* SIN(P10*Deg2Rad)</f>
        <v>-3.9199276610143309E-2</v>
      </c>
      <c r="Q102" s="306">
        <f>-0.0392* SIN(Q10*Deg2Rad)</f>
        <v>-1.2883962351553769E-2</v>
      </c>
      <c r="R102" s="306">
        <f>-0.0392* SIN(R10*Deg2Rad)</f>
        <v>-2.7720909536830138E-2</v>
      </c>
      <c r="S102" s="306">
        <f>-0.0392* SIN(S10*Deg2Rad)</f>
        <v>-1.8632614208768238E-2</v>
      </c>
      <c r="T102" s="306">
        <f>-0.0392* SIN(T10*Deg2Rad)</f>
        <v>2.961557978540209E-2</v>
      </c>
      <c r="U102" s="306">
        <f>-0.0392* SIN(U10*Deg2Rad)</f>
        <v>-3.7968561423439219E-2</v>
      </c>
      <c r="V102" s="306">
        <f>-0.0392* SIN(V10*Deg2Rad)</f>
        <v>-3.8672941823761006E-2</v>
      </c>
      <c r="W102" s="306">
        <f>-0.0392* SIN(W10*Deg2Rad)</f>
        <v>-3.7216268148903699E-2</v>
      </c>
      <c r="X102" s="306">
        <f>-0.0392* SIN(X10*Deg2Rad)</f>
        <v>3.9193486629189346E-2</v>
      </c>
      <c r="Y102" s="306">
        <f>-0.0392* SIN(Y10*Deg2Rad)</f>
        <v>-3.9027815705244703E-2</v>
      </c>
      <c r="Z102" s="306">
        <f>-0.0392* SIN(Z10*Deg2Rad)</f>
        <v>1.7171341668180368E-2</v>
      </c>
      <c r="AA102" s="306">
        <f>-0.0392* SIN(AA10*Deg2Rad)</f>
        <v>1.4407770027631644E-2</v>
      </c>
      <c r="AB102" s="306">
        <f>-0.0392* SIN(AB10*Deg2Rad)</f>
        <v>-3.5984661207868945E-2</v>
      </c>
      <c r="AC102" s="306">
        <f>-0.0392* SIN(AC10*Deg2Rad)</f>
        <v>3.2746859143254883E-2</v>
      </c>
      <c r="AD102" s="306">
        <f>-0.0392* SIN(AD10*Deg2Rad)</f>
        <v>-3.3282882976845486E-2</v>
      </c>
      <c r="AE102" s="306">
        <f>-0.0392* SIN(AE10*Deg2Rad)</f>
        <v>-3.9027815705244703E-2</v>
      </c>
      <c r="AF102" s="306">
        <f>-0.0392* SIN(AF10*Deg2Rad)</f>
        <v>-3.5383998342501305E-2</v>
      </c>
      <c r="AG102" s="306">
        <f>-0.0392* SIN(AG10*Deg2Rad)</f>
        <v>-3.5189763270161441E-2</v>
      </c>
      <c r="AH102" s="306">
        <f>-0.0392* SIN(AH10*Deg2Rad)</f>
        <v>3.9163238504796388E-2</v>
      </c>
      <c r="AI102" s="306">
        <f>-0.0392* SIN(AI10*Deg2Rad)</f>
        <v>3.4970396717076663E-2</v>
      </c>
      <c r="AJ102" s="306">
        <f>-0.0392* SIN(AJ10*Deg2Rad)</f>
        <v>3.5403595700182713E-2</v>
      </c>
      <c r="AK102" s="306">
        <f>-0.0392* SIN(AK10*Deg2Rad)</f>
        <v>-2.8983656827961203E-2</v>
      </c>
      <c r="AL102" s="306">
        <f>-0.0392* SIN(AL10*Deg2Rad)</f>
        <v>-3.6185412431554806E-2</v>
      </c>
      <c r="AM102" s="306">
        <f>-0.0392* SIN(AM10*Deg2Rad)</f>
        <v>3.8550466695128169E-2</v>
      </c>
      <c r="AN102" s="306">
        <f>-0.0392* SIN(AN10*Deg2Rad)</f>
        <v>3.8715764856815965E-2</v>
      </c>
      <c r="AO102" s="306">
        <f>-0.0392* SIN(AO10*Deg2Rad)</f>
        <v>5.3519416688831509E-3</v>
      </c>
      <c r="AP102" s="306">
        <f>-0.0392* SIN(AP10*Deg2Rad)</f>
        <v>3.8055973005680956E-2</v>
      </c>
      <c r="AQ102" s="306">
        <f>-0.0392* SIN(AQ10*Deg2Rad)</f>
        <v>3.8055973005680956E-2</v>
      </c>
      <c r="AR102" s="306">
        <f>-0.0392* SIN(AR10*Deg2Rad)</f>
        <v>3.8351813615830614E-2</v>
      </c>
      <c r="AS102" s="306">
        <f>-0.0392* SIN(AS10*Deg2Rad)</f>
        <v>3.8351813615830614E-2</v>
      </c>
      <c r="AT102" s="306">
        <f>-0.0392* SIN(AT10*Deg2Rad)</f>
        <v>3.8351813615830614E-2</v>
      </c>
      <c r="AU102" s="306">
        <f>-0.0392* SIN(AU10*Deg2Rad)</f>
        <v>8.2883763674735222E-3</v>
      </c>
      <c r="AV102" s="306">
        <f>-0.0392* SIN(AV10*Deg2Rad)</f>
        <v>-4.863384169780491E-3</v>
      </c>
      <c r="AW102" s="306">
        <f>-0.0392* SIN(AW10*Deg2Rad)</f>
        <v>2.262248378767278E-2</v>
      </c>
      <c r="AX102" s="306">
        <f>-0.0392* SIN(AX10*Deg2Rad)</f>
        <v>3.6888184939729077E-2</v>
      </c>
      <c r="AY102" s="306">
        <f>-0.0392* SIN(AY10*Deg2Rad)</f>
        <v>3.0991869629560971E-2</v>
      </c>
      <c r="AZ102" s="306">
        <f>-0.0392* SIN(AZ10*Deg2Rad)</f>
        <v>3.0991869629560971E-2</v>
      </c>
      <c r="BA102" s="306">
        <f>-0.0392* SIN(BA10*Deg2Rad)</f>
        <v>1.744533220333391E-2</v>
      </c>
      <c r="BB102" s="306">
        <f>-0.0392* SIN(BB10*Deg2Rad)</f>
        <v>1.744533220333391E-2</v>
      </c>
      <c r="BC102" s="306">
        <f>-0.0392* SIN(BC10*Deg2Rad)</f>
        <v>1.744533220333391E-2</v>
      </c>
      <c r="BD102" s="306">
        <f>-0.0392* SIN(BD10*Deg2Rad)</f>
        <v>1.744533220333391E-2</v>
      </c>
      <c r="BE102" s="306">
        <f>-0.0392* SIN(BE10*Deg2Rad)</f>
        <v>1.744533220333391E-2</v>
      </c>
      <c r="BF102" s="306">
        <f>-0.0392* SIN(BF10*Deg2Rad)</f>
        <v>1.744533220333391E-2</v>
      </c>
      <c r="BG102" s="306">
        <f>-0.0392* SIN(BG10*Deg2Rad)</f>
        <v>-3.9027815705244703E-2</v>
      </c>
    </row>
    <row r="103" spans="2:59" x14ac:dyDescent="0.25">
      <c r="C103" t="s">
        <v>1093</v>
      </c>
      <c r="E103" s="75">
        <f>0.0116* SIN(2*E10*Deg2Rad)</f>
        <v>1.1599887804062518E-2</v>
      </c>
      <c r="F103" s="75">
        <f>0.0116* SIN(2*F10*Deg2Rad)</f>
        <v>1.1557732653100278E-2</v>
      </c>
      <c r="G103" s="75">
        <f>0.0116* SIN(2*G10*Deg2Rad)</f>
        <v>7.930202648873683E-3</v>
      </c>
      <c r="H103" s="75">
        <f>0.0116* SIN(2*H10*Deg2Rad)</f>
        <v>6.8963380920468555E-3</v>
      </c>
      <c r="I103" s="75">
        <f>0.0116* SIN(2*I10*Deg2Rad)</f>
        <v>1.0214465350299838E-2</v>
      </c>
      <c r="J103" s="75">
        <f>0.0116* SIN(2*J10*Deg2Rad)</f>
        <v>-7.4750855959470862E-3</v>
      </c>
      <c r="K103" s="75">
        <f>0.0116* SIN(2*K10*Deg2Rad)</f>
        <v>-7.2502761612622639E-3</v>
      </c>
      <c r="L103" s="75">
        <f>0.0116* SIN(2*L10*Deg2Rad)</f>
        <v>-7.376225887042862E-3</v>
      </c>
      <c r="M103" s="75">
        <f>0.0116* SIN(2*M10*Deg2Rad)</f>
        <v>-1.1035517674080618E-2</v>
      </c>
      <c r="N103" s="75">
        <f>0.0116* SIN(2*N10*Deg2Rad)</f>
        <v>-5.9246534713687637E-3</v>
      </c>
      <c r="O103" s="75">
        <f>0.0116* SIN(2*O10*Deg2Rad)</f>
        <v>3.5938274864451315E-3</v>
      </c>
      <c r="P103" s="75">
        <f>0.0116* SIN(2*P10*Deg2Rad)</f>
        <v>1.4094060731703462E-4</v>
      </c>
      <c r="Q103" s="75">
        <f>0.0116* SIN(2*Q10*Deg2Rad)</f>
        <v>-7.201576121822875E-3</v>
      </c>
      <c r="R103" s="75">
        <f>0.0116* SIN(2*R10*Deg2Rad)</f>
        <v>-1.159999983693989E-2</v>
      </c>
      <c r="S103" s="75">
        <f>0.0116* SIN(2*S10*Deg2Rad)</f>
        <v>9.7020967706360223E-3</v>
      </c>
      <c r="T103" s="75">
        <f>0.0116* SIN(2*T10*Deg2Rad)</f>
        <v>-1.1483186014662465E-2</v>
      </c>
      <c r="U103" s="75">
        <f>0.0116* SIN(2*U10*Deg2Rad)</f>
        <v>-5.5881309258269413E-3</v>
      </c>
      <c r="V103" s="75">
        <f>0.0116* SIN(2*V10*Deg2Rad)</f>
        <v>3.7406375472073053E-3</v>
      </c>
      <c r="W103" s="75">
        <f>0.0116* SIN(2*W10*Deg2Rad)</f>
        <v>-6.9180399985441926E-3</v>
      </c>
      <c r="X103" s="75">
        <f>0.0116* SIN(2*X10*Deg2Rad)</f>
        <v>4.2283666878410779E-4</v>
      </c>
      <c r="Y103" s="75">
        <f>0.0116* SIN(2*Y10*Deg2Rad)</f>
        <v>-2.162556517620727E-3</v>
      </c>
      <c r="Z103" s="75">
        <f>0.0116* SIN(2*Z10*Deg2Rad)</f>
        <v>9.1357307137846944E-3</v>
      </c>
      <c r="AA103" s="75">
        <f>0.0116* SIN(2*AA10*Deg2Rad)</f>
        <v>7.930202648873683E-3</v>
      </c>
      <c r="AB103" s="75">
        <f>0.0116* SIN(2*AB10*Deg2Rad)</f>
        <v>8.4471705484915078E-3</v>
      </c>
      <c r="AC103" s="75">
        <f>0.0116* SIN(2*AC10*Deg2Rad)</f>
        <v>-1.0653124308946488E-2</v>
      </c>
      <c r="AD103" s="75">
        <f>0.0116* SIN(2*AD10*Deg2Rad)</f>
        <v>1.0406617628503003E-2</v>
      </c>
      <c r="AE103" s="75">
        <f>0.0116* SIN(2*AE10*Deg2Rad)</f>
        <v>-2.162556517620727E-3</v>
      </c>
      <c r="AF103" s="75">
        <f>0.0116* SIN(2*AF10*Deg2Rad)</f>
        <v>-9.0125951954599832E-3</v>
      </c>
      <c r="AG103" s="75">
        <f>0.0116* SIN(2*AG10*Deg2Rad)</f>
        <v>9.1764307091193181E-3</v>
      </c>
      <c r="AH103" s="75">
        <f>0.0116* SIN(2*AH10*Deg2Rad)</f>
        <v>1.003568958843654E-3</v>
      </c>
      <c r="AI103" s="75">
        <f>0.0116* SIN(2*AI10*Deg2Rad)</f>
        <v>9.3515053831874431E-3</v>
      </c>
      <c r="AJ103" s="75">
        <f>0.0116* SIN(2*AJ10*Deg2Rad)</f>
        <v>8.9955833441238923E-3</v>
      </c>
      <c r="AK103" s="75">
        <f>0.0116* SIN(2*AK10*Deg2Rad)</f>
        <v>1.1549333198108388E-2</v>
      </c>
      <c r="AL103" s="75">
        <f>0.0116* SIN(2*AL10*Deg2Rad)</f>
        <v>-8.2358226761987813E-3</v>
      </c>
      <c r="AM103" s="75">
        <f>0.0116* SIN(2*AM10*Deg2Rad)</f>
        <v>-4.1361635720053415E-3</v>
      </c>
      <c r="AN103" s="75">
        <f>0.0116* SIN(2*AN10*Deg2Rad)</f>
        <v>-3.5904138948516188E-3</v>
      </c>
      <c r="AO103" s="75">
        <f>0.0116* SIN(2*AO10*Deg2Rad)</f>
        <v>3.1378156211505823E-3</v>
      </c>
      <c r="AP103" s="75">
        <f>0.0116* SIN(2*AP10*Deg2Rad)</f>
        <v>5.4016053480162715E-3</v>
      </c>
      <c r="AQ103" s="75">
        <f>0.0116* SIN(2*AQ10*Deg2Rad)</f>
        <v>5.4016053480162715E-3</v>
      </c>
      <c r="AR103" s="75">
        <f>0.0116* SIN(2*AR10*Deg2Rad)</f>
        <v>-4.6961654004386965E-3</v>
      </c>
      <c r="AS103" s="75">
        <f>0.0116* SIN(2*AS10*Deg2Rad)</f>
        <v>-4.6961654004386965E-3</v>
      </c>
      <c r="AT103" s="75">
        <f>0.0116* SIN(2*AT10*Deg2Rad)</f>
        <v>-4.6961654004386965E-3</v>
      </c>
      <c r="AU103" s="75">
        <f>0.0116* SIN(2*AU10*Deg2Rad)</f>
        <v>-4.7944620318414481E-3</v>
      </c>
      <c r="AV103" s="75">
        <f>0.0116* SIN(2*AV10*Deg2Rad)</f>
        <v>-2.856091369428979E-3</v>
      </c>
      <c r="AW103" s="75">
        <f>0.0116* SIN(2*AW10*Deg2Rad)</f>
        <v>-1.093425232831847E-2</v>
      </c>
      <c r="AX103" s="75">
        <f>0.0116* SIN(2*AX10*Deg2Rad)</f>
        <v>7.3864930553506807E-3</v>
      </c>
      <c r="AY103" s="75">
        <f>0.0116* SIN(2*AY10*Deg2Rad)</f>
        <v>-1.1231277437560853E-2</v>
      </c>
      <c r="AZ103" s="75">
        <f>0.0116* SIN(2*AZ10*Deg2Rad)</f>
        <v>-1.1231277437560853E-2</v>
      </c>
      <c r="BA103" s="75">
        <f>0.0116* SIN(2*BA10*Deg2Rad)</f>
        <v>-9.2459893049152506E-3</v>
      </c>
      <c r="BB103" s="75">
        <f>0.0116* SIN(2*BB10*Deg2Rad)</f>
        <v>-9.2459893049152506E-3</v>
      </c>
      <c r="BC103" s="75">
        <f>0.0116* SIN(2*BC10*Deg2Rad)</f>
        <v>-9.2459893049152506E-3</v>
      </c>
      <c r="BD103" s="75">
        <f>0.0116* SIN(2*BD10*Deg2Rad)</f>
        <v>-9.2459893049152506E-3</v>
      </c>
      <c r="BE103" s="75">
        <f>0.0116* SIN(2*BE10*Deg2Rad)</f>
        <v>-9.2459893049152506E-3</v>
      </c>
      <c r="BF103" s="75">
        <f>0.0116* SIN(2*BF10*Deg2Rad)</f>
        <v>-9.2459893049152506E-3</v>
      </c>
      <c r="BG103" s="75">
        <f>0.0116* SIN(2*BG10*Deg2Rad)</f>
        <v>-2.162556517620727E-3</v>
      </c>
    </row>
    <row r="104" spans="2:59" x14ac:dyDescent="0.25">
      <c r="C104" s="5" t="s">
        <v>1094</v>
      </c>
      <c r="E104" s="306">
        <f>-0.0073 *E8* SIN((E10 + E9)*Deg2Rad)</f>
        <v>3.124957873717782E-3</v>
      </c>
      <c r="F104" s="306">
        <f>-0.0073 *F8* SIN((F10 + F9)*Deg2Rad)</f>
        <v>-5.8932867938041485E-3</v>
      </c>
      <c r="G104" s="306">
        <f>-0.0073 *G8* SIN((G10 + G9)*Deg2Rad)</f>
        <v>2.9828707873159081E-3</v>
      </c>
      <c r="H104" s="306">
        <f>-0.0073 *H8* SIN((H10 + H9)*Deg2Rad)</f>
        <v>7.2729534431673687E-3</v>
      </c>
      <c r="I104" s="306">
        <f>-0.0073 *I8* SIN((I10 + I9)*Deg2Rad)</f>
        <v>-6.0929436415354038E-3</v>
      </c>
      <c r="J104" s="306">
        <f>-0.0073 *J8* SIN((J10 + J9)*Deg2Rad)</f>
        <v>3.5220851761108935E-3</v>
      </c>
      <c r="K104" s="306">
        <f>-0.0073 *K8* SIN((K10 + K9)*Deg2Rad)</f>
        <v>5.5784868631047666E-4</v>
      </c>
      <c r="L104" s="306">
        <f>-0.0073 *L8* SIN((L10 + L9)*Deg2Rad)</f>
        <v>7.3020638986063431E-3</v>
      </c>
      <c r="M104" s="306">
        <f>-0.0073 *M8* SIN((M10 + M9)*Deg2Rad)</f>
        <v>5.9761992315037335E-3</v>
      </c>
      <c r="N104" s="306">
        <f>-0.0073 *N8* SIN((N10 + N9)*Deg2Rad)</f>
        <v>6.1329087810175443E-3</v>
      </c>
      <c r="O104" s="306">
        <f>-0.0073 *O8* SIN((O10 + O9)*Deg2Rad)</f>
        <v>6.5275161624322991E-3</v>
      </c>
      <c r="P104" s="306">
        <f>-0.0073 *P8* SIN((P10 + P9)*Deg2Rad)</f>
        <v>3.5321346944656991E-3</v>
      </c>
      <c r="Q104" s="306">
        <f>-0.0073 *Q8* SIN((Q10 + Q9)*Deg2Rad)</f>
        <v>4.2061353622122781E-3</v>
      </c>
      <c r="R104" s="306">
        <f>-0.0073 *R8* SIN((R10 + R9)*Deg2Rad)</f>
        <v>-2.8271685858976591E-3</v>
      </c>
      <c r="S104" s="306">
        <f>-0.0073 *S8* SIN((S10 + S9)*Deg2Rad)</f>
        <v>7.3907391839356318E-3</v>
      </c>
      <c r="T104" s="306">
        <f>-0.0073 *T8* SIN((T10 + T9)*Deg2Rad)</f>
        <v>-7.7881356260021918E-3</v>
      </c>
      <c r="U104" s="306">
        <f>-0.0073 *U8* SIN((U10 + U9)*Deg2Rad)</f>
        <v>-9.734975158258544E-4</v>
      </c>
      <c r="V104" s="306">
        <f>-0.0073 *V8* SIN((V10 + V9)*Deg2Rad)</f>
        <v>-2.3158609391093132E-3</v>
      </c>
      <c r="W104" s="306">
        <f>-0.0073 *W8* SIN((W10 + W9)*Deg2Rad)</f>
        <v>4.8212766651320061E-3</v>
      </c>
      <c r="X104" s="306">
        <f>-0.0073 *X8* SIN((X10 + X9)*Deg2Rad)</f>
        <v>-3.2578762440642825E-3</v>
      </c>
      <c r="Y104" s="306">
        <f>-0.0073 *Y8* SIN((Y10 + Y9)*Deg2Rad)</f>
        <v>-4.5858117876348406E-3</v>
      </c>
      <c r="Z104" s="306">
        <f>-0.0073 *Z8* SIN((Z10 + Z9)*Deg2Rad)</f>
        <v>2.7134892372765967E-3</v>
      </c>
      <c r="AA104" s="306">
        <f>-0.0073 *AA8* SIN((AA10 + AA9)*Deg2Rad)</f>
        <v>2.9828707873159081E-3</v>
      </c>
      <c r="AB104" s="306">
        <f>-0.0073 *AB8* SIN((AB10 + AB9)*Deg2Rad)</f>
        <v>6.5042153182374215E-3</v>
      </c>
      <c r="AC104" s="306">
        <f>-0.0073 *AC8* SIN((AC10 + AC9)*Deg2Rad)</f>
        <v>7.3034728421082972E-3</v>
      </c>
      <c r="AD104" s="306">
        <f>-0.0073 *AD8* SIN((AD10 + AD9)*Deg2Rad)</f>
        <v>-2.4512580387729571E-3</v>
      </c>
      <c r="AE104" s="306">
        <f>-0.0073 *AE8* SIN((AE10 + AE9)*Deg2Rad)</f>
        <v>-4.5858117876348406E-3</v>
      </c>
      <c r="AF104" s="306">
        <f>-0.0073 *AF8* SIN((AF10 + AF9)*Deg2Rad)</f>
        <v>-7.0227090854268854E-3</v>
      </c>
      <c r="AG104" s="306">
        <f>-0.0073 *AG8* SIN((AG10 + AG9)*Deg2Rad)</f>
        <v>5.0502151014252873E-4</v>
      </c>
      <c r="AH104" s="306">
        <f>-0.0073 *AH8* SIN((AH10 + AH9)*Deg2Rad)</f>
        <v>2.7838491732701297E-3</v>
      </c>
      <c r="AI104" s="306">
        <f>-0.0073 *AI8* SIN((AI10 + AI9)*Deg2Rad)</f>
        <v>3.4752302161708249E-3</v>
      </c>
      <c r="AJ104" s="306">
        <f>-0.0073 *AJ8* SIN((AJ10 + AJ9)*Deg2Rad)</f>
        <v>-2.5557233079971041E-3</v>
      </c>
      <c r="AK104" s="306">
        <f>-0.0073 *AK8* SIN((AK10 + AK9)*Deg2Rad)</f>
        <v>-5.9382846000108147E-3</v>
      </c>
      <c r="AL104" s="306">
        <f>-0.0073 *AL8* SIN((AL10 + AL9)*Deg2Rad)</f>
        <v>-1.0230426764858567E-3</v>
      </c>
      <c r="AM104" s="306">
        <f>-0.0073 *AM8* SIN((AM10 + AM9)*Deg2Rad)</f>
        <v>-5.3301691207042505E-3</v>
      </c>
      <c r="AN104" s="306">
        <f>-0.0073 *AN8* SIN((AN10 + AN9)*Deg2Rad)</f>
        <v>-1.1274374029023781E-3</v>
      </c>
      <c r="AO104" s="306">
        <f>-0.0073 *AO8* SIN((AO10 + AO9)*Deg2Rad)</f>
        <v>5.8190730380446743E-3</v>
      </c>
      <c r="AP104" s="306">
        <f>-0.0073 *AP8* SIN((AP10 + AP9)*Deg2Rad)</f>
        <v>-2.8175816657760042E-3</v>
      </c>
      <c r="AQ104" s="306">
        <f>-0.0073 *AQ8* SIN((AQ10 + AQ9)*Deg2Rad)</f>
        <v>-2.8175816657760042E-3</v>
      </c>
      <c r="AR104" s="306">
        <f>-0.0073 *AR8* SIN((AR10 + AR9)*Deg2Rad)</f>
        <v>3.8882592352644046E-3</v>
      </c>
      <c r="AS104" s="306">
        <f>-0.0073 *AS8* SIN((AS10 + AS9)*Deg2Rad)</f>
        <v>3.8882592352644046E-3</v>
      </c>
      <c r="AT104" s="306">
        <f>-0.0073 *AT8* SIN((AT10 + AT9)*Deg2Rad)</f>
        <v>3.8882592352644046E-3</v>
      </c>
      <c r="AU104" s="306">
        <f>-0.0073 *AU8* SIN((AU10 + AU9)*Deg2Rad)</f>
        <v>-5.1937049259462341E-3</v>
      </c>
      <c r="AV104" s="306">
        <f>-0.0073 *AV8* SIN((AV10 + AV9)*Deg2Rad)</f>
        <v>-5.7031489341928567E-3</v>
      </c>
      <c r="AW104" s="306">
        <f>-0.0073 *AW8* SIN((AW10 + AW9)*Deg2Rad)</f>
        <v>4.0251234331214166E-3</v>
      </c>
      <c r="AX104" s="306">
        <f>-0.0073 *AX8* SIN((AX10 + AX9)*Deg2Rad)</f>
        <v>-6.5591197525004946E-4</v>
      </c>
      <c r="AY104" s="306">
        <f>-0.0073 *AY8* SIN((AY10 + AY9)*Deg2Rad)</f>
        <v>7.2866238652444281E-3</v>
      </c>
      <c r="AZ104" s="306">
        <f>-0.0073 *AZ8* SIN((AZ10 + AZ9)*Deg2Rad)</f>
        <v>7.2866238652444281E-3</v>
      </c>
      <c r="BA104" s="306">
        <f>-0.0073 *BA8* SIN((BA10 + BA9)*Deg2Rad)</f>
        <v>4.4867931648974266E-3</v>
      </c>
      <c r="BB104" s="306">
        <f>-0.0073 *BB8* SIN((BB10 + BB9)*Deg2Rad)</f>
        <v>4.4867931648974266E-3</v>
      </c>
      <c r="BC104" s="306">
        <f>-0.0073 *BC8* SIN((BC10 + BC9)*Deg2Rad)</f>
        <v>4.4867931648974266E-3</v>
      </c>
      <c r="BD104" s="306">
        <f>-0.0073 *BD8* SIN((BD10 + BD9)*Deg2Rad)</f>
        <v>4.4867931648974266E-3</v>
      </c>
      <c r="BE104" s="306">
        <f>-0.0073 *BE8* SIN((BE10 + BE9)*Deg2Rad)</f>
        <v>4.4867931648974266E-3</v>
      </c>
      <c r="BF104" s="306">
        <f>-0.0073 *BF8* SIN((BF10 + BF9)*Deg2Rad)</f>
        <v>4.4867931648974266E-3</v>
      </c>
      <c r="BG104" s="306">
        <f>-0.0073 *BG8* SIN((BG10 + BG9)*Deg2Rad)</f>
        <v>-4.5858117876348406E-3</v>
      </c>
    </row>
    <row r="105" spans="2:59" x14ac:dyDescent="0.25">
      <c r="C105" t="s">
        <v>1095</v>
      </c>
      <c r="E105" s="75">
        <f>0.0067 *E8* SIN((E10-E9)*Deg2Rad)</f>
        <v>6.0502633446958103E-3</v>
      </c>
      <c r="F105" s="75">
        <f>0.0067 *F8* SIN((F10-F9)*Deg2Rad)</f>
        <v>-4.836861252408225E-3</v>
      </c>
      <c r="G105" s="75">
        <f>0.0067 *G8* SIN((G10-G9)*Deg2Rad)</f>
        <v>-2.1825117665522195E-3</v>
      </c>
      <c r="H105" s="75">
        <f>0.0067 *H8* SIN((H10-H9)*Deg2Rad)</f>
        <v>-5.7111144727980435E-3</v>
      </c>
      <c r="I105" s="75">
        <f>0.0067 *I8* SIN((I10-I9)*Deg2Rad)</f>
        <v>6.0260204635178768E-4</v>
      </c>
      <c r="J105" s="75">
        <f>0.0067 *J8* SIN((J10-J9)*Deg2Rad)</f>
        <v>-1.3113729715332496E-3</v>
      </c>
      <c r="K105" s="75">
        <f>0.0067 *K8* SIN((K10-K9)*Deg2Rad)</f>
        <v>-3.7770097207904018E-3</v>
      </c>
      <c r="L105" s="75">
        <f>0.0067 *L8* SIN((L10-L9)*Deg2Rad)</f>
        <v>-5.189546693774639E-3</v>
      </c>
      <c r="M105" s="75">
        <f>0.0067 *M8* SIN((M10-M9)*Deg2Rad)</f>
        <v>-5.3784342024380608E-3</v>
      </c>
      <c r="N105" s="75">
        <f>0.0067 *N8* SIN((N10-N9)*Deg2Rad)</f>
        <v>-6.7573751533223213E-3</v>
      </c>
      <c r="O105" s="75">
        <f>0.0067 *O8* SIN((O10-O9)*Deg2Rad)</f>
        <v>-4.7217892910957349E-3</v>
      </c>
      <c r="P105" s="75">
        <f>0.0067 *P8* SIN((P10-P9)*Deg2Rad)</f>
        <v>-3.3154419024538475E-3</v>
      </c>
      <c r="Q105" s="75">
        <f>0.0067 *Q8* SIN((Q10-Q9)*Deg2Rad)</f>
        <v>6.6778428229977062E-3</v>
      </c>
      <c r="R105" s="75">
        <f>0.0067 *R8* SIN((R10-R9)*Deg2Rad)</f>
        <v>6.5398281100230516E-3</v>
      </c>
      <c r="S105" s="75">
        <f>0.0067 *S8* SIN((S10-S9)*Deg2Rad)</f>
        <v>1.7986135913142104E-3</v>
      </c>
      <c r="T105" s="75">
        <f>0.0067 *T8* SIN((T10-T9)*Deg2Rad)</f>
        <v>5.8425724003625468E-4</v>
      </c>
      <c r="U105" s="75">
        <f>0.0067 *U8* SIN((U10-U9)*Deg2Rad)</f>
        <v>-2.6398451150401393E-3</v>
      </c>
      <c r="V105" s="75">
        <f>0.0067 *V8* SIN((V10-V9)*Deg2Rad)</f>
        <v>-3.4371108053928918E-4</v>
      </c>
      <c r="W105" s="75">
        <f>0.0067 *W8* SIN((W10-W9)*Deg2Rad)</f>
        <v>-5.4995179015089189E-4</v>
      </c>
      <c r="X105" s="75">
        <f>0.0067 *X8* SIN((X10-X9)*Deg2Rad)</f>
        <v>3.2067256369980937E-3</v>
      </c>
      <c r="Y105" s="75">
        <f>0.0067 *Y8* SIN((Y10-Y9)*Deg2Rad)</f>
        <v>5.1078743300248452E-3</v>
      </c>
      <c r="Z105" s="75">
        <f>0.0067 *Z8* SIN((Z10-Z9)*Deg2Rad)</f>
        <v>-3.3575841208273571E-3</v>
      </c>
      <c r="AA105" s="75">
        <f>0.0067 *AA8* SIN((AA10-AA9)*Deg2Rad)</f>
        <v>-2.1825117665522195E-3</v>
      </c>
      <c r="AB105" s="75">
        <f>0.0067 *AB8* SIN((AB10-AB9)*Deg2Rad)</f>
        <v>-6.3187834191731889E-3</v>
      </c>
      <c r="AC105" s="75">
        <f>0.0067 *AC8* SIN((AC10-AC9)*Deg2Rad)</f>
        <v>-2.588089735986249E-3</v>
      </c>
      <c r="AD105" s="75">
        <f>0.0067 *AD8* SIN((AD10-AD9)*Deg2Rad)</f>
        <v>-4.6696863795421973E-3</v>
      </c>
      <c r="AE105" s="75">
        <f>0.0067 *AE8* SIN((AE10-AE9)*Deg2Rad)</f>
        <v>5.1078743300248452E-3</v>
      </c>
      <c r="AF105" s="75">
        <f>0.0067 *AF8* SIN((AF10-AF9)*Deg2Rad)</f>
        <v>5.4823297712937652E-3</v>
      </c>
      <c r="AG105" s="75">
        <f>0.0067 *AG8* SIN((AG10-AG9)*Deg2Rad)</f>
        <v>5.0049011368357727E-3</v>
      </c>
      <c r="AH105" s="75">
        <f>0.0067 *AH8* SIN((AH10-AH9)*Deg2Rad)</f>
        <v>-2.0094765239031011E-3</v>
      </c>
      <c r="AI105" s="75">
        <f>0.0067 *AI8* SIN((AI10-AI9)*Deg2Rad)</f>
        <v>2.8639179209302632E-3</v>
      </c>
      <c r="AJ105" s="75">
        <f>0.0067 *AJ8* SIN((AJ10-AJ9)*Deg2Rad)</f>
        <v>6.3488093390161688E-3</v>
      </c>
      <c r="AK105" s="75">
        <f>0.0067 *AK8* SIN((AK10-AK9)*Deg2Rad)</f>
        <v>4.4406575766214916E-3</v>
      </c>
      <c r="AL105" s="75">
        <f>0.0067 *AL8* SIN((AL10-AL9)*Deg2Rad)</f>
        <v>-4.0498472024017903E-3</v>
      </c>
      <c r="AM105" s="75">
        <f>0.0067 *AM8* SIN((AM10-AM9)*Deg2Rad)</f>
        <v>6.3170602088933143E-3</v>
      </c>
      <c r="AN105" s="75">
        <f>0.0067 *AN8* SIN((AN10-AN9)*Deg2Rad)</f>
        <v>-1.064921565279466E-3</v>
      </c>
      <c r="AO105" s="75">
        <f>0.0067 *AO8* SIN((AO10-AO9)*Deg2Rad)</f>
        <v>3.9104918106407528E-3</v>
      </c>
      <c r="AP105" s="75">
        <f>0.0067 *AP8* SIN((AP10-AP9)*Deg2Rad)</f>
        <v>-5.8767999912420548E-4</v>
      </c>
      <c r="AQ105" s="75">
        <f>0.0067 *AQ8* SIN((AQ10-AQ9)*Deg2Rad)</f>
        <v>-5.8767999912420548E-4</v>
      </c>
      <c r="AR105" s="75">
        <f>0.0067 *AR8* SIN((AR10-AR9)*Deg2Rad)</f>
        <v>-9.6933518457857182E-4</v>
      </c>
      <c r="AS105" s="75">
        <f>0.0067 *AS8* SIN((AS10-AS9)*Deg2Rad)</f>
        <v>-9.6933518457857182E-4</v>
      </c>
      <c r="AT105" s="75">
        <f>0.0067 *AT8* SIN((AT10-AT9)*Deg2Rad)</f>
        <v>-9.6933518457857182E-4</v>
      </c>
      <c r="AU105" s="75">
        <f>0.0067 *AU8* SIN((AU10-AU9)*Deg2Rad)</f>
        <v>-2.3919952785554036E-3</v>
      </c>
      <c r="AV105" s="75">
        <f>0.0067 *AV8* SIN((AV10-AV9)*Deg2Rad)</f>
        <v>-6.1031414824626899E-3</v>
      </c>
      <c r="AW105" s="75">
        <f>0.0067 *AW8* SIN((AW10-AW9)*Deg2Rad)</f>
        <v>-4.0475054605009393E-3</v>
      </c>
      <c r="AX105" s="75">
        <f>0.0067 *AX8* SIN((AX10-AX9)*Deg2Rad)</f>
        <v>4.7178523684143657E-3</v>
      </c>
      <c r="AY105" s="75">
        <f>0.0067 *AY8* SIN((AY10-AY9)*Deg2Rad)</f>
        <v>-1.347796668524483E-3</v>
      </c>
      <c r="AZ105" s="75">
        <f>0.0067 *AZ8* SIN((AZ10-AZ9)*Deg2Rad)</f>
        <v>-1.347796668524483E-3</v>
      </c>
      <c r="BA105" s="75">
        <f>0.0067 *BA8* SIN((BA10-BA9)*Deg2Rad)</f>
        <v>-1.7218181421730656E-3</v>
      </c>
      <c r="BB105" s="75">
        <f>0.0067 *BB8* SIN((BB10-BB9)*Deg2Rad)</f>
        <v>-1.7218181421730656E-3</v>
      </c>
      <c r="BC105" s="75">
        <f>0.0067 *BC8* SIN((BC10-BC9)*Deg2Rad)</f>
        <v>-1.7218181421730656E-3</v>
      </c>
      <c r="BD105" s="75">
        <f>0.0067 *BD8* SIN((BD10-BD9)*Deg2Rad)</f>
        <v>-1.7218181421730656E-3</v>
      </c>
      <c r="BE105" s="75">
        <f>0.0067 *BE8* SIN((BE10-BE9)*Deg2Rad)</f>
        <v>-1.7218181421730656E-3</v>
      </c>
      <c r="BF105" s="75">
        <f>0.0067 *BF8* SIN((BF10-BF9)*Deg2Rad)</f>
        <v>-1.7218181421730656E-3</v>
      </c>
      <c r="BG105" s="75">
        <f>0.0067 *BG8* SIN((BG10-BG9)*Deg2Rad)</f>
        <v>5.1078743300248452E-3</v>
      </c>
    </row>
    <row r="106" spans="2:59" x14ac:dyDescent="0.25">
      <c r="C106" t="s">
        <v>1096</v>
      </c>
      <c r="E106" s="75">
        <f t="shared" ref="E106:AJ106" si="52">0.0118 *SIN(2*E50*Deg2Rad)</f>
        <v>-3.7537502763277065E-3</v>
      </c>
      <c r="F106" s="75">
        <f t="shared" ref="F106:BG106" si="53">0.0118 *SIN(2*F50*Deg2Rad)</f>
        <v>6.6678258205955122E-3</v>
      </c>
      <c r="G106" s="75">
        <f t="shared" si="53"/>
        <v>-7.3653487504810131E-3</v>
      </c>
      <c r="H106" s="75">
        <f t="shared" si="53"/>
        <v>-9.6306785742637357E-3</v>
      </c>
      <c r="I106" s="75">
        <f t="shared" si="53"/>
        <v>-8.608433913746931E-3</v>
      </c>
      <c r="J106" s="75">
        <f t="shared" si="53"/>
        <v>1.3237184894523649E-3</v>
      </c>
      <c r="K106" s="75">
        <f t="shared" si="53"/>
        <v>-1.0509782023604475E-2</v>
      </c>
      <c r="L106" s="75">
        <f t="shared" si="53"/>
        <v>-1.9817735806554539E-3</v>
      </c>
      <c r="M106" s="75">
        <f t="shared" si="53"/>
        <v>7.9942134185989507E-3</v>
      </c>
      <c r="N106" s="75">
        <f t="shared" si="53"/>
        <v>-2.5618175529807424E-3</v>
      </c>
      <c r="O106" s="75">
        <f t="shared" si="53"/>
        <v>1.0685799013351704E-2</v>
      </c>
      <c r="P106" s="75">
        <f t="shared" si="53"/>
        <v>8.1499794215539919E-4</v>
      </c>
      <c r="Q106" s="75">
        <f t="shared" si="53"/>
        <v>-2.998118313942387E-3</v>
      </c>
      <c r="R106" s="75">
        <f t="shared" si="53"/>
        <v>-1.1452431971969594E-2</v>
      </c>
      <c r="S106" s="75">
        <f t="shared" si="53"/>
        <v>-1.7833117609997876E-3</v>
      </c>
      <c r="T106" s="75">
        <f t="shared" si="53"/>
        <v>9.6137667372430736E-4</v>
      </c>
      <c r="U106" s="75">
        <f t="shared" si="53"/>
        <v>-9.5409991224943251E-3</v>
      </c>
      <c r="V106" s="75">
        <f t="shared" si="53"/>
        <v>3.556673654717075E-3</v>
      </c>
      <c r="W106" s="75">
        <f t="shared" si="53"/>
        <v>9.153987860948171E-3</v>
      </c>
      <c r="X106" s="75">
        <f t="shared" si="53"/>
        <v>-1.1347376034729639E-2</v>
      </c>
      <c r="Y106" s="75">
        <f t="shared" si="53"/>
        <v>-1.0413099086813791E-2</v>
      </c>
      <c r="Z106" s="75">
        <f t="shared" si="53"/>
        <v>-6.0657150243659088E-3</v>
      </c>
      <c r="AA106" s="75">
        <f t="shared" si="53"/>
        <v>-7.3653487504810131E-3</v>
      </c>
      <c r="AB106" s="75">
        <f t="shared" si="53"/>
        <v>-2.7574232941176557E-3</v>
      </c>
      <c r="AC106" s="75">
        <f t="shared" si="53"/>
        <v>5.6463216494367502E-3</v>
      </c>
      <c r="AD106" s="75">
        <f t="shared" si="53"/>
        <v>1.0860636515744024E-2</v>
      </c>
      <c r="AE106" s="75">
        <f t="shared" si="53"/>
        <v>-1.0413099086813791E-2</v>
      </c>
      <c r="AF106" s="75">
        <f t="shared" si="53"/>
        <v>4.9507885314254776E-3</v>
      </c>
      <c r="AG106" s="75">
        <f t="shared" si="53"/>
        <v>-1.1688720497650445E-2</v>
      </c>
      <c r="AH106" s="75">
        <f t="shared" si="53"/>
        <v>1.0668158805313211E-2</v>
      </c>
      <c r="AI106" s="75">
        <f t="shared" si="53"/>
        <v>-2.6018475304689774E-3</v>
      </c>
      <c r="AJ106" s="75">
        <f t="shared" si="53"/>
        <v>-5.628646751230113E-3</v>
      </c>
      <c r="AK106" s="75">
        <f t="shared" si="53"/>
        <v>9.9220749166631806E-3</v>
      </c>
      <c r="AL106" s="75">
        <f t="shared" si="53"/>
        <v>1.1269248252342908E-2</v>
      </c>
      <c r="AM106" s="75">
        <f t="shared" si="53"/>
        <v>-5.1605200505440265E-3</v>
      </c>
      <c r="AN106" s="75">
        <f t="shared" si="53"/>
        <v>6.7008110387640875E-3</v>
      </c>
      <c r="AO106" s="75">
        <f t="shared" si="53"/>
        <v>8.3732425723743956E-3</v>
      </c>
      <c r="AP106" s="75">
        <f t="shared" si="53"/>
        <v>-1.1679180121387512E-2</v>
      </c>
      <c r="AQ106" s="75">
        <f t="shared" si="53"/>
        <v>-1.1679180121387512E-2</v>
      </c>
      <c r="AR106" s="75">
        <f t="shared" si="53"/>
        <v>-4.1231579828651718E-3</v>
      </c>
      <c r="AS106" s="75">
        <f t="shared" si="53"/>
        <v>-4.1231579828651718E-3</v>
      </c>
      <c r="AT106" s="75">
        <f t="shared" si="53"/>
        <v>-4.1231579828651718E-3</v>
      </c>
      <c r="AU106" s="75">
        <f t="shared" si="53"/>
        <v>-1.0189822029147142E-2</v>
      </c>
      <c r="AV106" s="75">
        <f t="shared" si="53"/>
        <v>-3.5437533470829693E-3</v>
      </c>
      <c r="AW106" s="75">
        <f t="shared" si="53"/>
        <v>-7.0524958757161929E-3</v>
      </c>
      <c r="AX106" s="75">
        <f t="shared" si="53"/>
        <v>-5.2815121904460629E-3</v>
      </c>
      <c r="AY106" s="75">
        <f t="shared" si="53"/>
        <v>7.7244181318143002E-3</v>
      </c>
      <c r="AZ106" s="75">
        <f t="shared" si="53"/>
        <v>7.7244181318143002E-3</v>
      </c>
      <c r="BA106" s="75">
        <f t="shared" si="53"/>
        <v>1.153209957182468E-2</v>
      </c>
      <c r="BB106" s="75">
        <f t="shared" si="53"/>
        <v>1.153209957182468E-2</v>
      </c>
      <c r="BC106" s="75">
        <f t="shared" si="53"/>
        <v>1.153209957182468E-2</v>
      </c>
      <c r="BD106" s="75">
        <f t="shared" si="53"/>
        <v>1.153209957182468E-2</v>
      </c>
      <c r="BE106" s="75">
        <f t="shared" si="53"/>
        <v>1.153209957182468E-2</v>
      </c>
      <c r="BF106" s="75">
        <f t="shared" si="53"/>
        <v>1.153209957182468E-2</v>
      </c>
      <c r="BG106" s="75">
        <f t="shared" si="53"/>
        <v>-1.0413099086813791E-2</v>
      </c>
    </row>
    <row r="107" spans="2:59" x14ac:dyDescent="0.25">
      <c r="C107" t="s">
        <v>1089</v>
      </c>
      <c r="D107" s="7" t="s">
        <v>1097</v>
      </c>
      <c r="E107">
        <f>SUM(E100:E106)</f>
        <v>-0.20753838326304586</v>
      </c>
      <c r="F107">
        <f t="shared" ref="F107:BG107" si="54">SUM(F100:F106)</f>
        <v>0.19614607603474038</v>
      </c>
      <c r="G107">
        <f t="shared" si="54"/>
        <v>2.5208563785831403E-2</v>
      </c>
      <c r="H107">
        <f t="shared" si="54"/>
        <v>8.47151113773425E-2</v>
      </c>
      <c r="I107">
        <f t="shared" si="54"/>
        <v>6.7672138949371102E-2</v>
      </c>
      <c r="J107">
        <f t="shared" si="54"/>
        <v>1.3484703083534008E-2</v>
      </c>
      <c r="K107">
        <f t="shared" si="54"/>
        <v>4.6655688048827929E-2</v>
      </c>
      <c r="L107">
        <f t="shared" si="54"/>
        <v>2.3508163219667342E-2</v>
      </c>
      <c r="M107">
        <f t="shared" si="54"/>
        <v>2.6395466945428801E-2</v>
      </c>
      <c r="N107">
        <f t="shared" si="54"/>
        <v>9.5967394088257413E-2</v>
      </c>
      <c r="O107">
        <f t="shared" si="54"/>
        <v>0.18212751013056633</v>
      </c>
      <c r="P107">
        <f t="shared" si="54"/>
        <v>0.14710632552951472</v>
      </c>
      <c r="Q107">
        <f t="shared" si="54"/>
        <v>0.16260411022375437</v>
      </c>
      <c r="R107">
        <f t="shared" si="54"/>
        <v>4.0966173473023511E-2</v>
      </c>
      <c r="S107">
        <f t="shared" si="54"/>
        <v>-0.14964716794882124</v>
      </c>
      <c r="T107">
        <f t="shared" si="54"/>
        <v>0.16409213495031633</v>
      </c>
      <c r="U107">
        <f t="shared" si="54"/>
        <v>-0.27555748633557492</v>
      </c>
      <c r="V107">
        <f t="shared" si="54"/>
        <v>0.20000140991219398</v>
      </c>
      <c r="W107">
        <f t="shared" si="54"/>
        <v>0.15815114060728822</v>
      </c>
      <c r="X107">
        <f t="shared" si="54"/>
        <v>0.20982170400080982</v>
      </c>
      <c r="Y107">
        <f t="shared" si="54"/>
        <v>9.9647328987895814E-2</v>
      </c>
      <c r="Z107">
        <f t="shared" si="54"/>
        <v>4.3518799122074072E-3</v>
      </c>
      <c r="AA107">
        <f t="shared" si="54"/>
        <v>2.5208563785831403E-2</v>
      </c>
      <c r="AB107">
        <f t="shared" si="54"/>
        <v>-1.6825369407386347E-2</v>
      </c>
      <c r="AC107">
        <f t="shared" si="54"/>
        <v>-8.5417812325791473E-2</v>
      </c>
      <c r="AD107">
        <f t="shared" si="54"/>
        <v>0.18219184166731028</v>
      </c>
      <c r="AE107">
        <f t="shared" si="54"/>
        <v>9.9647328987895814E-2</v>
      </c>
      <c r="AF107">
        <f t="shared" si="54"/>
        <v>-7.6348850726033812E-2</v>
      </c>
      <c r="AG107">
        <f t="shared" si="54"/>
        <v>-0.22559198916957154</v>
      </c>
      <c r="AH107">
        <f t="shared" si="54"/>
        <v>0.2477931737184903</v>
      </c>
      <c r="AI107">
        <f t="shared" si="54"/>
        <v>0.25515351930875169</v>
      </c>
      <c r="AJ107">
        <f t="shared" si="54"/>
        <v>0.18420568930046563</v>
      </c>
      <c r="AK107">
        <f t="shared" si="54"/>
        <v>1.4686690571465984E-2</v>
      </c>
      <c r="AL107">
        <f t="shared" si="54"/>
        <v>-0.23745312708354796</v>
      </c>
      <c r="AM107">
        <f t="shared" si="54"/>
        <v>-8.8867033688373023E-2</v>
      </c>
      <c r="AN107">
        <f t="shared" si="54"/>
        <v>0.24664293775760432</v>
      </c>
      <c r="AO107">
        <f t="shared" si="54"/>
        <v>0.17335216731176167</v>
      </c>
      <c r="AP107">
        <f t="shared" si="54"/>
        <v>-0.1753216519970428</v>
      </c>
      <c r="AQ107">
        <f t="shared" si="54"/>
        <v>-0.1753216519970428</v>
      </c>
      <c r="AR107">
        <f t="shared" si="54"/>
        <v>-0.16318389479138995</v>
      </c>
      <c r="AS107">
        <f t="shared" si="54"/>
        <v>-0.16318389479138995</v>
      </c>
      <c r="AT107">
        <f t="shared" si="54"/>
        <v>-0.16318389479138995</v>
      </c>
      <c r="AU107">
        <f t="shared" si="54"/>
        <v>9.6666536205353495E-2</v>
      </c>
      <c r="AV107">
        <f t="shared" si="54"/>
        <v>-0.1974341581326767</v>
      </c>
      <c r="AW107">
        <f t="shared" si="54"/>
        <v>1.1449434206409211E-2</v>
      </c>
      <c r="AX107">
        <f t="shared" si="54"/>
        <v>0.22914001243660614</v>
      </c>
      <c r="AY107">
        <f t="shared" si="54"/>
        <v>-0.10366361638189603</v>
      </c>
      <c r="AZ107">
        <f t="shared" si="54"/>
        <v>-0.10366361638189603</v>
      </c>
      <c r="BA107">
        <f t="shared" si="54"/>
        <v>-1.9777553249397874E-2</v>
      </c>
      <c r="BB107">
        <f t="shared" si="54"/>
        <v>-1.9777553249397874E-2</v>
      </c>
      <c r="BC107">
        <f t="shared" si="54"/>
        <v>-1.9777553249397874E-2</v>
      </c>
      <c r="BD107">
        <f t="shared" si="54"/>
        <v>-1.9777553249397874E-2</v>
      </c>
      <c r="BE107">
        <f t="shared" si="54"/>
        <v>-1.9777553249397874E-2</v>
      </c>
      <c r="BF107">
        <f t="shared" si="54"/>
        <v>-1.9777553249397874E-2</v>
      </c>
      <c r="BG107">
        <f t="shared" si="54"/>
        <v>9.9647328987895814E-2</v>
      </c>
    </row>
    <row r="108" spans="2:59" x14ac:dyDescent="0.25">
      <c r="B108">
        <v>381</v>
      </c>
      <c r="C108" s="6">
        <v>5.2206999999999999</v>
      </c>
      <c r="E108" s="23">
        <v>5.2206999999999999</v>
      </c>
      <c r="F108" s="23">
        <v>5.2206999999999999</v>
      </c>
      <c r="G108" s="23">
        <v>5.2206999999999999</v>
      </c>
      <c r="H108" s="23">
        <v>5.2206999999999999</v>
      </c>
      <c r="I108" s="23">
        <v>5.2206999999999999</v>
      </c>
      <c r="J108" s="23">
        <v>5.2206999999999999</v>
      </c>
      <c r="K108" s="23">
        <v>5.2206999999999999</v>
      </c>
      <c r="L108" s="23">
        <v>5.2206999999999999</v>
      </c>
      <c r="M108" s="23">
        <v>5.2206999999999999</v>
      </c>
      <c r="N108" s="23">
        <v>5.2206999999999999</v>
      </c>
      <c r="O108" s="23">
        <v>5.2206999999999999</v>
      </c>
      <c r="P108" s="23">
        <v>5.2206999999999999</v>
      </c>
      <c r="Q108" s="23">
        <v>5.2206999999999999</v>
      </c>
      <c r="R108" s="23">
        <v>5.2206999999999999</v>
      </c>
      <c r="S108" s="23">
        <v>5.2206999999999999</v>
      </c>
      <c r="T108" s="23">
        <v>5.2206999999999999</v>
      </c>
      <c r="U108" s="23">
        <v>5.2206999999999999</v>
      </c>
      <c r="V108" s="23">
        <v>5.2206999999999999</v>
      </c>
      <c r="W108" s="23">
        <v>5.2206999999999999</v>
      </c>
      <c r="X108" s="23">
        <v>5.2206999999999999</v>
      </c>
      <c r="Y108" s="23">
        <v>5.2206999999999999</v>
      </c>
      <c r="Z108" s="23">
        <v>5.2206999999999999</v>
      </c>
      <c r="AA108" s="23">
        <v>5.2206999999999999</v>
      </c>
      <c r="AB108" s="23">
        <v>5.2206999999999999</v>
      </c>
      <c r="AC108" s="23">
        <v>5.2206999999999999</v>
      </c>
      <c r="AD108" s="23">
        <v>5.2206999999999999</v>
      </c>
      <c r="AE108" s="23">
        <v>5.2206999999999999</v>
      </c>
      <c r="AF108" s="23">
        <v>5.2206999999999999</v>
      </c>
      <c r="AG108" s="23">
        <v>5.2206999999999999</v>
      </c>
      <c r="AH108" s="23">
        <v>5.2206999999999999</v>
      </c>
      <c r="AI108" s="23">
        <v>5.2206999999999999</v>
      </c>
      <c r="AJ108" s="23">
        <v>5.2206999999999999</v>
      </c>
      <c r="AK108" s="23">
        <v>5.2206999999999999</v>
      </c>
      <c r="AL108" s="23">
        <v>5.2206999999999999</v>
      </c>
      <c r="AM108" s="23">
        <v>5.2206999999999999</v>
      </c>
      <c r="AN108" s="23">
        <v>5.2206999999999999</v>
      </c>
      <c r="AO108" s="23">
        <v>5.2206999999999999</v>
      </c>
      <c r="AP108" s="23">
        <v>5.2206999999999999</v>
      </c>
      <c r="AQ108" s="23">
        <v>5.2206999999999999</v>
      </c>
      <c r="AR108" s="23">
        <v>5.2206999999999999</v>
      </c>
      <c r="AS108" s="23">
        <v>5.2206999999999999</v>
      </c>
      <c r="AT108" s="23">
        <v>5.2206999999999999</v>
      </c>
      <c r="AU108" s="23">
        <v>5.2206999999999999</v>
      </c>
      <c r="AV108" s="23">
        <v>5.2206999999999999</v>
      </c>
      <c r="AW108" s="23">
        <v>5.2206999999999999</v>
      </c>
      <c r="AX108" s="23">
        <v>5.2206999999999999</v>
      </c>
      <c r="AY108" s="23">
        <v>5.2206999999999999</v>
      </c>
      <c r="AZ108" s="23">
        <v>5.2206999999999999</v>
      </c>
      <c r="BA108" s="23">
        <v>5.2206999999999999</v>
      </c>
      <c r="BB108" s="23">
        <v>5.2206999999999999</v>
      </c>
      <c r="BC108" s="23">
        <v>5.2206999999999999</v>
      </c>
      <c r="BD108" s="23">
        <v>5.2206999999999999</v>
      </c>
      <c r="BE108" s="23">
        <v>5.2206999999999999</v>
      </c>
      <c r="BF108" s="23">
        <v>5.2206999999999999</v>
      </c>
      <c r="BG108" s="23">
        <v>5.2206999999999999</v>
      </c>
    </row>
    <row r="109" spans="2:59" x14ac:dyDescent="0.25">
      <c r="C109" s="5" t="s">
        <v>1098</v>
      </c>
      <c r="E109" s="73">
        <f>-0.0048*E8* COS(E9*Deg2Rad)</f>
        <v>-1.6084934818901605E-3</v>
      </c>
      <c r="F109" s="73">
        <f>-0.0048*F8* COS(F9*Deg2Rad)</f>
        <v>-3.0299835292592835E-4</v>
      </c>
      <c r="G109" s="73">
        <f>-0.0048*G8* COS(G9*Deg2Rad)</f>
        <v>-4.7952342439718867E-3</v>
      </c>
      <c r="H109" s="73">
        <f>-0.0048*H8* COS(H9*Deg2Rad)</f>
        <v>-4.6715822278616832E-3</v>
      </c>
      <c r="I109" s="73">
        <f>-0.0048*I8* COS(I9*Deg2Rad)</f>
        <v>-4.3267103278567687E-3</v>
      </c>
      <c r="J109" s="73">
        <f>-0.0048*J8* COS(J9*Deg2Rad)</f>
        <v>4.745287224476675E-3</v>
      </c>
      <c r="K109" s="73">
        <f>-0.0048*K8* COS(K9*Deg2Rad)</f>
        <v>-4.6386926104883585E-3</v>
      </c>
      <c r="L109" s="73">
        <f>-0.0048*L8* COS(L9*Deg2Rad)</f>
        <v>4.5256420988076286E-3</v>
      </c>
      <c r="M109" s="73">
        <f>-0.0048*M8* COS(M9*Deg2Rad)</f>
        <v>-4.8116049862604949E-3</v>
      </c>
      <c r="N109" s="73">
        <f>-0.0048*N8* COS(N9*Deg2Rad)</f>
        <v>-4.6011321438368209E-3</v>
      </c>
      <c r="O109" s="73">
        <f>-0.0048*O8* COS(O9*Deg2Rad)</f>
        <v>-3.8855116619187645E-3</v>
      </c>
      <c r="P109" s="73">
        <f>-0.0048*P8* COS(P9*Deg2Rad)</f>
        <v>2.3489140889920786E-3</v>
      </c>
      <c r="Q109" s="73">
        <f>-0.0048*Q8* COS(Q9*Deg2Rad)</f>
        <v>-3.0706069112699601E-3</v>
      </c>
      <c r="R109" s="73">
        <f>-0.0048*R8* COS(R9*Deg2Rad)</f>
        <v>-4.6270674803886667E-3</v>
      </c>
      <c r="S109" s="73">
        <f>-0.0048*S8* COS(S9*Deg2Rad)</f>
        <v>3.756513163785437E-3</v>
      </c>
      <c r="T109" s="73">
        <f>-0.0048*T8* COS(T9*Deg2Rad)</f>
        <v>3.6661429670701725E-3</v>
      </c>
      <c r="U109" s="73">
        <f>-0.0048*U8* COS(U9*Deg2Rad)</f>
        <v>6.4585111067291172E-4</v>
      </c>
      <c r="V109" s="73">
        <f>-0.0048*V8* COS(V9*Deg2Rad)</f>
        <v>-6.4695712432775586E-4</v>
      </c>
      <c r="W109" s="73">
        <f>-0.0048*W8* COS(W9*Deg2Rad)</f>
        <v>1.8770645252624211E-3</v>
      </c>
      <c r="X109" s="73">
        <f>-0.0048*X8* COS(X9*Deg2Rad)</f>
        <v>2.2201293318658047E-3</v>
      </c>
      <c r="Y109" s="73">
        <f>-0.0048*Y8* COS(Y9*Deg2Rad)</f>
        <v>-3.3520743171515104E-3</v>
      </c>
      <c r="Z109" s="73">
        <f>-0.0048*Z8* COS(Z9*Deg2Rad)</f>
        <v>-4.7822152404115642E-3</v>
      </c>
      <c r="AA109" s="73">
        <f>-0.0048*AA8* COS(AA9*Deg2Rad)</f>
        <v>-4.7952342439718867E-3</v>
      </c>
      <c r="AB109" s="73">
        <f>-0.0048*AB8* COS(AB9*Deg2Rad)</f>
        <v>4.7951326839441727E-3</v>
      </c>
      <c r="AC109" s="73">
        <f>-0.0048*AC8* COS(AC9*Deg2Rad)</f>
        <v>-3.9840820017102985E-3</v>
      </c>
      <c r="AD109" s="73">
        <f>-0.0048*AD8* COS(AD9*Deg2Rad)</f>
        <v>1.020937780514865E-3</v>
      </c>
      <c r="AE109" s="73">
        <f>-0.0048*AE8* COS(AE9*Deg2Rad)</f>
        <v>-3.3520743171515104E-3</v>
      </c>
      <c r="AF109" s="73">
        <f>-0.0048*AF8* COS(AF9*Deg2Rad)</f>
        <v>-4.7334417473958229E-3</v>
      </c>
      <c r="AG109" s="73">
        <f>-0.0048*AG8* COS(AG9*Deg2Rad)</f>
        <v>-1.8121527071776158E-3</v>
      </c>
      <c r="AH109" s="73">
        <f>-0.0048*AH8* COS(AH9*Deg2Rad)</f>
        <v>-1.6365853492223779E-3</v>
      </c>
      <c r="AI109" s="73">
        <f>-0.0048*AI8* COS(AI9*Deg2Rad)</f>
        <v>-1.3077024851831682E-4</v>
      </c>
      <c r="AJ109" s="73">
        <f>-0.0048*AJ8* COS(AJ9*Deg2Rad)</f>
        <v>3.4484061142022624E-3</v>
      </c>
      <c r="AK109" s="73">
        <f>-0.0048*AK8* COS(AK9*Deg2Rad)</f>
        <v>-4.7918537756950338E-3</v>
      </c>
      <c r="AL109" s="73">
        <f>-0.0048*AL8* COS(AL9*Deg2Rad)</f>
        <v>1.2071845412919111E-3</v>
      </c>
      <c r="AM109" s="73">
        <f>-0.0048*AM8* COS(AM9*Deg2Rad)</f>
        <v>4.082863845944272E-3</v>
      </c>
      <c r="AN109" s="73">
        <f>-0.0048*AN8* COS(AN9*Deg2Rad)</f>
        <v>-1.0935171138726142E-5</v>
      </c>
      <c r="AO109" s="73">
        <f>-0.0048*AO8* COS(AO9*Deg2Rad)</f>
        <v>-3.7526551202644765E-3</v>
      </c>
      <c r="AP109" s="73">
        <f>-0.0048*AP8* COS(AP9*Deg2Rad)</f>
        <v>7.3733462095995574E-4</v>
      </c>
      <c r="AQ109" s="73">
        <f>-0.0048*AQ8* COS(AQ9*Deg2Rad)</f>
        <v>7.3733462095995574E-4</v>
      </c>
      <c r="AR109" s="73">
        <f>-0.0048*AR8* COS(AR9*Deg2Rad)</f>
        <v>-1.6615070526986302E-3</v>
      </c>
      <c r="AS109" s="73">
        <f>-0.0048*AS8* COS(AS9*Deg2Rad)</f>
        <v>-1.6615070526986302E-3</v>
      </c>
      <c r="AT109" s="73">
        <f>-0.0048*AT8* COS(AT9*Deg2Rad)</f>
        <v>-1.6615070526986302E-3</v>
      </c>
      <c r="AU109" s="73">
        <f>-0.0048*AU8* COS(AU9*Deg2Rad)</f>
        <v>4.0233288410340571E-3</v>
      </c>
      <c r="AV109" s="73">
        <f>-0.0048*AV8* COS(AV9*Deg2Rad)</f>
        <v>2.5082799407944176E-3</v>
      </c>
      <c r="AW109" s="73">
        <f>-0.0048*AW8* COS(AW9*Deg2Rad)</f>
        <v>-4.8053385484576145E-3</v>
      </c>
      <c r="AX109" s="73">
        <f>-0.0048*AX8* COS(AX9*Deg2Rad)</f>
        <v>2.0250460995616193E-3</v>
      </c>
      <c r="AY109" s="73">
        <f>-0.0048*AY8* COS(AY9*Deg2Rad)</f>
        <v>-3.6407320149393664E-3</v>
      </c>
      <c r="AZ109" s="73">
        <f>-0.0048*AZ8* COS(AZ9*Deg2Rad)</f>
        <v>-3.6407320149393664E-3</v>
      </c>
      <c r="BA109" s="73">
        <f>-0.0048*BA8* COS(BA9*Deg2Rad)</f>
        <v>-4.7004966608170497E-3</v>
      </c>
      <c r="BB109" s="73">
        <f>-0.0048*BB8* COS(BB9*Deg2Rad)</f>
        <v>-4.7004966608170497E-3</v>
      </c>
      <c r="BC109" s="73">
        <f>-0.0048*BC8* COS(BC9*Deg2Rad)</f>
        <v>-4.7004966608170497E-3</v>
      </c>
      <c r="BD109" s="73">
        <f>-0.0048*BD8* COS(BD9*Deg2Rad)</f>
        <v>-4.7004966608170497E-3</v>
      </c>
      <c r="BE109" s="73">
        <f>-0.0048*BE8* COS(BE9*Deg2Rad)</f>
        <v>-4.7004966608170497E-3</v>
      </c>
      <c r="BF109" s="73">
        <f>-0.0048*BF8* COS(BF9*Deg2Rad)</f>
        <v>-4.7004966608170497E-3</v>
      </c>
      <c r="BG109" s="73">
        <f>-0.0048*BG8* COS(BG9*Deg2Rad)</f>
        <v>-3.3520743171515104E-3</v>
      </c>
    </row>
    <row r="110" spans="2:59" x14ac:dyDescent="0.25">
      <c r="C110" t="s">
        <v>1099</v>
      </c>
      <c r="E110" s="74">
        <f>0.002 *E8* COS(2*E9*Deg2Rad)</f>
        <v>-1.5534213601568799E-3</v>
      </c>
      <c r="F110" s="74">
        <f>0.002 *F8* COS(2*F9*Deg2Rad)</f>
        <v>-2.0644346762468558E-3</v>
      </c>
      <c r="G110" s="74">
        <f>0.002 *G8* COS(2*G9*Deg2Rad)</f>
        <v>1.9920610164167775E-3</v>
      </c>
      <c r="H110" s="74">
        <f>0.002 *H8* COS(2*H9*Deg2Rad)</f>
        <v>1.7886921207310126E-3</v>
      </c>
      <c r="I110" s="74">
        <f>0.002 *I8* COS(2*I9*Deg2Rad)</f>
        <v>1.2483655516034304E-3</v>
      </c>
      <c r="J110" s="74">
        <f>0.002 *J8* COS(2*J9*Deg2Rad)</f>
        <v>1.9074696005177622E-3</v>
      </c>
      <c r="K110" s="74">
        <f>0.002 *K8* COS(2*K9*Deg2Rad)</f>
        <v>1.7339458804121585E-3</v>
      </c>
      <c r="L110" s="74">
        <f>0.002 *L8* COS(2*L9*Deg2Rad)</f>
        <v>1.5541896505801046E-3</v>
      </c>
      <c r="M110" s="74">
        <f>0.002 *M8* COS(2*M9*Deg2Rad)</f>
        <v>2.0042882569425787E-3</v>
      </c>
      <c r="N110" s="74">
        <f>0.002 *N8* COS(2*N9*Deg2Rad)</f>
        <v>1.6193385914877981E-3</v>
      </c>
      <c r="O110" s="74">
        <f>0.002 *O8* COS(2*O9*Deg2Rad)</f>
        <v>5.7546112853565498E-4</v>
      </c>
      <c r="P110" s="74">
        <f>0.002 *P8* COS(2*P9*Deg2Rad)</f>
        <v>-1.1249451572154089E-3</v>
      </c>
      <c r="Q110" s="74">
        <f>0.002 *Q8* COS(2*Q9*Deg2Rad)</f>
        <v>-5.4122796067787571E-4</v>
      </c>
      <c r="R110" s="74">
        <f>0.002 *R8* COS(2*R9*Deg2Rad)</f>
        <v>1.4396638219318322E-3</v>
      </c>
      <c r="S110" s="74">
        <f>0.002 *S8* COS(2*S9*Deg2Rad)</f>
        <v>1.5455375922616307E-4</v>
      </c>
      <c r="T110" s="74">
        <f>0.002 *T8* COS(2*T9*Deg2Rad)</f>
        <v>4.557473521343742E-5</v>
      </c>
      <c r="U110" s="74">
        <f>0.002 *U8* COS(2*U9*Deg2Rad)</f>
        <v>-2.0699011137214124E-3</v>
      </c>
      <c r="V110" s="74">
        <f>0.002 *V8* COS(2*V9*Deg2Rad)</f>
        <v>-2.2070792300127157E-3</v>
      </c>
      <c r="W110" s="74">
        <f>0.002 *W8* COS(2*W9*Deg2Rad)</f>
        <v>-1.3891373276514181E-3</v>
      </c>
      <c r="X110" s="74">
        <f>0.002 *X8* COS(2*X9*Deg2Rad)</f>
        <v>-1.1448270130590681E-3</v>
      </c>
      <c r="Y110" s="74">
        <f>0.002 *Y8* COS(2*Y9*Deg2Rad)</f>
        <v>-5.1507918741498766E-5</v>
      </c>
      <c r="Z110" s="74">
        <f>0.002 *Z8* COS(2*Z9*Deg2Rad)</f>
        <v>1.9770339612878371E-3</v>
      </c>
      <c r="AA110" s="74">
        <f>0.002 *AA8* COS(2*AA9*Deg2Rad)</f>
        <v>1.9920610164167775E-3</v>
      </c>
      <c r="AB110" s="74">
        <f>0.002 *AB8* COS(2*AB9*Deg2Rad)</f>
        <v>1.9850440814272851E-3</v>
      </c>
      <c r="AC110" s="74">
        <f>0.002 *AC8* COS(2*AC9*Deg2Rad)</f>
        <v>7.5319084677798556E-4</v>
      </c>
      <c r="AD110" s="74">
        <f>0.002 *AD8* COS(2*AD9*Deg2Rad)</f>
        <v>-1.819685772094273E-3</v>
      </c>
      <c r="AE110" s="74">
        <f>0.002 *AE8* COS(2*AE9*Deg2Rad)</f>
        <v>-5.1507918741498766E-5</v>
      </c>
      <c r="AF110" s="74">
        <f>0.002 *AF8* COS(2*AF9*Deg2Rad)</f>
        <v>1.8887966573472494E-3</v>
      </c>
      <c r="AG110" s="74">
        <f>0.002 *AG8* COS(2*AG9*Deg2Rad)</f>
        <v>-1.4303441049711538E-3</v>
      </c>
      <c r="AH110" s="74">
        <f>0.002 *AH8* COS(2*AH9*Deg2Rad)</f>
        <v>-1.5355443800970845E-3</v>
      </c>
      <c r="AI110" s="74">
        <f>0.002 *AI8* COS(2*AI9*Deg2Rad)</f>
        <v>-1.997422157788053E-3</v>
      </c>
      <c r="AJ110" s="74">
        <f>0.002 *AJ8* COS(2*AJ9*Deg2Rad)</f>
        <v>6.3819562333701E-5</v>
      </c>
      <c r="AK110" s="74">
        <f>0.002 *AK8* COS(2*AK9*Deg2Rad)</f>
        <v>1.9592517404557219E-3</v>
      </c>
      <c r="AL110" s="74">
        <f>0.002 *AL8* COS(2*AL9*Deg2Rad)</f>
        <v>-1.7475243733507952E-3</v>
      </c>
      <c r="AM110" s="74">
        <f>0.002 *AM8* COS(2*AM9*Deg2Rad)</f>
        <v>7.3441541030136209E-4</v>
      </c>
      <c r="AN110" s="74">
        <f>0.002 *AN8* COS(2*AN9*Deg2Rad)</f>
        <v>-1.9999670345236878E-3</v>
      </c>
      <c r="AO110" s="74">
        <f>0.002 *AO8* COS(2*AO9*Deg2Rad)</f>
        <v>2.3969033765609455E-4</v>
      </c>
      <c r="AP110" s="74">
        <f>0.002 *AP8* COS(2*AP9*Deg2Rad)</f>
        <v>-1.9044161734893493E-3</v>
      </c>
      <c r="AQ110" s="74">
        <f>0.002 *AQ8* COS(2*AQ9*Deg2Rad)</f>
        <v>-1.9044161734893493E-3</v>
      </c>
      <c r="AR110" s="74">
        <f>0.002 *AR8* COS(2*AR9*Deg2Rad)</f>
        <v>-1.5193048475082445E-3</v>
      </c>
      <c r="AS110" s="74">
        <f>0.002 *AS8* COS(2*AS9*Deg2Rad)</f>
        <v>-1.5193048475082445E-3</v>
      </c>
      <c r="AT110" s="74">
        <f>0.002 *AT8* COS(2*AT9*Deg2Rad)</f>
        <v>-1.5193048475082445E-3</v>
      </c>
      <c r="AU110" s="74">
        <f>0.002 *AU8* COS(2*AU9*Deg2Rad)</f>
        <v>8.0705792179333494E-4</v>
      </c>
      <c r="AV110" s="74">
        <f>0.002 *AV8* COS(2*AV9*Deg2Rad)</f>
        <v>-9.0791360672215352E-4</v>
      </c>
      <c r="AW110" s="74">
        <f>0.002 *AW8* COS(2*AW9*Deg2Rad)</f>
        <v>1.99910444278494E-3</v>
      </c>
      <c r="AX110" s="74">
        <f>0.002 *AX8* COS(2*AX9*Deg2Rad)</f>
        <v>-1.2909618342437613E-3</v>
      </c>
      <c r="AY110" s="74">
        <f>0.002 *AY8* COS(2*AY9*Deg2Rad)</f>
        <v>3.0368159706988847E-4</v>
      </c>
      <c r="AZ110" s="74">
        <f>0.002 *AZ8* COS(2*AZ9*Deg2Rad)</f>
        <v>3.0368159706988847E-4</v>
      </c>
      <c r="BA110" s="74">
        <f>0.002 *BA8* COS(2*BA9*Deg2Rad)</f>
        <v>1.839255031936724E-3</v>
      </c>
      <c r="BB110" s="74">
        <f>0.002 *BB8* COS(2*BB9*Deg2Rad)</f>
        <v>1.839255031936724E-3</v>
      </c>
      <c r="BC110" s="74">
        <f>0.002 *BC8* COS(2*BC9*Deg2Rad)</f>
        <v>1.839255031936724E-3</v>
      </c>
      <c r="BD110" s="74">
        <f>0.002 *BD8* COS(2*BD9*Deg2Rad)</f>
        <v>1.839255031936724E-3</v>
      </c>
      <c r="BE110" s="74">
        <f>0.002 *BE8* COS(2*BE9*Deg2Rad)</f>
        <v>1.839255031936724E-3</v>
      </c>
      <c r="BF110" s="74">
        <f>0.002 *BF8* COS(2*BF9*Deg2Rad)</f>
        <v>1.839255031936724E-3</v>
      </c>
      <c r="BG110" s="74">
        <f>0.002 *BG8* COS(2*BG9*Deg2Rad)</f>
        <v>-5.1507918741498766E-5</v>
      </c>
    </row>
    <row r="111" spans="2:59" x14ac:dyDescent="0.25">
      <c r="C111" s="5" t="s">
        <v>1100</v>
      </c>
      <c r="E111" s="73">
        <f>-0.3299* COS(E10*Deg2Rad)</f>
        <v>-0.23276096951718325</v>
      </c>
      <c r="F111" s="73">
        <f>-0.3299* COS(F10*Deg2Rad)</f>
        <v>-0.24301887087336774</v>
      </c>
      <c r="G111" s="73">
        <f>-0.3299* COS(G10*Deg2Rad)</f>
        <v>0.30680887296482623</v>
      </c>
      <c r="H111" s="73">
        <f>-0.3299* COS(H10*Deg2Rad)</f>
        <v>0.10325216282248141</v>
      </c>
      <c r="I111" s="73">
        <f>-0.3299* COS(I10*Deg2Rad)</f>
        <v>-0.28320907172534787</v>
      </c>
      <c r="J111" s="73">
        <f>-0.3299* COS(J10*Deg2Rad)</f>
        <v>0.3098852813327253</v>
      </c>
      <c r="K111" s="73">
        <f>-0.3299* COS(K10*Deg2Rad)</f>
        <v>-0.31127998433194581</v>
      </c>
      <c r="L111" s="73">
        <f>-0.3299* COS(L10*Deg2Rad)</f>
        <v>0.1114391578375311</v>
      </c>
      <c r="M111" s="73">
        <f>-0.3299* COS(M10*Deg2Rad)</f>
        <v>-0.19403194603284674</v>
      </c>
      <c r="N111" s="73">
        <f>-0.3299* COS(N10*Deg2Rad)</f>
        <v>-8.7366942938650466E-2</v>
      </c>
      <c r="O111" s="73">
        <f>-0.3299* COS(O10*Deg2Rad)</f>
        <v>5.1744053562304521E-2</v>
      </c>
      <c r="P111" s="73">
        <f>-0.3299* COS(P10*Deg2Rad)</f>
        <v>-2.0041881208761134E-3</v>
      </c>
      <c r="Q111" s="73">
        <f>-0.3299* COS(Q10*Deg2Rad)</f>
        <v>0.31157206035498136</v>
      </c>
      <c r="R111" s="73">
        <f>-0.3299* COS(R10*Deg2Rad)</f>
        <v>0.23325496952099181</v>
      </c>
      <c r="S111" s="73">
        <f>-0.3299* COS(S10*Deg2Rad)</f>
        <v>-0.29024998622780834</v>
      </c>
      <c r="T111" s="73">
        <f>-0.3299* COS(T10*Deg2Rad)</f>
        <v>-0.21613373490981697</v>
      </c>
      <c r="U111" s="73">
        <f>-0.3299* COS(U10*Deg2Rad)</f>
        <v>8.2039466557664323E-2</v>
      </c>
      <c r="V111" s="73">
        <f>-0.3299* COS(V10*Deg2Rad)</f>
        <v>-5.3916143024916312E-2</v>
      </c>
      <c r="W111" s="73">
        <f>-0.3299* COS(W10*Deg2Rad)</f>
        <v>0.10361691173094764</v>
      </c>
      <c r="X111" s="73">
        <f>-0.3299* COS(X10*Deg2Rad)</f>
        <v>6.0136637420800318E-3</v>
      </c>
      <c r="Y111" s="73">
        <f>-0.3299* COS(Y10*Deg2Rad)</f>
        <v>3.0886849970878625E-2</v>
      </c>
      <c r="Z111" s="73">
        <f>-0.3299* COS(Z10*Deg2Rad)</f>
        <v>0.29656470128357432</v>
      </c>
      <c r="AA111" s="73">
        <f>-0.3299* COS(AA10*Deg2Rad)</f>
        <v>0.30680887296482623</v>
      </c>
      <c r="AB111" s="73">
        <f>-0.3299* COS(AB10*Deg2Rad)</f>
        <v>-0.13085015522033147</v>
      </c>
      <c r="AC111" s="73">
        <f>-0.3299* COS(AC10*Deg2Rad)</f>
        <v>-0.18133754869089383</v>
      </c>
      <c r="AD111" s="73">
        <f>-0.3299* COS(AD10*Deg2Rad)</f>
        <v>-0.17428863042318224</v>
      </c>
      <c r="AE111" s="73">
        <f>-0.3299* COS(AE10*Deg2Rad)</f>
        <v>3.0886849970878625E-2</v>
      </c>
      <c r="AF111" s="73">
        <f>-0.3299* COS(AF10*Deg2Rad)</f>
        <v>0.14197875273715035</v>
      </c>
      <c r="AG111" s="73">
        <f>-0.3299* COS(AG10*Deg2Rad)</f>
        <v>-0.14535763290919729</v>
      </c>
      <c r="AH111" s="73">
        <f>-0.3299* COS(AH10*Deg2Rad)</f>
        <v>1.428397297899725E-2</v>
      </c>
      <c r="AI111" s="73">
        <f>-0.3299* COS(AI10*Deg2Rad)</f>
        <v>0.14906008575232049</v>
      </c>
      <c r="AJ111" s="73">
        <f>-0.3299* COS(AJ10*Deg2Rad)</f>
        <v>0.14163231595861137</v>
      </c>
      <c r="AK111" s="73">
        <f>-0.3299* COS(AK10*Deg2Rad)</f>
        <v>-0.22211819196152552</v>
      </c>
      <c r="AL111" s="73">
        <f>-0.3299* COS(AL10*Deg2Rad)</f>
        <v>0.1268685154643307</v>
      </c>
      <c r="AM111" s="73">
        <f>-0.3299* COS(AM10*Deg2Rad)</f>
        <v>-5.9806510422665764E-2</v>
      </c>
      <c r="AN111" s="73">
        <f>-0.3299* COS(AN10*Deg2Rad)</f>
        <v>-5.1693634778489796E-2</v>
      </c>
      <c r="AO111" s="73">
        <f>-0.3299* COS(AO10*Deg2Rad)</f>
        <v>0.32681083534000166</v>
      </c>
      <c r="AP111" s="73">
        <f>-0.3299* COS(AP10*Deg2Rad)</f>
        <v>7.9118932306933509E-2</v>
      </c>
      <c r="AQ111" s="73">
        <f>-0.3299* COS(AQ10*Deg2Rad)</f>
        <v>7.9118932306933509E-2</v>
      </c>
      <c r="AR111" s="73">
        <f>-0.3299* COS(AR10*Deg2Rad)</f>
        <v>-6.8255535156568861E-2</v>
      </c>
      <c r="AS111" s="73">
        <f>-0.3299* COS(AS10*Deg2Rad)</f>
        <v>-6.8255535156568861E-2</v>
      </c>
      <c r="AT111" s="73">
        <f>-0.3299* COS(AT10*Deg2Rad)</f>
        <v>-6.8255535156568861E-2</v>
      </c>
      <c r="AU111" s="73">
        <f>-0.3299* COS(AU10*Deg2Rad)</f>
        <v>-0.32244141448194691</v>
      </c>
      <c r="AV111" s="73">
        <f>-0.3299* COS(AV10*Deg2Rad)</f>
        <v>0.32735118524396051</v>
      </c>
      <c r="AW111" s="73">
        <f>-0.3299* COS(AW10*Deg2Rad)</f>
        <v>-0.26941961044603674</v>
      </c>
      <c r="AX111" s="73">
        <f>-0.3299* COS(AX10*Deg2Rad)</f>
        <v>0.11161727228130867</v>
      </c>
      <c r="AY111" s="73">
        <f>-0.3299* COS(AY10*Deg2Rad)</f>
        <v>-0.20200484066438512</v>
      </c>
      <c r="AZ111" s="73">
        <f>-0.3299* COS(AZ10*Deg2Rad)</f>
        <v>-0.20200484066438512</v>
      </c>
      <c r="BA111" s="73">
        <f>-0.3299* COS(BA10*Deg2Rad)</f>
        <v>-0.29542996327599486</v>
      </c>
      <c r="BB111" s="73">
        <f>-0.3299* COS(BB10*Deg2Rad)</f>
        <v>-0.29542996327599486</v>
      </c>
      <c r="BC111" s="73">
        <f>-0.3299* COS(BC10*Deg2Rad)</f>
        <v>-0.29542996327599486</v>
      </c>
      <c r="BD111" s="73">
        <f>-0.3299* COS(BD10*Deg2Rad)</f>
        <v>-0.29542996327599486</v>
      </c>
      <c r="BE111" s="73">
        <f>-0.3299* COS(BE10*Deg2Rad)</f>
        <v>-0.29542996327599486</v>
      </c>
      <c r="BF111" s="73">
        <f>-0.3299* COS(BF10*Deg2Rad)</f>
        <v>-0.29542996327599486</v>
      </c>
      <c r="BG111" s="73">
        <f>-0.3299* COS(BG10*Deg2Rad)</f>
        <v>3.0886849970878625E-2</v>
      </c>
    </row>
    <row r="112" spans="2:59" x14ac:dyDescent="0.25">
      <c r="C112" s="5" t="s">
        <v>1101</v>
      </c>
      <c r="E112" s="73">
        <f>-0.006 *E8* COS((E10+E9)*Deg2Rad)</f>
        <v>-5.4294953496942062E-3</v>
      </c>
      <c r="F112" s="73">
        <f>-0.006 *F8* COS((F10+F9)*Deg2Rad)</f>
        <v>3.9327251967839136E-3</v>
      </c>
      <c r="G112" s="73">
        <f>-0.006 *G8* COS((G10+G9)*Deg2Rad)</f>
        <v>5.4762479453601687E-3</v>
      </c>
      <c r="H112" s="73">
        <f>-0.006 *H8* COS((H10+H9)*Deg2Rad)</f>
        <v>5.1771025243191413E-4</v>
      </c>
      <c r="I112" s="73">
        <f>-0.006 *I8* COS((I10+I9)*Deg2Rad)</f>
        <v>-3.3082287782493771E-3</v>
      </c>
      <c r="J112" s="73">
        <f>-0.006 *J8* COS((J10+J9)*Deg2Rad)</f>
        <v>-5.2576093655888672E-3</v>
      </c>
      <c r="K112" s="73">
        <f>-0.006 *K8* COS((K10+K9)*Deg2Rad)</f>
        <v>-5.9842664148636688E-3</v>
      </c>
      <c r="L112" s="73">
        <f>-0.006 *L8* COS((L10+L9)*Deg2Rad)</f>
        <v>-2.4101976126315298E-5</v>
      </c>
      <c r="M112" s="73">
        <f>-0.006 *M8* COS((M10+M9)*Deg2Rad)</f>
        <v>-3.4718393034685515E-3</v>
      </c>
      <c r="N112" s="73">
        <f>-0.006 *N8* COS((N10+N9)*Deg2Rad)</f>
        <v>-3.3631022310743114E-3</v>
      </c>
      <c r="O112" s="73">
        <f>-0.006 *O8* COS((O10+O9)*Deg2Rad)</f>
        <v>-2.8166657853178922E-3</v>
      </c>
      <c r="P112" s="73">
        <f>-0.006 *P8* COS((P10+P9)*Deg2Rad)</f>
        <v>5.4437902499059497E-3</v>
      </c>
      <c r="Q112" s="73">
        <f>-0.006 *Q8* COS((Q10+Q9)*Deg2Rad)</f>
        <v>5.2671326310687683E-3</v>
      </c>
      <c r="R112" s="73">
        <f>-0.006 *R8* COS((R10+R9)*Deg2Rad)</f>
        <v>5.8561729500569565E-3</v>
      </c>
      <c r="S112" s="73">
        <f>-0.006 *S8* COS((S10+S9)*Deg2Rad)</f>
        <v>2.0552812318785393E-3</v>
      </c>
      <c r="T112" s="73">
        <f>-0.006 *T8* COS((T10+T9)*Deg2Rad)</f>
        <v>-3.8682812611235665E-4</v>
      </c>
      <c r="U112" s="73">
        <f>-0.006 *U8* COS((U10+U9)*Deg2Rad)</f>
        <v>-6.3628536929143768E-3</v>
      </c>
      <c r="V112" s="73">
        <f>-0.006 *V8* COS((V10+V9)*Deg2Rad)</f>
        <v>6.5419248789803184E-3</v>
      </c>
      <c r="W112" s="73">
        <f>-0.006 *W8* COS((W10+W9)*Deg2Rad)</f>
        <v>4.5077769113168855E-3</v>
      </c>
      <c r="X112" s="73">
        <f>-0.006 *X8* COS((X10+X9)*Deg2Rad)</f>
        <v>-5.370642421199813E-3</v>
      </c>
      <c r="Y112" s="73">
        <f>-0.006 *Y8* COS((Y10+Y9)*Deg2Rad)</f>
        <v>4.672778932863152E-3</v>
      </c>
      <c r="Z112" s="73">
        <f>-0.006 *Z8* COS((Z10+Z9)*Deg2Rad)</f>
        <v>5.5629293594435135E-3</v>
      </c>
      <c r="AA112" s="73">
        <f>-0.006 *AA8* COS((AA10+AA9)*Deg2Rad)</f>
        <v>5.4762479453601687E-3</v>
      </c>
      <c r="AB112" s="73">
        <f>-0.006 *AB8* COS((AB10+AB9)*Deg2Rad)</f>
        <v>2.7392377029675859E-3</v>
      </c>
      <c r="AC112" s="73">
        <f>-0.006 *AC8* COS((AC10+AC9)*Deg2Rad)</f>
        <v>6.2866965679876522E-5</v>
      </c>
      <c r="AD112" s="73">
        <f>-0.006 *AD8* COS((AD10+AD9)*Deg2Rad)</f>
        <v>5.6535020353778677E-3</v>
      </c>
      <c r="AE112" s="73">
        <f>-0.006 *AE8* COS((AE10+AE9)*Deg2Rad)</f>
        <v>4.672778932863152E-3</v>
      </c>
      <c r="AF112" s="73">
        <f>-0.006 *AF8* COS((AF10+AF9)*Deg2Rad)</f>
        <v>1.6418653062529407E-3</v>
      </c>
      <c r="AG112" s="73">
        <f>-0.006 *AG8* COS((AG10+AG9)*Deg2Rad)</f>
        <v>-5.9867133756468576E-3</v>
      </c>
      <c r="AH112" s="73">
        <f>-0.006 *AH8* COS((AH10+AH9)*Deg2Rad)</f>
        <v>-5.5480250843646601E-3</v>
      </c>
      <c r="AI112" s="73">
        <f>-0.006 *AI8* COS((AI10+AI9)*Deg2Rad)</f>
        <v>-5.2778122977069439E-3</v>
      </c>
      <c r="AJ112" s="73">
        <f>-0.006 *AJ8* COS((AJ10+AJ9)*Deg2Rad)</f>
        <v>-5.6213442629553653E-3</v>
      </c>
      <c r="AK112" s="73">
        <f>-0.006 *AK8* COS((AK10+AK9)*Deg2Rad)</f>
        <v>-3.5364724298591415E-3</v>
      </c>
      <c r="AL112" s="73">
        <f>-0.006 *AL8* COS((AL10+AL9)*Deg2Rad)</f>
        <v>-5.9422049823443287E-3</v>
      </c>
      <c r="AM112" s="73">
        <f>-0.006 *AM8* COS((AM10+AM9)*Deg2Rad)</f>
        <v>4.3864764483923487E-3</v>
      </c>
      <c r="AN112" s="73">
        <f>-0.006 *AN8* COS((AN10+AN9)*Deg2Rad)</f>
        <v>-5.9279726910810701E-3</v>
      </c>
      <c r="AO112" s="73">
        <f>-0.006 *AO8* COS((AO10+AO9)*Deg2Rad)</f>
        <v>4.0759948196965046E-3</v>
      </c>
      <c r="AP112" s="73">
        <f>-0.006 *AP8* COS((AP10+AP9)*Deg2Rad)</f>
        <v>5.5313473531121704E-3</v>
      </c>
      <c r="AQ112" s="73">
        <f>-0.006 *AQ8* COS((AQ10+AQ9)*Deg2Rad)</f>
        <v>5.5313473531121704E-3</v>
      </c>
      <c r="AR112" s="73">
        <f>-0.006 *AR8* COS((AR10+AR9)*Deg2Rad)</f>
        <v>5.0739881283121246E-3</v>
      </c>
      <c r="AS112" s="73">
        <f>-0.006 *AS8* COS((AS10+AS9)*Deg2Rad)</f>
        <v>5.0739881283121246E-3</v>
      </c>
      <c r="AT112" s="73">
        <f>-0.006 *AT8* COS((AT10+AT9)*Deg2Rad)</f>
        <v>5.0739881283121246E-3</v>
      </c>
      <c r="AU112" s="73">
        <f>-0.006 *AU8* COS((AU10+AU9)*Deg2Rad)</f>
        <v>4.2220283395789874E-3</v>
      </c>
      <c r="AV112" s="73">
        <f>-0.006 *AV8* COS((AV10+AV9)*Deg2Rad)</f>
        <v>-3.7458519146764528E-3</v>
      </c>
      <c r="AW112" s="73">
        <f>-0.006 *AW8* COS((AW10+AW9)*Deg2Rad)</f>
        <v>-5.0172344133438103E-3</v>
      </c>
      <c r="AX112" s="73">
        <f>-0.006 *AX8* COS((AX10+AX9)*Deg2Rad)</f>
        <v>-5.9821937011072888E-3</v>
      </c>
      <c r="AY112" s="73">
        <f>-0.006 *AY8* COS((AY10+AY9)*Deg2Rad)</f>
        <v>3.0057167011976856E-4</v>
      </c>
      <c r="AZ112" s="73">
        <f>-0.006 *AZ8* COS((AZ10+AZ9)*Deg2Rad)</f>
        <v>3.0057167011976856E-4</v>
      </c>
      <c r="BA112" s="73">
        <f>-0.006 *BA8* COS((BA10+BA9)*Deg2Rad)</f>
        <v>-4.7284989867578736E-3</v>
      </c>
      <c r="BB112" s="73">
        <f>-0.006 *BB8* COS((BB10+BB9)*Deg2Rad)</f>
        <v>-4.7284989867578736E-3</v>
      </c>
      <c r="BC112" s="73">
        <f>-0.006 *BC8* COS((BC10+BC9)*Deg2Rad)</f>
        <v>-4.7284989867578736E-3</v>
      </c>
      <c r="BD112" s="73">
        <f>-0.006 *BD8* COS((BD10+BD9)*Deg2Rad)</f>
        <v>-4.7284989867578736E-3</v>
      </c>
      <c r="BE112" s="73">
        <f>-0.006 *BE8* COS((BE10+BE9)*Deg2Rad)</f>
        <v>-4.7284989867578736E-3</v>
      </c>
      <c r="BF112" s="73">
        <f>-0.006 *BF8* COS((BF10+BF9)*Deg2Rad)</f>
        <v>-4.7284989867578736E-3</v>
      </c>
      <c r="BG112" s="73">
        <f>-0.006 *BG8* COS((BG10+BG9)*Deg2Rad)</f>
        <v>4.672778932863152E-3</v>
      </c>
    </row>
    <row r="113" spans="2:59" x14ac:dyDescent="0.25">
      <c r="C113" t="s">
        <v>1102</v>
      </c>
      <c r="E113" s="74">
        <f>0.0041 *E8* COS((E10 - E9)*Deg2Rad)</f>
        <v>-1.7714143004940591E-3</v>
      </c>
      <c r="F113" s="74">
        <f>0.0041 *F8* COS((F10 - F9)*Deg2Rad)</f>
        <v>3.0686655195334865E-3</v>
      </c>
      <c r="G113" s="74">
        <f>0.0041 *G8* COS((G10 - G9)*Deg2Rad)</f>
        <v>-3.8763721506707496E-3</v>
      </c>
      <c r="H113" s="74">
        <f>0.0041 *H8* COS((H10 - H9)*Deg2Rad)</f>
        <v>-2.1440071335598705E-3</v>
      </c>
      <c r="I113" s="74">
        <f>0.0041 *I8* COS((I10 - I9)*Deg2Rad)</f>
        <v>4.0847225909314867E-3</v>
      </c>
      <c r="J113" s="74">
        <f>0.0041 *J8* COS((J10 - J9)*Deg2Rad)</f>
        <v>4.0220170154864898E-3</v>
      </c>
      <c r="K113" s="74">
        <f>0.0041 *K8* COS((K10 - K9)*Deg2Rad)</f>
        <v>3.3879184408574423E-3</v>
      </c>
      <c r="L113" s="74">
        <f>0.0041 *L8* COS((L10 - L9)*Deg2Rad)</f>
        <v>2.595140338387693E-3</v>
      </c>
      <c r="M113" s="74">
        <f>0.0041 *M8* COS((M10 - M9)*Deg2Rad)</f>
        <v>2.4620980784745695E-3</v>
      </c>
      <c r="N113" s="74">
        <f>0.0041 *N8* COS((N10 - N9)*Deg2Rad)</f>
        <v>-2.1649653416440815E-4</v>
      </c>
      <c r="O113" s="74">
        <f>0.0041 *O8* COS((O10 - O9)*Deg2Rad)</f>
        <v>-2.9658372440960865E-3</v>
      </c>
      <c r="P113" s="74">
        <f>0.0041 *P8* COS((P10 - P9)*Deg2Rad)</f>
        <v>3.6955454584978249E-3</v>
      </c>
      <c r="Q113" s="74">
        <f>0.0041 *Q8* COS((Q10 - Q9)*Deg2Rad)</f>
        <v>-1.354986927281055E-3</v>
      </c>
      <c r="R113" s="74">
        <f>0.0041 *R8* COS((R10 - R9)*Deg2Rad)</f>
        <v>-1.5871908111580158E-3</v>
      </c>
      <c r="S113" s="74">
        <f>0.0041 *S8* COS((S10 - S9)*Deg2Rad)</f>
        <v>-4.2416429587853769E-3</v>
      </c>
      <c r="T113" s="74">
        <f>0.0041 *T8* COS((T10 - T9)*Deg2Rad)</f>
        <v>-4.3675284783304133E-3</v>
      </c>
      <c r="U113" s="74">
        <f>0.0041 *U8* COS((U10 - U9)*Deg2Rad)</f>
        <v>-4.0735743914304496E-3</v>
      </c>
      <c r="V113" s="74">
        <f>0.0041 *V8* COS((V10 - V9)*Deg2Rad)</f>
        <v>4.6509431437475948E-3</v>
      </c>
      <c r="W113" s="74">
        <f>0.0041 *W8* COS((W10 - W9)*Deg2Rad)</f>
        <v>4.0874781105683811E-3</v>
      </c>
      <c r="X113" s="74">
        <f>0.0041 *X8* COS((X10 - X9)*Deg2Rad)</f>
        <v>-3.6008024361000911E-3</v>
      </c>
      <c r="Y113" s="74">
        <f>0.0041 *Y8* COS((Y10 - Y9)*Deg2Rad)</f>
        <v>2.6569264107402023E-3</v>
      </c>
      <c r="Z113" s="74">
        <f>0.0041 *Z8* COS((Z10 - Z9)*Deg2Rad)</f>
        <v>-3.5427699195392671E-3</v>
      </c>
      <c r="AA113" s="74">
        <f>0.0041 *AA8* COS((AA10 - AA9)*Deg2Rad)</f>
        <v>-3.8763721506707496E-3</v>
      </c>
      <c r="AB113" s="74">
        <f>0.0041 *AB8* COS((AB10 - AB9)*Deg2Rad)</f>
        <v>-1.377303222847285E-3</v>
      </c>
      <c r="AC113" s="74">
        <f>0.0041 *AC8* COS((AC10 - AC9)*Deg2Rad)</f>
        <v>3.7841193214301892E-3</v>
      </c>
      <c r="AD113" s="74">
        <f>0.0041 *AD8* COS((AD10 - AD9)*Deg2Rad)</f>
        <v>2.9418042745383718E-3</v>
      </c>
      <c r="AE113" s="74">
        <f>0.0041 *AE8* COS((AE10 - AE9)*Deg2Rad)</f>
        <v>2.6569264107402023E-3</v>
      </c>
      <c r="AF113" s="74">
        <f>0.0041 *AF8* COS((AF10 - AF9)*Deg2Rad)</f>
        <v>-2.3581504490097025E-3</v>
      </c>
      <c r="AG113" s="74">
        <f>0.0041 *AG8* COS((AG10 - AG9)*Deg2Rad)</f>
        <v>-2.7268939112440791E-3</v>
      </c>
      <c r="AH113" s="74">
        <f>0.0041 *AH8* COS((AH10 - AH9)*Deg2Rad)</f>
        <v>-3.9122041493121554E-3</v>
      </c>
      <c r="AI113" s="74">
        <f>0.0041 *AI8* COS((AI10 - AI9)*Deg2Rad)</f>
        <v>-3.7074444460189252E-3</v>
      </c>
      <c r="AJ113" s="74">
        <f>0.0041 *AJ8* COS((AJ10 - AJ9)*Deg2Rad)</f>
        <v>-1.3121224398038277E-3</v>
      </c>
      <c r="AK113" s="74">
        <f>0.0041 *AK8* COS((AK10 - AK9)*Deg2Rad)</f>
        <v>3.0950142458881858E-3</v>
      </c>
      <c r="AL113" s="74">
        <f>0.0041 *AL8* COS((AL10 - AL9)*Deg2Rad)</f>
        <v>-3.2674252313609578E-3</v>
      </c>
      <c r="AM113" s="74">
        <f>0.0041 *AM8* COS((AM10 - AM9)*Deg2Rad)</f>
        <v>1.7329697524370508E-3</v>
      </c>
      <c r="AN113" s="74">
        <f>0.0041 *AN8* COS((AN10 - AN9)*Deg2Rad)</f>
        <v>-4.0478541351483882E-3</v>
      </c>
      <c r="AO113" s="74">
        <f>0.0041 *AO8* COS((AO10 - AO9)*Deg2Rad)</f>
        <v>-3.5654924731946692E-3</v>
      </c>
      <c r="AP113" s="74">
        <f>0.0041 *AP8* COS((AP10 - AP9)*Deg2Rad)</f>
        <v>4.0818433252347687E-3</v>
      </c>
      <c r="AQ113" s="74">
        <f>0.0041 *AQ8* COS((AQ10 - AQ9)*Deg2Rad)</f>
        <v>4.0818433252347687E-3</v>
      </c>
      <c r="AR113" s="74">
        <f>0.0041 *AR8* COS((AR10 - AR9)*Deg2Rad)</f>
        <v>4.0544851451042611E-3</v>
      </c>
      <c r="AS113" s="74">
        <f>0.0041 *AS8* COS((AS10 - AS9)*Deg2Rad)</f>
        <v>4.0544851451042611E-3</v>
      </c>
      <c r="AT113" s="74">
        <f>0.0041 *AT8* COS((AT10 - AT9)*Deg2Rad)</f>
        <v>4.0544851451042611E-3</v>
      </c>
      <c r="AU113" s="74">
        <f>0.0041 *AU8* COS((AU10 - AU9)*Deg2Rad)</f>
        <v>-3.8327407664274274E-3</v>
      </c>
      <c r="AV113" s="74">
        <f>0.0041 *AV8* COS((AV10 - AV9)*Deg2Rad)</f>
        <v>1.6922069197941223E-3</v>
      </c>
      <c r="AW113" s="74">
        <f>0.0041 *AW8* COS((AW10 - AW9)*Deg2Rad)</f>
        <v>3.2757029466857304E-3</v>
      </c>
      <c r="AX113" s="74">
        <f>0.0041 *AX8* COS((AX10 - AX9)*Deg2Rad)</f>
        <v>-2.9173722486317819E-3</v>
      </c>
      <c r="AY113" s="74">
        <f>0.0041 *AY8* COS((AY10 - AY9)*Deg2Rad)</f>
        <v>4.0137751408142429E-3</v>
      </c>
      <c r="AZ113" s="74">
        <f>0.0041 *AZ8* COS((AZ10 - AZ9)*Deg2Rad)</f>
        <v>4.0137751408142429E-3</v>
      </c>
      <c r="BA113" s="74">
        <f>0.0041 *BA8* COS((BA10 - BA9)*Deg2Rad)</f>
        <v>3.959847430187618E-3</v>
      </c>
      <c r="BB113" s="74">
        <f>0.0041 *BB8* COS((BB10 - BB9)*Deg2Rad)</f>
        <v>3.959847430187618E-3</v>
      </c>
      <c r="BC113" s="74">
        <f>0.0041 *BC8* COS((BC10 - BC9)*Deg2Rad)</f>
        <v>3.959847430187618E-3</v>
      </c>
      <c r="BD113" s="74">
        <f>0.0041 *BD8* COS((BD10 - BD9)*Deg2Rad)</f>
        <v>3.959847430187618E-3</v>
      </c>
      <c r="BE113" s="74">
        <f>0.0041 *BE8* COS((BE10 - BE9)*Deg2Rad)</f>
        <v>3.959847430187618E-3</v>
      </c>
      <c r="BF113" s="74">
        <f>0.0041 *BF8* COS((BF10 - BF9)*Deg2Rad)</f>
        <v>3.959847430187618E-3</v>
      </c>
      <c r="BG113" s="74">
        <f>0.0041 *BG8* COS((BG10 - BG9)*Deg2Rad)</f>
        <v>2.6569264107402023E-3</v>
      </c>
    </row>
    <row r="114" spans="2:59" x14ac:dyDescent="0.25">
      <c r="C114" t="s">
        <v>1089</v>
      </c>
      <c r="D114" s="7" t="s">
        <v>1103</v>
      </c>
      <c r="E114" s="13">
        <f>SUM(E108:E113)</f>
        <v>4.9775762059905819</v>
      </c>
      <c r="F114" s="13">
        <f t="shared" ref="F114:BG114" si="55">SUM(F108:F113)</f>
        <v>4.9823150868137773</v>
      </c>
      <c r="G114" s="13">
        <f t="shared" si="55"/>
        <v>5.5263055755319588</v>
      </c>
      <c r="H114" s="13">
        <f t="shared" si="55"/>
        <v>5.3194429758342228</v>
      </c>
      <c r="I114" s="13">
        <f t="shared" si="55"/>
        <v>4.9351890773110814</v>
      </c>
      <c r="J114" s="13">
        <f t="shared" si="55"/>
        <v>5.5360024458076182</v>
      </c>
      <c r="K114" s="13">
        <f t="shared" si="55"/>
        <v>4.9039189209639726</v>
      </c>
      <c r="L114" s="13">
        <f t="shared" si="55"/>
        <v>5.3407900279491809</v>
      </c>
      <c r="M114" s="13">
        <f t="shared" si="55"/>
        <v>5.0228509960128411</v>
      </c>
      <c r="N114" s="13">
        <f t="shared" si="55"/>
        <v>5.1267716647437629</v>
      </c>
      <c r="O114" s="13">
        <f t="shared" si="55"/>
        <v>5.2633514999995077</v>
      </c>
      <c r="P114" s="13">
        <f t="shared" si="55"/>
        <v>5.2290591165193039</v>
      </c>
      <c r="Q114" s="13">
        <f t="shared" si="55"/>
        <v>5.5325723711868209</v>
      </c>
      <c r="R114" s="13">
        <f t="shared" si="55"/>
        <v>5.4550365480014342</v>
      </c>
      <c r="S114" s="13">
        <f t="shared" si="55"/>
        <v>4.9321747189682963</v>
      </c>
      <c r="T114" s="13">
        <f t="shared" si="55"/>
        <v>5.0035236261880236</v>
      </c>
      <c r="U114" s="13">
        <f t="shared" si="55"/>
        <v>5.2908789884702712</v>
      </c>
      <c r="V114" s="13">
        <f t="shared" si="55"/>
        <v>5.1751226886434702</v>
      </c>
      <c r="W114" s="13">
        <f t="shared" si="55"/>
        <v>5.333400093950444</v>
      </c>
      <c r="X114" s="13">
        <f t="shared" si="55"/>
        <v>5.2188175212035866</v>
      </c>
      <c r="Y114" s="13">
        <f t="shared" si="55"/>
        <v>5.2555129730785888</v>
      </c>
      <c r="Z114" s="13">
        <f t="shared" si="55"/>
        <v>5.5164796794443554</v>
      </c>
      <c r="AA114" s="13">
        <f t="shared" si="55"/>
        <v>5.5263055755319588</v>
      </c>
      <c r="AB114" s="13">
        <f t="shared" si="55"/>
        <v>5.0979919560251599</v>
      </c>
      <c r="AC114" s="13">
        <f t="shared" si="55"/>
        <v>5.0399785464412838</v>
      </c>
      <c r="AD114" s="13">
        <f t="shared" si="55"/>
        <v>5.0542079278951553</v>
      </c>
      <c r="AE114" s="13">
        <f t="shared" si="55"/>
        <v>5.2555129730785888</v>
      </c>
      <c r="AF114" s="13">
        <f t="shared" si="55"/>
        <v>5.359117822504345</v>
      </c>
      <c r="AG114" s="13">
        <f t="shared" si="55"/>
        <v>5.063386262991763</v>
      </c>
      <c r="AH114" s="13">
        <f t="shared" si="55"/>
        <v>5.2223516140160013</v>
      </c>
      <c r="AI114" s="13">
        <f t="shared" si="55"/>
        <v>5.3586466366022876</v>
      </c>
      <c r="AJ114" s="13">
        <f t="shared" si="55"/>
        <v>5.3589110749323883</v>
      </c>
      <c r="AK114" s="13">
        <f t="shared" si="55"/>
        <v>4.9953077478192629</v>
      </c>
      <c r="AL114" s="13">
        <f t="shared" si="55"/>
        <v>5.3378185454185658</v>
      </c>
      <c r="AM114" s="13">
        <f t="shared" si="55"/>
        <v>5.1718302150344089</v>
      </c>
      <c r="AN114" s="13">
        <f t="shared" si="55"/>
        <v>5.1570196361896183</v>
      </c>
      <c r="AO114" s="13">
        <f t="shared" si="55"/>
        <v>5.5445083729038949</v>
      </c>
      <c r="AP114" s="13">
        <f t="shared" si="55"/>
        <v>5.308265041432751</v>
      </c>
      <c r="AQ114" s="13">
        <f t="shared" si="55"/>
        <v>5.308265041432751</v>
      </c>
      <c r="AR114" s="13">
        <f t="shared" si="55"/>
        <v>5.1583921262166408</v>
      </c>
      <c r="AS114" s="13">
        <f t="shared" si="55"/>
        <v>5.1583921262166408</v>
      </c>
      <c r="AT114" s="13">
        <f t="shared" si="55"/>
        <v>5.1583921262166408</v>
      </c>
      <c r="AU114" s="13">
        <f t="shared" si="55"/>
        <v>4.9034782598540314</v>
      </c>
      <c r="AV114" s="13">
        <f t="shared" si="55"/>
        <v>5.5475979065831513</v>
      </c>
      <c r="AW114" s="13">
        <f t="shared" si="55"/>
        <v>4.9467326239816325</v>
      </c>
      <c r="AX114" s="13">
        <f t="shared" si="55"/>
        <v>5.3241517905968871</v>
      </c>
      <c r="AY114" s="13">
        <f t="shared" si="55"/>
        <v>5.0196724557286796</v>
      </c>
      <c r="AZ114" s="13">
        <f t="shared" si="55"/>
        <v>5.0196724557286796</v>
      </c>
      <c r="BA114" s="13">
        <f t="shared" si="55"/>
        <v>4.9216401435385544</v>
      </c>
      <c r="BB114" s="13">
        <f t="shared" si="55"/>
        <v>4.9216401435385544</v>
      </c>
      <c r="BC114" s="13">
        <f t="shared" si="55"/>
        <v>4.9216401435385544</v>
      </c>
      <c r="BD114" s="13">
        <f t="shared" si="55"/>
        <v>4.9216401435385544</v>
      </c>
      <c r="BE114" s="13">
        <f t="shared" si="55"/>
        <v>4.9216401435385544</v>
      </c>
      <c r="BF114" s="13">
        <f t="shared" si="55"/>
        <v>4.9216401435385544</v>
      </c>
      <c r="BG114" s="13">
        <f t="shared" si="55"/>
        <v>5.2555129730785888</v>
      </c>
    </row>
    <row r="115" spans="2:59" x14ac:dyDescent="0.25">
      <c r="B115">
        <v>381</v>
      </c>
      <c r="C115" t="s">
        <v>1104</v>
      </c>
      <c r="D115" s="7" t="s">
        <v>1105</v>
      </c>
      <c r="E115">
        <f t="shared" ref="E115:AJ115" si="56">ABS(COS(E50*Deg2Rad))</f>
        <v>0.98692763770610759</v>
      </c>
      <c r="F115">
        <f t="shared" ref="F115:BG115" si="57">ABS(COS(F50*Deg2Rad))</f>
        <v>0.95525990599979782</v>
      </c>
      <c r="G115">
        <f t="shared" si="57"/>
        <v>0.94373695840782834</v>
      </c>
      <c r="H115">
        <f t="shared" si="57"/>
        <v>0.88820805577345086</v>
      </c>
      <c r="I115">
        <f t="shared" si="57"/>
        <v>0.39752318870730996</v>
      </c>
      <c r="J115">
        <f t="shared" si="57"/>
        <v>5.617848683934943E-2</v>
      </c>
      <c r="K115">
        <f t="shared" si="57"/>
        <v>0.52217289129071986</v>
      </c>
      <c r="L115">
        <f t="shared" si="57"/>
        <v>8.4273243451807034E-2</v>
      </c>
      <c r="M115">
        <f t="shared" si="57"/>
        <v>0.93154311312168347</v>
      </c>
      <c r="N115">
        <f t="shared" si="57"/>
        <v>0.99401928072225876</v>
      </c>
      <c r="O115">
        <f t="shared" si="57"/>
        <v>0.84385533401731216</v>
      </c>
      <c r="P115">
        <f t="shared" si="57"/>
        <v>3.4554446443124838E-2</v>
      </c>
      <c r="Q115">
        <f t="shared" si="57"/>
        <v>0.99176201219102922</v>
      </c>
      <c r="R115">
        <f t="shared" si="57"/>
        <v>0.78769269961323862</v>
      </c>
      <c r="S115">
        <f t="shared" si="57"/>
        <v>7.5781975439370375E-2</v>
      </c>
      <c r="T115">
        <f t="shared" si="57"/>
        <v>0.99916854981781367</v>
      </c>
      <c r="U115">
        <f t="shared" si="57"/>
        <v>0.45364370863256881</v>
      </c>
      <c r="V115">
        <f t="shared" si="57"/>
        <v>0.15248987486198803</v>
      </c>
      <c r="W115">
        <f t="shared" si="57"/>
        <v>0.90305758361814115</v>
      </c>
      <c r="X115">
        <f t="shared" si="57"/>
        <v>0.60236721404059868</v>
      </c>
      <c r="Y115">
        <f t="shared" si="57"/>
        <v>0.51459880341671238</v>
      </c>
      <c r="Z115">
        <f t="shared" si="57"/>
        <v>0.26667955560248818</v>
      </c>
      <c r="AA115">
        <f t="shared" si="57"/>
        <v>0.94373695840782834</v>
      </c>
      <c r="AB115">
        <f t="shared" si="57"/>
        <v>0.9930542718496328</v>
      </c>
      <c r="AC115">
        <f t="shared" si="57"/>
        <v>0.2468941546594445</v>
      </c>
      <c r="AD115">
        <f t="shared" si="57"/>
        <v>0.83396484048023456</v>
      </c>
      <c r="AE115">
        <f t="shared" si="57"/>
        <v>0.51459880341671238</v>
      </c>
      <c r="AF115">
        <f t="shared" si="57"/>
        <v>0.97665970747881747</v>
      </c>
      <c r="AG115">
        <f t="shared" si="57"/>
        <v>0.65688243069868069</v>
      </c>
      <c r="AH115">
        <f t="shared" si="57"/>
        <v>0.5350884959922646</v>
      </c>
      <c r="AI115">
        <f t="shared" si="57"/>
        <v>0.1109324576331296</v>
      </c>
      <c r="AJ115">
        <f t="shared" si="57"/>
        <v>0.96925258411455817</v>
      </c>
      <c r="AK115">
        <f t="shared" si="57"/>
        <v>0.47892468155356011</v>
      </c>
      <c r="AL115">
        <f t="shared" si="57"/>
        <v>0.59306911397698692</v>
      </c>
      <c r="AM115">
        <f t="shared" si="57"/>
        <v>0.97449987887957268</v>
      </c>
      <c r="AN115">
        <f t="shared" si="57"/>
        <v>0.29738739953503684</v>
      </c>
      <c r="AO115">
        <f t="shared" si="57"/>
        <v>0.92320310185978927</v>
      </c>
      <c r="AP115">
        <f t="shared" si="57"/>
        <v>0.75588835156830325</v>
      </c>
      <c r="AQ115">
        <f t="shared" si="57"/>
        <v>0.75588835156830325</v>
      </c>
      <c r="AR115">
        <f t="shared" si="57"/>
        <v>0.98411537415217598</v>
      </c>
      <c r="AS115">
        <f t="shared" si="57"/>
        <v>0.98411537415217598</v>
      </c>
      <c r="AT115">
        <f t="shared" si="57"/>
        <v>0.98411537415217598</v>
      </c>
      <c r="AU115">
        <f t="shared" si="57"/>
        <v>0.86725806041522102</v>
      </c>
      <c r="AV115">
        <f t="shared" si="57"/>
        <v>0.98839240980531928</v>
      </c>
      <c r="AW115">
        <f t="shared" si="57"/>
        <v>0.94914246809371794</v>
      </c>
      <c r="AX115">
        <f t="shared" si="57"/>
        <v>0.97320116176203808</v>
      </c>
      <c r="AY115">
        <f t="shared" si="57"/>
        <v>0.93700728023021818</v>
      </c>
      <c r="AZ115">
        <f t="shared" si="57"/>
        <v>0.93700728023021818</v>
      </c>
      <c r="BA115">
        <f t="shared" si="57"/>
        <v>0.6277436089553432</v>
      </c>
      <c r="BB115">
        <f t="shared" si="57"/>
        <v>0.6277436089553432</v>
      </c>
      <c r="BC115">
        <f t="shared" si="57"/>
        <v>0.6277436089553432</v>
      </c>
      <c r="BD115">
        <f t="shared" si="57"/>
        <v>0.6277436089553432</v>
      </c>
      <c r="BE115">
        <f t="shared" si="57"/>
        <v>0.6277436089553432</v>
      </c>
      <c r="BF115">
        <f t="shared" si="57"/>
        <v>0.6277436089553432</v>
      </c>
      <c r="BG115">
        <f t="shared" si="57"/>
        <v>0.51459880341671238</v>
      </c>
    </row>
    <row r="116" spans="2:59" x14ac:dyDescent="0.25">
      <c r="B116">
        <v>381</v>
      </c>
      <c r="C116" t="s">
        <v>1111</v>
      </c>
    </row>
    <row r="117" spans="2:59" x14ac:dyDescent="0.25">
      <c r="C117" t="s">
        <v>1112</v>
      </c>
    </row>
    <row r="118" spans="2:59" x14ac:dyDescent="0.25">
      <c r="C118" s="5" t="s">
        <v>1113</v>
      </c>
    </row>
    <row r="119" spans="2:59" x14ac:dyDescent="0.25">
      <c r="C119" t="s">
        <v>1106</v>
      </c>
      <c r="D119" s="7" t="s">
        <v>778</v>
      </c>
      <c r="E119">
        <f t="shared" ref="E119:AJ119" si="58">(E107* COS(E50*Deg2Rad) + E114* SIN(E50*Deg2Rad)) * (1 - 0.0048*E115)</f>
        <v>-1.0022609421944939</v>
      </c>
      <c r="F119">
        <f t="shared" ref="F119:BG119" si="59">(F107* COS(F50*Deg2Rad) + F114* SIN(F50*Deg2Rad)) * (1 - 0.0048*F115)</f>
        <v>1.6533621883044884</v>
      </c>
      <c r="G119">
        <f t="shared" si="59"/>
        <v>1.7955719766501825</v>
      </c>
      <c r="H119">
        <f t="shared" si="59"/>
        <v>2.3586291392726579</v>
      </c>
      <c r="I119">
        <f t="shared" si="59"/>
        <v>-4.492999872314801</v>
      </c>
      <c r="J119">
        <f t="shared" si="59"/>
        <v>5.5265265515692974</v>
      </c>
      <c r="K119">
        <f t="shared" si="59"/>
        <v>-4.1474726990769284</v>
      </c>
      <c r="L119">
        <f t="shared" si="59"/>
        <v>5.3176581107480709</v>
      </c>
      <c r="M119">
        <f t="shared" si="59"/>
        <v>1.8427755144984801</v>
      </c>
      <c r="N119">
        <f t="shared" si="59"/>
        <v>-0.46225805091673611</v>
      </c>
      <c r="O119">
        <f t="shared" si="59"/>
        <v>2.9657879625766048</v>
      </c>
      <c r="P119">
        <f t="shared" si="59"/>
        <v>5.2301519639847998</v>
      </c>
      <c r="Q119">
        <f t="shared" si="59"/>
        <v>0.54481957745859155</v>
      </c>
      <c r="R119">
        <f t="shared" si="59"/>
        <v>3.3158221499696845</v>
      </c>
      <c r="S119">
        <f t="shared" si="59"/>
        <v>-4.927539310725666</v>
      </c>
      <c r="T119">
        <f t="shared" si="59"/>
        <v>-0.36618565686143406</v>
      </c>
      <c r="U119">
        <f t="shared" si="59"/>
        <v>-4.8296076893873563</v>
      </c>
      <c r="V119">
        <f t="shared" si="59"/>
        <v>-5.1413320273820746</v>
      </c>
      <c r="W119">
        <f t="shared" si="59"/>
        <v>2.4230699766962176</v>
      </c>
      <c r="X119">
        <f t="shared" si="59"/>
        <v>4.0276908513508634</v>
      </c>
      <c r="Y119">
        <f t="shared" si="59"/>
        <v>4.4439577263717212</v>
      </c>
      <c r="Z119">
        <f t="shared" si="59"/>
        <v>-5.3087369865893592</v>
      </c>
      <c r="AA119">
        <f t="shared" si="59"/>
        <v>1.7955719766501825</v>
      </c>
      <c r="AB119">
        <f t="shared" si="59"/>
        <v>0.61358512714712554</v>
      </c>
      <c r="AC119">
        <f t="shared" si="59"/>
        <v>4.8571010759456055</v>
      </c>
      <c r="AD119">
        <f t="shared" si="59"/>
        <v>2.9291697083689314</v>
      </c>
      <c r="AE119">
        <f t="shared" si="59"/>
        <v>4.4439577263717212</v>
      </c>
      <c r="AF119">
        <f t="shared" si="59"/>
        <v>1.0714846969376877</v>
      </c>
      <c r="AG119">
        <f t="shared" si="59"/>
        <v>-3.953440540429964</v>
      </c>
      <c r="AH119">
        <f t="shared" si="59"/>
        <v>4.5327411088823464</v>
      </c>
      <c r="AI119">
        <f t="shared" si="59"/>
        <v>5.2944473159206993</v>
      </c>
      <c r="AJ119">
        <f t="shared" si="59"/>
        <v>1.1348100547345004</v>
      </c>
      <c r="AK119">
        <f t="shared" si="59"/>
        <v>-4.3820977299037684</v>
      </c>
      <c r="AL119">
        <f t="shared" si="59"/>
        <v>-4.1450931294464075</v>
      </c>
      <c r="AM119">
        <f t="shared" si="59"/>
        <v>-1.2412642612088112</v>
      </c>
      <c r="AN119">
        <f t="shared" si="59"/>
        <v>-4.9899154889619783</v>
      </c>
      <c r="AO119">
        <f t="shared" si="59"/>
        <v>2.2807109929079834</v>
      </c>
      <c r="AP119">
        <f t="shared" si="59"/>
        <v>3.5947573714521082</v>
      </c>
      <c r="AQ119">
        <f t="shared" si="59"/>
        <v>3.5947573714521082</v>
      </c>
      <c r="AR119">
        <f t="shared" si="59"/>
        <v>1.0712770947946524</v>
      </c>
      <c r="AS119">
        <f t="shared" si="59"/>
        <v>1.0712770947946524</v>
      </c>
      <c r="AT119">
        <f t="shared" si="59"/>
        <v>1.0712770947946524</v>
      </c>
      <c r="AU119">
        <f t="shared" si="59"/>
        <v>2.3475918256037827</v>
      </c>
      <c r="AV119">
        <f t="shared" si="59"/>
        <v>-1.0330230175550181</v>
      </c>
      <c r="AW119">
        <f t="shared" si="59"/>
        <v>-1.5395502122074207</v>
      </c>
      <c r="AX119">
        <f t="shared" si="59"/>
        <v>0.99664075230028748</v>
      </c>
      <c r="AY119">
        <f t="shared" si="59"/>
        <v>-1.648837989116049</v>
      </c>
      <c r="AZ119">
        <f t="shared" si="59"/>
        <v>-1.648837989116049</v>
      </c>
      <c r="BA119">
        <f t="shared" si="59"/>
        <v>-3.807182369952387</v>
      </c>
      <c r="BB119">
        <f t="shared" si="59"/>
        <v>-3.807182369952387</v>
      </c>
      <c r="BC119">
        <f t="shared" si="59"/>
        <v>-3.807182369952387</v>
      </c>
      <c r="BD119">
        <f t="shared" si="59"/>
        <v>-3.807182369952387</v>
      </c>
      <c r="BE119">
        <f t="shared" si="59"/>
        <v>-3.807182369952387</v>
      </c>
      <c r="BF119">
        <f t="shared" si="59"/>
        <v>-3.807182369952387</v>
      </c>
      <c r="BG119">
        <f t="shared" si="59"/>
        <v>4.4439577263717212</v>
      </c>
    </row>
    <row r="120" spans="2:59" x14ac:dyDescent="0.25">
      <c r="B120">
        <v>381</v>
      </c>
      <c r="C120" s="6">
        <v>5.8999999999999999E-3</v>
      </c>
      <c r="E120" s="307">
        <v>5.8999999999999999E-3</v>
      </c>
      <c r="F120" s="307">
        <v>5.8999999999999999E-3</v>
      </c>
      <c r="G120" s="307">
        <v>5.8999999999999999E-3</v>
      </c>
      <c r="H120" s="307">
        <v>5.8999999999999999E-3</v>
      </c>
      <c r="I120" s="307">
        <v>5.8999999999999999E-3</v>
      </c>
      <c r="J120" s="307">
        <v>5.8999999999999999E-3</v>
      </c>
      <c r="K120" s="307">
        <v>5.8999999999999999E-3</v>
      </c>
      <c r="L120" s="307">
        <v>5.8999999999999999E-3</v>
      </c>
      <c r="M120" s="307">
        <v>5.8999999999999999E-3</v>
      </c>
      <c r="N120" s="307">
        <v>5.8999999999999999E-3</v>
      </c>
      <c r="O120" s="307">
        <v>5.8999999999999999E-3</v>
      </c>
      <c r="P120" s="307">
        <v>5.8999999999999999E-3</v>
      </c>
      <c r="Q120" s="307">
        <v>5.8999999999999999E-3</v>
      </c>
      <c r="R120" s="307">
        <v>5.8999999999999999E-3</v>
      </c>
      <c r="S120" s="307">
        <v>5.8999999999999999E-3</v>
      </c>
      <c r="T120" s="307">
        <v>5.8999999999999999E-3</v>
      </c>
      <c r="U120" s="307">
        <v>5.8999999999999999E-3</v>
      </c>
      <c r="V120" s="307">
        <v>5.8999999999999999E-3</v>
      </c>
      <c r="W120" s="307">
        <v>5.8999999999999999E-3</v>
      </c>
      <c r="X120" s="307">
        <v>5.8999999999999999E-3</v>
      </c>
      <c r="Y120" s="307">
        <v>5.8999999999999999E-3</v>
      </c>
      <c r="Z120" s="307">
        <v>5.8999999999999999E-3</v>
      </c>
      <c r="AA120" s="307">
        <v>5.8999999999999999E-3</v>
      </c>
      <c r="AB120" s="307">
        <v>5.8999999999999999E-3</v>
      </c>
      <c r="AC120" s="307">
        <v>5.8999999999999999E-3</v>
      </c>
      <c r="AD120" s="307">
        <v>5.8999999999999999E-3</v>
      </c>
      <c r="AE120" s="307">
        <v>5.8999999999999999E-3</v>
      </c>
      <c r="AF120" s="307">
        <v>5.8999999999999999E-3</v>
      </c>
      <c r="AG120" s="307">
        <v>5.8999999999999999E-3</v>
      </c>
      <c r="AH120" s="307">
        <v>5.8999999999999999E-3</v>
      </c>
      <c r="AI120" s="307">
        <v>5.8999999999999999E-3</v>
      </c>
      <c r="AJ120" s="307">
        <v>5.8999999999999999E-3</v>
      </c>
      <c r="AK120" s="307">
        <v>5.8999999999999999E-3</v>
      </c>
      <c r="AL120" s="307">
        <v>5.8999999999999999E-3</v>
      </c>
      <c r="AM120" s="307">
        <v>5.8999999999999999E-3</v>
      </c>
      <c r="AN120" s="307">
        <v>5.8999999999999999E-3</v>
      </c>
      <c r="AO120" s="307">
        <v>5.8999999999999999E-3</v>
      </c>
      <c r="AP120" s="307">
        <v>5.8999999999999999E-3</v>
      </c>
      <c r="AQ120" s="307">
        <v>5.8999999999999999E-3</v>
      </c>
      <c r="AR120" s="307">
        <v>5.8999999999999999E-3</v>
      </c>
      <c r="AS120" s="307">
        <v>5.8999999999999999E-3</v>
      </c>
      <c r="AT120" s="307">
        <v>5.8999999999999999E-3</v>
      </c>
      <c r="AU120" s="307">
        <v>5.8999999999999999E-3</v>
      </c>
      <c r="AV120" s="307">
        <v>5.8999999999999999E-3</v>
      </c>
      <c r="AW120" s="307">
        <v>5.8999999999999999E-3</v>
      </c>
      <c r="AX120" s="307">
        <v>5.8999999999999999E-3</v>
      </c>
      <c r="AY120" s="307">
        <v>5.8999999999999999E-3</v>
      </c>
      <c r="AZ120" s="307">
        <v>5.8999999999999999E-3</v>
      </c>
      <c r="BA120" s="307">
        <v>5.8999999999999999E-3</v>
      </c>
      <c r="BB120" s="307">
        <v>5.8999999999999999E-3</v>
      </c>
      <c r="BC120" s="307">
        <v>5.8999999999999999E-3</v>
      </c>
      <c r="BD120" s="307">
        <v>5.8999999999999999E-3</v>
      </c>
      <c r="BE120" s="307">
        <v>5.8999999999999999E-3</v>
      </c>
      <c r="BF120" s="307">
        <v>5.8999999999999999E-3</v>
      </c>
      <c r="BG120" s="307">
        <v>5.8999999999999999E-3</v>
      </c>
    </row>
    <row r="121" spans="2:59" x14ac:dyDescent="0.25">
      <c r="C121" t="s">
        <v>1108</v>
      </c>
      <c r="E121" s="74">
        <f>0.0046 *E8* COS(E9*Deg2Rad)</f>
        <v>1.541472920144737E-3</v>
      </c>
      <c r="F121" s="74">
        <f>0.0046 *F8* COS(F9*Deg2Rad)</f>
        <v>2.9037342155401464E-4</v>
      </c>
      <c r="G121" s="74">
        <f>0.0046 *G8* COS(G9*Deg2Rad)</f>
        <v>4.5954328171397257E-3</v>
      </c>
      <c r="H121" s="74">
        <f>0.0046 *H8* COS(H9*Deg2Rad)</f>
        <v>4.4769329683674473E-3</v>
      </c>
      <c r="I121" s="74">
        <f>0.0046 *I8* COS(I9*Deg2Rad)</f>
        <v>4.1464307308627371E-3</v>
      </c>
      <c r="J121" s="74">
        <f>0.0046 *J8* COS(J9*Deg2Rad)</f>
        <v>-4.5475669234568139E-3</v>
      </c>
      <c r="K121" s="74">
        <f>0.0046 *K8* COS(K9*Deg2Rad)</f>
        <v>4.4454137517180104E-3</v>
      </c>
      <c r="L121" s="74">
        <f>0.0046 *L8* COS(L9*Deg2Rad)</f>
        <v>-4.3370736780239784E-3</v>
      </c>
      <c r="M121" s="74">
        <f>0.0046 *M8* COS(M9*Deg2Rad)</f>
        <v>4.6111214451663085E-3</v>
      </c>
      <c r="N121" s="74">
        <f>0.0046 *N8* COS(N9*Deg2Rad)</f>
        <v>4.4094183045102868E-3</v>
      </c>
      <c r="O121" s="74">
        <f>0.0046 *O8* COS(O9*Deg2Rad)</f>
        <v>3.7236153426721493E-3</v>
      </c>
      <c r="P121" s="74">
        <f>0.0046 *P8* COS(P9*Deg2Rad)</f>
        <v>-2.2510426686174088E-3</v>
      </c>
      <c r="Q121" s="74">
        <f>0.0046 *Q8* COS(Q9*Deg2Rad)</f>
        <v>2.9426649566337121E-3</v>
      </c>
      <c r="R121" s="74">
        <f>0.0046 *R8* COS(R9*Deg2Rad)</f>
        <v>4.4342730020391396E-3</v>
      </c>
      <c r="S121" s="74">
        <f>0.0046 *S8* COS(S9*Deg2Rad)</f>
        <v>-3.599991781961044E-3</v>
      </c>
      <c r="T121" s="74">
        <f>0.0046 *T8* COS(T9*Deg2Rad)</f>
        <v>-3.5133870101089156E-3</v>
      </c>
      <c r="U121" s="74">
        <f>0.0046 *U8* COS(U9*Deg2Rad)</f>
        <v>-6.1894064772820712E-4</v>
      </c>
      <c r="V121" s="74">
        <f>0.0046 *V8* COS(V9*Deg2Rad)</f>
        <v>6.2000057748076611E-4</v>
      </c>
      <c r="W121" s="74">
        <f>0.0046 *W8* COS(W9*Deg2Rad)</f>
        <v>-1.7988535033764872E-3</v>
      </c>
      <c r="X121" s="74">
        <f>0.0046 *X8* COS(X9*Deg2Rad)</f>
        <v>-2.1276239430380629E-3</v>
      </c>
      <c r="Y121" s="74">
        <f>0.0046 *Y8* COS(Y9*Deg2Rad)</f>
        <v>3.2124045539368646E-3</v>
      </c>
      <c r="Z121" s="74">
        <f>0.0046 *Z8* COS(Z9*Deg2Rad)</f>
        <v>4.5829562720610829E-3</v>
      </c>
      <c r="AA121" s="74">
        <f>0.0046 *AA8* COS(AA9*Deg2Rad)</f>
        <v>4.5954328171397257E-3</v>
      </c>
      <c r="AB121" s="74">
        <f>0.0046 *AB8* COS(AB9*Deg2Rad)</f>
        <v>-4.5953354887798325E-3</v>
      </c>
      <c r="AC121" s="74">
        <f>0.0046 *AC8* COS(AC9*Deg2Rad)</f>
        <v>3.8180785849723695E-3</v>
      </c>
      <c r="AD121" s="74">
        <f>0.0046 *AD8* COS(AD9*Deg2Rad)</f>
        <v>-9.7839870632674569E-4</v>
      </c>
      <c r="AE121" s="74">
        <f>0.0046 *AE8* COS(AE9*Deg2Rad)</f>
        <v>3.2124045539368646E-3</v>
      </c>
      <c r="AF121" s="74">
        <f>0.0046 *AF8* COS(AF9*Deg2Rad)</f>
        <v>4.5362150079209969E-3</v>
      </c>
      <c r="AG121" s="74">
        <f>0.0046 *AG8* COS(AG9*Deg2Rad)</f>
        <v>1.7366463443785486E-3</v>
      </c>
      <c r="AH121" s="74">
        <f>0.0046 *AH8* COS(AH9*Deg2Rad)</f>
        <v>1.5683942930047789E-3</v>
      </c>
      <c r="AI121" s="74">
        <f>0.0046 *AI8* COS(AI9*Deg2Rad)</f>
        <v>1.2532148816338695E-4</v>
      </c>
      <c r="AJ121" s="74">
        <f>0.0046 *AJ8* COS(AJ9*Deg2Rad)</f>
        <v>-3.3047225261105015E-3</v>
      </c>
      <c r="AK121" s="74">
        <f>0.0046 *AK8* COS(AK9*Deg2Rad)</f>
        <v>4.5921932017077413E-3</v>
      </c>
      <c r="AL121" s="74">
        <f>0.0046 *AL8* COS(AL9*Deg2Rad)</f>
        <v>-1.1568851854047481E-3</v>
      </c>
      <c r="AM121" s="74">
        <f>0.0046 *AM8* COS(AM9*Deg2Rad)</f>
        <v>-3.9127445190299277E-3</v>
      </c>
      <c r="AN121" s="74">
        <f>0.0046 *AN8* COS(AN9*Deg2Rad)</f>
        <v>1.0479539007945888E-5</v>
      </c>
      <c r="AO121" s="74">
        <f>0.0046 *AO8* COS(AO9*Deg2Rad)</f>
        <v>3.5962944902534566E-3</v>
      </c>
      <c r="AP121" s="74">
        <f>0.0046 *AP8* COS(AP9*Deg2Rad)</f>
        <v>-7.0661234508662433E-4</v>
      </c>
      <c r="AQ121" s="74">
        <f>0.0046 *AQ8* COS(AQ9*Deg2Rad)</f>
        <v>-7.0661234508662433E-4</v>
      </c>
      <c r="AR121" s="74">
        <f>0.0046 *AR8* COS(AR9*Deg2Rad)</f>
        <v>1.5922775921695207E-3</v>
      </c>
      <c r="AS121" s="74">
        <f>0.0046 *AS8* COS(AS9*Deg2Rad)</f>
        <v>1.5922775921695207E-3</v>
      </c>
      <c r="AT121" s="74">
        <f>0.0046 *AT8* COS(AT9*Deg2Rad)</f>
        <v>1.5922775921695207E-3</v>
      </c>
      <c r="AU121" s="74">
        <f>0.0046 *AU8* COS(AU9*Deg2Rad)</f>
        <v>-3.8556901393243053E-3</v>
      </c>
      <c r="AV121" s="74">
        <f>0.0046 *AV8* COS(AV9*Deg2Rad)</f>
        <v>-2.4037682765946505E-3</v>
      </c>
      <c r="AW121" s="74">
        <f>0.0046 *AW8* COS(AW9*Deg2Rad)</f>
        <v>4.6051161089385477E-3</v>
      </c>
      <c r="AX121" s="74">
        <f>0.0046 *AX8* COS(AX9*Deg2Rad)</f>
        <v>-1.940669178746552E-3</v>
      </c>
      <c r="AY121" s="74">
        <f>0.0046 *AY8* COS(AY9*Deg2Rad)</f>
        <v>3.4890348476502263E-3</v>
      </c>
      <c r="AZ121" s="74">
        <f>0.0046 *AZ8* COS(AZ9*Deg2Rad)</f>
        <v>3.4890348476502263E-3</v>
      </c>
      <c r="BA121" s="74">
        <f>0.0046 *BA8* COS(BA9*Deg2Rad)</f>
        <v>4.5046426332830064E-3</v>
      </c>
      <c r="BB121" s="74">
        <f>0.0046 *BB8* COS(BB9*Deg2Rad)</f>
        <v>4.5046426332830064E-3</v>
      </c>
      <c r="BC121" s="74">
        <f>0.0046 *BC8* COS(BC9*Deg2Rad)</f>
        <v>4.5046426332830064E-3</v>
      </c>
      <c r="BD121" s="74">
        <f>0.0046 *BD8* COS(BD9*Deg2Rad)</f>
        <v>4.5046426332830064E-3</v>
      </c>
      <c r="BE121" s="74">
        <f>0.0046 *BE8* COS(BE9*Deg2Rad)</f>
        <v>4.5046426332830064E-3</v>
      </c>
      <c r="BF121" s="74">
        <f>0.0046 *BF8* COS(BF9*Deg2Rad)</f>
        <v>4.5046426332830064E-3</v>
      </c>
      <c r="BG121" s="74">
        <f>0.0046 *BG8* COS(BG9*Deg2Rad)</f>
        <v>3.2124045539368646E-3</v>
      </c>
    </row>
    <row r="122" spans="2:59" x14ac:dyDescent="0.25">
      <c r="C122" s="5" t="s">
        <v>1109</v>
      </c>
      <c r="E122" s="73">
        <f>-0.0182 *COS(E10*Deg2Rad)</f>
        <v>-1.2841011352569674E-2</v>
      </c>
      <c r="F122" s="73">
        <f>-0.0182 *COS(F10*Deg2Rad)</f>
        <v>-1.3406921642604708E-2</v>
      </c>
      <c r="G122" s="73">
        <f>-0.0182 *COS(G10*Deg2Rad)</f>
        <v>1.6926103328159553E-2</v>
      </c>
      <c r="H122" s="73">
        <f>-0.0182 *COS(H10*Deg2Rad)</f>
        <v>5.6962393554688137E-3</v>
      </c>
      <c r="I122" s="73">
        <f>-0.0182 *COS(I10*Deg2Rad)</f>
        <v>-1.5624143999397792E-2</v>
      </c>
      <c r="J122" s="73">
        <f>-0.0182 *COS(J10*Deg2Rad)</f>
        <v>1.7095823341180965E-2</v>
      </c>
      <c r="K122" s="73">
        <f>-0.0182 *COS(K10*Deg2Rad)</f>
        <v>-1.7172766640925777E-2</v>
      </c>
      <c r="L122" s="73">
        <f>-0.0182 *COS(L10*Deg2Rad)</f>
        <v>6.1479014023736464E-3</v>
      </c>
      <c r="M122" s="73">
        <f>-0.0182 *COS(M10*Deg2Rad)</f>
        <v>-1.0704399568953653E-2</v>
      </c>
      <c r="N122" s="73">
        <f>-0.0182 *COS(N10*Deg2Rad)</f>
        <v>-4.819879846873109E-3</v>
      </c>
      <c r="O122" s="73">
        <f>-0.0182 *COS(O10*Deg2Rad)</f>
        <v>2.8546279928279546E-3</v>
      </c>
      <c r="P122" s="73">
        <f>-0.0182 *COS(P10*Deg2Rad)</f>
        <v>-1.1056751682311386E-4</v>
      </c>
      <c r="Q122" s="73">
        <f>-0.0182 *COS(Q10*Deg2Rad)</f>
        <v>1.7188879958959263E-2</v>
      </c>
      <c r="R122" s="73">
        <f>-0.0182 *COS(R10*Deg2Rad)</f>
        <v>1.2868264459781906E-2</v>
      </c>
      <c r="S122" s="73">
        <f>-0.0182 *COS(S10*Deg2Rad)</f>
        <v>-1.6012578809779059E-2</v>
      </c>
      <c r="T122" s="73">
        <f>-0.0182 *COS(T10*Deg2Rad)</f>
        <v>-1.1923716202966561E-2</v>
      </c>
      <c r="U122" s="73">
        <f>-0.0182 *COS(U10*Deg2Rad)</f>
        <v>4.5259723896619907E-3</v>
      </c>
      <c r="V122" s="73">
        <f>-0.0182 *COS(V10*Deg2Rad)</f>
        <v>-2.9744583299590082E-3</v>
      </c>
      <c r="W122" s="73">
        <f>-0.0182 *COS(W10*Deg2Rad)</f>
        <v>5.7163619081638285E-3</v>
      </c>
      <c r="X122" s="73">
        <f>-0.0182 *COS(X10*Deg2Rad)</f>
        <v>3.3176320129086565E-4</v>
      </c>
      <c r="Y122" s="73">
        <f>-0.0182 *COS(Y10*Deg2Rad)</f>
        <v>1.7039729295846952E-3</v>
      </c>
      <c r="Z122" s="73">
        <f>-0.0182 *COS(Z10*Deg2Rad)</f>
        <v>1.6360950480027441E-2</v>
      </c>
      <c r="AA122" s="73">
        <f>-0.0182 *COS(AA10*Deg2Rad)</f>
        <v>1.6926103328159553E-2</v>
      </c>
      <c r="AB122" s="73">
        <f>-0.0182 *COS(AB10*Deg2Rad)</f>
        <v>-7.2187718248258037E-3</v>
      </c>
      <c r="AC122" s="73">
        <f>-0.0182 *COS(AC10*Deg2Rad)</f>
        <v>-1.00040721011648E-2</v>
      </c>
      <c r="AD122" s="73">
        <f>-0.0182 *COS(AD10*Deg2Rad)</f>
        <v>-9.6151957371988974E-3</v>
      </c>
      <c r="AE122" s="73">
        <f>-0.0182 *COS(AE10*Deg2Rad)</f>
        <v>1.7039729295846952E-3</v>
      </c>
      <c r="AF122" s="73">
        <f>-0.0182 *COS(AF10*Deg2Rad)</f>
        <v>7.8327168833468817E-3</v>
      </c>
      <c r="AG122" s="73">
        <f>-0.0182 *COS(AG10*Deg2Rad)</f>
        <v>-8.0191237312742976E-3</v>
      </c>
      <c r="AH122" s="73">
        <f>-0.0182 *COS(AH10*Deg2Rad)</f>
        <v>7.8802154658305537E-4</v>
      </c>
      <c r="AI122" s="73">
        <f>-0.0182 *COS(AI10*Deg2Rad)</f>
        <v>8.2233815116466592E-3</v>
      </c>
      <c r="AJ122" s="73">
        <f>-0.0182 *COS(AJ10*Deg2Rad)</f>
        <v>7.8136045784987177E-3</v>
      </c>
      <c r="AK122" s="73">
        <f>-0.0182 *COS(AK10*Deg2Rad)</f>
        <v>-1.2253868122763759E-2</v>
      </c>
      <c r="AL122" s="73">
        <f>-0.0182 *COS(AL10*Deg2Rad)</f>
        <v>6.9991117958497079E-3</v>
      </c>
      <c r="AM122" s="73">
        <f>-0.0182 *COS(AM10*Deg2Rad)</f>
        <v>-3.2994194898227245E-3</v>
      </c>
      <c r="AN122" s="73">
        <f>-0.0182 *COS(AN10*Deg2Rad)</f>
        <v>-2.8518464776250813E-3</v>
      </c>
      <c r="AO122" s="73">
        <f>-0.0182 *COS(AO10*Deg2Rad)</f>
        <v>1.8029576244886422E-2</v>
      </c>
      <c r="AP122" s="73">
        <f>-0.0182 *COS(AP10*Deg2Rad)</f>
        <v>4.3648516762236737E-3</v>
      </c>
      <c r="AQ122" s="73">
        <f>-0.0182 *COS(AQ10*Deg2Rad)</f>
        <v>4.3648516762236737E-3</v>
      </c>
      <c r="AR122" s="73">
        <f>-0.0182 *COS(AR10*Deg2Rad)</f>
        <v>-3.7655372532572093E-3</v>
      </c>
      <c r="AS122" s="73">
        <f>-0.0182 *COS(AS10*Deg2Rad)</f>
        <v>-3.7655372532572093E-3</v>
      </c>
      <c r="AT122" s="73">
        <f>-0.0182 *COS(AT10*Deg2Rad)</f>
        <v>-3.7655372532572093E-3</v>
      </c>
      <c r="AU122" s="73">
        <f>-0.0182 *COS(AU10*Deg2Rad)</f>
        <v>-1.7788523017797615E-2</v>
      </c>
      <c r="AV122" s="73">
        <f>-0.0182 *COS(AV10*Deg2Rad)</f>
        <v>1.80593863941803E-2</v>
      </c>
      <c r="AW122" s="73">
        <f>-0.0182 *COS(AW10*Deg2Rad)</f>
        <v>-1.4863403789384265E-2</v>
      </c>
      <c r="AX122" s="73">
        <f>-0.0182 *COS(AX10*Deg2Rad)</f>
        <v>6.1577276614726215E-3</v>
      </c>
      <c r="AY122" s="73">
        <f>-0.0182 *COS(AY10*Deg2Rad)</f>
        <v>-1.1144250076058834E-2</v>
      </c>
      <c r="AZ122" s="73">
        <f>-0.0182 *COS(AZ10*Deg2Rad)</f>
        <v>-1.1144250076058834E-2</v>
      </c>
      <c r="BA122" s="73">
        <f>-0.0182 *COS(BA10*Deg2Rad)</f>
        <v>-1.6298348989460764E-2</v>
      </c>
      <c r="BB122" s="73">
        <f>-0.0182 *COS(BB10*Deg2Rad)</f>
        <v>-1.6298348989460764E-2</v>
      </c>
      <c r="BC122" s="73">
        <f>-0.0182 *COS(BC10*Deg2Rad)</f>
        <v>-1.6298348989460764E-2</v>
      </c>
      <c r="BD122" s="73">
        <f>-0.0182 *COS(BD10*Deg2Rad)</f>
        <v>-1.6298348989460764E-2</v>
      </c>
      <c r="BE122" s="73">
        <f>-0.0182 *COS(BE10*Deg2Rad)</f>
        <v>-1.6298348989460764E-2</v>
      </c>
      <c r="BF122" s="73">
        <f>-0.0182 *COS(BF10*Deg2Rad)</f>
        <v>-1.6298348989460764E-2</v>
      </c>
      <c r="BG122" s="73">
        <f>-0.0182 *COS(BG10*Deg2Rad)</f>
        <v>1.7039729295846952E-3</v>
      </c>
    </row>
    <row r="123" spans="2:59" x14ac:dyDescent="0.25">
      <c r="C123" t="s">
        <v>1141</v>
      </c>
      <c r="E123" s="74">
        <f>0.0004 *COS(2*E10*Deg2Rad)</f>
        <v>-1.7592741050037204E-6</v>
      </c>
      <c r="F123" s="74">
        <f>0.0004 *COS(2*F10*Deg2Rad)</f>
        <v>3.4115560755808393E-5</v>
      </c>
      <c r="G123" s="74">
        <f>0.0004 *COS(2*G10*Deg2Rad)</f>
        <v>2.9192844795443526E-4</v>
      </c>
      <c r="H123" s="74">
        <f>0.0004 *COS(2*H10*Deg2Rad)</f>
        <v>-3.2163472335517025E-4</v>
      </c>
      <c r="I123" s="74">
        <f>0.0004 *COS(2*I10*Deg2Rad)</f>
        <v>1.8957583797589184E-4</v>
      </c>
      <c r="J123" s="74">
        <f>0.0004 *COS(2*J10*Deg2Rad)</f>
        <v>3.0587411112877164E-4</v>
      </c>
      <c r="K123" s="74">
        <f>0.0004 *COS(2*K10*Deg2Rad)</f>
        <v>3.1224227533798609E-4</v>
      </c>
      <c r="L123" s="74">
        <f>0.0004 *COS(2*L10*Deg2Rad)</f>
        <v>-3.0871466814803085E-4</v>
      </c>
      <c r="M123" s="74">
        <f>0.0004 *COS(2*M10*Deg2Rad)</f>
        <v>-1.2326006489116016E-4</v>
      </c>
      <c r="N123" s="74">
        <f>0.0004 *COS(2*N10*Deg2Rad)</f>
        <v>-3.4389266576912564E-4</v>
      </c>
      <c r="O123" s="74">
        <f>0.0004 *COS(2*O10*Deg2Rad)</f>
        <v>-3.8031904123309517E-4</v>
      </c>
      <c r="P123" s="74">
        <f>0.0004 *COS(2*P10*Deg2Rad)</f>
        <v>-3.9997047415583524E-4</v>
      </c>
      <c r="Q123" s="74">
        <f>0.0004 *COS(2*Q10*Deg2Rad)</f>
        <v>3.1357950547883438E-4</v>
      </c>
      <c r="R123" s="74">
        <f>0.0004 *COS(2*R10*Deg2Rad)</f>
        <v>-6.7068694877166454E-8</v>
      </c>
      <c r="S123" s="74">
        <f>0.0004 *COS(2*S10*Deg2Rad)</f>
        <v>2.1925535597001661E-4</v>
      </c>
      <c r="T123" s="74">
        <f>0.0004 *COS(2*T10*Deg2Rad)</f>
        <v>-5.6623576648020068E-5</v>
      </c>
      <c r="U123" s="74">
        <f>0.0004 *COS(2*U10*Deg2Rad)</f>
        <v>-3.505266850090988E-4</v>
      </c>
      <c r="V123" s="74">
        <f>0.0004 *COS(2*V10*Deg2Rad)</f>
        <v>-3.7863204357767776E-4</v>
      </c>
      <c r="W123" s="74">
        <f>0.0004 *COS(2*W10*Deg2Rad)</f>
        <v>-3.2108007857720953E-4</v>
      </c>
      <c r="X123" s="74">
        <f>0.0004 *COS(2*X10*Deg2Rad)</f>
        <v>-3.9973417021680772E-4</v>
      </c>
      <c r="Y123" s="74">
        <f>0.0004 *COS(2*Y10*Deg2Rad)</f>
        <v>-3.9298750454110027E-4</v>
      </c>
      <c r="Z123" s="74">
        <f>0.0004 *COS(2*Z10*Deg2Rad)</f>
        <v>2.464936616590029E-4</v>
      </c>
      <c r="AA123" s="74">
        <f>0.0004 *COS(2*AA10*Deg2Rad)</f>
        <v>2.9192844795443526E-4</v>
      </c>
      <c r="AB123" s="74">
        <f>0.0004 *COS(2*AB10*Deg2Rad)</f>
        <v>-2.7414402449245536E-4</v>
      </c>
      <c r="AC123" s="74">
        <f>0.0004 *COS(2*AC10*Deg2Rad)</f>
        <v>-1.5828653881100376E-4</v>
      </c>
      <c r="AD123" s="74">
        <f>0.0004 *COS(2*AD10*Deg2Rad)</f>
        <v>-1.7671298378300245E-4</v>
      </c>
      <c r="AE123" s="74">
        <f>0.0004 *COS(2*AE10*Deg2Rad)</f>
        <v>-3.9298750454110027E-4</v>
      </c>
      <c r="AF123" s="74">
        <f>0.0004 *COS(2*AF10*Deg2Rad)</f>
        <v>-2.5182597808316075E-4</v>
      </c>
      <c r="AG123" s="74">
        <f>0.0004 *COS(2*AG10*Deg2Rad)</f>
        <v>-2.4468942055914364E-4</v>
      </c>
      <c r="AH123" s="74">
        <f>0.0004 *COS(2*AH10*Deg2Rad)</f>
        <v>-3.9850023437295224E-4</v>
      </c>
      <c r="AI123" s="74">
        <f>0.0004 *COS(2*AI10*Deg2Rad)</f>
        <v>-2.366767214440476E-4</v>
      </c>
      <c r="AJ123" s="74">
        <f>0.0004 *COS(2*AJ10*Deg2Rad)</f>
        <v>-2.5254820309350058E-4</v>
      </c>
      <c r="AK123" s="74">
        <f>0.0004 *COS(2*AK10*Deg2Rad)</f>
        <v>-3.7345045356633721E-5</v>
      </c>
      <c r="AL123" s="74">
        <f>0.0004 *COS(2*AL10*Deg2Rad)</f>
        <v>-2.8168683509044196E-4</v>
      </c>
      <c r="AM123" s="74">
        <f>0.0004 *COS(2*AM10*Deg2Rad)</f>
        <v>-3.7370808122250446E-4</v>
      </c>
      <c r="AN123" s="74">
        <f>0.0004 *COS(2*AN10*Deg2Rad)</f>
        <v>-3.8035737632666932E-4</v>
      </c>
      <c r="AO123" s="74">
        <f>0.0004 *COS(2*AO10*Deg2Rad)</f>
        <v>3.850878385947898E-4</v>
      </c>
      <c r="AP123" s="74">
        <f>0.0004 *COS(2*AP10*Deg2Rad)</f>
        <v>-3.5398640223298491E-4</v>
      </c>
      <c r="AQ123" s="74">
        <f>0.0004 *COS(2*AQ10*Deg2Rad)</f>
        <v>-3.5398640223298491E-4</v>
      </c>
      <c r="AR123" s="74">
        <f>0.0004 *COS(2*AR10*Deg2Rad)</f>
        <v>-3.6575468951656118E-4</v>
      </c>
      <c r="AS123" s="74">
        <f>0.0004 *COS(2*AS10*Deg2Rad)</f>
        <v>-3.6575468951656118E-4</v>
      </c>
      <c r="AT123" s="74">
        <f>0.0004 *COS(2*AT10*Deg2Rad)</f>
        <v>-3.6575468951656118E-4</v>
      </c>
      <c r="AU123" s="74">
        <f>0.0004 *COS(2*AU10*Deg2Rad)</f>
        <v>3.6423511932065104E-4</v>
      </c>
      <c r="AV123" s="74">
        <f>0.0004 *COS(2*AV10*Deg2Rad)</f>
        <v>3.8768611745997945E-4</v>
      </c>
      <c r="AW123" s="74">
        <f>0.0004 *COS(2*AW10*Deg2Rad)</f>
        <v>1.3356061395068832E-4</v>
      </c>
      <c r="AX123" s="74">
        <f>0.0004 *COS(2*AX10*Deg2Rad)</f>
        <v>-3.0842263023097438E-4</v>
      </c>
      <c r="AY123" s="74">
        <f>0.0004 *COS(2*AY10*Deg2Rad)</f>
        <v>-1.0004997039551429E-4</v>
      </c>
      <c r="AZ123" s="74">
        <f>0.0004 *COS(2*AZ10*Deg2Rad)</f>
        <v>-1.0004997039551429E-4</v>
      </c>
      <c r="BA123" s="74">
        <f>0.0004 *COS(2*BA10*Deg2Rad)</f>
        <v>2.4155580191343235E-4</v>
      </c>
      <c r="BB123" s="74">
        <f>0.0004 *COS(2*BB10*Deg2Rad)</f>
        <v>2.4155580191343235E-4</v>
      </c>
      <c r="BC123" s="74">
        <f>0.0004 *COS(2*BC10*Deg2Rad)</f>
        <v>2.4155580191343235E-4</v>
      </c>
      <c r="BD123" s="74">
        <f>0.0004 *COS(2*BD10*Deg2Rad)</f>
        <v>2.4155580191343235E-4</v>
      </c>
      <c r="BE123" s="74">
        <f>0.0004 *COS(2*BE10*Deg2Rad)</f>
        <v>2.4155580191343235E-4</v>
      </c>
      <c r="BF123" s="74">
        <f>0.0004 *COS(2*BF10*Deg2Rad)</f>
        <v>2.4155580191343235E-4</v>
      </c>
      <c r="BG123" s="74">
        <f>0.0004 *COS(2*BG10*Deg2Rad)</f>
        <v>-3.9298750454110027E-4</v>
      </c>
    </row>
    <row r="124" spans="2:59" x14ac:dyDescent="0.25">
      <c r="C124" s="5" t="s">
        <v>1110</v>
      </c>
      <c r="E124" s="73">
        <f>-0.0005 *COS((E9+E10)*Deg2Rad)</f>
        <v>-4.5197860703042431E-4</v>
      </c>
      <c r="F124" s="73">
        <f>-0.0005 *COS((F9+F10)*Deg2Rad)</f>
        <v>3.151582297743256E-4</v>
      </c>
      <c r="G124" s="73">
        <f>-0.0005 *COS((G9+G10)*Deg2Rad)</f>
        <v>4.5635399544668071E-4</v>
      </c>
      <c r="H124" s="73">
        <f>-0.0005 *COS((H9+H10)*Deg2Rad)</f>
        <v>4.3141467965666955E-5</v>
      </c>
      <c r="I124" s="73">
        <f>-0.0005 *COS((I9+I10)*Deg2Rad)</f>
        <v>-2.755960668553197E-4</v>
      </c>
      <c r="J124" s="73">
        <f>-0.0005 *COS((J9+J10)*Deg2Rad)</f>
        <v>-4.3799606411845893E-4</v>
      </c>
      <c r="K124" s="73">
        <f>-0.0005 *COS((K9+K10)*Deg2Rad)</f>
        <v>-4.9853882984627327E-4</v>
      </c>
      <c r="L124" s="73">
        <f>-0.0005 *COS((L9+L10)*Deg2Rad)</f>
        <v>-2.0079141258604234E-6</v>
      </c>
      <c r="M124" s="73">
        <f>-0.0005 *COS((M9+M10)*Deg2Rad)</f>
        <v>-2.8859588278293806E-4</v>
      </c>
      <c r="N124" s="73">
        <f>-0.0005 *COS((N9+N10)*Deg2Rad)</f>
        <v>-2.7749884720406324E-4</v>
      </c>
      <c r="O124" s="73">
        <f>-0.0005 *COS((O9+O10)*Deg2Rad)</f>
        <v>-2.3241681056358586E-4</v>
      </c>
      <c r="P124" s="73">
        <f>-0.0005 *COS((P9+P10)*Deg2Rad)</f>
        <v>4.4118422339348807E-4</v>
      </c>
      <c r="Q124" s="73">
        <f>-0.0005 *COS((Q9+Q10)*Deg2Rad)</f>
        <v>4.1800423228628708E-4</v>
      </c>
      <c r="R124" s="73">
        <f>-0.0005 *COS((R9+R10)*Deg2Rad)</f>
        <v>4.6475019699681371E-4</v>
      </c>
      <c r="S124" s="73">
        <f>-0.0005 *COS((S9+S10)*Deg2Rad)</f>
        <v>1.6024698353726914E-4</v>
      </c>
      <c r="T124" s="73">
        <f>-0.0005 *COS((T9+T10)*Deg2Rad)</f>
        <v>-3.0160227181120974E-5</v>
      </c>
      <c r="U124" s="73">
        <f>-0.0005 *COS((U9+U10)*Deg2Rad)</f>
        <v>-4.9609295109768754E-4</v>
      </c>
      <c r="V124" s="73">
        <f>-0.0005 *COS((V9+V10)*Deg2Rad)</f>
        <v>4.8009091753020402E-4</v>
      </c>
      <c r="W124" s="73">
        <f>-0.0005 *COS((W9+W10)*Deg2Rad)</f>
        <v>3.755281885190963E-4</v>
      </c>
      <c r="X124" s="73">
        <f>-0.0005 *COS((X9+X10)*Deg2Rad)</f>
        <v>-4.4746708207778413E-4</v>
      </c>
      <c r="Y124" s="73">
        <f>-0.0005 *COS((Y9+Y10)*Deg2Rad)</f>
        <v>3.89174355850905E-4</v>
      </c>
      <c r="Z124" s="73">
        <f>-0.0005 *COS((Z9+Z10)*Deg2Rad)</f>
        <v>4.6409167699609175E-4</v>
      </c>
      <c r="AA124" s="73">
        <f>-0.0005 *COS((AA9+AA10)*Deg2Rad)</f>
        <v>4.5635399544668071E-4</v>
      </c>
      <c r="AB124" s="73">
        <f>-0.0005 *COS((AB9+AB10)*Deg2Rad)</f>
        <v>2.2800902981444585E-4</v>
      </c>
      <c r="AC124" s="73">
        <f>-0.0005 *COS((AC9+AC10)*Deg2Rad)</f>
        <v>5.2361355308136663E-6</v>
      </c>
      <c r="AD124" s="73">
        <f>-0.0005 *COS((AD9+AD10)*Deg2Rad)</f>
        <v>4.7098629588359048E-4</v>
      </c>
      <c r="AE124" s="73">
        <f>-0.0005 *COS((AE9+AE10)*Deg2Rad)</f>
        <v>3.89174355850905E-4</v>
      </c>
      <c r="AF124" s="73">
        <f>-0.0005 *COS((AF9+AF10)*Deg2Rad)</f>
        <v>1.3679790400182126E-4</v>
      </c>
      <c r="AG124" s="73">
        <f>-0.0005 *COS((AG9+AG10)*Deg2Rad)</f>
        <v>-4.9880249532639883E-4</v>
      </c>
      <c r="AH124" s="73">
        <f>-0.0005 *COS((AH9+AH10)*Deg2Rad)</f>
        <v>-4.622329603757682E-4</v>
      </c>
      <c r="AI124" s="73">
        <f>-0.0005 *COS((AI9+AI10)*Deg2Rad)</f>
        <v>-4.3973183884740978E-4</v>
      </c>
      <c r="AJ124" s="73">
        <f>-0.0005 *COS((AJ9+AJ10)*Deg2Rad)</f>
        <v>-4.6836724477134769E-4</v>
      </c>
      <c r="AK124" s="73">
        <f>-0.0005 *COS((AK9+AK10)*Deg2Rad)</f>
        <v>-2.9336989045688577E-4</v>
      </c>
      <c r="AL124" s="73">
        <f>-0.0005 *COS((AL9+AL10)*Deg2Rad)</f>
        <v>-4.9506796747702273E-4</v>
      </c>
      <c r="AM124" s="73">
        <f>-0.0005 *COS((AM9+AM10)*Deg2Rad)</f>
        <v>3.5377573830131231E-4</v>
      </c>
      <c r="AN124" s="73">
        <f>-0.0005 *COS((AN9+AN10)*Deg2Rad)</f>
        <v>-4.9400073896684841E-4</v>
      </c>
      <c r="AO124" s="73">
        <f>-0.0005 *COS((AO9+AO10)*Deg2Rad)</f>
        <v>3.2431427839205027E-4</v>
      </c>
      <c r="AP124" s="73">
        <f>-0.0005 *COS((AP9+AP10)*Deg2Rad)</f>
        <v>4.6120942090085022E-4</v>
      </c>
      <c r="AQ124" s="73">
        <f>-0.0005 *COS((AQ9+AQ10)*Deg2Rad)</f>
        <v>4.6120942090085022E-4</v>
      </c>
      <c r="AR124" s="73">
        <f>-0.0005 *COS((AR9+AR10)*Deg2Rad)</f>
        <v>4.2307520146723436E-4</v>
      </c>
      <c r="AS124" s="73">
        <f>-0.0005 *COS((AS9+AS10)*Deg2Rad)</f>
        <v>4.2307520146723436E-4</v>
      </c>
      <c r="AT124" s="73">
        <f>-0.0005 *COS((AT9+AT10)*Deg2Rad)</f>
        <v>4.2307520146723436E-4</v>
      </c>
      <c r="AU124" s="73">
        <f>-0.0005 *COS((AU9+AU10)*Deg2Rad)</f>
        <v>3.516005697697072E-4</v>
      </c>
      <c r="AV124" s="73">
        <f>-0.0005 *COS((AV9+AV10)*Deg2Rad)</f>
        <v>-3.1213591403540618E-4</v>
      </c>
      <c r="AW124" s="73">
        <f>-0.0005 *COS((AW9+AW10)*Deg2Rad)</f>
        <v>-4.1742148157702388E-4</v>
      </c>
      <c r="AX124" s="73">
        <f>-0.0005 *COS((AX9+AX10)*Deg2Rad)</f>
        <v>-4.9798195206721422E-4</v>
      </c>
      <c r="AY124" s="73">
        <f>-0.0005 *COS((AY9+AY10)*Deg2Rad)</f>
        <v>2.5062076585553283E-5</v>
      </c>
      <c r="AZ124" s="73">
        <f>-0.0005 *COS((AZ9+AZ10)*Deg2Rad)</f>
        <v>2.5062076585553283E-5</v>
      </c>
      <c r="BA124" s="73">
        <f>-0.0005 *COS((BA9+BA10)*Deg2Rad)</f>
        <v>-3.9426951057350122E-4</v>
      </c>
      <c r="BB124" s="73">
        <f>-0.0005 *COS((BB9+BB10)*Deg2Rad)</f>
        <v>-3.9426951057350122E-4</v>
      </c>
      <c r="BC124" s="73">
        <f>-0.0005 *COS((BC9+BC10)*Deg2Rad)</f>
        <v>-3.9426951057350122E-4</v>
      </c>
      <c r="BD124" s="73">
        <f>-0.0005 *COS((BD9+BD10)*Deg2Rad)</f>
        <v>-3.9426951057350122E-4</v>
      </c>
      <c r="BE124" s="73">
        <f>-0.0005 *COS((BE9+BE10)*Deg2Rad)</f>
        <v>-3.9426951057350122E-4</v>
      </c>
      <c r="BF124" s="73">
        <f>-0.0005 *COS((BF9+BF10)*Deg2Rad)</f>
        <v>-3.9426951057350122E-4</v>
      </c>
      <c r="BG124" s="73">
        <f>-0.0005 *COS((BG9+BG10)*Deg2Rad)</f>
        <v>3.89174355850905E-4</v>
      </c>
    </row>
    <row r="125" spans="2:59" x14ac:dyDescent="0.25">
      <c r="C125" t="s">
        <v>1089</v>
      </c>
      <c r="D125" s="7" t="s">
        <v>1107</v>
      </c>
      <c r="E125" s="39">
        <f>SUM(E120:E124)</f>
        <v>-5.8532763135603662E-3</v>
      </c>
      <c r="F125" s="39">
        <f t="shared" ref="F125:BG125" si="60">SUM(F120:F124)</f>
        <v>-6.8672744305205589E-3</v>
      </c>
      <c r="G125" s="39">
        <f t="shared" si="60"/>
        <v>2.8169818588700393E-2</v>
      </c>
      <c r="H125" s="39">
        <f t="shared" si="60"/>
        <v>1.5794679068446758E-2</v>
      </c>
      <c r="I125" s="39">
        <f t="shared" si="60"/>
        <v>-5.6637334974144827E-3</v>
      </c>
      <c r="J125" s="39">
        <f t="shared" si="60"/>
        <v>1.8316134464734461E-2</v>
      </c>
      <c r="K125" s="39">
        <f t="shared" si="60"/>
        <v>-7.0136494437160538E-3</v>
      </c>
      <c r="L125" s="39">
        <f t="shared" si="60"/>
        <v>7.4001051420757771E-3</v>
      </c>
      <c r="M125" s="39">
        <f t="shared" si="60"/>
        <v>-6.0513407146144311E-4</v>
      </c>
      <c r="N125" s="39">
        <f t="shared" si="60"/>
        <v>4.8681469446639879E-3</v>
      </c>
      <c r="O125" s="39">
        <f t="shared" si="60"/>
        <v>1.1865507483703422E-2</v>
      </c>
      <c r="P125" s="39">
        <f t="shared" si="60"/>
        <v>3.5796035637971299E-3</v>
      </c>
      <c r="Q125" s="39">
        <f t="shared" si="60"/>
        <v>2.6763128653358094E-2</v>
      </c>
      <c r="R125" s="39">
        <f t="shared" si="60"/>
        <v>2.3667220590122984E-2</v>
      </c>
      <c r="S125" s="39">
        <f t="shared" si="60"/>
        <v>-1.3333068252232818E-2</v>
      </c>
      <c r="T125" s="39">
        <f t="shared" si="60"/>
        <v>-9.6238870169046177E-3</v>
      </c>
      <c r="U125" s="39">
        <f t="shared" si="60"/>
        <v>8.9604121058269974E-3</v>
      </c>
      <c r="V125" s="39">
        <f t="shared" si="60"/>
        <v>3.6470011214742842E-3</v>
      </c>
      <c r="W125" s="39">
        <f t="shared" si="60"/>
        <v>9.8719565147292274E-3</v>
      </c>
      <c r="X125" s="39">
        <f t="shared" si="60"/>
        <v>3.2569380059582105E-3</v>
      </c>
      <c r="Y125" s="39">
        <f t="shared" si="60"/>
        <v>1.0812564334831364E-2</v>
      </c>
      <c r="Z125" s="39">
        <f t="shared" si="60"/>
        <v>2.7554492090743617E-2</v>
      </c>
      <c r="AA125" s="39">
        <f t="shared" si="60"/>
        <v>2.8169818588700393E-2</v>
      </c>
      <c r="AB125" s="39">
        <f t="shared" si="60"/>
        <v>-5.9602423082836462E-3</v>
      </c>
      <c r="AC125" s="39">
        <f t="shared" si="60"/>
        <v>-4.3904391947262089E-4</v>
      </c>
      <c r="AD125" s="39">
        <f t="shared" si="60"/>
        <v>-4.3993211314250552E-3</v>
      </c>
      <c r="AE125" s="39">
        <f t="shared" si="60"/>
        <v>1.0812564334831364E-2</v>
      </c>
      <c r="AF125" s="39">
        <f t="shared" si="60"/>
        <v>1.815390381718654E-2</v>
      </c>
      <c r="AG125" s="39">
        <f t="shared" si="60"/>
        <v>-1.1259693027812915E-3</v>
      </c>
      <c r="AH125" s="39">
        <f t="shared" si="60"/>
        <v>7.3956826448391133E-3</v>
      </c>
      <c r="AI125" s="39">
        <f t="shared" si="60"/>
        <v>1.3572294439518589E-2</v>
      </c>
      <c r="AJ125" s="39">
        <f t="shared" si="60"/>
        <v>9.6879666045233681E-3</v>
      </c>
      <c r="AK125" s="39">
        <f t="shared" si="60"/>
        <v>-2.0923898568695368E-3</v>
      </c>
      <c r="AL125" s="39">
        <f t="shared" si="60"/>
        <v>1.0965471807877495E-2</v>
      </c>
      <c r="AM125" s="39">
        <f t="shared" si="60"/>
        <v>-1.3320963517738445E-3</v>
      </c>
      <c r="AN125" s="39">
        <f t="shared" si="60"/>
        <v>2.1842749460893466E-3</v>
      </c>
      <c r="AO125" s="39">
        <f t="shared" si="60"/>
        <v>2.8235272852126722E-2</v>
      </c>
      <c r="AP125" s="39">
        <f t="shared" si="60"/>
        <v>9.6654623498049139E-3</v>
      </c>
      <c r="AQ125" s="39">
        <f t="shared" si="60"/>
        <v>9.6654623498049139E-3</v>
      </c>
      <c r="AR125" s="39">
        <f t="shared" si="60"/>
        <v>3.7840608508629839E-3</v>
      </c>
      <c r="AS125" s="39">
        <f t="shared" si="60"/>
        <v>3.7840608508629839E-3</v>
      </c>
      <c r="AT125" s="39">
        <f t="shared" si="60"/>
        <v>3.7840608508629839E-3</v>
      </c>
      <c r="AU125" s="39">
        <f t="shared" si="60"/>
        <v>-1.502837746803156E-2</v>
      </c>
      <c r="AV125" s="39">
        <f t="shared" si="60"/>
        <v>2.1631168321010225E-2</v>
      </c>
      <c r="AW125" s="39">
        <f t="shared" si="60"/>
        <v>-4.6421485480720535E-3</v>
      </c>
      <c r="AX125" s="39">
        <f t="shared" si="60"/>
        <v>9.3106539004278802E-3</v>
      </c>
      <c r="AY125" s="39">
        <f t="shared" si="60"/>
        <v>-1.83020312221857E-3</v>
      </c>
      <c r="AZ125" s="39">
        <f t="shared" si="60"/>
        <v>-1.83020312221857E-3</v>
      </c>
      <c r="BA125" s="39">
        <f t="shared" si="60"/>
        <v>-6.0464200648378263E-3</v>
      </c>
      <c r="BB125" s="39">
        <f t="shared" si="60"/>
        <v>-6.0464200648378263E-3</v>
      </c>
      <c r="BC125" s="39">
        <f t="shared" si="60"/>
        <v>-6.0464200648378263E-3</v>
      </c>
      <c r="BD125" s="39">
        <f t="shared" si="60"/>
        <v>-6.0464200648378263E-3</v>
      </c>
      <c r="BE125" s="39">
        <f t="shared" si="60"/>
        <v>-6.0464200648378263E-3</v>
      </c>
      <c r="BF125" s="39">
        <f t="shared" si="60"/>
        <v>-6.0464200648378263E-3</v>
      </c>
      <c r="BG125" s="39">
        <f t="shared" si="60"/>
        <v>1.0812564334831364E-2</v>
      </c>
    </row>
    <row r="126" spans="2:59" x14ac:dyDescent="0.25">
      <c r="C126" t="s">
        <v>1198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</row>
    <row r="127" spans="2:59" x14ac:dyDescent="0.25">
      <c r="B127">
        <v>382</v>
      </c>
      <c r="C127" t="s">
        <v>1200</v>
      </c>
      <c r="D127" s="7" t="s">
        <v>1199</v>
      </c>
      <c r="E127">
        <f>0.00464*SQRT(ABS(1 -E119^2))</f>
        <v>3.1219291861563065E-4</v>
      </c>
      <c r="F127">
        <f t="shared" ref="F127:BG127" si="61">0.00464*SQRT(ABS(1 -F119^2))</f>
        <v>6.1093252537439691E-3</v>
      </c>
      <c r="G127">
        <f t="shared" si="61"/>
        <v>6.9197922860326274E-3</v>
      </c>
      <c r="H127">
        <f t="shared" si="61"/>
        <v>9.9117301288621073E-3</v>
      </c>
      <c r="I127">
        <f t="shared" si="61"/>
        <v>2.0324602467152588E-2</v>
      </c>
      <c r="J127">
        <f t="shared" si="61"/>
        <v>2.5219796112682498E-2</v>
      </c>
      <c r="K127">
        <f t="shared" si="61"/>
        <v>1.8676521511189492E-2</v>
      </c>
      <c r="L127">
        <f t="shared" si="61"/>
        <v>2.4233724455161098E-2</v>
      </c>
      <c r="M127">
        <f t="shared" si="61"/>
        <v>7.1819969821228539E-3</v>
      </c>
      <c r="N127">
        <f t="shared" si="61"/>
        <v>4.1144988913147532E-3</v>
      </c>
      <c r="O127">
        <f t="shared" si="61"/>
        <v>1.2955407007331171E-2</v>
      </c>
      <c r="P127">
        <f t="shared" si="61"/>
        <v>2.3820193504004262E-2</v>
      </c>
      <c r="Q127">
        <f t="shared" si="61"/>
        <v>3.8908872873128727E-3</v>
      </c>
      <c r="R127">
        <f t="shared" si="61"/>
        <v>1.4669062268094399E-2</v>
      </c>
      <c r="S127">
        <f t="shared" si="61"/>
        <v>2.2388008971665044E-2</v>
      </c>
      <c r="T127">
        <f t="shared" si="61"/>
        <v>4.317714009746133E-3</v>
      </c>
      <c r="U127">
        <f t="shared" si="61"/>
        <v>2.1923747343615831E-2</v>
      </c>
      <c r="V127">
        <f t="shared" si="61"/>
        <v>2.3400185220887413E-2</v>
      </c>
      <c r="W127">
        <f t="shared" si="61"/>
        <v>1.0240920561326325E-2</v>
      </c>
      <c r="X127">
        <f t="shared" si="61"/>
        <v>1.81033116352389E-2</v>
      </c>
      <c r="Y127">
        <f t="shared" si="61"/>
        <v>2.0091125135003031E-2</v>
      </c>
      <c r="Z127">
        <f t="shared" si="61"/>
        <v>2.4191577212352992E-2</v>
      </c>
      <c r="AA127">
        <f t="shared" si="61"/>
        <v>6.9197922860326274E-3</v>
      </c>
      <c r="AB127">
        <f t="shared" si="61"/>
        <v>3.6638766035346089E-3</v>
      </c>
      <c r="AC127">
        <f t="shared" si="61"/>
        <v>2.2054125915244995E-2</v>
      </c>
      <c r="AD127">
        <f t="shared" si="61"/>
        <v>1.2774784750456753E-2</v>
      </c>
      <c r="AE127">
        <f t="shared" si="61"/>
        <v>2.0091125135003031E-2</v>
      </c>
      <c r="AF127">
        <f t="shared" si="61"/>
        <v>1.7855227388586454E-3</v>
      </c>
      <c r="AG127">
        <f t="shared" si="61"/>
        <v>1.7747434157667264E-2</v>
      </c>
      <c r="AH127">
        <f t="shared" si="61"/>
        <v>2.0513702886248687E-2</v>
      </c>
      <c r="AI127">
        <f t="shared" si="61"/>
        <v>2.4124061202361161E-2</v>
      </c>
      <c r="AJ127">
        <f t="shared" si="61"/>
        <v>2.4891939850654144E-3</v>
      </c>
      <c r="AK127">
        <f t="shared" si="61"/>
        <v>1.979642855071146E-2</v>
      </c>
      <c r="AL127">
        <f t="shared" si="61"/>
        <v>1.866514446250242E-2</v>
      </c>
      <c r="AM127">
        <f t="shared" si="61"/>
        <v>3.4120156193245461E-3</v>
      </c>
      <c r="AN127">
        <f t="shared" si="61"/>
        <v>2.268350578316989E-2</v>
      </c>
      <c r="AO127">
        <f t="shared" si="61"/>
        <v>9.5110296621935334E-3</v>
      </c>
      <c r="AP127">
        <f t="shared" si="61"/>
        <v>1.6021296187767198E-2</v>
      </c>
      <c r="AQ127">
        <f t="shared" si="61"/>
        <v>1.6021296187767198E-2</v>
      </c>
      <c r="AR127">
        <f t="shared" si="61"/>
        <v>1.7828387986439874E-3</v>
      </c>
      <c r="AS127">
        <f t="shared" si="61"/>
        <v>1.7828387986439874E-3</v>
      </c>
      <c r="AT127">
        <f t="shared" si="61"/>
        <v>1.7828387986439874E-3</v>
      </c>
      <c r="AU127">
        <f t="shared" si="61"/>
        <v>9.8551539718430559E-3</v>
      </c>
      <c r="AV127">
        <f t="shared" si="61"/>
        <v>1.2022575307267793E-3</v>
      </c>
      <c r="AW127">
        <f t="shared" si="61"/>
        <v>5.4314066098714265E-3</v>
      </c>
      <c r="AX127">
        <f t="shared" si="61"/>
        <v>3.8000469314089242E-4</v>
      </c>
      <c r="AY127">
        <f t="shared" si="61"/>
        <v>6.082943933106595E-3</v>
      </c>
      <c r="AZ127">
        <f t="shared" si="61"/>
        <v>6.082943933106595E-3</v>
      </c>
      <c r="BA127">
        <f t="shared" si="61"/>
        <v>1.7045062324073296E-2</v>
      </c>
      <c r="BB127">
        <f t="shared" si="61"/>
        <v>1.7045062324073296E-2</v>
      </c>
      <c r="BC127">
        <f t="shared" si="61"/>
        <v>1.7045062324073296E-2</v>
      </c>
      <c r="BD127">
        <f t="shared" si="61"/>
        <v>1.7045062324073296E-2</v>
      </c>
      <c r="BE127">
        <f t="shared" si="61"/>
        <v>1.7045062324073296E-2</v>
      </c>
      <c r="BF127">
        <f t="shared" si="61"/>
        <v>1.7045062324073296E-2</v>
      </c>
      <c r="BG127">
        <f t="shared" si="61"/>
        <v>2.0091125135003031E-2</v>
      </c>
    </row>
    <row r="128" spans="2:59" x14ac:dyDescent="0.25">
      <c r="C128" t="s">
        <v>1114</v>
      </c>
    </row>
    <row r="129" spans="1:59" x14ac:dyDescent="0.25">
      <c r="B129">
        <v>382</v>
      </c>
      <c r="C129" t="s">
        <v>1115</v>
      </c>
    </row>
    <row r="130" spans="1:59" x14ac:dyDescent="0.25">
      <c r="C130" t="s">
        <v>1117</v>
      </c>
      <c r="D130" s="7" t="s">
        <v>1119</v>
      </c>
      <c r="E130" s="39">
        <f>1.2848 + E125</f>
        <v>1.2789467236864396</v>
      </c>
      <c r="F130" s="39">
        <f t="shared" ref="F130:BG130" si="62">1.2848 + F125</f>
        <v>1.2779327255694795</v>
      </c>
      <c r="G130" s="39">
        <f t="shared" si="62"/>
        <v>1.3129698185887004</v>
      </c>
      <c r="H130" s="39">
        <f t="shared" si="62"/>
        <v>1.3005946790684466</v>
      </c>
      <c r="I130" s="39">
        <f t="shared" si="62"/>
        <v>1.2791362665025854</v>
      </c>
      <c r="J130" s="39">
        <f t="shared" si="62"/>
        <v>1.3031161344647344</v>
      </c>
      <c r="K130" s="39">
        <f t="shared" si="62"/>
        <v>1.2777863505562839</v>
      </c>
      <c r="L130" s="39">
        <f t="shared" si="62"/>
        <v>1.2922001051420757</v>
      </c>
      <c r="M130" s="39">
        <f t="shared" si="62"/>
        <v>1.2841948659285385</v>
      </c>
      <c r="N130" s="39">
        <f t="shared" si="62"/>
        <v>1.289668146944664</v>
      </c>
      <c r="O130" s="39">
        <f t="shared" si="62"/>
        <v>1.2966655074837035</v>
      </c>
      <c r="P130" s="39">
        <f t="shared" si="62"/>
        <v>1.2883796035637971</v>
      </c>
      <c r="Q130" s="39">
        <f t="shared" si="62"/>
        <v>1.311563128653358</v>
      </c>
      <c r="R130" s="39">
        <f t="shared" si="62"/>
        <v>1.3084672205901229</v>
      </c>
      <c r="S130" s="39">
        <f t="shared" si="62"/>
        <v>1.2714669317477671</v>
      </c>
      <c r="T130" s="39">
        <f t="shared" si="62"/>
        <v>1.2751761129830954</v>
      </c>
      <c r="U130" s="39">
        <f t="shared" si="62"/>
        <v>1.293760412105827</v>
      </c>
      <c r="V130" s="39">
        <f t="shared" si="62"/>
        <v>1.2884470011214741</v>
      </c>
      <c r="W130" s="39">
        <f t="shared" si="62"/>
        <v>1.2946719565147291</v>
      </c>
      <c r="X130" s="39">
        <f t="shared" si="62"/>
        <v>1.2880569380059581</v>
      </c>
      <c r="Y130" s="39">
        <f t="shared" si="62"/>
        <v>1.2956125643348313</v>
      </c>
      <c r="Z130" s="39">
        <f t="shared" si="62"/>
        <v>1.3123544920907435</v>
      </c>
      <c r="AA130" s="39">
        <f t="shared" si="62"/>
        <v>1.3129698185887004</v>
      </c>
      <c r="AB130" s="39">
        <f t="shared" si="62"/>
        <v>1.2788397576917163</v>
      </c>
      <c r="AC130" s="39">
        <f t="shared" si="62"/>
        <v>1.2843609560805274</v>
      </c>
      <c r="AD130" s="39">
        <f t="shared" si="62"/>
        <v>1.2804006788685749</v>
      </c>
      <c r="AE130" s="39">
        <f t="shared" si="62"/>
        <v>1.2956125643348313</v>
      </c>
      <c r="AF130" s="39">
        <f t="shared" si="62"/>
        <v>1.3029539038171865</v>
      </c>
      <c r="AG130" s="39">
        <f t="shared" si="62"/>
        <v>1.2836740306972187</v>
      </c>
      <c r="AH130" s="39">
        <f t="shared" si="62"/>
        <v>1.2921956826448391</v>
      </c>
      <c r="AI130" s="39">
        <f t="shared" si="62"/>
        <v>1.2983722944395186</v>
      </c>
      <c r="AJ130" s="39">
        <f t="shared" si="62"/>
        <v>1.2944879666045233</v>
      </c>
      <c r="AK130" s="39">
        <f t="shared" si="62"/>
        <v>1.2827076101431305</v>
      </c>
      <c r="AL130" s="39">
        <f t="shared" si="62"/>
        <v>1.2957654718078775</v>
      </c>
      <c r="AM130" s="39">
        <f t="shared" si="62"/>
        <v>1.2834679036482262</v>
      </c>
      <c r="AN130" s="39">
        <f t="shared" si="62"/>
        <v>1.2869842749460894</v>
      </c>
      <c r="AO130" s="39">
        <f t="shared" si="62"/>
        <v>1.3130352728521266</v>
      </c>
      <c r="AP130" s="39">
        <f t="shared" si="62"/>
        <v>1.2944654623498049</v>
      </c>
      <c r="AQ130" s="39">
        <f t="shared" si="62"/>
        <v>1.2944654623498049</v>
      </c>
      <c r="AR130" s="39">
        <f t="shared" si="62"/>
        <v>1.288584060850863</v>
      </c>
      <c r="AS130" s="39">
        <f t="shared" si="62"/>
        <v>1.288584060850863</v>
      </c>
      <c r="AT130" s="39">
        <f t="shared" si="62"/>
        <v>1.288584060850863</v>
      </c>
      <c r="AU130" s="39">
        <f t="shared" si="62"/>
        <v>1.2697716225319684</v>
      </c>
      <c r="AV130" s="39">
        <f t="shared" si="62"/>
        <v>1.3064311683210101</v>
      </c>
      <c r="AW130" s="39">
        <f t="shared" si="62"/>
        <v>1.2801578514519278</v>
      </c>
      <c r="AX130" s="39">
        <f t="shared" si="62"/>
        <v>1.2941106539004279</v>
      </c>
      <c r="AY130" s="39">
        <f t="shared" si="62"/>
        <v>1.2829697968777813</v>
      </c>
      <c r="AZ130" s="39">
        <f t="shared" si="62"/>
        <v>1.2829697968777813</v>
      </c>
      <c r="BA130" s="39">
        <f t="shared" si="62"/>
        <v>1.2787535799351621</v>
      </c>
      <c r="BB130" s="39">
        <f t="shared" si="62"/>
        <v>1.2787535799351621</v>
      </c>
      <c r="BC130" s="39">
        <f t="shared" si="62"/>
        <v>1.2787535799351621</v>
      </c>
      <c r="BD130" s="39">
        <f t="shared" si="62"/>
        <v>1.2787535799351621</v>
      </c>
      <c r="BE130" s="39">
        <f t="shared" si="62"/>
        <v>1.2787535799351621</v>
      </c>
      <c r="BF130" s="39">
        <f t="shared" si="62"/>
        <v>1.2787535799351621</v>
      </c>
      <c r="BG130" s="39">
        <f t="shared" si="62"/>
        <v>1.2956125643348313</v>
      </c>
    </row>
    <row r="131" spans="1:59" x14ac:dyDescent="0.25">
      <c r="B131">
        <v>382</v>
      </c>
      <c r="C131" t="s">
        <v>1116</v>
      </c>
    </row>
    <row r="132" spans="1:59" x14ac:dyDescent="0.25">
      <c r="C132" t="s">
        <v>1118</v>
      </c>
      <c r="D132" s="7" t="s">
        <v>281</v>
      </c>
      <c r="E132" s="39">
        <f>0.7403 - E125</f>
        <v>0.74615327631356032</v>
      </c>
      <c r="F132" s="39">
        <f t="shared" ref="F132:BG132" si="63">0.7403 - F125</f>
        <v>0.74716727443052056</v>
      </c>
      <c r="G132" s="39">
        <f t="shared" si="63"/>
        <v>0.71213018141129958</v>
      </c>
      <c r="H132" s="39">
        <f t="shared" si="63"/>
        <v>0.72450532093155318</v>
      </c>
      <c r="I132" s="39">
        <f t="shared" si="63"/>
        <v>0.74596373349741441</v>
      </c>
      <c r="J132" s="39">
        <f t="shared" si="63"/>
        <v>0.7219838655352655</v>
      </c>
      <c r="K132" s="39">
        <f t="shared" si="63"/>
        <v>0.74731364944371603</v>
      </c>
      <c r="L132" s="39">
        <f t="shared" si="63"/>
        <v>0.73289989485792417</v>
      </c>
      <c r="M132" s="39">
        <f t="shared" si="63"/>
        <v>0.74090513407146141</v>
      </c>
      <c r="N132" s="39">
        <f t="shared" si="63"/>
        <v>0.73543185305533598</v>
      </c>
      <c r="O132" s="39">
        <f t="shared" si="63"/>
        <v>0.72843449251629655</v>
      </c>
      <c r="P132" s="39">
        <f t="shared" si="63"/>
        <v>0.7367203964362028</v>
      </c>
      <c r="Q132" s="39">
        <f t="shared" si="63"/>
        <v>0.7135368713466419</v>
      </c>
      <c r="R132" s="39">
        <f t="shared" si="63"/>
        <v>0.71663277940987702</v>
      </c>
      <c r="S132" s="39">
        <f t="shared" si="63"/>
        <v>0.75363306825223275</v>
      </c>
      <c r="T132" s="39">
        <f t="shared" si="63"/>
        <v>0.7499238870169046</v>
      </c>
      <c r="U132" s="39">
        <f t="shared" si="63"/>
        <v>0.73133958789417297</v>
      </c>
      <c r="V132" s="39">
        <f t="shared" si="63"/>
        <v>0.73665299887852564</v>
      </c>
      <c r="W132" s="39">
        <f t="shared" si="63"/>
        <v>0.73042804348527068</v>
      </c>
      <c r="X132" s="39">
        <f t="shared" si="63"/>
        <v>0.73704306199404179</v>
      </c>
      <c r="Y132" s="39">
        <f t="shared" si="63"/>
        <v>0.7294874356651686</v>
      </c>
      <c r="Z132" s="39">
        <f t="shared" si="63"/>
        <v>0.71274550790925639</v>
      </c>
      <c r="AA132" s="39">
        <f t="shared" si="63"/>
        <v>0.71213018141129958</v>
      </c>
      <c r="AB132" s="39">
        <f t="shared" si="63"/>
        <v>0.74626024230828358</v>
      </c>
      <c r="AC132" s="39">
        <f t="shared" si="63"/>
        <v>0.74073904391947254</v>
      </c>
      <c r="AD132" s="39">
        <f t="shared" si="63"/>
        <v>0.74469932113142501</v>
      </c>
      <c r="AE132" s="39">
        <f t="shared" si="63"/>
        <v>0.7294874356651686</v>
      </c>
      <c r="AF132" s="39">
        <f t="shared" si="63"/>
        <v>0.72214609618281345</v>
      </c>
      <c r="AG132" s="39">
        <f t="shared" si="63"/>
        <v>0.74142596930278126</v>
      </c>
      <c r="AH132" s="39">
        <f t="shared" si="63"/>
        <v>0.73290431735516082</v>
      </c>
      <c r="AI132" s="39">
        <f t="shared" si="63"/>
        <v>0.72672770556048139</v>
      </c>
      <c r="AJ132" s="39">
        <f t="shared" si="63"/>
        <v>0.73061203339547665</v>
      </c>
      <c r="AK132" s="39">
        <f t="shared" si="63"/>
        <v>0.74239238985686951</v>
      </c>
      <c r="AL132" s="39">
        <f t="shared" si="63"/>
        <v>0.72933452819212241</v>
      </c>
      <c r="AM132" s="39">
        <f t="shared" si="63"/>
        <v>0.74163209635177385</v>
      </c>
      <c r="AN132" s="39">
        <f t="shared" si="63"/>
        <v>0.73811572505391065</v>
      </c>
      <c r="AO132" s="39">
        <f t="shared" si="63"/>
        <v>0.71206472714787328</v>
      </c>
      <c r="AP132" s="39">
        <f t="shared" si="63"/>
        <v>0.73063453765019504</v>
      </c>
      <c r="AQ132" s="39">
        <f t="shared" si="63"/>
        <v>0.73063453765019504</v>
      </c>
      <c r="AR132" s="39">
        <f t="shared" si="63"/>
        <v>0.73651593914913693</v>
      </c>
      <c r="AS132" s="39">
        <f t="shared" si="63"/>
        <v>0.73651593914913693</v>
      </c>
      <c r="AT132" s="39">
        <f t="shared" si="63"/>
        <v>0.73651593914913693</v>
      </c>
      <c r="AU132" s="39">
        <f t="shared" si="63"/>
        <v>0.7553283774680315</v>
      </c>
      <c r="AV132" s="39">
        <f t="shared" si="63"/>
        <v>0.71866883167898976</v>
      </c>
      <c r="AW132" s="39">
        <f t="shared" si="63"/>
        <v>0.74494214854807206</v>
      </c>
      <c r="AX132" s="39">
        <f t="shared" si="63"/>
        <v>0.73098934609957211</v>
      </c>
      <c r="AY132" s="39">
        <f t="shared" si="63"/>
        <v>0.74213020312221856</v>
      </c>
      <c r="AZ132" s="39">
        <f t="shared" si="63"/>
        <v>0.74213020312221856</v>
      </c>
      <c r="BA132" s="39">
        <f t="shared" si="63"/>
        <v>0.74634642006483776</v>
      </c>
      <c r="BB132" s="39">
        <f t="shared" si="63"/>
        <v>0.74634642006483776</v>
      </c>
      <c r="BC132" s="39">
        <f t="shared" si="63"/>
        <v>0.74634642006483776</v>
      </c>
      <c r="BD132" s="39">
        <f t="shared" si="63"/>
        <v>0.74634642006483776</v>
      </c>
      <c r="BE132" s="39">
        <f t="shared" si="63"/>
        <v>0.74634642006483776</v>
      </c>
      <c r="BF132" s="39">
        <f t="shared" si="63"/>
        <v>0.74634642006483776</v>
      </c>
      <c r="BG132" s="39">
        <f t="shared" si="63"/>
        <v>0.7294874356651686</v>
      </c>
    </row>
    <row r="133" spans="1:59" x14ac:dyDescent="0.25">
      <c r="C133" t="s">
        <v>1120</v>
      </c>
    </row>
    <row r="134" spans="1:59" x14ac:dyDescent="0.25">
      <c r="A134">
        <v>54.3</v>
      </c>
      <c r="B134">
        <v>382</v>
      </c>
      <c r="C134" t="s">
        <v>1121</v>
      </c>
      <c r="D134" s="7" t="s">
        <v>1122</v>
      </c>
      <c r="E134">
        <f>(1.5573 + E125 - ABS(E119) ) / 0.545</f>
        <v>1.0076803330127442</v>
      </c>
      <c r="F134">
        <f t="shared" ref="F134:BG134" si="64">(1.5573 + F125 - ABS(F119) ) / 0.545</f>
        <v>-0.18886139951377801</v>
      </c>
      <c r="G134">
        <f t="shared" si="64"/>
        <v>-0.38550854690180203</v>
      </c>
      <c r="H134">
        <f t="shared" si="64"/>
        <v>-1.4413476334022226</v>
      </c>
      <c r="I134">
        <f t="shared" si="64"/>
        <v>-5.3969974418572759</v>
      </c>
      <c r="J134">
        <f t="shared" si="64"/>
        <v>-7.2493769121184632</v>
      </c>
      <c r="K134">
        <f t="shared" si="64"/>
        <v>-4.7654795385699895</v>
      </c>
      <c r="L134">
        <f t="shared" si="64"/>
        <v>-6.8861614781761373</v>
      </c>
      <c r="M134">
        <f t="shared" si="64"/>
        <v>-0.5249186212292507</v>
      </c>
      <c r="N134">
        <f t="shared" si="64"/>
        <v>2.0181836624365648</v>
      </c>
      <c r="O134">
        <f t="shared" si="64"/>
        <v>-2.5626100093447732</v>
      </c>
      <c r="P134">
        <f t="shared" si="64"/>
        <v>-6.7326098356348671</v>
      </c>
      <c r="Q134">
        <f t="shared" si="64"/>
        <v>1.9068689012748006</v>
      </c>
      <c r="R134">
        <f t="shared" si="64"/>
        <v>-3.1832200539074522</v>
      </c>
      <c r="S134">
        <f t="shared" si="64"/>
        <v>-6.2083896861979788</v>
      </c>
      <c r="T134">
        <f t="shared" si="64"/>
        <v>2.1678723965535069</v>
      </c>
      <c r="U134">
        <f t="shared" si="64"/>
        <v>-5.9877931693239068</v>
      </c>
      <c r="V134">
        <f t="shared" si="64"/>
        <v>-6.5695138096524772</v>
      </c>
      <c r="W134">
        <f t="shared" si="64"/>
        <v>-1.5704550829018138</v>
      </c>
      <c r="X134">
        <f t="shared" si="64"/>
        <v>-4.5268512171466142</v>
      </c>
      <c r="Y134">
        <f t="shared" si="64"/>
        <v>-5.2767801138291546</v>
      </c>
      <c r="Z134">
        <f t="shared" si="64"/>
        <v>-6.8328119165112211</v>
      </c>
      <c r="AA134">
        <f t="shared" si="64"/>
        <v>-0.38550854690180203</v>
      </c>
      <c r="AB134">
        <f t="shared" si="64"/>
        <v>1.7206506982469554</v>
      </c>
      <c r="AC134">
        <f t="shared" si="64"/>
        <v>-6.0554864584680335</v>
      </c>
      <c r="AD134">
        <f t="shared" si="64"/>
        <v>-2.5252642743125806</v>
      </c>
      <c r="AE134">
        <f t="shared" si="64"/>
        <v>-5.2767801138291546</v>
      </c>
      <c r="AF134">
        <f t="shared" si="64"/>
        <v>0.92471414106330041</v>
      </c>
      <c r="AG134">
        <f t="shared" si="64"/>
        <v>-4.3986541462986146</v>
      </c>
      <c r="AH134">
        <f t="shared" si="64"/>
        <v>-5.4459549105275364</v>
      </c>
      <c r="AI134">
        <f t="shared" si="64"/>
        <v>-6.8322477458370283</v>
      </c>
      <c r="AJ134">
        <f t="shared" si="64"/>
        <v>0.79298699425692265</v>
      </c>
      <c r="AK134">
        <f t="shared" si="64"/>
        <v>-5.1869543481846563</v>
      </c>
      <c r="AL134">
        <f t="shared" si="64"/>
        <v>-4.7281241424560179</v>
      </c>
      <c r="AM134">
        <f t="shared" si="64"/>
        <v>0.57743787603562369</v>
      </c>
      <c r="AN134">
        <f t="shared" si="64"/>
        <v>-6.2943692000291538</v>
      </c>
      <c r="AO134">
        <f t="shared" si="64"/>
        <v>-1.2755517799190033</v>
      </c>
      <c r="AP134">
        <f t="shared" si="64"/>
        <v>-3.7207190992702812</v>
      </c>
      <c r="AQ134">
        <f t="shared" si="64"/>
        <v>-3.7207190992702812</v>
      </c>
      <c r="AR134">
        <f t="shared" si="64"/>
        <v>0.89872837808478989</v>
      </c>
      <c r="AS134">
        <f t="shared" si="64"/>
        <v>0.89872837808478989</v>
      </c>
      <c r="AT134">
        <f t="shared" si="64"/>
        <v>0.89872837808478989</v>
      </c>
      <c r="AU134">
        <f t="shared" si="64"/>
        <v>-1.4776517487556224</v>
      </c>
      <c r="AV134">
        <f t="shared" si="64"/>
        <v>1.0016663316807191</v>
      </c>
      <c r="AW134">
        <f t="shared" si="64"/>
        <v>2.4050714210104743E-2</v>
      </c>
      <c r="AX134">
        <f t="shared" si="64"/>
        <v>1.0458163332112667</v>
      </c>
      <c r="AY134">
        <f t="shared" si="64"/>
        <v>-0.17131778392342686</v>
      </c>
      <c r="AZ134">
        <f t="shared" si="64"/>
        <v>-0.17131778392342686</v>
      </c>
      <c r="BA134">
        <f t="shared" si="64"/>
        <v>-4.1393188807655497</v>
      </c>
      <c r="BB134">
        <f t="shared" si="64"/>
        <v>-4.1393188807655497</v>
      </c>
      <c r="BC134">
        <f t="shared" si="64"/>
        <v>-4.1393188807655497</v>
      </c>
      <c r="BD134">
        <f t="shared" si="64"/>
        <v>-4.1393188807655497</v>
      </c>
      <c r="BE134">
        <f t="shared" si="64"/>
        <v>-4.1393188807655497</v>
      </c>
      <c r="BF134">
        <f t="shared" si="64"/>
        <v>-4.1393188807655497</v>
      </c>
      <c r="BG134">
        <f t="shared" si="64"/>
        <v>-5.2767801138291546</v>
      </c>
    </row>
    <row r="135" spans="1:59" x14ac:dyDescent="0.25">
      <c r="C135" t="s">
        <v>1123</v>
      </c>
    </row>
    <row r="136" spans="1:59" x14ac:dyDescent="0.25">
      <c r="A136">
        <v>54.4</v>
      </c>
      <c r="B136">
        <v>382</v>
      </c>
      <c r="C136" t="s">
        <v>1124</v>
      </c>
      <c r="D136" s="7" t="s">
        <v>1125</v>
      </c>
      <c r="E136">
        <f>(1.0128 - E125 - ABS(E119) ) / 0.545</f>
        <v>3.0077677282690597E-2</v>
      </c>
      <c r="F136">
        <f t="shared" ref="F136:BG136" si="65">(1.0128 - F125 - ABS(F119) ) / 0.545</f>
        <v>-1.1627429612366385</v>
      </c>
      <c r="G136">
        <f t="shared" si="65"/>
        <v>-1.4879665967685924</v>
      </c>
      <c r="H136">
        <f t="shared" si="65"/>
        <v>-2.498392327231385</v>
      </c>
      <c r="I136">
        <f t="shared" si="65"/>
        <v>-6.3752956675548376</v>
      </c>
      <c r="J136">
        <f t="shared" si="65"/>
        <v>-8.3156746532734527</v>
      </c>
      <c r="K136">
        <f t="shared" si="65"/>
        <v>-5.7388239442811235</v>
      </c>
      <c r="L136">
        <f t="shared" si="65"/>
        <v>-7.9124003961287084</v>
      </c>
      <c r="M136">
        <f t="shared" si="65"/>
        <v>-1.5217805145449883</v>
      </c>
      <c r="N136">
        <f t="shared" si="65"/>
        <v>1.0012363341992654</v>
      </c>
      <c r="O136">
        <f t="shared" si="65"/>
        <v>-3.6052357248812994</v>
      </c>
      <c r="P136">
        <f t="shared" si="65"/>
        <v>-7.7448285643093513</v>
      </c>
      <c r="Q136">
        <f t="shared" si="65"/>
        <v>0.8095730163083491</v>
      </c>
      <c r="R136">
        <f t="shared" si="65"/>
        <v>-4.2691548083666193</v>
      </c>
      <c r="S136">
        <f t="shared" si="65"/>
        <v>-7.1585435641714366</v>
      </c>
      <c r="T136">
        <f t="shared" si="65"/>
        <v>1.2041068443219638</v>
      </c>
      <c r="U136">
        <f t="shared" si="65"/>
        <v>-7.0197579843911626</v>
      </c>
      <c r="V136">
        <f t="shared" si="65"/>
        <v>-7.5819798688138507</v>
      </c>
      <c r="W136">
        <f t="shared" si="65"/>
        <v>-2.6057650150659573</v>
      </c>
      <c r="X136">
        <f t="shared" si="65"/>
        <v>-5.5378858520308647</v>
      </c>
      <c r="Y136">
        <f t="shared" si="65"/>
        <v>-6.3155418178101881</v>
      </c>
      <c r="Z136">
        <f t="shared" si="65"/>
        <v>-7.9330118874864262</v>
      </c>
      <c r="AA136">
        <f t="shared" si="65"/>
        <v>-1.4879665967685924</v>
      </c>
      <c r="AB136">
        <f t="shared" si="65"/>
        <v>0.7434405782773541</v>
      </c>
      <c r="AC136">
        <f t="shared" si="65"/>
        <v>-7.0529578569286837</v>
      </c>
      <c r="AD136">
        <f t="shared" si="65"/>
        <v>-3.5082025453899197</v>
      </c>
      <c r="AE136">
        <f t="shared" si="65"/>
        <v>-6.3155418178101881</v>
      </c>
      <c r="AF136">
        <f t="shared" si="65"/>
        <v>-0.14098825826582431</v>
      </c>
      <c r="AG136">
        <f t="shared" si="65"/>
        <v>-5.3936047176645552</v>
      </c>
      <c r="AH136">
        <f t="shared" si="65"/>
        <v>-6.4721775991324506</v>
      </c>
      <c r="AI136">
        <f t="shared" si="65"/>
        <v>-7.8811368997435185</v>
      </c>
      <c r="AJ136">
        <f t="shared" si="65"/>
        <v>-0.24164774557619034</v>
      </c>
      <c r="AK136">
        <f t="shared" si="65"/>
        <v>-6.1783584221044023</v>
      </c>
      <c r="AL136">
        <f t="shared" si="65"/>
        <v>-5.7674469747785038</v>
      </c>
      <c r="AM136">
        <f t="shared" si="65"/>
        <v>-0.41675626579272929</v>
      </c>
      <c r="AN136">
        <f t="shared" si="65"/>
        <v>-7.3014674567120501</v>
      </c>
      <c r="AO136">
        <f t="shared" si="65"/>
        <v>-2.3782500289176332</v>
      </c>
      <c r="AP136">
        <f t="shared" si="65"/>
        <v>-4.755271254682409</v>
      </c>
      <c r="AQ136">
        <f t="shared" si="65"/>
        <v>-4.755271254682409</v>
      </c>
      <c r="AR136">
        <f t="shared" si="65"/>
        <v>-0.11424065256057887</v>
      </c>
      <c r="AS136">
        <f t="shared" si="65"/>
        <v>-0.11424065256057887</v>
      </c>
      <c r="AT136">
        <f t="shared" si="65"/>
        <v>-0.11424065256057887</v>
      </c>
      <c r="AU136">
        <f t="shared" si="65"/>
        <v>-2.4215843085059654</v>
      </c>
      <c r="AV136">
        <f t="shared" si="65"/>
        <v>-7.6796671332162211E-2</v>
      </c>
      <c r="AW136">
        <f t="shared" si="65"/>
        <v>-0.95799644708137366</v>
      </c>
      <c r="AX136">
        <f t="shared" si="65"/>
        <v>1.2566227154650432E-2</v>
      </c>
      <c r="AY136">
        <f t="shared" si="65"/>
        <v>-1.1636840109978539</v>
      </c>
      <c r="AZ136">
        <f t="shared" si="65"/>
        <v>-1.1636840109978539</v>
      </c>
      <c r="BA136">
        <f t="shared" si="65"/>
        <v>-5.1162127520872458</v>
      </c>
      <c r="BB136">
        <f t="shared" si="65"/>
        <v>-5.1162127520872458</v>
      </c>
      <c r="BC136">
        <f t="shared" si="65"/>
        <v>-5.1162127520872458</v>
      </c>
      <c r="BD136">
        <f t="shared" si="65"/>
        <v>-5.1162127520872458</v>
      </c>
      <c r="BE136">
        <f t="shared" si="65"/>
        <v>-5.1162127520872458</v>
      </c>
      <c r="BF136">
        <f t="shared" si="65"/>
        <v>-5.1162127520872458</v>
      </c>
      <c r="BG136">
        <f t="shared" si="65"/>
        <v>-6.3155418178101881</v>
      </c>
    </row>
    <row r="137" spans="1:59" x14ac:dyDescent="0.25">
      <c r="C137" t="s">
        <v>1126</v>
      </c>
    </row>
    <row r="138" spans="1:59" x14ac:dyDescent="0.25">
      <c r="C138" t="s">
        <v>1127</v>
      </c>
    </row>
    <row r="139" spans="1:59" x14ac:dyDescent="0.25">
      <c r="C139" t="s">
        <v>1129</v>
      </c>
      <c r="D139" s="7" t="s">
        <v>1128</v>
      </c>
      <c r="E139" s="39">
        <f>1.0128 - E125</f>
        <v>1.0186532763135603</v>
      </c>
      <c r="F139" s="39">
        <f t="shared" ref="F139:BG139" si="66">1.0128 - F125</f>
        <v>1.0196672744305204</v>
      </c>
      <c r="G139" s="39">
        <f t="shared" si="66"/>
        <v>0.98463018141129954</v>
      </c>
      <c r="H139" s="39">
        <f t="shared" si="66"/>
        <v>0.99700532093155314</v>
      </c>
      <c r="I139" s="39">
        <f t="shared" si="66"/>
        <v>1.0184637334974145</v>
      </c>
      <c r="J139" s="39">
        <f t="shared" si="66"/>
        <v>0.99448386553526547</v>
      </c>
      <c r="K139" s="39">
        <f t="shared" si="66"/>
        <v>1.019813649443716</v>
      </c>
      <c r="L139" s="39">
        <f t="shared" si="66"/>
        <v>1.0053998948579241</v>
      </c>
      <c r="M139" s="39">
        <f t="shared" si="66"/>
        <v>1.0134051340714614</v>
      </c>
      <c r="N139" s="39">
        <f t="shared" si="66"/>
        <v>1.0079318530553358</v>
      </c>
      <c r="O139" s="39">
        <f t="shared" si="66"/>
        <v>1.0009344925162964</v>
      </c>
      <c r="P139" s="39">
        <f t="shared" si="66"/>
        <v>1.0092203964362028</v>
      </c>
      <c r="Q139" s="39">
        <f t="shared" si="66"/>
        <v>0.98603687134664186</v>
      </c>
      <c r="R139" s="39">
        <f t="shared" si="66"/>
        <v>0.98913277940987698</v>
      </c>
      <c r="S139" s="39">
        <f t="shared" si="66"/>
        <v>1.0261330682522327</v>
      </c>
      <c r="T139" s="39">
        <f t="shared" si="66"/>
        <v>1.0224238870169045</v>
      </c>
      <c r="U139" s="39">
        <f t="shared" si="66"/>
        <v>1.0038395878941728</v>
      </c>
      <c r="V139" s="39">
        <f t="shared" si="66"/>
        <v>1.0091529988785257</v>
      </c>
      <c r="W139" s="39">
        <f t="shared" si="66"/>
        <v>1.0029280434852708</v>
      </c>
      <c r="X139" s="39">
        <f t="shared" si="66"/>
        <v>1.0095430619940418</v>
      </c>
      <c r="Y139" s="39">
        <f t="shared" si="66"/>
        <v>1.0019874356651686</v>
      </c>
      <c r="Z139" s="39">
        <f t="shared" si="66"/>
        <v>0.98524550790925636</v>
      </c>
      <c r="AA139" s="39">
        <f t="shared" si="66"/>
        <v>0.98463018141129954</v>
      </c>
      <c r="AB139" s="39">
        <f t="shared" si="66"/>
        <v>1.0187602423082835</v>
      </c>
      <c r="AC139" s="39">
        <f t="shared" si="66"/>
        <v>1.0132390439194725</v>
      </c>
      <c r="AD139" s="39">
        <f t="shared" si="66"/>
        <v>1.017199321131425</v>
      </c>
      <c r="AE139" s="39">
        <f t="shared" si="66"/>
        <v>1.0019874356651686</v>
      </c>
      <c r="AF139" s="39">
        <f t="shared" si="66"/>
        <v>0.99464609618281341</v>
      </c>
      <c r="AG139" s="39">
        <f t="shared" si="66"/>
        <v>1.0139259693027811</v>
      </c>
      <c r="AH139" s="39">
        <f t="shared" si="66"/>
        <v>1.0054043173551608</v>
      </c>
      <c r="AI139" s="39">
        <f t="shared" si="66"/>
        <v>0.99922770556048135</v>
      </c>
      <c r="AJ139" s="39">
        <f t="shared" si="66"/>
        <v>1.0031120333954766</v>
      </c>
      <c r="AK139" s="39">
        <f t="shared" si="66"/>
        <v>1.0148923898568694</v>
      </c>
      <c r="AL139" s="39">
        <f t="shared" si="66"/>
        <v>1.0018345281921224</v>
      </c>
      <c r="AM139" s="39">
        <f t="shared" si="66"/>
        <v>1.0141320963517737</v>
      </c>
      <c r="AN139" s="39">
        <f t="shared" si="66"/>
        <v>1.0106157250539105</v>
      </c>
      <c r="AO139" s="39">
        <f t="shared" si="66"/>
        <v>0.98456472714787324</v>
      </c>
      <c r="AP139" s="39">
        <f t="shared" si="66"/>
        <v>1.003134537650195</v>
      </c>
      <c r="AQ139" s="39">
        <f t="shared" si="66"/>
        <v>1.003134537650195</v>
      </c>
      <c r="AR139" s="39">
        <f t="shared" si="66"/>
        <v>1.0090159391491369</v>
      </c>
      <c r="AS139" s="39">
        <f t="shared" si="66"/>
        <v>1.0090159391491369</v>
      </c>
      <c r="AT139" s="39">
        <f t="shared" si="66"/>
        <v>1.0090159391491369</v>
      </c>
      <c r="AU139" s="39">
        <f t="shared" si="66"/>
        <v>1.0278283774680315</v>
      </c>
      <c r="AV139" s="39">
        <f t="shared" si="66"/>
        <v>0.99116883167898973</v>
      </c>
      <c r="AW139" s="39">
        <f t="shared" si="66"/>
        <v>1.017442148548072</v>
      </c>
      <c r="AX139" s="39">
        <f t="shared" si="66"/>
        <v>1.003489346099572</v>
      </c>
      <c r="AY139" s="39">
        <f t="shared" si="66"/>
        <v>1.0146302031222185</v>
      </c>
      <c r="AZ139" s="39">
        <f t="shared" si="66"/>
        <v>1.0146302031222185</v>
      </c>
      <c r="BA139" s="39">
        <f t="shared" si="66"/>
        <v>1.0188464200648377</v>
      </c>
      <c r="BB139" s="39">
        <f t="shared" si="66"/>
        <v>1.0188464200648377</v>
      </c>
      <c r="BC139" s="39">
        <f t="shared" si="66"/>
        <v>1.0188464200648377</v>
      </c>
      <c r="BD139" s="39">
        <f t="shared" si="66"/>
        <v>1.0188464200648377</v>
      </c>
      <c r="BE139" s="39">
        <f t="shared" si="66"/>
        <v>1.0188464200648377</v>
      </c>
      <c r="BF139" s="39">
        <f t="shared" si="66"/>
        <v>1.0188464200648377</v>
      </c>
      <c r="BG139" s="39">
        <f t="shared" si="66"/>
        <v>1.0019874356651686</v>
      </c>
    </row>
    <row r="140" spans="1:59" x14ac:dyDescent="0.25">
      <c r="C140" t="s">
        <v>1130</v>
      </c>
      <c r="D140" s="7" t="s">
        <v>1131</v>
      </c>
      <c r="E140" s="39">
        <f>0.4678 - E125</f>
        <v>0.47365327631356036</v>
      </c>
      <c r="F140" s="39">
        <f t="shared" ref="F140:BG140" si="67">0.4678 - F125</f>
        <v>0.47466727443052054</v>
      </c>
      <c r="G140" s="39">
        <f t="shared" si="67"/>
        <v>0.43963018141129961</v>
      </c>
      <c r="H140" s="39">
        <f t="shared" si="67"/>
        <v>0.45200532093155321</v>
      </c>
      <c r="I140" s="39">
        <f t="shared" si="67"/>
        <v>0.4734637334974145</v>
      </c>
      <c r="J140" s="39">
        <f t="shared" si="67"/>
        <v>0.44948386553526554</v>
      </c>
      <c r="K140" s="39">
        <f t="shared" si="67"/>
        <v>0.47481364944371607</v>
      </c>
      <c r="L140" s="39">
        <f t="shared" si="67"/>
        <v>0.46039989485792421</v>
      </c>
      <c r="M140" s="39">
        <f t="shared" si="67"/>
        <v>0.46840513407146145</v>
      </c>
      <c r="N140" s="39">
        <f t="shared" si="67"/>
        <v>0.46293185305533602</v>
      </c>
      <c r="O140" s="39">
        <f t="shared" si="67"/>
        <v>0.45593449251629659</v>
      </c>
      <c r="P140" s="39">
        <f t="shared" si="67"/>
        <v>0.46422039643620289</v>
      </c>
      <c r="Q140" s="39">
        <f t="shared" si="67"/>
        <v>0.44103687134664188</v>
      </c>
      <c r="R140" s="39">
        <f t="shared" si="67"/>
        <v>0.444132779409877</v>
      </c>
      <c r="S140" s="39">
        <f t="shared" si="67"/>
        <v>0.48113306825223279</v>
      </c>
      <c r="T140" s="39">
        <f t="shared" si="67"/>
        <v>0.47742388701690464</v>
      </c>
      <c r="U140" s="39">
        <f t="shared" si="67"/>
        <v>0.45883958789417301</v>
      </c>
      <c r="V140" s="39">
        <f t="shared" si="67"/>
        <v>0.46415299887852574</v>
      </c>
      <c r="W140" s="39">
        <f t="shared" si="67"/>
        <v>0.45792804348527077</v>
      </c>
      <c r="X140" s="39">
        <f t="shared" si="67"/>
        <v>0.46454306199404177</v>
      </c>
      <c r="Y140" s="39">
        <f t="shared" si="67"/>
        <v>0.45698743566516864</v>
      </c>
      <c r="Z140" s="39">
        <f t="shared" si="67"/>
        <v>0.44024550790925637</v>
      </c>
      <c r="AA140" s="39">
        <f t="shared" si="67"/>
        <v>0.43963018141129961</v>
      </c>
      <c r="AB140" s="39">
        <f t="shared" si="67"/>
        <v>0.47376024230828362</v>
      </c>
      <c r="AC140" s="39">
        <f t="shared" si="67"/>
        <v>0.46823904391947263</v>
      </c>
      <c r="AD140" s="39">
        <f t="shared" si="67"/>
        <v>0.47219932113142504</v>
      </c>
      <c r="AE140" s="39">
        <f t="shared" si="67"/>
        <v>0.45698743566516864</v>
      </c>
      <c r="AF140" s="39">
        <f t="shared" si="67"/>
        <v>0.44964609618281348</v>
      </c>
      <c r="AG140" s="39">
        <f t="shared" si="67"/>
        <v>0.4689259693027813</v>
      </c>
      <c r="AH140" s="39">
        <f t="shared" si="67"/>
        <v>0.46040431735516085</v>
      </c>
      <c r="AI140" s="39">
        <f t="shared" si="67"/>
        <v>0.45422770556048142</v>
      </c>
      <c r="AJ140" s="39">
        <f t="shared" si="67"/>
        <v>0.45811203339547663</v>
      </c>
      <c r="AK140" s="39">
        <f t="shared" si="67"/>
        <v>0.46989238985686954</v>
      </c>
      <c r="AL140" s="39">
        <f t="shared" si="67"/>
        <v>0.4568345281921225</v>
      </c>
      <c r="AM140" s="39">
        <f t="shared" si="67"/>
        <v>0.46913209635177383</v>
      </c>
      <c r="AN140" s="39">
        <f t="shared" si="67"/>
        <v>0.46561572505391063</v>
      </c>
      <c r="AO140" s="39">
        <f t="shared" si="67"/>
        <v>0.43956472714787326</v>
      </c>
      <c r="AP140" s="39">
        <f t="shared" si="67"/>
        <v>0.45813453765019507</v>
      </c>
      <c r="AQ140" s="39">
        <f t="shared" si="67"/>
        <v>0.45813453765019507</v>
      </c>
      <c r="AR140" s="39">
        <f t="shared" si="67"/>
        <v>0.46401593914913702</v>
      </c>
      <c r="AS140" s="39">
        <f t="shared" si="67"/>
        <v>0.46401593914913702</v>
      </c>
      <c r="AT140" s="39">
        <f t="shared" si="67"/>
        <v>0.46401593914913702</v>
      </c>
      <c r="AU140" s="39">
        <f t="shared" si="67"/>
        <v>0.48282837746803153</v>
      </c>
      <c r="AV140" s="39">
        <f t="shared" si="67"/>
        <v>0.4461688316789898</v>
      </c>
      <c r="AW140" s="39">
        <f t="shared" si="67"/>
        <v>0.47244214854807204</v>
      </c>
      <c r="AX140" s="39">
        <f t="shared" si="67"/>
        <v>0.45848934609957209</v>
      </c>
      <c r="AY140" s="39">
        <f t="shared" si="67"/>
        <v>0.46963020312221854</v>
      </c>
      <c r="AZ140" s="39">
        <f t="shared" si="67"/>
        <v>0.46963020312221854</v>
      </c>
      <c r="BA140" s="39">
        <f t="shared" si="67"/>
        <v>0.47384642006483779</v>
      </c>
      <c r="BB140" s="39">
        <f t="shared" si="67"/>
        <v>0.47384642006483779</v>
      </c>
      <c r="BC140" s="39">
        <f t="shared" si="67"/>
        <v>0.47384642006483779</v>
      </c>
      <c r="BD140" s="39">
        <f t="shared" si="67"/>
        <v>0.47384642006483779</v>
      </c>
      <c r="BE140" s="39">
        <f t="shared" si="67"/>
        <v>0.47384642006483779</v>
      </c>
      <c r="BF140" s="39">
        <f t="shared" si="67"/>
        <v>0.47384642006483779</v>
      </c>
      <c r="BG140" s="39">
        <f t="shared" si="67"/>
        <v>0.45698743566516864</v>
      </c>
    </row>
    <row r="141" spans="1:59" x14ac:dyDescent="0.25">
      <c r="C141" t="s">
        <v>1142</v>
      </c>
      <c r="D141" s="7" t="s">
        <v>1132</v>
      </c>
      <c r="E141" s="15">
        <f>0.5458 + 0.04 *COS(E10*Deg2Rad)</f>
        <v>0.57402200297268058</v>
      </c>
      <c r="F141" s="15">
        <f>0.5458 + 0.04 *COS(F10*Deg2Rad)</f>
        <v>0.57526576185187839</v>
      </c>
      <c r="G141" s="15">
        <f>0.5458 + 0.04 *COS(G10*Deg2Rad)</f>
        <v>0.5085997729051438</v>
      </c>
      <c r="H141" s="15">
        <f>0.5458 + 0.04 *COS(H10*Deg2Rad)</f>
        <v>0.53328079262534323</v>
      </c>
      <c r="I141" s="15">
        <f>0.5458 + 0.04 *COS(I10*Deg2Rad)</f>
        <v>0.58013877802065439</v>
      </c>
      <c r="J141" s="15">
        <f>0.5458 + 0.04 *COS(J10*Deg2Rad)</f>
        <v>0.50822676188751426</v>
      </c>
      <c r="K141" s="15">
        <f>0.5458 + 0.04 *COS(K10*Deg2Rad)</f>
        <v>0.5835423442657709</v>
      </c>
      <c r="L141" s="15">
        <f>0.5458 + 0.04 *COS(L10*Deg2Rad)</f>
        <v>0.53228812878599197</v>
      </c>
      <c r="M141" s="15">
        <f>0.5458 + 0.04 *COS(M10*Deg2Rad)</f>
        <v>0.56932615289879918</v>
      </c>
      <c r="N141" s="15">
        <f>0.5458 + 0.04 *COS(N10*Deg2Rad)</f>
        <v>0.55639314252060024</v>
      </c>
      <c r="O141" s="15">
        <f>0.5458 + 0.04 *COS(O10*Deg2Rad)</f>
        <v>0.53952609232345494</v>
      </c>
      <c r="P141" s="15">
        <f>0.5458 + 0.04 *COS(P10*Deg2Rad)</f>
        <v>0.54604300553147933</v>
      </c>
      <c r="Q141" s="15">
        <f>0.5458 + 0.04 *COS(Q10*Deg2Rad)</f>
        <v>0.50802224184844114</v>
      </c>
      <c r="R141" s="15">
        <f>0.5458 + 0.04 *COS(R10*Deg2Rad)</f>
        <v>0.51751810008839139</v>
      </c>
      <c r="S141" s="15">
        <f>0.5458 + 0.04 *COS(S10*Deg2Rad)</f>
        <v>0.58099248090061328</v>
      </c>
      <c r="T141" s="15">
        <f>0.5458 + 0.04 *COS(T10*Deg2Rad)</f>
        <v>0.57200596967684958</v>
      </c>
      <c r="U141" s="15">
        <f>0.5458 + 0.04 *COS(U10*Deg2Rad)</f>
        <v>0.53585280793480872</v>
      </c>
      <c r="V141" s="15">
        <f>0.5458 + 0.04 *COS(V10*Deg2Rad)</f>
        <v>0.55233727105485486</v>
      </c>
      <c r="W141" s="15">
        <f>0.5458 + 0.04 *COS(W10*Deg2Rad)</f>
        <v>0.53323656723480473</v>
      </c>
      <c r="X141" s="15">
        <f>0.5458 + 0.04 *COS(X10*Deg2Rad)</f>
        <v>0.54507085010705303</v>
      </c>
      <c r="Y141" s="15">
        <f>0.5458 + 0.04 *COS(Y10*Deg2Rad)</f>
        <v>0.54205500455036326</v>
      </c>
      <c r="Z141" s="15">
        <f>0.5458 + 0.04 *COS(Z10*Deg2Rad)</f>
        <v>0.50984186707686274</v>
      </c>
      <c r="AA141" s="15">
        <f>0.5458 + 0.04 *COS(AA10*Deg2Rad)</f>
        <v>0.5085997729051438</v>
      </c>
      <c r="AB141" s="15">
        <f>0.5458 + 0.04 *COS(AB10*Deg2Rad)</f>
        <v>0.56166543258203472</v>
      </c>
      <c r="AC141" s="15">
        <f>0.5458 + 0.04 *COS(AC10*Deg2Rad)</f>
        <v>0.56778697165091163</v>
      </c>
      <c r="AD141" s="15">
        <f>0.5458 + 0.04 *COS(AD10*Deg2Rad)</f>
        <v>0.56693229832351399</v>
      </c>
      <c r="AE141" s="15">
        <f>0.5458 + 0.04 *COS(AE10*Deg2Rad)</f>
        <v>0.54205500455036326</v>
      </c>
      <c r="AF141" s="15">
        <f>0.5458 + 0.04 *COS(AF10*Deg2Rad)</f>
        <v>0.52858523761901777</v>
      </c>
      <c r="AG141" s="15">
        <f>0.5458 + 0.04 *COS(AG10*Deg2Rad)</f>
        <v>0.56342444776104239</v>
      </c>
      <c r="AH141" s="15">
        <f>0.5458 + 0.04 *COS(AH10*Deg2Rad)</f>
        <v>0.54406808451300426</v>
      </c>
      <c r="AI141" s="15">
        <f>0.5458 + 0.04 *COS(AI10*Deg2Rad)</f>
        <v>0.52772663404033693</v>
      </c>
      <c r="AJ141" s="15">
        <f>0.5458 + 0.04 *COS(AJ10*Deg2Rad)</f>
        <v>0.52862724268461814</v>
      </c>
      <c r="AK141" s="15">
        <f>0.5458 + 0.04 *COS(AK10*Deg2Rad)</f>
        <v>0.57273157829178845</v>
      </c>
      <c r="AL141" s="15">
        <f>0.5458 + 0.04 *COS(AL10*Deg2Rad)</f>
        <v>0.5304173367124182</v>
      </c>
      <c r="AM141" s="15">
        <f>0.5458 + 0.04 *COS(AM10*Deg2Rad)</f>
        <v>0.5530514714062037</v>
      </c>
      <c r="AN141" s="15">
        <f>0.5458 + 0.04 *COS(AN10*Deg2Rad)</f>
        <v>0.55206779445631882</v>
      </c>
      <c r="AO141" s="15">
        <f>0.5458 + 0.04 *COS(AO10*Deg2Rad)</f>
        <v>0.50617455770354625</v>
      </c>
      <c r="AP141" s="15">
        <f>0.5458 + 0.04 *COS(AP10*Deg2Rad)</f>
        <v>0.53620691939291498</v>
      </c>
      <c r="AQ141" s="15">
        <f>0.5458 + 0.04 *COS(AQ10*Deg2Rad)</f>
        <v>0.53620691939291498</v>
      </c>
      <c r="AR141" s="15">
        <f>0.5458 + 0.04 *COS(AR10*Deg2Rad)</f>
        <v>0.55407590605111467</v>
      </c>
      <c r="AS141" s="15">
        <f>0.5458 + 0.04 *COS(AS10*Deg2Rad)</f>
        <v>0.55407590605111467</v>
      </c>
      <c r="AT141" s="15">
        <f>0.5458 + 0.04 *COS(AT10*Deg2Rad)</f>
        <v>0.55407590605111467</v>
      </c>
      <c r="AU141" s="15">
        <f>0.5458 + 0.04 *COS(AU10*Deg2Rad)</f>
        <v>0.58489565498417051</v>
      </c>
      <c r="AV141" s="15">
        <f>0.5458 + 0.04 *COS(AV10*Deg2Rad)</f>
        <v>0.50610904089191133</v>
      </c>
      <c r="AW141" s="15">
        <f>0.5458 + 0.04 *COS(AW10*Deg2Rad)</f>
        <v>0.57846682151513018</v>
      </c>
      <c r="AX141" s="15">
        <f>0.5458 + 0.04 *COS(AX10*Deg2Rad)</f>
        <v>0.53226653261214807</v>
      </c>
      <c r="AY141" s="15">
        <f>0.5458 + 0.04 *COS(AY10*Deg2Rad)</f>
        <v>0.57029285731001933</v>
      </c>
      <c r="AZ141" s="15">
        <f>0.5458 + 0.04 *COS(AZ10*Deg2Rad)</f>
        <v>0.57029285731001933</v>
      </c>
      <c r="BA141" s="15">
        <f>0.5458 + 0.04 *COS(BA10*Deg2Rad)</f>
        <v>0.58162054722958401</v>
      </c>
      <c r="BB141" s="15">
        <f>0.5458 + 0.04 *COS(BB10*Deg2Rad)</f>
        <v>0.58162054722958401</v>
      </c>
      <c r="BC141" s="15">
        <f>0.5458 + 0.04 *COS(BC10*Deg2Rad)</f>
        <v>0.58162054722958401</v>
      </c>
      <c r="BD141" s="15">
        <f>0.5458 + 0.04 *COS(BD10*Deg2Rad)</f>
        <v>0.58162054722958401</v>
      </c>
      <c r="BE141" s="15">
        <f>0.5458 + 0.04 *COS(BE10*Deg2Rad)</f>
        <v>0.58162054722958401</v>
      </c>
      <c r="BF141" s="15">
        <f>0.5458 + 0.04 *COS(BF10*Deg2Rad)</f>
        <v>0.58162054722958401</v>
      </c>
      <c r="BG141" s="15">
        <f>0.5458 + 0.04 *COS(BG10*Deg2Rad)</f>
        <v>0.54205500455036326</v>
      </c>
    </row>
    <row r="142" spans="1:59" x14ac:dyDescent="0.25">
      <c r="B142">
        <v>383</v>
      </c>
      <c r="C142" t="s">
        <v>1133</v>
      </c>
      <c r="D142" s="7" t="s">
        <v>724</v>
      </c>
      <c r="E142" s="39">
        <f>1.5573 + E125</f>
        <v>1.5514467236864395</v>
      </c>
      <c r="F142" s="39">
        <f t="shared" ref="F142:BG142" si="68">1.5573 + F125</f>
        <v>1.5504327255694794</v>
      </c>
      <c r="G142" s="39">
        <f t="shared" si="68"/>
        <v>1.5854698185887004</v>
      </c>
      <c r="H142" s="39">
        <f t="shared" si="68"/>
        <v>1.5730946790684466</v>
      </c>
      <c r="I142" s="39">
        <f t="shared" si="68"/>
        <v>1.5516362665025853</v>
      </c>
      <c r="J142" s="39">
        <f t="shared" si="68"/>
        <v>1.5756161344647344</v>
      </c>
      <c r="K142" s="39">
        <f t="shared" si="68"/>
        <v>1.5502863505562838</v>
      </c>
      <c r="L142" s="39">
        <f t="shared" si="68"/>
        <v>1.5647001051420757</v>
      </c>
      <c r="M142" s="39">
        <f t="shared" si="68"/>
        <v>1.5566948659285385</v>
      </c>
      <c r="N142" s="39">
        <f t="shared" si="68"/>
        <v>1.562168146944664</v>
      </c>
      <c r="O142" s="39">
        <f t="shared" si="68"/>
        <v>1.5691655074837034</v>
      </c>
      <c r="P142" s="39">
        <f t="shared" si="68"/>
        <v>1.5608796035637971</v>
      </c>
      <c r="Q142" s="39">
        <f t="shared" si="68"/>
        <v>1.584063128653358</v>
      </c>
      <c r="R142" s="39">
        <f t="shared" si="68"/>
        <v>1.5809672205901228</v>
      </c>
      <c r="S142" s="39">
        <f t="shared" si="68"/>
        <v>1.5439669317477671</v>
      </c>
      <c r="T142" s="39">
        <f t="shared" si="68"/>
        <v>1.5476761129830954</v>
      </c>
      <c r="U142" s="39">
        <f t="shared" si="68"/>
        <v>1.566260412105827</v>
      </c>
      <c r="V142" s="39">
        <f t="shared" si="68"/>
        <v>1.5609470011214741</v>
      </c>
      <c r="W142" s="39">
        <f t="shared" si="68"/>
        <v>1.5671719565147291</v>
      </c>
      <c r="X142" s="39">
        <f t="shared" si="68"/>
        <v>1.5605569380059581</v>
      </c>
      <c r="Y142" s="39">
        <f t="shared" si="68"/>
        <v>1.5681125643348313</v>
      </c>
      <c r="Z142" s="39">
        <f t="shared" si="68"/>
        <v>1.5848544920907435</v>
      </c>
      <c r="AA142" s="39">
        <f t="shared" si="68"/>
        <v>1.5854698185887004</v>
      </c>
      <c r="AB142" s="39">
        <f t="shared" si="68"/>
        <v>1.5513397576917163</v>
      </c>
      <c r="AC142" s="39">
        <f t="shared" si="68"/>
        <v>1.5568609560805273</v>
      </c>
      <c r="AD142" s="39">
        <f t="shared" si="68"/>
        <v>1.5529006788685749</v>
      </c>
      <c r="AE142" s="39">
        <f t="shared" si="68"/>
        <v>1.5681125643348313</v>
      </c>
      <c r="AF142" s="39">
        <f t="shared" si="68"/>
        <v>1.5754539038171864</v>
      </c>
      <c r="AG142" s="39">
        <f t="shared" si="68"/>
        <v>1.5561740306972187</v>
      </c>
      <c r="AH142" s="39">
        <f t="shared" si="68"/>
        <v>1.564695682644839</v>
      </c>
      <c r="AI142" s="39">
        <f t="shared" si="68"/>
        <v>1.5708722944395186</v>
      </c>
      <c r="AJ142" s="39">
        <f t="shared" si="68"/>
        <v>1.5669879666045232</v>
      </c>
      <c r="AK142" s="39">
        <f t="shared" si="68"/>
        <v>1.5552076101431305</v>
      </c>
      <c r="AL142" s="39">
        <f t="shared" si="68"/>
        <v>1.5682654718078775</v>
      </c>
      <c r="AM142" s="39">
        <f t="shared" si="68"/>
        <v>1.5559679036482261</v>
      </c>
      <c r="AN142" s="39">
        <f t="shared" si="68"/>
        <v>1.5594842749460893</v>
      </c>
      <c r="AO142" s="39">
        <f t="shared" si="68"/>
        <v>1.5855352728521266</v>
      </c>
      <c r="AP142" s="39">
        <f t="shared" si="68"/>
        <v>1.5669654623498048</v>
      </c>
      <c r="AQ142" s="39">
        <f t="shared" si="68"/>
        <v>1.5669654623498048</v>
      </c>
      <c r="AR142" s="39">
        <f t="shared" si="68"/>
        <v>1.5610840608508629</v>
      </c>
      <c r="AS142" s="39">
        <f t="shared" si="68"/>
        <v>1.5610840608508629</v>
      </c>
      <c r="AT142" s="39">
        <f t="shared" si="68"/>
        <v>1.5610840608508629</v>
      </c>
      <c r="AU142" s="39">
        <f t="shared" si="68"/>
        <v>1.5422716225319684</v>
      </c>
      <c r="AV142" s="39">
        <f t="shared" si="68"/>
        <v>1.5789311683210101</v>
      </c>
      <c r="AW142" s="39">
        <f t="shared" si="68"/>
        <v>1.5526578514519278</v>
      </c>
      <c r="AX142" s="39">
        <f t="shared" si="68"/>
        <v>1.5666106539004279</v>
      </c>
      <c r="AY142" s="39">
        <f t="shared" si="68"/>
        <v>1.5554697968777813</v>
      </c>
      <c r="AZ142" s="39">
        <f t="shared" si="68"/>
        <v>1.5554697968777813</v>
      </c>
      <c r="BA142" s="39">
        <f t="shared" si="68"/>
        <v>1.5512535799351621</v>
      </c>
      <c r="BB142" s="39">
        <f t="shared" si="68"/>
        <v>1.5512535799351621</v>
      </c>
      <c r="BC142" s="39">
        <f t="shared" si="68"/>
        <v>1.5512535799351621</v>
      </c>
      <c r="BD142" s="39">
        <f t="shared" si="68"/>
        <v>1.5512535799351621</v>
      </c>
      <c r="BE142" s="39">
        <f t="shared" si="68"/>
        <v>1.5512535799351621</v>
      </c>
      <c r="BF142" s="39">
        <f t="shared" si="68"/>
        <v>1.5512535799351621</v>
      </c>
      <c r="BG142" s="39">
        <f t="shared" si="68"/>
        <v>1.5681125643348313</v>
      </c>
    </row>
    <row r="143" spans="1:59" x14ac:dyDescent="0.25">
      <c r="C143" s="8" t="s">
        <v>1172</v>
      </c>
    </row>
    <row r="144" spans="1:59" x14ac:dyDescent="0.25">
      <c r="B144">
        <v>383</v>
      </c>
      <c r="C144" t="s">
        <v>1173</v>
      </c>
      <c r="D144" s="7" t="s">
        <v>1174</v>
      </c>
      <c r="E144">
        <f>(60/E141)*SQRT(ABS(E140^2 - E119^2))</f>
        <v>92.325144794140698</v>
      </c>
      <c r="F144">
        <f t="shared" ref="F144:BG144" si="69">(60/F141)*SQRT(ABS(F140^2 - F119^2))</f>
        <v>165.18562335325271</v>
      </c>
      <c r="G144">
        <f t="shared" si="69"/>
        <v>205.37804537220273</v>
      </c>
      <c r="H144">
        <f t="shared" si="69"/>
        <v>260.4533806954226</v>
      </c>
      <c r="I144">
        <f t="shared" si="69"/>
        <v>462.09466237136775</v>
      </c>
      <c r="J144">
        <f t="shared" si="69"/>
        <v>650.28659355514162</v>
      </c>
      <c r="K144">
        <f t="shared" si="69"/>
        <v>423.64062891796618</v>
      </c>
      <c r="L144">
        <f t="shared" si="69"/>
        <v>597.16041929540961</v>
      </c>
      <c r="M144">
        <f t="shared" si="69"/>
        <v>187.82740389844415</v>
      </c>
      <c r="N144">
        <f t="shared" si="69"/>
        <v>2.6924715105601802</v>
      </c>
      <c r="O144">
        <f t="shared" si="69"/>
        <v>325.90075852879784</v>
      </c>
      <c r="P144">
        <f t="shared" si="69"/>
        <v>572.4284817268956</v>
      </c>
      <c r="Q144">
        <f t="shared" si="69"/>
        <v>37.777904105870142</v>
      </c>
      <c r="R144">
        <f t="shared" si="69"/>
        <v>380.96559515478259</v>
      </c>
      <c r="S144">
        <f t="shared" si="69"/>
        <v>506.44308530747657</v>
      </c>
      <c r="T144">
        <f t="shared" si="69"/>
        <v>32.132792273770129</v>
      </c>
      <c r="U144">
        <f t="shared" si="69"/>
        <v>538.33015955960445</v>
      </c>
      <c r="V144">
        <f t="shared" si="69"/>
        <v>556.21858481513652</v>
      </c>
      <c r="W144">
        <f t="shared" si="69"/>
        <v>267.73168286965944</v>
      </c>
      <c r="X144">
        <f t="shared" si="69"/>
        <v>440.3990693042818</v>
      </c>
      <c r="Y144">
        <f t="shared" si="69"/>
        <v>489.29334996271035</v>
      </c>
      <c r="Z144">
        <f t="shared" si="69"/>
        <v>622.59905148122095</v>
      </c>
      <c r="AA144">
        <f t="shared" si="69"/>
        <v>205.37804537220273</v>
      </c>
      <c r="AB144">
        <f t="shared" si="69"/>
        <v>41.653312437465686</v>
      </c>
      <c r="AC144">
        <f t="shared" si="69"/>
        <v>510.87596014281598</v>
      </c>
      <c r="AD144">
        <f t="shared" si="69"/>
        <v>305.94748561940145</v>
      </c>
      <c r="AE144">
        <f t="shared" si="69"/>
        <v>489.29334996271035</v>
      </c>
      <c r="AF144">
        <f t="shared" si="69"/>
        <v>110.39727109373041</v>
      </c>
      <c r="AG144">
        <f t="shared" si="69"/>
        <v>418.03637336757197</v>
      </c>
      <c r="AH144">
        <f t="shared" si="69"/>
        <v>497.28682278684937</v>
      </c>
      <c r="AI144">
        <f t="shared" si="69"/>
        <v>599.73397122725873</v>
      </c>
      <c r="AJ144">
        <f t="shared" si="69"/>
        <v>117.84100297949153</v>
      </c>
      <c r="AK144">
        <f t="shared" si="69"/>
        <v>456.42654667574186</v>
      </c>
      <c r="AL144">
        <f t="shared" si="69"/>
        <v>466.03025833191384</v>
      </c>
      <c r="AM144">
        <f t="shared" si="69"/>
        <v>124.67515072522245</v>
      </c>
      <c r="AN144">
        <f t="shared" si="69"/>
        <v>539.94937906478458</v>
      </c>
      <c r="AO144">
        <f t="shared" si="69"/>
        <v>265.27819060270321</v>
      </c>
      <c r="AP144">
        <f t="shared" si="69"/>
        <v>398.96288607037684</v>
      </c>
      <c r="AQ144">
        <f t="shared" si="69"/>
        <v>398.96288607037684</v>
      </c>
      <c r="AR144">
        <f t="shared" si="69"/>
        <v>104.55995210596551</v>
      </c>
      <c r="AS144">
        <f t="shared" si="69"/>
        <v>104.55995210596551</v>
      </c>
      <c r="AT144">
        <f t="shared" si="69"/>
        <v>104.55995210596551</v>
      </c>
      <c r="AU144">
        <f t="shared" si="69"/>
        <v>235.67319357809367</v>
      </c>
      <c r="AV144">
        <f t="shared" si="69"/>
        <v>110.45477894429246</v>
      </c>
      <c r="AW144">
        <f t="shared" si="69"/>
        <v>151.98130184944722</v>
      </c>
      <c r="AX144">
        <f t="shared" si="69"/>
        <v>99.752833832440942</v>
      </c>
      <c r="AY144">
        <f t="shared" si="69"/>
        <v>166.28744520840175</v>
      </c>
      <c r="AZ144">
        <f t="shared" si="69"/>
        <v>166.28744520840175</v>
      </c>
      <c r="BA144">
        <f t="shared" si="69"/>
        <v>389.69526330920456</v>
      </c>
      <c r="BB144">
        <f t="shared" si="69"/>
        <v>389.69526330920456</v>
      </c>
      <c r="BC144">
        <f t="shared" si="69"/>
        <v>389.69526330920456</v>
      </c>
      <c r="BD144">
        <f t="shared" si="69"/>
        <v>389.69526330920456</v>
      </c>
      <c r="BE144">
        <f t="shared" si="69"/>
        <v>389.69526330920456</v>
      </c>
      <c r="BF144">
        <f t="shared" si="69"/>
        <v>389.69526330920456</v>
      </c>
      <c r="BG144">
        <f t="shared" si="69"/>
        <v>489.29334996271035</v>
      </c>
    </row>
    <row r="145" spans="2:59" x14ac:dyDescent="0.25">
      <c r="B145">
        <v>383</v>
      </c>
      <c r="C145" t="s">
        <v>1176</v>
      </c>
      <c r="D145" s="7" t="s">
        <v>1177</v>
      </c>
      <c r="E145">
        <f>(60/E141)*SQRT(E139^2 - E140^2)</f>
        <v>94.264894267564472</v>
      </c>
      <c r="F145">
        <f t="shared" ref="F145:BG145" si="70">(60/F141)*SQRT(F139^2 - F140^2)</f>
        <v>94.124979230960406</v>
      </c>
      <c r="G145">
        <f t="shared" si="70"/>
        <v>103.93648695546153</v>
      </c>
      <c r="H145">
        <f t="shared" si="70"/>
        <v>99.983732920581929</v>
      </c>
      <c r="I145">
        <f t="shared" si="70"/>
        <v>93.259151644534043</v>
      </c>
      <c r="J145">
        <f t="shared" si="70"/>
        <v>104.72990639970055</v>
      </c>
      <c r="K145">
        <f t="shared" si="70"/>
        <v>92.799060813358594</v>
      </c>
      <c r="L145">
        <f t="shared" si="70"/>
        <v>100.74883861595418</v>
      </c>
      <c r="M145">
        <f t="shared" si="70"/>
        <v>94.707564227629817</v>
      </c>
      <c r="N145">
        <f t="shared" si="70"/>
        <v>96.550371393687229</v>
      </c>
      <c r="O145">
        <f t="shared" si="70"/>
        <v>99.093985936492757</v>
      </c>
      <c r="P145">
        <f t="shared" si="70"/>
        <v>98.466612590075968</v>
      </c>
      <c r="Q145">
        <f t="shared" si="70"/>
        <v>104.15736455024042</v>
      </c>
      <c r="R145">
        <f t="shared" si="70"/>
        <v>102.4677712887875</v>
      </c>
      <c r="S145">
        <f t="shared" si="70"/>
        <v>93.599593081581773</v>
      </c>
      <c r="T145">
        <f t="shared" si="70"/>
        <v>94.835847949663048</v>
      </c>
      <c r="U145">
        <f t="shared" si="70"/>
        <v>99.972034386132748</v>
      </c>
      <c r="V145">
        <f t="shared" si="70"/>
        <v>97.340064585449312</v>
      </c>
      <c r="W145">
        <f t="shared" si="70"/>
        <v>100.39990336825988</v>
      </c>
      <c r="X145">
        <f t="shared" si="70"/>
        <v>98.663830769623971</v>
      </c>
      <c r="Y145">
        <f t="shared" si="70"/>
        <v>98.702930939390455</v>
      </c>
      <c r="Z145">
        <f t="shared" si="70"/>
        <v>103.7280581878545</v>
      </c>
      <c r="AA145">
        <f t="shared" si="70"/>
        <v>103.93648695546153</v>
      </c>
      <c r="AB145">
        <f t="shared" si="70"/>
        <v>96.345615487319094</v>
      </c>
      <c r="AC145">
        <f t="shared" si="70"/>
        <v>94.953656787060737</v>
      </c>
      <c r="AD145">
        <f t="shared" si="70"/>
        <v>95.350676516009798</v>
      </c>
      <c r="AE145">
        <f t="shared" si="70"/>
        <v>98.702930939390455</v>
      </c>
      <c r="AF145">
        <f t="shared" si="70"/>
        <v>100.70754366935269</v>
      </c>
      <c r="AG145">
        <f t="shared" si="70"/>
        <v>95.733229205547417</v>
      </c>
      <c r="AH145">
        <f t="shared" si="70"/>
        <v>98.567760379591533</v>
      </c>
      <c r="AI145">
        <f t="shared" si="70"/>
        <v>101.19087348102668</v>
      </c>
      <c r="AJ145">
        <f t="shared" si="70"/>
        <v>101.28808708148071</v>
      </c>
      <c r="AK145">
        <f t="shared" si="70"/>
        <v>94.238882138254993</v>
      </c>
      <c r="AL145">
        <f t="shared" si="70"/>
        <v>100.85795915071985</v>
      </c>
      <c r="AM145">
        <f t="shared" si="70"/>
        <v>97.542348037435914</v>
      </c>
      <c r="AN145">
        <f t="shared" si="70"/>
        <v>97.484218729200123</v>
      </c>
      <c r="AO145">
        <f t="shared" si="70"/>
        <v>104.42967438194891</v>
      </c>
      <c r="AP145">
        <f t="shared" si="70"/>
        <v>99.857843812412469</v>
      </c>
      <c r="AQ145">
        <f t="shared" si="70"/>
        <v>99.857843812412469</v>
      </c>
      <c r="AR145">
        <f t="shared" si="70"/>
        <v>97.025593736000857</v>
      </c>
      <c r="AS145">
        <f t="shared" si="70"/>
        <v>97.025593736000857</v>
      </c>
      <c r="AT145">
        <f t="shared" si="70"/>
        <v>97.025593736000857</v>
      </c>
      <c r="AU145">
        <f t="shared" si="70"/>
        <v>93.079492109722949</v>
      </c>
      <c r="AV145">
        <f t="shared" si="70"/>
        <v>104.92640880143711</v>
      </c>
      <c r="AW145">
        <f t="shared" si="70"/>
        <v>93.464635860580444</v>
      </c>
      <c r="AX145">
        <f t="shared" si="70"/>
        <v>100.6215175974601</v>
      </c>
      <c r="AY145">
        <f t="shared" si="70"/>
        <v>94.625158617643663</v>
      </c>
      <c r="AZ145">
        <f t="shared" si="70"/>
        <v>94.625158617643663</v>
      </c>
      <c r="BA145">
        <f t="shared" si="70"/>
        <v>93.045416803903436</v>
      </c>
      <c r="BB145">
        <f t="shared" si="70"/>
        <v>93.045416803903436</v>
      </c>
      <c r="BC145">
        <f t="shared" si="70"/>
        <v>93.045416803903436</v>
      </c>
      <c r="BD145">
        <f t="shared" si="70"/>
        <v>93.045416803903436</v>
      </c>
      <c r="BE145">
        <f t="shared" si="70"/>
        <v>93.045416803903436</v>
      </c>
      <c r="BF145">
        <f t="shared" si="70"/>
        <v>93.045416803903436</v>
      </c>
      <c r="BG145">
        <f t="shared" si="70"/>
        <v>98.702930939390455</v>
      </c>
    </row>
    <row r="146" spans="2:59" x14ac:dyDescent="0.25">
      <c r="B146">
        <v>383</v>
      </c>
      <c r="C146" t="s">
        <v>1179</v>
      </c>
      <c r="D146" s="7" t="s">
        <v>1180</v>
      </c>
      <c r="E146" s="364">
        <f>(60/E141)*SQRT(ABS(E142^2 - E119^2))</f>
        <v>123.78497779320205</v>
      </c>
      <c r="F146" s="364">
        <f t="shared" ref="F146:BG146" si="71">(60/F141)*SQRT(ABS(F142^2 - F119^2))</f>
        <v>59.894222314602402</v>
      </c>
      <c r="G146" s="364">
        <f t="shared" si="71"/>
        <v>99.429582261817188</v>
      </c>
      <c r="H146" s="364">
        <f t="shared" si="71"/>
        <v>197.72857256002425</v>
      </c>
      <c r="I146" s="364">
        <f t="shared" si="71"/>
        <v>436.09267651707455</v>
      </c>
      <c r="J146" s="364">
        <f t="shared" si="71"/>
        <v>625.36994901594755</v>
      </c>
      <c r="K146" s="364">
        <f t="shared" si="71"/>
        <v>395.53276946056633</v>
      </c>
      <c r="L146" s="364">
        <f t="shared" si="71"/>
        <v>572.87511688114819</v>
      </c>
      <c r="M146" s="364">
        <f t="shared" si="71"/>
        <v>103.92977515466842</v>
      </c>
      <c r="N146" s="364">
        <f t="shared" si="71"/>
        <v>160.91593397805019</v>
      </c>
      <c r="O146" s="364">
        <f t="shared" si="71"/>
        <v>279.87539892640132</v>
      </c>
      <c r="P146" s="364">
        <f t="shared" si="71"/>
        <v>548.50709717676716</v>
      </c>
      <c r="Q146" s="364">
        <f t="shared" si="71"/>
        <v>175.672207978719</v>
      </c>
      <c r="R146" s="364">
        <f t="shared" si="71"/>
        <v>337.919302996515</v>
      </c>
      <c r="S146" s="364">
        <f t="shared" si="71"/>
        <v>483.2492194833967</v>
      </c>
      <c r="T146" s="364">
        <f t="shared" si="71"/>
        <v>157.73246182740675</v>
      </c>
      <c r="U146" s="364">
        <f t="shared" si="71"/>
        <v>511.54887681031022</v>
      </c>
      <c r="V146" s="364">
        <f t="shared" si="71"/>
        <v>532.13646318130156</v>
      </c>
      <c r="W146" s="364">
        <f t="shared" si="71"/>
        <v>207.94187299636712</v>
      </c>
      <c r="X146" s="364">
        <f t="shared" si="71"/>
        <v>408.72620462251245</v>
      </c>
      <c r="Y146" s="364">
        <f t="shared" si="71"/>
        <v>460.259399503336</v>
      </c>
      <c r="Z146" s="364">
        <f t="shared" si="71"/>
        <v>596.26114580670173</v>
      </c>
      <c r="AA146" s="364">
        <f t="shared" si="71"/>
        <v>99.429582261817188</v>
      </c>
      <c r="AB146" s="364">
        <f t="shared" si="71"/>
        <v>152.20873586212312</v>
      </c>
      <c r="AC146" s="364">
        <f t="shared" si="71"/>
        <v>486.18526176268114</v>
      </c>
      <c r="AD146" s="364">
        <f t="shared" si="71"/>
        <v>262.85186059116751</v>
      </c>
      <c r="AE146" s="364">
        <f t="shared" si="71"/>
        <v>460.259399503336</v>
      </c>
      <c r="AF146" s="364">
        <f t="shared" si="71"/>
        <v>131.10225290067561</v>
      </c>
      <c r="AG146" s="364">
        <f t="shared" si="71"/>
        <v>387.0208220758131</v>
      </c>
      <c r="AH146" s="364">
        <f t="shared" si="71"/>
        <v>469.1448195482306</v>
      </c>
      <c r="AI146" s="364">
        <f t="shared" si="71"/>
        <v>574.84753233821129</v>
      </c>
      <c r="AJ146" s="364">
        <f t="shared" si="71"/>
        <v>122.64770690656232</v>
      </c>
      <c r="AK146" s="364">
        <f t="shared" si="71"/>
        <v>429.18968650955861</v>
      </c>
      <c r="AL146" s="364">
        <f t="shared" si="71"/>
        <v>434.0322180430307</v>
      </c>
      <c r="AM146" s="364">
        <f t="shared" si="71"/>
        <v>101.78899812686504</v>
      </c>
      <c r="AN146" s="364">
        <f t="shared" si="71"/>
        <v>515.15028592495253</v>
      </c>
      <c r="AO146" s="364">
        <f t="shared" si="71"/>
        <v>194.33140598873712</v>
      </c>
      <c r="AP146" s="364">
        <f t="shared" si="71"/>
        <v>362.01608694002419</v>
      </c>
      <c r="AQ146" s="364">
        <f t="shared" si="71"/>
        <v>362.01608694002419</v>
      </c>
      <c r="AR146" s="364">
        <f t="shared" si="71"/>
        <v>122.96094735390855</v>
      </c>
      <c r="AS146" s="364">
        <f t="shared" si="71"/>
        <v>122.96094735390855</v>
      </c>
      <c r="AT146" s="364">
        <f t="shared" si="71"/>
        <v>122.96094735390855</v>
      </c>
      <c r="AU146" s="364">
        <f t="shared" si="71"/>
        <v>181.56173758562161</v>
      </c>
      <c r="AV146" s="364">
        <f t="shared" si="71"/>
        <v>141.56298833563491</v>
      </c>
      <c r="AW146" s="364">
        <f t="shared" si="71"/>
        <v>20.881870104288744</v>
      </c>
      <c r="AX146" s="364">
        <f t="shared" si="71"/>
        <v>136.25224096755767</v>
      </c>
      <c r="AY146" s="364">
        <f t="shared" si="71"/>
        <v>57.546631308187095</v>
      </c>
      <c r="AZ146" s="364">
        <f t="shared" si="71"/>
        <v>57.546631308187095</v>
      </c>
      <c r="BA146" s="364">
        <f t="shared" si="71"/>
        <v>358.6684904999035</v>
      </c>
      <c r="BB146" s="364">
        <f t="shared" si="71"/>
        <v>358.6684904999035</v>
      </c>
      <c r="BC146" s="364">
        <f t="shared" si="71"/>
        <v>358.6684904999035</v>
      </c>
      <c r="BD146" s="364">
        <f t="shared" si="71"/>
        <v>358.6684904999035</v>
      </c>
      <c r="BE146" s="364">
        <f t="shared" si="71"/>
        <v>358.6684904999035</v>
      </c>
      <c r="BF146" s="364">
        <f t="shared" si="71"/>
        <v>358.6684904999035</v>
      </c>
      <c r="BG146" s="364">
        <f t="shared" si="71"/>
        <v>460.259399503336</v>
      </c>
    </row>
    <row r="147" spans="2:59" x14ac:dyDescent="0.25">
      <c r="C147" s="71" t="s">
        <v>1181</v>
      </c>
      <c r="D147" s="7" t="s">
        <v>1185</v>
      </c>
      <c r="E147" s="22">
        <f>E150-(E146/60/24)</f>
        <v>21116.118231933255</v>
      </c>
      <c r="F147" s="22" t="e">
        <f t="shared" ref="F147:BG147" si="72">F150-(F146/60/24)</f>
        <v>#VALUE!</v>
      </c>
      <c r="G147" s="22">
        <f t="shared" si="72"/>
        <v>36531.704502174493</v>
      </c>
      <c r="H147" s="22">
        <f t="shared" si="72"/>
        <v>36177.536056966681</v>
      </c>
      <c r="I147" s="22">
        <f t="shared" si="72"/>
        <v>31806.28390878253</v>
      </c>
      <c r="J147" s="22">
        <f t="shared" si="72"/>
        <v>31953.797048203407</v>
      </c>
      <c r="K147" s="22">
        <f t="shared" si="72"/>
        <v>32160.967331135871</v>
      </c>
      <c r="L147" s="22">
        <f t="shared" si="72"/>
        <v>32307.990846402139</v>
      </c>
      <c r="M147" s="22">
        <f t="shared" si="72"/>
        <v>1.49195853091564</v>
      </c>
      <c r="N147" s="22" t="e">
        <f t="shared" si="72"/>
        <v>#VALUE!</v>
      </c>
      <c r="O147" s="22" t="e">
        <f t="shared" si="72"/>
        <v>#VALUE!</v>
      </c>
      <c r="P147" s="22" t="e">
        <f t="shared" si="72"/>
        <v>#VALUE!</v>
      </c>
      <c r="Q147" s="22" t="e">
        <f t="shared" si="72"/>
        <v>#VALUE!</v>
      </c>
      <c r="R147" s="22" t="e">
        <f t="shared" si="72"/>
        <v>#VALUE!</v>
      </c>
      <c r="S147" s="22" t="e">
        <f t="shared" si="72"/>
        <v>#VALUE!</v>
      </c>
      <c r="T147" s="22" t="e">
        <f t="shared" si="72"/>
        <v>#VALUE!</v>
      </c>
      <c r="U147" s="22" t="e">
        <f t="shared" si="72"/>
        <v>#VALUE!</v>
      </c>
      <c r="V147" s="22" t="e">
        <f t="shared" si="72"/>
        <v>#VALUE!</v>
      </c>
      <c r="W147" s="22">
        <f t="shared" si="72"/>
        <v>31894.904936352643</v>
      </c>
      <c r="X147" s="22">
        <f t="shared" si="72"/>
        <v>33726.474887035743</v>
      </c>
      <c r="Y147" s="22">
        <f t="shared" si="72"/>
        <v>28173.850554477671</v>
      </c>
      <c r="Z147" s="22">
        <f t="shared" si="72"/>
        <v>52596.005546291439</v>
      </c>
      <c r="AA147" s="22">
        <f t="shared" si="72"/>
        <v>36531.704502174493</v>
      </c>
      <c r="AB147" s="22">
        <f t="shared" si="72"/>
        <v>19905.417964063123</v>
      </c>
      <c r="AC147" s="22">
        <f t="shared" si="72"/>
        <v>28823.999134652055</v>
      </c>
      <c r="AD147" s="22">
        <f t="shared" si="72"/>
        <v>32249.301074509098</v>
      </c>
      <c r="AE147" s="22">
        <f t="shared" si="72"/>
        <v>28173.850554477671</v>
      </c>
      <c r="AF147" s="22">
        <f t="shared" si="72"/>
        <v>33961.931121474496</v>
      </c>
      <c r="AG147" s="22">
        <f t="shared" si="72"/>
        <v>33902.606772721963</v>
      </c>
      <c r="AH147" s="22">
        <f t="shared" si="72"/>
        <v>33312.997528558946</v>
      </c>
      <c r="AI147" s="22">
        <f t="shared" si="72"/>
        <v>33696.816564245681</v>
      </c>
      <c r="AJ147" s="22">
        <f t="shared" si="72"/>
        <v>34110.511484337789</v>
      </c>
      <c r="AK147" s="22" t="e">
        <f t="shared" si="72"/>
        <v>#VALUE!</v>
      </c>
      <c r="AL147" s="22">
        <f t="shared" si="72"/>
        <v>33134.71019943682</v>
      </c>
      <c r="AM147" s="22" t="e">
        <f t="shared" si="72"/>
        <v>#VALUE!</v>
      </c>
      <c r="AN147" s="22">
        <f t="shared" si="72"/>
        <v>36620.390972306304</v>
      </c>
      <c r="AO147" s="22" t="e">
        <f t="shared" si="72"/>
        <v>#VALUE!</v>
      </c>
      <c r="AP147" s="22">
        <f t="shared" si="72"/>
        <v>44829.680986287181</v>
      </c>
      <c r="AQ147" s="22">
        <f t="shared" si="72"/>
        <v>44829.680986287181</v>
      </c>
      <c r="AR147" s="22">
        <f t="shared" si="72"/>
        <v>44859.371341798731</v>
      </c>
      <c r="AS147" s="22">
        <f t="shared" si="72"/>
        <v>44859.371341798731</v>
      </c>
      <c r="AT147" s="22">
        <f t="shared" si="72"/>
        <v>44859.371341798731</v>
      </c>
      <c r="AU147" s="22">
        <f t="shared" si="72"/>
        <v>26816.078945870097</v>
      </c>
      <c r="AV147" s="22">
        <f t="shared" si="72"/>
        <v>35674.90436716257</v>
      </c>
      <c r="AW147" s="22">
        <f t="shared" si="72"/>
        <v>12789.217641984673</v>
      </c>
      <c r="AX147" s="22">
        <f t="shared" si="72"/>
        <v>20939.908810498153</v>
      </c>
      <c r="AY147" s="22">
        <f t="shared" si="72"/>
        <v>44888.903698332717</v>
      </c>
      <c r="AZ147" s="22">
        <f t="shared" si="72"/>
        <v>44888.903698332717</v>
      </c>
      <c r="BA147" s="22">
        <f t="shared" si="72"/>
        <v>44918.161740190299</v>
      </c>
      <c r="BB147" s="22">
        <f t="shared" si="72"/>
        <v>44918.161740190299</v>
      </c>
      <c r="BC147" s="22">
        <f t="shared" si="72"/>
        <v>44918.161740190299</v>
      </c>
      <c r="BD147" s="22">
        <f t="shared" si="72"/>
        <v>44918.161740190299</v>
      </c>
      <c r="BE147" s="22">
        <f t="shared" si="72"/>
        <v>44918.161740190299</v>
      </c>
      <c r="BF147" s="22">
        <f t="shared" si="72"/>
        <v>44918.161740190299</v>
      </c>
      <c r="BG147" s="22">
        <f t="shared" si="72"/>
        <v>28173.850554477671</v>
      </c>
    </row>
    <row r="148" spans="2:59" x14ac:dyDescent="0.25">
      <c r="C148" s="71" t="s">
        <v>1178</v>
      </c>
      <c r="D148" s="7" t="s">
        <v>1186</v>
      </c>
      <c r="E148" s="22">
        <f>E150-(E145/60/24)</f>
        <v>21116.138731991257</v>
      </c>
      <c r="F148" s="22" t="e">
        <f t="shared" ref="F148:BG148" si="73">F150-(F145/60/24)</f>
        <v>#VALUE!</v>
      </c>
      <c r="G148" s="22">
        <f t="shared" si="73"/>
        <v>36531.701372379561</v>
      </c>
      <c r="H148" s="22">
        <f t="shared" si="73"/>
        <v>36177.603935327541</v>
      </c>
      <c r="I148" s="22">
        <f t="shared" si="73"/>
        <v>31806.521987619246</v>
      </c>
      <c r="J148" s="22">
        <f t="shared" si="73"/>
        <v>31954.158603788557</v>
      </c>
      <c r="K148" s="22">
        <f t="shared" si="73"/>
        <v>32161.177562877987</v>
      </c>
      <c r="L148" s="22">
        <f t="shared" si="73"/>
        <v>32308.318711873155</v>
      </c>
      <c r="M148" s="22">
        <f t="shared" si="73"/>
        <v>1.4983628440594168</v>
      </c>
      <c r="N148" s="22" t="e">
        <f t="shared" si="73"/>
        <v>#VALUE!</v>
      </c>
      <c r="O148" s="22" t="e">
        <f t="shared" si="73"/>
        <v>#VALUE!</v>
      </c>
      <c r="P148" s="22" t="e">
        <f t="shared" si="73"/>
        <v>#VALUE!</v>
      </c>
      <c r="Q148" s="22" t="e">
        <f t="shared" si="73"/>
        <v>#VALUE!</v>
      </c>
      <c r="R148" s="22" t="e">
        <f t="shared" si="73"/>
        <v>#VALUE!</v>
      </c>
      <c r="S148" s="22" t="e">
        <f t="shared" si="73"/>
        <v>#VALUE!</v>
      </c>
      <c r="T148" s="22" t="e">
        <f t="shared" si="73"/>
        <v>#VALUE!</v>
      </c>
      <c r="U148" s="22" t="e">
        <f t="shared" si="73"/>
        <v>#VALUE!</v>
      </c>
      <c r="V148" s="22" t="e">
        <f t="shared" si="73"/>
        <v>#VALUE!</v>
      </c>
      <c r="W148" s="22">
        <f t="shared" si="73"/>
        <v>31894.979618275996</v>
      </c>
      <c r="X148" s="22">
        <f t="shared" si="73"/>
        <v>33726.690208128697</v>
      </c>
      <c r="Y148" s="22">
        <f t="shared" si="73"/>
        <v>28174.10163535862</v>
      </c>
      <c r="Z148" s="22">
        <f t="shared" si="73"/>
        <v>52596.34758315784</v>
      </c>
      <c r="AA148" s="22">
        <f t="shared" si="73"/>
        <v>36531.701372379561</v>
      </c>
      <c r="AB148" s="22">
        <f t="shared" si="73"/>
        <v>19905.456757896718</v>
      </c>
      <c r="AC148" s="22">
        <f t="shared" si="73"/>
        <v>28824.270823266619</v>
      </c>
      <c r="AD148" s="22">
        <f t="shared" si="73"/>
        <v>32249.417394775817</v>
      </c>
      <c r="AE148" s="22">
        <f t="shared" si="73"/>
        <v>28174.10163535862</v>
      </c>
      <c r="AF148" s="22">
        <f t="shared" si="73"/>
        <v>33961.952228911461</v>
      </c>
      <c r="AG148" s="22">
        <f t="shared" si="73"/>
        <v>33902.809055772566</v>
      </c>
      <c r="AH148" s="22">
        <f t="shared" si="73"/>
        <v>33313.254873738922</v>
      </c>
      <c r="AI148" s="22">
        <f t="shared" si="73"/>
        <v>33697.145492481002</v>
      </c>
      <c r="AJ148" s="22">
        <f t="shared" si="73"/>
        <v>34110.526317407108</v>
      </c>
      <c r="AK148" s="22" t="e">
        <f t="shared" si="73"/>
        <v>#VALUE!</v>
      </c>
      <c r="AL148" s="22">
        <f t="shared" si="73"/>
        <v>33134.941570449941</v>
      </c>
      <c r="AM148" s="22" t="e">
        <f t="shared" si="73"/>
        <v>#VALUE!</v>
      </c>
      <c r="AN148" s="22">
        <f t="shared" si="73"/>
        <v>36620.681018186297</v>
      </c>
      <c r="AO148" s="22" t="e">
        <f t="shared" si="73"/>
        <v>#VALUE!</v>
      </c>
      <c r="AP148" s="22">
        <f t="shared" si="73"/>
        <v>44829.863040622688</v>
      </c>
      <c r="AQ148" s="22">
        <f t="shared" si="73"/>
        <v>44829.863040622688</v>
      </c>
      <c r="AR148" s="22">
        <f t="shared" si="73"/>
        <v>44859.389352460967</v>
      </c>
      <c r="AS148" s="22">
        <f t="shared" si="73"/>
        <v>44859.389352460967</v>
      </c>
      <c r="AT148" s="22">
        <f t="shared" si="73"/>
        <v>44859.389352460967</v>
      </c>
      <c r="AU148" s="22">
        <f t="shared" si="73"/>
        <v>26816.140391873898</v>
      </c>
      <c r="AV148" s="22">
        <f t="shared" si="73"/>
        <v>35674.929809231689</v>
      </c>
      <c r="AW148" s="22">
        <f t="shared" si="73"/>
        <v>12789.16723728623</v>
      </c>
      <c r="AX148" s="22">
        <f t="shared" si="73"/>
        <v>20939.93355405605</v>
      </c>
      <c r="AY148" s="22">
        <f t="shared" si="73"/>
        <v>44888.877949355425</v>
      </c>
      <c r="AZ148" s="22">
        <f t="shared" si="73"/>
        <v>44888.877949355425</v>
      </c>
      <c r="BA148" s="22">
        <f t="shared" si="73"/>
        <v>44918.346200658139</v>
      </c>
      <c r="BB148" s="22">
        <f t="shared" si="73"/>
        <v>44918.346200658139</v>
      </c>
      <c r="BC148" s="22">
        <f t="shared" si="73"/>
        <v>44918.346200658139</v>
      </c>
      <c r="BD148" s="22">
        <f t="shared" si="73"/>
        <v>44918.346200658139</v>
      </c>
      <c r="BE148" s="22">
        <f t="shared" si="73"/>
        <v>44918.346200658139</v>
      </c>
      <c r="BF148" s="22">
        <f t="shared" si="73"/>
        <v>44918.346200658139</v>
      </c>
      <c r="BG148" s="22">
        <f t="shared" si="73"/>
        <v>28174.10163535862</v>
      </c>
    </row>
    <row r="149" spans="2:59" x14ac:dyDescent="0.25">
      <c r="C149" s="71" t="s">
        <v>1175</v>
      </c>
      <c r="D149" s="7" t="s">
        <v>1188</v>
      </c>
      <c r="E149" s="22">
        <f>E150-(E144/60/24)</f>
        <v>21116.140079039502</v>
      </c>
      <c r="F149" s="22" t="e">
        <f t="shared" ref="F149:BG149" si="74">F150-(F144/60/24)</f>
        <v>#VALUE!</v>
      </c>
      <c r="G149" s="22">
        <f t="shared" si="74"/>
        <v>36531.630926852886</v>
      </c>
      <c r="H149" s="22">
        <f t="shared" si="74"/>
        <v>36177.492498072141</v>
      </c>
      <c r="I149" s="22">
        <f t="shared" si="74"/>
        <v>31806.265851847907</v>
      </c>
      <c r="J149" s="22">
        <f t="shared" si="74"/>
        <v>31953.779744978034</v>
      </c>
      <c r="K149" s="22">
        <f t="shared" si="74"/>
        <v>32160.947811789025</v>
      </c>
      <c r="L149" s="22">
        <f t="shared" si="74"/>
        <v>32307.973981608797</v>
      </c>
      <c r="M149" s="22">
        <f t="shared" si="74"/>
        <v>1.4336962887324625</v>
      </c>
      <c r="N149" s="22" t="e">
        <f t="shared" si="74"/>
        <v>#VALUE!</v>
      </c>
      <c r="O149" s="22" t="e">
        <f t="shared" si="74"/>
        <v>#VALUE!</v>
      </c>
      <c r="P149" s="22" t="e">
        <f t="shared" si="74"/>
        <v>#VALUE!</v>
      </c>
      <c r="Q149" s="22" t="e">
        <f t="shared" si="74"/>
        <v>#VALUE!</v>
      </c>
      <c r="R149" s="22" t="e">
        <f t="shared" si="74"/>
        <v>#VALUE!</v>
      </c>
      <c r="S149" s="22" t="e">
        <f t="shared" si="74"/>
        <v>#VALUE!</v>
      </c>
      <c r="T149" s="22" t="e">
        <f t="shared" si="74"/>
        <v>#VALUE!</v>
      </c>
      <c r="U149" s="22" t="e">
        <f t="shared" si="74"/>
        <v>#VALUE!</v>
      </c>
      <c r="V149" s="22" t="e">
        <f t="shared" si="74"/>
        <v>#VALUE!</v>
      </c>
      <c r="W149" s="22">
        <f t="shared" si="74"/>
        <v>31894.863415651344</v>
      </c>
      <c r="X149" s="22">
        <f t="shared" si="74"/>
        <v>33726.452891990826</v>
      </c>
      <c r="Y149" s="22">
        <f t="shared" si="74"/>
        <v>28173.830392012074</v>
      </c>
      <c r="Z149" s="22">
        <f t="shared" si="74"/>
        <v>52595.987256079163</v>
      </c>
      <c r="AA149" s="22">
        <f t="shared" si="74"/>
        <v>36531.630926852886</v>
      </c>
      <c r="AB149" s="22">
        <f t="shared" si="74"/>
        <v>19905.494738662725</v>
      </c>
      <c r="AC149" s="22">
        <f t="shared" si="74"/>
        <v>28823.981988333733</v>
      </c>
      <c r="AD149" s="22">
        <f t="shared" si="74"/>
        <v>32249.271146991719</v>
      </c>
      <c r="AE149" s="22">
        <f t="shared" si="74"/>
        <v>28173.830392012074</v>
      </c>
      <c r="AF149" s="22">
        <f t="shared" si="74"/>
        <v>33961.945499934081</v>
      </c>
      <c r="AG149" s="22">
        <f t="shared" si="74"/>
        <v>33902.585234144681</v>
      </c>
      <c r="AH149" s="22">
        <f t="shared" si="74"/>
        <v>33312.977985501144</v>
      </c>
      <c r="AI149" s="22">
        <f t="shared" si="74"/>
        <v>33696.799281996457</v>
      </c>
      <c r="AJ149" s="22">
        <f t="shared" si="74"/>
        <v>34110.514822326622</v>
      </c>
      <c r="AK149" s="22" t="e">
        <f t="shared" si="74"/>
        <v>#VALUE!</v>
      </c>
      <c r="AL149" s="22">
        <f t="shared" si="74"/>
        <v>33134.687978575508</v>
      </c>
      <c r="AM149" s="22" t="e">
        <f t="shared" si="74"/>
        <v>#VALUE!</v>
      </c>
      <c r="AN149" s="22">
        <f t="shared" si="74"/>
        <v>36620.373750713843</v>
      </c>
      <c r="AO149" s="22" t="e">
        <f t="shared" si="74"/>
        <v>#VALUE!</v>
      </c>
      <c r="AP149" s="22">
        <f t="shared" si="74"/>
        <v>44829.65532878779</v>
      </c>
      <c r="AQ149" s="22">
        <f t="shared" si="74"/>
        <v>44829.65532878779</v>
      </c>
      <c r="AR149" s="22">
        <f t="shared" si="74"/>
        <v>44859.384120267656</v>
      </c>
      <c r="AS149" s="22">
        <f t="shared" si="74"/>
        <v>44859.384120267656</v>
      </c>
      <c r="AT149" s="22">
        <f t="shared" si="74"/>
        <v>44859.384120267656</v>
      </c>
      <c r="AU149" s="22">
        <f t="shared" si="74"/>
        <v>26816.041368470102</v>
      </c>
      <c r="AV149" s="22">
        <f t="shared" si="74"/>
        <v>35674.925970085758</v>
      </c>
      <c r="AW149" s="22">
        <f t="shared" si="74"/>
        <v>12789.126600712627</v>
      </c>
      <c r="AX149" s="22">
        <f t="shared" si="74"/>
        <v>20939.934157308664</v>
      </c>
      <c r="AY149" s="22">
        <f t="shared" si="74"/>
        <v>44888.828183878621</v>
      </c>
      <c r="AZ149" s="22">
        <f t="shared" si="74"/>
        <v>44888.828183878621</v>
      </c>
      <c r="BA149" s="22">
        <f t="shared" si="74"/>
        <v>44918.140193820291</v>
      </c>
      <c r="BB149" s="22">
        <f t="shared" si="74"/>
        <v>44918.140193820291</v>
      </c>
      <c r="BC149" s="22">
        <f t="shared" si="74"/>
        <v>44918.140193820291</v>
      </c>
      <c r="BD149" s="22">
        <f t="shared" si="74"/>
        <v>44918.140193820291</v>
      </c>
      <c r="BE149" s="22">
        <f t="shared" si="74"/>
        <v>44918.140193820291</v>
      </c>
      <c r="BF149" s="22">
        <f t="shared" si="74"/>
        <v>44918.140193820291</v>
      </c>
      <c r="BG149" s="22">
        <f t="shared" si="74"/>
        <v>28173.830392012074</v>
      </c>
    </row>
    <row r="150" spans="2:59" x14ac:dyDescent="0.25">
      <c r="C150" s="71" t="s">
        <v>1192</v>
      </c>
      <c r="D150" s="7" t="s">
        <v>1187</v>
      </c>
      <c r="E150" s="22">
        <f>E98</f>
        <v>21116.204193723388</v>
      </c>
      <c r="F150" s="22" t="str">
        <f t="shared" ref="F150:BG150" si="75">F98</f>
        <v>333-3-2.8643759698607</v>
      </c>
      <c r="G150" s="22">
        <f t="shared" si="75"/>
        <v>36531.773550495505</v>
      </c>
      <c r="H150" s="22">
        <f t="shared" si="75"/>
        <v>36177.6733684754</v>
      </c>
      <c r="I150" s="22">
        <f t="shared" si="75"/>
        <v>31806.586750918999</v>
      </c>
      <c r="J150" s="22">
        <f t="shared" si="75"/>
        <v>31954.231332890224</v>
      </c>
      <c r="K150" s="22">
        <f t="shared" si="75"/>
        <v>32161.242006670218</v>
      </c>
      <c r="L150" s="22">
        <f t="shared" si="75"/>
        <v>32308.388676344417</v>
      </c>
      <c r="M150" s="22">
        <f t="shared" si="75"/>
        <v>1.5641319858841598</v>
      </c>
      <c r="N150" s="22" t="str">
        <f t="shared" si="75"/>
        <v>1600-1-16.2152116568759</v>
      </c>
      <c r="O150" s="22" t="str">
        <f t="shared" si="75"/>
        <v>1601-2-3.17633985914289</v>
      </c>
      <c r="P150" s="22" t="str">
        <f t="shared" si="75"/>
        <v>837-4-8.94086241954937</v>
      </c>
      <c r="Q150" s="22" t="str">
        <f t="shared" si="75"/>
        <v>-122-1-23.2709031428676</v>
      </c>
      <c r="R150" s="22" t="str">
        <f t="shared" si="75"/>
        <v>-123-12-24.5114921263884</v>
      </c>
      <c r="S150" s="22" t="str">
        <f t="shared" si="75"/>
        <v>-1000-7-5.89938602456822</v>
      </c>
      <c r="T150" s="22" t="str">
        <f t="shared" si="75"/>
        <v>-1000-4-9.01734415907412</v>
      </c>
      <c r="U150" s="22" t="str">
        <f t="shared" si="75"/>
        <v>-1001-8-15.781255041249</v>
      </c>
      <c r="V150" s="22" t="str">
        <f t="shared" si="75"/>
        <v>-4712-1-10.0124092492227</v>
      </c>
      <c r="W150" s="22">
        <f t="shared" si="75"/>
        <v>31895.049340431113</v>
      </c>
      <c r="X150" s="22">
        <f t="shared" si="75"/>
        <v>33726.758724677842</v>
      </c>
      <c r="Y150" s="22">
        <f t="shared" si="75"/>
        <v>28174.17017906066</v>
      </c>
      <c r="Z150" s="22">
        <f t="shared" si="75"/>
        <v>52596.419616531581</v>
      </c>
      <c r="AA150" s="22">
        <f t="shared" si="75"/>
        <v>36531.773550495505</v>
      </c>
      <c r="AB150" s="22">
        <f t="shared" si="75"/>
        <v>19905.523664574139</v>
      </c>
      <c r="AC150" s="22">
        <f t="shared" si="75"/>
        <v>28824.336763306055</v>
      </c>
      <c r="AD150" s="22">
        <f t="shared" si="75"/>
        <v>32249.483610523399</v>
      </c>
      <c r="AE150" s="22">
        <f t="shared" si="75"/>
        <v>28174.17017906066</v>
      </c>
      <c r="AF150" s="22">
        <f t="shared" si="75"/>
        <v>33962.022164705675</v>
      </c>
      <c r="AG150" s="22">
        <f t="shared" si="75"/>
        <v>33902.875537181739</v>
      </c>
      <c r="AH150" s="22">
        <f t="shared" si="75"/>
        <v>33313.32332357252</v>
      </c>
      <c r="AI150" s="22">
        <f t="shared" si="75"/>
        <v>33697.215763920918</v>
      </c>
      <c r="AJ150" s="22">
        <f t="shared" si="75"/>
        <v>34110.596656356473</v>
      </c>
      <c r="AK150" s="22" t="str">
        <f t="shared" si="75"/>
        <v>1818-1-6.97315294342115</v>
      </c>
      <c r="AL150" s="22">
        <f t="shared" si="75"/>
        <v>33135.011610699352</v>
      </c>
      <c r="AM150" s="22" t="str">
        <f t="shared" si="75"/>
        <v>622-7-14.2473275575321</v>
      </c>
      <c r="AN150" s="22">
        <f t="shared" si="75"/>
        <v>36620.748715560418</v>
      </c>
      <c r="AO150" s="22" t="str">
        <f t="shared" si="75"/>
        <v>1-1-13.4692505090497</v>
      </c>
      <c r="AP150" s="22">
        <f t="shared" si="75"/>
        <v>44829.932386347558</v>
      </c>
      <c r="AQ150" s="22">
        <f t="shared" si="75"/>
        <v>44829.932386347558</v>
      </c>
      <c r="AR150" s="22">
        <f t="shared" si="75"/>
        <v>44859.456731345505</v>
      </c>
      <c r="AS150" s="22">
        <f t="shared" si="75"/>
        <v>44859.456731345505</v>
      </c>
      <c r="AT150" s="22">
        <f t="shared" si="75"/>
        <v>44859.456731345505</v>
      </c>
      <c r="AU150" s="22">
        <f t="shared" si="75"/>
        <v>26816.205030410085</v>
      </c>
      <c r="AV150" s="22">
        <f t="shared" si="75"/>
        <v>35675.002674793359</v>
      </c>
      <c r="AW150" s="22">
        <f t="shared" si="75"/>
        <v>12789.232143283356</v>
      </c>
      <c r="AX150" s="22">
        <f t="shared" si="75"/>
        <v>20940.003430109937</v>
      </c>
      <c r="AY150" s="22">
        <f t="shared" si="75"/>
        <v>44888.943661271129</v>
      </c>
      <c r="AZ150" s="22">
        <f t="shared" si="75"/>
        <v>44888.943661271129</v>
      </c>
      <c r="BA150" s="22">
        <f t="shared" si="75"/>
        <v>44918.410815530922</v>
      </c>
      <c r="BB150" s="22">
        <f t="shared" si="75"/>
        <v>44918.410815530922</v>
      </c>
      <c r="BC150" s="22">
        <f t="shared" si="75"/>
        <v>44918.410815530922</v>
      </c>
      <c r="BD150" s="22">
        <f t="shared" si="75"/>
        <v>44918.410815530922</v>
      </c>
      <c r="BE150" s="22">
        <f t="shared" si="75"/>
        <v>44918.410815530922</v>
      </c>
      <c r="BF150" s="22">
        <f t="shared" si="75"/>
        <v>44918.410815530922</v>
      </c>
      <c r="BG150" s="22">
        <f t="shared" si="75"/>
        <v>28174.17017906066</v>
      </c>
    </row>
    <row r="151" spans="2:59" x14ac:dyDescent="0.25">
      <c r="C151" s="71" t="s">
        <v>1182</v>
      </c>
      <c r="D151" s="7" t="s">
        <v>1189</v>
      </c>
      <c r="E151" s="22">
        <f>E150+(E144/60/24)</f>
        <v>21116.268308407274</v>
      </c>
      <c r="F151" s="22" t="e">
        <f t="shared" ref="F151:BG151" si="76">F150+(F144/60/24)</f>
        <v>#VALUE!</v>
      </c>
      <c r="G151" s="22">
        <f t="shared" si="76"/>
        <v>36531.916174138125</v>
      </c>
      <c r="H151" s="22">
        <f t="shared" si="76"/>
        <v>36177.854238878659</v>
      </c>
      <c r="I151" s="22">
        <f t="shared" si="76"/>
        <v>31806.907649990091</v>
      </c>
      <c r="J151" s="22">
        <f t="shared" si="76"/>
        <v>31954.682920802414</v>
      </c>
      <c r="K151" s="22">
        <f t="shared" si="76"/>
        <v>32161.536201551411</v>
      </c>
      <c r="L151" s="22">
        <f t="shared" si="76"/>
        <v>32308.803371080037</v>
      </c>
      <c r="M151" s="22">
        <f t="shared" si="76"/>
        <v>1.6945676830358571</v>
      </c>
      <c r="N151" s="22" t="e">
        <f t="shared" si="76"/>
        <v>#VALUE!</v>
      </c>
      <c r="O151" s="22" t="e">
        <f t="shared" si="76"/>
        <v>#VALUE!</v>
      </c>
      <c r="P151" s="22" t="e">
        <f t="shared" si="76"/>
        <v>#VALUE!</v>
      </c>
      <c r="Q151" s="22" t="e">
        <f t="shared" si="76"/>
        <v>#VALUE!</v>
      </c>
      <c r="R151" s="22" t="e">
        <f t="shared" si="76"/>
        <v>#VALUE!</v>
      </c>
      <c r="S151" s="22" t="e">
        <f t="shared" si="76"/>
        <v>#VALUE!</v>
      </c>
      <c r="T151" s="22" t="e">
        <f t="shared" si="76"/>
        <v>#VALUE!</v>
      </c>
      <c r="U151" s="22" t="e">
        <f t="shared" si="76"/>
        <v>#VALUE!</v>
      </c>
      <c r="V151" s="22" t="e">
        <f t="shared" si="76"/>
        <v>#VALUE!</v>
      </c>
      <c r="W151" s="22">
        <f t="shared" si="76"/>
        <v>31895.235265210882</v>
      </c>
      <c r="X151" s="22">
        <f t="shared" si="76"/>
        <v>33727.064557364858</v>
      </c>
      <c r="Y151" s="22">
        <f t="shared" si="76"/>
        <v>28174.509966109246</v>
      </c>
      <c r="Z151" s="22">
        <f t="shared" si="76"/>
        <v>52596.851976983999</v>
      </c>
      <c r="AA151" s="22">
        <f t="shared" si="76"/>
        <v>36531.916174138125</v>
      </c>
      <c r="AB151" s="22">
        <f t="shared" si="76"/>
        <v>19905.552590485553</v>
      </c>
      <c r="AC151" s="22">
        <f t="shared" si="76"/>
        <v>28824.691538278377</v>
      </c>
      <c r="AD151" s="22">
        <f t="shared" si="76"/>
        <v>32249.696074055078</v>
      </c>
      <c r="AE151" s="22">
        <f t="shared" si="76"/>
        <v>28174.509966109246</v>
      </c>
      <c r="AF151" s="22">
        <f t="shared" si="76"/>
        <v>33962.098829477269</v>
      </c>
      <c r="AG151" s="22">
        <f t="shared" si="76"/>
        <v>33903.165840218797</v>
      </c>
      <c r="AH151" s="22">
        <f t="shared" si="76"/>
        <v>33313.668661643896</v>
      </c>
      <c r="AI151" s="22">
        <f t="shared" si="76"/>
        <v>33697.63224584538</v>
      </c>
      <c r="AJ151" s="22">
        <f t="shared" si="76"/>
        <v>34110.678490386323</v>
      </c>
      <c r="AK151" s="22" t="e">
        <f t="shared" si="76"/>
        <v>#VALUE!</v>
      </c>
      <c r="AL151" s="22">
        <f t="shared" si="76"/>
        <v>33135.335242823196</v>
      </c>
      <c r="AM151" s="22" t="e">
        <f t="shared" si="76"/>
        <v>#VALUE!</v>
      </c>
      <c r="AN151" s="22">
        <f t="shared" si="76"/>
        <v>36621.123680406992</v>
      </c>
      <c r="AO151" s="22" t="e">
        <f t="shared" si="76"/>
        <v>#VALUE!</v>
      </c>
      <c r="AP151" s="22">
        <f t="shared" si="76"/>
        <v>44830.209443907326</v>
      </c>
      <c r="AQ151" s="22">
        <f t="shared" si="76"/>
        <v>44830.209443907326</v>
      </c>
      <c r="AR151" s="22">
        <f t="shared" si="76"/>
        <v>44859.529342423353</v>
      </c>
      <c r="AS151" s="22">
        <f t="shared" si="76"/>
        <v>44859.529342423353</v>
      </c>
      <c r="AT151" s="22">
        <f t="shared" si="76"/>
        <v>44859.529342423353</v>
      </c>
      <c r="AU151" s="22">
        <f t="shared" si="76"/>
        <v>26816.368692350068</v>
      </c>
      <c r="AV151" s="22">
        <f t="shared" si="76"/>
        <v>35675.079379500959</v>
      </c>
      <c r="AW151" s="22">
        <f t="shared" si="76"/>
        <v>12789.337685854085</v>
      </c>
      <c r="AX151" s="22">
        <f t="shared" si="76"/>
        <v>20940.072702911209</v>
      </c>
      <c r="AY151" s="22">
        <f t="shared" si="76"/>
        <v>44889.059138663637</v>
      </c>
      <c r="AZ151" s="22">
        <f t="shared" si="76"/>
        <v>44889.059138663637</v>
      </c>
      <c r="BA151" s="22">
        <f t="shared" si="76"/>
        <v>44918.681437241554</v>
      </c>
      <c r="BB151" s="22">
        <f t="shared" si="76"/>
        <v>44918.681437241554</v>
      </c>
      <c r="BC151" s="22">
        <f t="shared" si="76"/>
        <v>44918.681437241554</v>
      </c>
      <c r="BD151" s="22">
        <f t="shared" si="76"/>
        <v>44918.681437241554</v>
      </c>
      <c r="BE151" s="22">
        <f t="shared" si="76"/>
        <v>44918.681437241554</v>
      </c>
      <c r="BF151" s="22">
        <f t="shared" si="76"/>
        <v>44918.681437241554</v>
      </c>
      <c r="BG151" s="22">
        <f t="shared" si="76"/>
        <v>28174.509966109246</v>
      </c>
    </row>
    <row r="152" spans="2:59" x14ac:dyDescent="0.25">
      <c r="C152" s="71" t="s">
        <v>1184</v>
      </c>
      <c r="D152" s="7" t="s">
        <v>1190</v>
      </c>
      <c r="E152" s="22">
        <f>E150+(E145/60/24)</f>
        <v>21116.269655455519</v>
      </c>
      <c r="F152" s="22" t="e">
        <f t="shared" ref="F152:BG152" si="77">F150+(F145/60/24)</f>
        <v>#VALUE!</v>
      </c>
      <c r="G152" s="22">
        <f t="shared" si="77"/>
        <v>36531.84572861145</v>
      </c>
      <c r="H152" s="22">
        <f t="shared" si="77"/>
        <v>36177.742801623259</v>
      </c>
      <c r="I152" s="22">
        <f t="shared" si="77"/>
        <v>31806.651514218753</v>
      </c>
      <c r="J152" s="22">
        <f t="shared" si="77"/>
        <v>31954.30406199189</v>
      </c>
      <c r="K152" s="22">
        <f t="shared" si="77"/>
        <v>32161.306450462449</v>
      </c>
      <c r="L152" s="22">
        <f t="shared" si="77"/>
        <v>32308.458640815679</v>
      </c>
      <c r="M152" s="22">
        <f t="shared" si="77"/>
        <v>1.6299011277089028</v>
      </c>
      <c r="N152" s="22" t="e">
        <f t="shared" si="77"/>
        <v>#VALUE!</v>
      </c>
      <c r="O152" s="22" t="e">
        <f t="shared" si="77"/>
        <v>#VALUE!</v>
      </c>
      <c r="P152" s="22" t="e">
        <f t="shared" si="77"/>
        <v>#VALUE!</v>
      </c>
      <c r="Q152" s="22" t="e">
        <f t="shared" si="77"/>
        <v>#VALUE!</v>
      </c>
      <c r="R152" s="22" t="e">
        <f t="shared" si="77"/>
        <v>#VALUE!</v>
      </c>
      <c r="S152" s="22" t="e">
        <f t="shared" si="77"/>
        <v>#VALUE!</v>
      </c>
      <c r="T152" s="22" t="e">
        <f t="shared" si="77"/>
        <v>#VALUE!</v>
      </c>
      <c r="U152" s="22" t="e">
        <f t="shared" si="77"/>
        <v>#VALUE!</v>
      </c>
      <c r="V152" s="22" t="e">
        <f t="shared" si="77"/>
        <v>#VALUE!</v>
      </c>
      <c r="W152" s="22">
        <f t="shared" si="77"/>
        <v>31895.119062586229</v>
      </c>
      <c r="X152" s="22">
        <f t="shared" si="77"/>
        <v>33726.827241226987</v>
      </c>
      <c r="Y152" s="22">
        <f t="shared" si="77"/>
        <v>28174.2387227627</v>
      </c>
      <c r="Z152" s="22">
        <f t="shared" si="77"/>
        <v>52596.491649905322</v>
      </c>
      <c r="AA152" s="22">
        <f t="shared" si="77"/>
        <v>36531.84572861145</v>
      </c>
      <c r="AB152" s="22">
        <f t="shared" si="77"/>
        <v>19905.59057125156</v>
      </c>
      <c r="AC152" s="22">
        <f t="shared" si="77"/>
        <v>28824.402703345491</v>
      </c>
      <c r="AD152" s="22">
        <f t="shared" si="77"/>
        <v>32249.549826270981</v>
      </c>
      <c r="AE152" s="22">
        <f t="shared" si="77"/>
        <v>28174.2387227627</v>
      </c>
      <c r="AF152" s="22">
        <f t="shared" si="77"/>
        <v>33962.092100499889</v>
      </c>
      <c r="AG152" s="22">
        <f t="shared" si="77"/>
        <v>33902.942018590911</v>
      </c>
      <c r="AH152" s="22">
        <f t="shared" si="77"/>
        <v>33313.391773406118</v>
      </c>
      <c r="AI152" s="22">
        <f t="shared" si="77"/>
        <v>33697.286035360834</v>
      </c>
      <c r="AJ152" s="22">
        <f t="shared" si="77"/>
        <v>34110.666995305837</v>
      </c>
      <c r="AK152" s="22" t="e">
        <f t="shared" si="77"/>
        <v>#VALUE!</v>
      </c>
      <c r="AL152" s="22">
        <f t="shared" si="77"/>
        <v>33135.081650948763</v>
      </c>
      <c r="AM152" s="22" t="e">
        <f t="shared" si="77"/>
        <v>#VALUE!</v>
      </c>
      <c r="AN152" s="22">
        <f t="shared" si="77"/>
        <v>36620.816412934539</v>
      </c>
      <c r="AO152" s="22" t="e">
        <f t="shared" si="77"/>
        <v>#VALUE!</v>
      </c>
      <c r="AP152" s="22">
        <f t="shared" si="77"/>
        <v>44830.001732072429</v>
      </c>
      <c r="AQ152" s="22">
        <f t="shared" si="77"/>
        <v>44830.001732072429</v>
      </c>
      <c r="AR152" s="22">
        <f t="shared" si="77"/>
        <v>44859.524110230042</v>
      </c>
      <c r="AS152" s="22">
        <f t="shared" si="77"/>
        <v>44859.524110230042</v>
      </c>
      <c r="AT152" s="22">
        <f t="shared" si="77"/>
        <v>44859.524110230042</v>
      </c>
      <c r="AU152" s="22">
        <f t="shared" si="77"/>
        <v>26816.269668946272</v>
      </c>
      <c r="AV152" s="22">
        <f t="shared" si="77"/>
        <v>35675.075540355028</v>
      </c>
      <c r="AW152" s="22">
        <f t="shared" si="77"/>
        <v>12789.297049280482</v>
      </c>
      <c r="AX152" s="22">
        <f t="shared" si="77"/>
        <v>20940.073306163824</v>
      </c>
      <c r="AY152" s="22">
        <f t="shared" si="77"/>
        <v>44889.009373186833</v>
      </c>
      <c r="AZ152" s="22">
        <f t="shared" si="77"/>
        <v>44889.009373186833</v>
      </c>
      <c r="BA152" s="22">
        <f t="shared" si="77"/>
        <v>44918.475430403705</v>
      </c>
      <c r="BB152" s="22">
        <f t="shared" si="77"/>
        <v>44918.475430403705</v>
      </c>
      <c r="BC152" s="22">
        <f t="shared" si="77"/>
        <v>44918.475430403705</v>
      </c>
      <c r="BD152" s="22">
        <f t="shared" si="77"/>
        <v>44918.475430403705</v>
      </c>
      <c r="BE152" s="22">
        <f t="shared" si="77"/>
        <v>44918.475430403705</v>
      </c>
      <c r="BF152" s="22">
        <f t="shared" si="77"/>
        <v>44918.475430403705</v>
      </c>
      <c r="BG152" s="22">
        <f t="shared" si="77"/>
        <v>28174.2387227627</v>
      </c>
    </row>
    <row r="153" spans="2:59" ht="15.75" thickBot="1" x14ac:dyDescent="0.3">
      <c r="C153" s="365" t="s">
        <v>1183</v>
      </c>
      <c r="D153" s="334" t="s">
        <v>1191</v>
      </c>
      <c r="E153" s="366">
        <f>E150+(E146/60/24)</f>
        <v>21116.290155513521</v>
      </c>
      <c r="F153" s="366" t="e">
        <f t="shared" ref="F153:BG153" si="78">F150+(F146/60/24)</f>
        <v>#VALUE!</v>
      </c>
      <c r="G153" s="366">
        <f t="shared" si="78"/>
        <v>36531.842598816518</v>
      </c>
      <c r="H153" s="366">
        <f t="shared" si="78"/>
        <v>36177.810679984119</v>
      </c>
      <c r="I153" s="366">
        <f t="shared" si="78"/>
        <v>31806.889593055468</v>
      </c>
      <c r="J153" s="366">
        <f t="shared" si="78"/>
        <v>31954.66561757704</v>
      </c>
      <c r="K153" s="366">
        <f t="shared" si="78"/>
        <v>32161.516682204565</v>
      </c>
      <c r="L153" s="366">
        <f t="shared" si="78"/>
        <v>32308.786506286695</v>
      </c>
      <c r="M153" s="366">
        <f t="shared" si="78"/>
        <v>1.6363054408526796</v>
      </c>
      <c r="N153" s="366" t="e">
        <f t="shared" si="78"/>
        <v>#VALUE!</v>
      </c>
      <c r="O153" s="366" t="e">
        <f t="shared" si="78"/>
        <v>#VALUE!</v>
      </c>
      <c r="P153" s="366" t="e">
        <f t="shared" si="78"/>
        <v>#VALUE!</v>
      </c>
      <c r="Q153" s="366" t="e">
        <f t="shared" si="78"/>
        <v>#VALUE!</v>
      </c>
      <c r="R153" s="366" t="e">
        <f t="shared" si="78"/>
        <v>#VALUE!</v>
      </c>
      <c r="S153" s="366" t="e">
        <f t="shared" si="78"/>
        <v>#VALUE!</v>
      </c>
      <c r="T153" s="366" t="e">
        <f t="shared" si="78"/>
        <v>#VALUE!</v>
      </c>
      <c r="U153" s="366" t="e">
        <f t="shared" si="78"/>
        <v>#VALUE!</v>
      </c>
      <c r="V153" s="366" t="e">
        <f t="shared" si="78"/>
        <v>#VALUE!</v>
      </c>
      <c r="W153" s="366">
        <f t="shared" si="78"/>
        <v>31895.193744509583</v>
      </c>
      <c r="X153" s="366">
        <f t="shared" si="78"/>
        <v>33727.042562319941</v>
      </c>
      <c r="Y153" s="366">
        <f t="shared" si="78"/>
        <v>28174.48980364365</v>
      </c>
      <c r="Z153" s="366">
        <f t="shared" si="78"/>
        <v>52596.833686771723</v>
      </c>
      <c r="AA153" s="366">
        <f t="shared" si="78"/>
        <v>36531.842598816518</v>
      </c>
      <c r="AB153" s="366">
        <f t="shared" si="78"/>
        <v>19905.629365085155</v>
      </c>
      <c r="AC153" s="366">
        <f t="shared" si="78"/>
        <v>28824.674391960056</v>
      </c>
      <c r="AD153" s="366">
        <f t="shared" si="78"/>
        <v>32249.6661465377</v>
      </c>
      <c r="AE153" s="366">
        <f t="shared" si="78"/>
        <v>28174.48980364365</v>
      </c>
      <c r="AF153" s="366">
        <f t="shared" si="78"/>
        <v>33962.113207936854</v>
      </c>
      <c r="AG153" s="366">
        <f t="shared" si="78"/>
        <v>33903.144301641514</v>
      </c>
      <c r="AH153" s="366">
        <f t="shared" si="78"/>
        <v>33313.649118586094</v>
      </c>
      <c r="AI153" s="366">
        <f t="shared" si="78"/>
        <v>33697.614963596156</v>
      </c>
      <c r="AJ153" s="366">
        <f t="shared" si="78"/>
        <v>34110.681828375156</v>
      </c>
      <c r="AK153" s="366" t="e">
        <f t="shared" si="78"/>
        <v>#VALUE!</v>
      </c>
      <c r="AL153" s="366">
        <f t="shared" si="78"/>
        <v>33135.313021961883</v>
      </c>
      <c r="AM153" s="366" t="e">
        <f t="shared" si="78"/>
        <v>#VALUE!</v>
      </c>
      <c r="AN153" s="366">
        <f t="shared" si="78"/>
        <v>36621.106458814531</v>
      </c>
      <c r="AO153" s="366" t="e">
        <f t="shared" si="78"/>
        <v>#VALUE!</v>
      </c>
      <c r="AP153" s="366">
        <f t="shared" si="78"/>
        <v>44830.183786407935</v>
      </c>
      <c r="AQ153" s="366">
        <f t="shared" si="78"/>
        <v>44830.183786407935</v>
      </c>
      <c r="AR153" s="366">
        <f t="shared" si="78"/>
        <v>44859.542120892278</v>
      </c>
      <c r="AS153" s="366">
        <f t="shared" si="78"/>
        <v>44859.542120892278</v>
      </c>
      <c r="AT153" s="366">
        <f t="shared" si="78"/>
        <v>44859.542120892278</v>
      </c>
      <c r="AU153" s="366">
        <f t="shared" si="78"/>
        <v>26816.331114950073</v>
      </c>
      <c r="AV153" s="366">
        <f t="shared" si="78"/>
        <v>35675.100982424148</v>
      </c>
      <c r="AW153" s="366">
        <f t="shared" si="78"/>
        <v>12789.246644582039</v>
      </c>
      <c r="AX153" s="366">
        <f t="shared" si="78"/>
        <v>20940.098049721721</v>
      </c>
      <c r="AY153" s="366">
        <f t="shared" si="78"/>
        <v>44888.983624209541</v>
      </c>
      <c r="AZ153" s="366">
        <f t="shared" si="78"/>
        <v>44888.983624209541</v>
      </c>
      <c r="BA153" s="366">
        <f t="shared" si="78"/>
        <v>44918.659890871546</v>
      </c>
      <c r="BB153" s="366">
        <f t="shared" si="78"/>
        <v>44918.659890871546</v>
      </c>
      <c r="BC153" s="366">
        <f t="shared" si="78"/>
        <v>44918.659890871546</v>
      </c>
      <c r="BD153" s="366">
        <f t="shared" si="78"/>
        <v>44918.659890871546</v>
      </c>
      <c r="BE153" s="366">
        <f t="shared" si="78"/>
        <v>44918.659890871546</v>
      </c>
      <c r="BF153" s="366">
        <f t="shared" si="78"/>
        <v>44918.659890871546</v>
      </c>
      <c r="BG153" s="366">
        <f t="shared" si="78"/>
        <v>28174.48980364365</v>
      </c>
    </row>
    <row r="154" spans="2:59" x14ac:dyDescent="0.25">
      <c r="C154" s="312" t="s">
        <v>1134</v>
      </c>
      <c r="D154" s="313"/>
      <c r="E154" s="314"/>
      <c r="F154" s="314"/>
      <c r="G154" s="314"/>
      <c r="H154" s="314"/>
      <c r="I154" s="314"/>
      <c r="J154" s="314"/>
      <c r="K154" s="314"/>
      <c r="L154" s="314"/>
      <c r="M154" s="314"/>
      <c r="N154" s="314"/>
      <c r="O154" s="314"/>
      <c r="P154" s="314"/>
      <c r="Q154" s="314"/>
      <c r="R154" s="314"/>
      <c r="S154" s="314"/>
      <c r="T154" s="314"/>
      <c r="U154" s="314"/>
      <c r="V154" s="314"/>
      <c r="W154" s="314"/>
      <c r="X154" s="314"/>
      <c r="Y154" s="314"/>
      <c r="Z154" s="314"/>
      <c r="AA154" s="314"/>
      <c r="AB154" s="314"/>
      <c r="AC154" s="314"/>
      <c r="AD154" s="314"/>
      <c r="AE154" s="314"/>
      <c r="AF154" s="314"/>
      <c r="AG154" s="314"/>
      <c r="AH154" s="314"/>
      <c r="AI154" s="314"/>
      <c r="AJ154" s="314"/>
      <c r="AK154" s="314"/>
      <c r="AL154" s="314"/>
      <c r="AM154" s="314"/>
      <c r="AN154" s="314"/>
      <c r="AO154" s="314"/>
      <c r="AP154" s="314"/>
      <c r="AQ154" s="314"/>
      <c r="AR154" s="314"/>
      <c r="AS154" s="314"/>
      <c r="AT154" s="314"/>
      <c r="AU154" s="314"/>
      <c r="AV154" s="314"/>
      <c r="AW154" s="314"/>
      <c r="AX154" s="314"/>
      <c r="AY154" s="314"/>
      <c r="AZ154" s="314"/>
      <c r="BA154" s="314"/>
      <c r="BB154" s="314"/>
      <c r="BC154" s="314"/>
      <c r="BD154" s="314"/>
      <c r="BE154" s="314"/>
      <c r="BF154" s="314"/>
      <c r="BG154" s="314"/>
    </row>
    <row r="155" spans="2:59" x14ac:dyDescent="0.25">
      <c r="C155" s="312" t="s">
        <v>1196</v>
      </c>
      <c r="D155" s="313"/>
      <c r="E155" s="363" t="str">
        <f>IF(OR(E156=0,E159=0),"No","Yes")</f>
        <v>Yes</v>
      </c>
      <c r="F155" s="363" t="str">
        <f t="shared" ref="F155:BG155" si="79">IF(OR(F156=0,F159=0),"No","Yes")</f>
        <v>No</v>
      </c>
      <c r="G155" s="363" t="str">
        <f t="shared" si="79"/>
        <v>Yes</v>
      </c>
      <c r="H155" s="363" t="str">
        <f t="shared" si="79"/>
        <v>No</v>
      </c>
      <c r="I155" s="363" t="str">
        <f t="shared" si="79"/>
        <v>No</v>
      </c>
      <c r="J155" s="363" t="str">
        <f t="shared" si="79"/>
        <v>No</v>
      </c>
      <c r="K155" s="363" t="str">
        <f t="shared" si="79"/>
        <v>No</v>
      </c>
      <c r="L155" s="363" t="str">
        <f t="shared" si="79"/>
        <v>No</v>
      </c>
      <c r="M155" s="363" t="str">
        <f t="shared" si="79"/>
        <v>No</v>
      </c>
      <c r="N155" s="363" t="str">
        <f t="shared" si="79"/>
        <v>Yes</v>
      </c>
      <c r="O155" s="363" t="str">
        <f t="shared" si="79"/>
        <v>No</v>
      </c>
      <c r="P155" s="363" t="str">
        <f t="shared" si="79"/>
        <v>No</v>
      </c>
      <c r="Q155" s="363" t="str">
        <f t="shared" si="79"/>
        <v>No</v>
      </c>
      <c r="R155" s="363" t="str">
        <f t="shared" si="79"/>
        <v>No</v>
      </c>
      <c r="S155" s="363" t="str">
        <f t="shared" si="79"/>
        <v>No</v>
      </c>
      <c r="T155" s="363" t="str">
        <f t="shared" si="79"/>
        <v>No</v>
      </c>
      <c r="U155" s="363" t="str">
        <f t="shared" si="79"/>
        <v>No</v>
      </c>
      <c r="V155" s="363" t="str">
        <f t="shared" si="79"/>
        <v>No</v>
      </c>
      <c r="W155" s="363" t="str">
        <f t="shared" si="79"/>
        <v>No</v>
      </c>
      <c r="X155" s="363" t="str">
        <f t="shared" si="79"/>
        <v>No</v>
      </c>
      <c r="Y155" s="363" t="str">
        <f t="shared" si="79"/>
        <v>No</v>
      </c>
      <c r="Z155" s="363" t="str">
        <f t="shared" si="79"/>
        <v>No</v>
      </c>
      <c r="AA155" s="363" t="str">
        <f t="shared" si="79"/>
        <v>Yes</v>
      </c>
      <c r="AB155" s="363" t="str">
        <f t="shared" si="79"/>
        <v>No</v>
      </c>
      <c r="AC155" s="363" t="str">
        <f t="shared" si="79"/>
        <v>No</v>
      </c>
      <c r="AD155" s="363" t="str">
        <f t="shared" si="79"/>
        <v>No</v>
      </c>
      <c r="AE155" s="363" t="str">
        <f t="shared" si="79"/>
        <v>No</v>
      </c>
      <c r="AF155" s="363" t="str">
        <f t="shared" si="79"/>
        <v>No</v>
      </c>
      <c r="AG155" s="363" t="str">
        <f t="shared" si="79"/>
        <v>No</v>
      </c>
      <c r="AH155" s="363" t="str">
        <f t="shared" si="79"/>
        <v>No</v>
      </c>
      <c r="AI155" s="363" t="str">
        <f t="shared" si="79"/>
        <v>No</v>
      </c>
      <c r="AJ155" s="363" t="str">
        <f t="shared" si="79"/>
        <v>No</v>
      </c>
      <c r="AK155" s="363" t="str">
        <f t="shared" si="79"/>
        <v>No</v>
      </c>
      <c r="AL155" s="363" t="str">
        <f t="shared" si="79"/>
        <v>No</v>
      </c>
      <c r="AM155" s="363" t="str">
        <f t="shared" si="79"/>
        <v>Yes</v>
      </c>
      <c r="AN155" s="363" t="str">
        <f t="shared" si="79"/>
        <v>No</v>
      </c>
      <c r="AO155" s="363" t="str">
        <f t="shared" si="79"/>
        <v>No</v>
      </c>
      <c r="AP155" s="363" t="str">
        <f t="shared" si="79"/>
        <v>No</v>
      </c>
      <c r="AQ155" s="363" t="str">
        <f t="shared" si="79"/>
        <v>No</v>
      </c>
      <c r="AR155" s="363" t="str">
        <f t="shared" si="79"/>
        <v>No</v>
      </c>
      <c r="AS155" s="363" t="str">
        <f t="shared" si="79"/>
        <v>No</v>
      </c>
      <c r="AT155" s="363" t="str">
        <f t="shared" si="79"/>
        <v>No</v>
      </c>
      <c r="AU155" s="363" t="str">
        <f t="shared" si="79"/>
        <v>Yes</v>
      </c>
      <c r="AV155" s="363" t="str">
        <f t="shared" si="79"/>
        <v>Yes</v>
      </c>
      <c r="AW155" s="363" t="str">
        <f t="shared" si="79"/>
        <v>Yes</v>
      </c>
      <c r="AX155" s="363" t="str">
        <f t="shared" si="79"/>
        <v>No</v>
      </c>
      <c r="AY155" s="363" t="str">
        <f t="shared" si="79"/>
        <v>No</v>
      </c>
      <c r="AZ155" s="363" t="str">
        <f t="shared" si="79"/>
        <v>No</v>
      </c>
      <c r="BA155" s="363" t="str">
        <f t="shared" si="79"/>
        <v>No</v>
      </c>
      <c r="BB155" s="363" t="str">
        <f t="shared" si="79"/>
        <v>No</v>
      </c>
      <c r="BC155" s="363" t="str">
        <f t="shared" si="79"/>
        <v>No</v>
      </c>
      <c r="BD155" s="363" t="str">
        <f t="shared" si="79"/>
        <v>No</v>
      </c>
      <c r="BE155" s="363" t="str">
        <f t="shared" si="79"/>
        <v>No</v>
      </c>
      <c r="BF155" s="363" t="str">
        <f t="shared" si="79"/>
        <v>No</v>
      </c>
      <c r="BG155" s="363" t="str">
        <f t="shared" si="79"/>
        <v>No</v>
      </c>
    </row>
    <row r="156" spans="2:59" x14ac:dyDescent="0.25">
      <c r="B156">
        <v>380</v>
      </c>
      <c r="C156" s="314" t="s">
        <v>1197</v>
      </c>
      <c r="D156" s="313"/>
      <c r="E156" s="314">
        <f>IF(MIN(ABS(180-E20),ABS(360-E20))&lt;13.9,1,IF(MIN(ABS(180-E20),ABS(360-E20))&gt;21,0,-1))</f>
        <v>1</v>
      </c>
      <c r="F156" s="314">
        <f t="shared" ref="F156:BG156" si="80">IF(MIN(ABS(180-F20),ABS(360-F20))&lt;13.9,1,IF(MIN(ABS(180-F20),ABS(360-F20))&gt;21,0,-1))</f>
        <v>0</v>
      </c>
      <c r="G156" s="314">
        <f t="shared" si="80"/>
        <v>1</v>
      </c>
      <c r="H156" s="314">
        <f t="shared" si="80"/>
        <v>1</v>
      </c>
      <c r="I156" s="314">
        <f t="shared" si="80"/>
        <v>0</v>
      </c>
      <c r="J156" s="314">
        <f t="shared" si="80"/>
        <v>0</v>
      </c>
      <c r="K156" s="314">
        <f t="shared" si="80"/>
        <v>0</v>
      </c>
      <c r="L156" s="314">
        <f t="shared" si="80"/>
        <v>0</v>
      </c>
      <c r="M156" s="314">
        <f t="shared" si="80"/>
        <v>0</v>
      </c>
      <c r="N156" s="314">
        <f t="shared" si="80"/>
        <v>1</v>
      </c>
      <c r="O156" s="314">
        <f t="shared" si="80"/>
        <v>0</v>
      </c>
      <c r="P156" s="314">
        <f t="shared" si="80"/>
        <v>0</v>
      </c>
      <c r="Q156" s="314">
        <f t="shared" si="80"/>
        <v>0</v>
      </c>
      <c r="R156" s="314">
        <f t="shared" si="80"/>
        <v>0</v>
      </c>
      <c r="S156" s="314">
        <f t="shared" si="80"/>
        <v>0</v>
      </c>
      <c r="T156" s="314">
        <f t="shared" si="80"/>
        <v>0</v>
      </c>
      <c r="U156" s="314">
        <f t="shared" si="80"/>
        <v>0</v>
      </c>
      <c r="V156" s="314">
        <f t="shared" si="80"/>
        <v>0</v>
      </c>
      <c r="W156" s="314">
        <f t="shared" si="80"/>
        <v>0</v>
      </c>
      <c r="X156" s="314">
        <f t="shared" si="80"/>
        <v>0</v>
      </c>
      <c r="Y156" s="314">
        <f t="shared" si="80"/>
        <v>0</v>
      </c>
      <c r="Z156" s="314">
        <f t="shared" si="80"/>
        <v>0</v>
      </c>
      <c r="AA156" s="314">
        <f t="shared" si="80"/>
        <v>1</v>
      </c>
      <c r="AB156" s="314">
        <f t="shared" si="80"/>
        <v>0</v>
      </c>
      <c r="AC156" s="314">
        <f t="shared" si="80"/>
        <v>0</v>
      </c>
      <c r="AD156" s="314">
        <f t="shared" si="80"/>
        <v>0</v>
      </c>
      <c r="AE156" s="314">
        <f t="shared" si="80"/>
        <v>0</v>
      </c>
      <c r="AF156" s="314">
        <f t="shared" si="80"/>
        <v>0</v>
      </c>
      <c r="AG156" s="314">
        <f t="shared" si="80"/>
        <v>0</v>
      </c>
      <c r="AH156" s="314">
        <f t="shared" si="80"/>
        <v>0</v>
      </c>
      <c r="AI156" s="314">
        <f t="shared" si="80"/>
        <v>0</v>
      </c>
      <c r="AJ156" s="314">
        <f t="shared" si="80"/>
        <v>0</v>
      </c>
      <c r="AK156" s="314">
        <f t="shared" si="80"/>
        <v>0</v>
      </c>
      <c r="AL156" s="314">
        <f t="shared" si="80"/>
        <v>0</v>
      </c>
      <c r="AM156" s="314">
        <f t="shared" si="80"/>
        <v>1</v>
      </c>
      <c r="AN156" s="314">
        <f t="shared" si="80"/>
        <v>0</v>
      </c>
      <c r="AO156" s="314">
        <f t="shared" si="80"/>
        <v>0</v>
      </c>
      <c r="AP156" s="314">
        <f t="shared" si="80"/>
        <v>0</v>
      </c>
      <c r="AQ156" s="314">
        <f t="shared" si="80"/>
        <v>0</v>
      </c>
      <c r="AR156" s="314">
        <f t="shared" si="80"/>
        <v>0</v>
      </c>
      <c r="AS156" s="314">
        <f t="shared" si="80"/>
        <v>0</v>
      </c>
      <c r="AT156" s="314">
        <f t="shared" si="80"/>
        <v>0</v>
      </c>
      <c r="AU156" s="314">
        <f t="shared" si="80"/>
        <v>-1</v>
      </c>
      <c r="AV156" s="314">
        <f t="shared" si="80"/>
        <v>1</v>
      </c>
      <c r="AW156" s="314">
        <f t="shared" si="80"/>
        <v>1</v>
      </c>
      <c r="AX156" s="314">
        <f t="shared" si="80"/>
        <v>0</v>
      </c>
      <c r="AY156" s="314">
        <f t="shared" si="80"/>
        <v>0</v>
      </c>
      <c r="AZ156" s="314">
        <f t="shared" si="80"/>
        <v>0</v>
      </c>
      <c r="BA156" s="314">
        <f t="shared" si="80"/>
        <v>0</v>
      </c>
      <c r="BB156" s="314">
        <f t="shared" si="80"/>
        <v>0</v>
      </c>
      <c r="BC156" s="314">
        <f t="shared" si="80"/>
        <v>0</v>
      </c>
      <c r="BD156" s="314">
        <f t="shared" si="80"/>
        <v>0</v>
      </c>
      <c r="BE156" s="314">
        <f t="shared" si="80"/>
        <v>0</v>
      </c>
      <c r="BF156" s="314">
        <f t="shared" si="80"/>
        <v>0</v>
      </c>
      <c r="BG156" s="314">
        <f t="shared" si="80"/>
        <v>0</v>
      </c>
    </row>
    <row r="157" spans="2:59" x14ac:dyDescent="0.25">
      <c r="C157" s="314" t="s">
        <v>1202</v>
      </c>
      <c r="D157" s="313"/>
      <c r="E157" s="314"/>
      <c r="F157" s="314"/>
      <c r="G157" s="314"/>
      <c r="H157" s="314"/>
      <c r="I157" s="314"/>
      <c r="J157" s="314"/>
      <c r="K157" s="314"/>
      <c r="L157" s="314"/>
      <c r="M157" s="314"/>
      <c r="N157" s="314"/>
      <c r="O157" s="314"/>
      <c r="P157" s="314"/>
      <c r="Q157" s="314"/>
      <c r="R157" s="314"/>
      <c r="S157" s="314"/>
      <c r="T157" s="314"/>
      <c r="U157" s="314"/>
      <c r="V157" s="314"/>
      <c r="W157" s="314"/>
      <c r="X157" s="314"/>
      <c r="Y157" s="314"/>
      <c r="Z157" s="314"/>
      <c r="AA157" s="314"/>
      <c r="AB157" s="314"/>
      <c r="AC157" s="314"/>
      <c r="AD157" s="314"/>
      <c r="AE157" s="314"/>
      <c r="AF157" s="314"/>
      <c r="AG157" s="314"/>
      <c r="AH157" s="314"/>
      <c r="AI157" s="314"/>
      <c r="AJ157" s="314"/>
      <c r="AK157" s="314"/>
      <c r="AL157" s="314"/>
      <c r="AM157" s="314"/>
      <c r="AN157" s="314"/>
      <c r="AO157" s="314"/>
      <c r="AP157" s="314"/>
      <c r="AQ157" s="314"/>
      <c r="AR157" s="314"/>
      <c r="AS157" s="314"/>
      <c r="AT157" s="314"/>
      <c r="AU157" s="314"/>
      <c r="AV157" s="314"/>
      <c r="AW157" s="314"/>
      <c r="AX157" s="314"/>
      <c r="AY157" s="314"/>
      <c r="AZ157" s="314"/>
      <c r="BA157" s="314"/>
      <c r="BB157" s="314"/>
      <c r="BC157" s="314"/>
      <c r="BD157" s="314"/>
      <c r="BE157" s="314"/>
      <c r="BF157" s="314"/>
      <c r="BG157" s="314"/>
    </row>
    <row r="158" spans="2:59" x14ac:dyDescent="0.25">
      <c r="C158" s="314" t="s">
        <v>1203</v>
      </c>
      <c r="D158" s="313"/>
      <c r="E158" s="314"/>
      <c r="F158" s="314"/>
      <c r="G158" s="314"/>
      <c r="H158" s="314"/>
      <c r="I158" s="314"/>
      <c r="J158" s="314"/>
      <c r="K158" s="314"/>
      <c r="L158" s="314"/>
      <c r="M158" s="314"/>
      <c r="N158" s="314"/>
      <c r="O158" s="314"/>
      <c r="P158" s="314"/>
      <c r="Q158" s="314"/>
      <c r="R158" s="314"/>
      <c r="S158" s="314"/>
      <c r="T158" s="314"/>
      <c r="U158" s="314"/>
      <c r="V158" s="314"/>
      <c r="W158" s="314"/>
      <c r="X158" s="314"/>
      <c r="Y158" s="314"/>
      <c r="Z158" s="314"/>
      <c r="AA158" s="314"/>
      <c r="AB158" s="314"/>
      <c r="AC158" s="314"/>
      <c r="AD158" s="314"/>
      <c r="AE158" s="314"/>
      <c r="AF158" s="314"/>
      <c r="AG158" s="314"/>
      <c r="AH158" s="314"/>
      <c r="AI158" s="314"/>
      <c r="AJ158" s="314"/>
      <c r="AK158" s="314"/>
      <c r="AL158" s="314"/>
      <c r="AM158" s="314"/>
      <c r="AN158" s="314"/>
      <c r="AO158" s="314"/>
      <c r="AP158" s="314"/>
      <c r="AQ158" s="314"/>
      <c r="AR158" s="314"/>
      <c r="AS158" s="314"/>
      <c r="AT158" s="314"/>
      <c r="AU158" s="314"/>
      <c r="AV158" s="314"/>
      <c r="AW158" s="314"/>
      <c r="AX158" s="314"/>
      <c r="AY158" s="314"/>
      <c r="AZ158" s="314"/>
      <c r="BA158" s="314"/>
      <c r="BB158" s="314"/>
      <c r="BC158" s="314"/>
      <c r="BD158" s="314"/>
      <c r="BE158" s="314"/>
      <c r="BF158" s="314"/>
      <c r="BG158" s="314"/>
    </row>
    <row r="159" spans="2:59" x14ac:dyDescent="0.25">
      <c r="B159">
        <v>380</v>
      </c>
      <c r="C159" s="314" t="s">
        <v>1204</v>
      </c>
      <c r="D159" s="313"/>
      <c r="E159" s="314">
        <f>IF( ABS(E243) &lt; 0.9972, 1, IF( ABS(E243) &gt; 1.5433 + E249, 0, IF( ABS(E243) &lt; 1.026, 0, -1) ) )</f>
        <v>1</v>
      </c>
      <c r="F159" s="314">
        <f t="shared" ref="F159:BG159" si="81">IF( ABS(F243) &lt; 0.9972, 1, IF( ABS(F243) &gt; 1.5433 + F249, 0, IF( ABS(F243) &lt; 1.026, 0, -1) ) )</f>
        <v>0</v>
      </c>
      <c r="G159" s="314">
        <f t="shared" si="81"/>
        <v>1</v>
      </c>
      <c r="H159" s="314">
        <f t="shared" si="81"/>
        <v>0</v>
      </c>
      <c r="I159" s="314">
        <f t="shared" si="81"/>
        <v>0</v>
      </c>
      <c r="J159" s="314">
        <f t="shared" si="81"/>
        <v>0</v>
      </c>
      <c r="K159" s="314">
        <f t="shared" si="81"/>
        <v>0</v>
      </c>
      <c r="L159" s="314">
        <f t="shared" si="81"/>
        <v>0</v>
      </c>
      <c r="M159" s="314">
        <f t="shared" si="81"/>
        <v>0</v>
      </c>
      <c r="N159" s="314">
        <f t="shared" si="81"/>
        <v>1</v>
      </c>
      <c r="O159" s="314">
        <f t="shared" si="81"/>
        <v>0</v>
      </c>
      <c r="P159" s="314">
        <f t="shared" si="81"/>
        <v>0</v>
      </c>
      <c r="Q159" s="314">
        <f t="shared" si="81"/>
        <v>1</v>
      </c>
      <c r="R159" s="314">
        <f t="shared" si="81"/>
        <v>0</v>
      </c>
      <c r="S159" s="314">
        <f t="shared" si="81"/>
        <v>0</v>
      </c>
      <c r="T159" s="314">
        <f t="shared" si="81"/>
        <v>0</v>
      </c>
      <c r="U159" s="314">
        <f t="shared" si="81"/>
        <v>0</v>
      </c>
      <c r="V159" s="314">
        <f t="shared" si="81"/>
        <v>0</v>
      </c>
      <c r="W159" s="314">
        <f t="shared" si="81"/>
        <v>0</v>
      </c>
      <c r="X159" s="314">
        <f t="shared" si="81"/>
        <v>0</v>
      </c>
      <c r="Y159" s="314">
        <f t="shared" si="81"/>
        <v>0</v>
      </c>
      <c r="Z159" s="314">
        <f t="shared" si="81"/>
        <v>0</v>
      </c>
      <c r="AA159" s="314">
        <f t="shared" si="81"/>
        <v>1</v>
      </c>
      <c r="AB159" s="314">
        <f t="shared" si="81"/>
        <v>1</v>
      </c>
      <c r="AC159" s="314">
        <f t="shared" si="81"/>
        <v>0</v>
      </c>
      <c r="AD159" s="314">
        <f t="shared" si="81"/>
        <v>0</v>
      </c>
      <c r="AE159" s="314">
        <f t="shared" si="81"/>
        <v>0</v>
      </c>
      <c r="AF159" s="314">
        <f t="shared" si="81"/>
        <v>0</v>
      </c>
      <c r="AG159" s="314">
        <f t="shared" si="81"/>
        <v>0</v>
      </c>
      <c r="AH159" s="314">
        <f t="shared" si="81"/>
        <v>0</v>
      </c>
      <c r="AI159" s="314">
        <f t="shared" si="81"/>
        <v>0</v>
      </c>
      <c r="AJ159" s="314">
        <f t="shared" si="81"/>
        <v>1</v>
      </c>
      <c r="AK159" s="314">
        <f t="shared" si="81"/>
        <v>0</v>
      </c>
      <c r="AL159" s="314">
        <f t="shared" si="81"/>
        <v>0</v>
      </c>
      <c r="AM159" s="314">
        <f t="shared" si="81"/>
        <v>1</v>
      </c>
      <c r="AN159" s="314">
        <f t="shared" si="81"/>
        <v>0</v>
      </c>
      <c r="AO159" s="314">
        <f t="shared" si="81"/>
        <v>0</v>
      </c>
      <c r="AP159" s="314">
        <f t="shared" si="81"/>
        <v>0</v>
      </c>
      <c r="AQ159" s="314">
        <f t="shared" si="81"/>
        <v>0</v>
      </c>
      <c r="AR159" s="314">
        <f t="shared" si="81"/>
        <v>1</v>
      </c>
      <c r="AS159" s="314">
        <f t="shared" si="81"/>
        <v>1</v>
      </c>
      <c r="AT159" s="314">
        <f t="shared" si="81"/>
        <v>1</v>
      </c>
      <c r="AU159" s="314">
        <f t="shared" si="81"/>
        <v>-1</v>
      </c>
      <c r="AV159" s="314">
        <f t="shared" si="81"/>
        <v>1</v>
      </c>
      <c r="AW159" s="314">
        <f t="shared" si="81"/>
        <v>1</v>
      </c>
      <c r="AX159" s="314">
        <f t="shared" si="81"/>
        <v>1</v>
      </c>
      <c r="AY159" s="314">
        <f t="shared" si="81"/>
        <v>0</v>
      </c>
      <c r="AZ159" s="314">
        <f t="shared" si="81"/>
        <v>0</v>
      </c>
      <c r="BA159" s="314">
        <f t="shared" si="81"/>
        <v>0</v>
      </c>
      <c r="BB159" s="314">
        <f t="shared" si="81"/>
        <v>0</v>
      </c>
      <c r="BC159" s="314">
        <f t="shared" si="81"/>
        <v>0</v>
      </c>
      <c r="BD159" s="314">
        <f t="shared" si="81"/>
        <v>0</v>
      </c>
      <c r="BE159" s="314">
        <f t="shared" si="81"/>
        <v>0</v>
      </c>
      <c r="BF159" s="314">
        <f t="shared" si="81"/>
        <v>0</v>
      </c>
      <c r="BG159" s="314">
        <f t="shared" si="81"/>
        <v>0</v>
      </c>
    </row>
    <row r="160" spans="2:59" x14ac:dyDescent="0.25">
      <c r="B160">
        <v>380</v>
      </c>
      <c r="C160" s="314" t="s">
        <v>1201</v>
      </c>
      <c r="D160" s="313"/>
      <c r="E160" s="363" t="str">
        <f>IF(E159=-1,IF( E249 &lt; E251,"Ann-Total","Annular"),"--")</f>
        <v>--</v>
      </c>
      <c r="F160" s="363" t="str">
        <f t="shared" ref="F160:BG160" si="82">IF(F159=-1,IF( F249 &lt; F251,"Ann-Total","Annular"),"--")</f>
        <v>--</v>
      </c>
      <c r="G160" s="363" t="str">
        <f t="shared" si="82"/>
        <v>--</v>
      </c>
      <c r="H160" s="363" t="str">
        <f t="shared" si="82"/>
        <v>--</v>
      </c>
      <c r="I160" s="363" t="str">
        <f t="shared" si="82"/>
        <v>--</v>
      </c>
      <c r="J160" s="363" t="str">
        <f t="shared" si="82"/>
        <v>--</v>
      </c>
      <c r="K160" s="363" t="str">
        <f t="shared" si="82"/>
        <v>--</v>
      </c>
      <c r="L160" s="363" t="str">
        <f t="shared" si="82"/>
        <v>--</v>
      </c>
      <c r="M160" s="363" t="str">
        <f t="shared" si="82"/>
        <v>--</v>
      </c>
      <c r="N160" s="363" t="str">
        <f t="shared" si="82"/>
        <v>--</v>
      </c>
      <c r="O160" s="363" t="str">
        <f t="shared" si="82"/>
        <v>--</v>
      </c>
      <c r="P160" s="363" t="str">
        <f t="shared" si="82"/>
        <v>--</v>
      </c>
      <c r="Q160" s="363" t="str">
        <f t="shared" si="82"/>
        <v>--</v>
      </c>
      <c r="R160" s="363" t="str">
        <f t="shared" si="82"/>
        <v>--</v>
      </c>
      <c r="S160" s="363" t="str">
        <f t="shared" si="82"/>
        <v>--</v>
      </c>
      <c r="T160" s="363" t="str">
        <f t="shared" si="82"/>
        <v>--</v>
      </c>
      <c r="U160" s="363" t="str">
        <f t="shared" si="82"/>
        <v>--</v>
      </c>
      <c r="V160" s="363" t="str">
        <f t="shared" si="82"/>
        <v>--</v>
      </c>
      <c r="W160" s="363" t="str">
        <f t="shared" si="82"/>
        <v>--</v>
      </c>
      <c r="X160" s="363" t="str">
        <f t="shared" si="82"/>
        <v>--</v>
      </c>
      <c r="Y160" s="363" t="str">
        <f t="shared" si="82"/>
        <v>--</v>
      </c>
      <c r="Z160" s="363" t="str">
        <f t="shared" si="82"/>
        <v>--</v>
      </c>
      <c r="AA160" s="363" t="str">
        <f t="shared" si="82"/>
        <v>--</v>
      </c>
      <c r="AB160" s="363" t="str">
        <f t="shared" si="82"/>
        <v>--</v>
      </c>
      <c r="AC160" s="363" t="str">
        <f t="shared" si="82"/>
        <v>--</v>
      </c>
      <c r="AD160" s="363" t="str">
        <f t="shared" si="82"/>
        <v>--</v>
      </c>
      <c r="AE160" s="363" t="str">
        <f t="shared" si="82"/>
        <v>--</v>
      </c>
      <c r="AF160" s="363" t="str">
        <f t="shared" si="82"/>
        <v>--</v>
      </c>
      <c r="AG160" s="363" t="str">
        <f t="shared" si="82"/>
        <v>--</v>
      </c>
      <c r="AH160" s="363" t="str">
        <f t="shared" si="82"/>
        <v>--</v>
      </c>
      <c r="AI160" s="363" t="str">
        <f t="shared" si="82"/>
        <v>--</v>
      </c>
      <c r="AJ160" s="363" t="str">
        <f t="shared" si="82"/>
        <v>--</v>
      </c>
      <c r="AK160" s="363" t="str">
        <f t="shared" si="82"/>
        <v>--</v>
      </c>
      <c r="AL160" s="363" t="str">
        <f t="shared" si="82"/>
        <v>--</v>
      </c>
      <c r="AM160" s="363" t="str">
        <f t="shared" si="82"/>
        <v>--</v>
      </c>
      <c r="AN160" s="363" t="str">
        <f t="shared" si="82"/>
        <v>--</v>
      </c>
      <c r="AO160" s="363" t="str">
        <f t="shared" si="82"/>
        <v>--</v>
      </c>
      <c r="AP160" s="363" t="str">
        <f t="shared" si="82"/>
        <v>--</v>
      </c>
      <c r="AQ160" s="363" t="str">
        <f t="shared" si="82"/>
        <v>--</v>
      </c>
      <c r="AR160" s="363" t="str">
        <f t="shared" si="82"/>
        <v>--</v>
      </c>
      <c r="AS160" s="363" t="str">
        <f t="shared" si="82"/>
        <v>--</v>
      </c>
      <c r="AT160" s="363" t="str">
        <f t="shared" si="82"/>
        <v>--</v>
      </c>
      <c r="AU160" s="363" t="str">
        <f t="shared" si="82"/>
        <v>Annular</v>
      </c>
      <c r="AV160" s="363" t="str">
        <f t="shared" si="82"/>
        <v>--</v>
      </c>
      <c r="AW160" s="363" t="str">
        <f t="shared" si="82"/>
        <v>--</v>
      </c>
      <c r="AX160" s="363" t="str">
        <f t="shared" si="82"/>
        <v>--</v>
      </c>
      <c r="AY160" s="363" t="str">
        <f t="shared" si="82"/>
        <v>--</v>
      </c>
      <c r="AZ160" s="363" t="str">
        <f t="shared" si="82"/>
        <v>--</v>
      </c>
      <c r="BA160" s="363" t="str">
        <f t="shared" si="82"/>
        <v>--</v>
      </c>
      <c r="BB160" s="363" t="str">
        <f t="shared" si="82"/>
        <v>--</v>
      </c>
      <c r="BC160" s="363" t="str">
        <f t="shared" si="82"/>
        <v>--</v>
      </c>
      <c r="BD160" s="363" t="str">
        <f t="shared" si="82"/>
        <v>--</v>
      </c>
      <c r="BE160" s="363" t="str">
        <f t="shared" si="82"/>
        <v>--</v>
      </c>
      <c r="BF160" s="363" t="str">
        <f t="shared" si="82"/>
        <v>--</v>
      </c>
      <c r="BG160" s="363" t="str">
        <f t="shared" si="82"/>
        <v>--</v>
      </c>
    </row>
    <row r="161" spans="2:59" x14ac:dyDescent="0.25">
      <c r="B161">
        <v>380</v>
      </c>
      <c r="C161" t="s">
        <v>1137</v>
      </c>
      <c r="D161" s="7" t="s">
        <v>1053</v>
      </c>
      <c r="E161">
        <f>MIN(ABS(E20-180),ABS(E20-360))</f>
        <v>6.0432825702009723</v>
      </c>
      <c r="F161">
        <f t="shared" ref="F161:BG161" si="83">MIN(ABS(F20-180),ABS(F20-360))</f>
        <v>32.523082122206688</v>
      </c>
      <c r="G161">
        <f t="shared" si="83"/>
        <v>3.9539485802633862</v>
      </c>
      <c r="H161">
        <f t="shared" si="83"/>
        <v>11.999982799336976</v>
      </c>
      <c r="I161">
        <f t="shared" si="83"/>
        <v>51.234429779055063</v>
      </c>
      <c r="J161">
        <f t="shared" si="83"/>
        <v>77.881913925339177</v>
      </c>
      <c r="K161">
        <f t="shared" si="83"/>
        <v>43.188391818599484</v>
      </c>
      <c r="L161">
        <f t="shared" si="83"/>
        <v>69.83587609125243</v>
      </c>
      <c r="M161">
        <f t="shared" si="83"/>
        <v>36.632429731136654</v>
      </c>
      <c r="N161">
        <f t="shared" si="83"/>
        <v>9.0428705364465714</v>
      </c>
      <c r="O161">
        <f t="shared" si="83"/>
        <v>47.759541610023007</v>
      </c>
      <c r="P161">
        <f t="shared" si="83"/>
        <v>76.669405698776245</v>
      </c>
      <c r="Q161">
        <f t="shared" si="83"/>
        <v>172.00276227667928</v>
      </c>
      <c r="R161">
        <f t="shared" si="83"/>
        <v>22.673317600041628</v>
      </c>
      <c r="S161">
        <f t="shared" si="83"/>
        <v>70.318723870441318</v>
      </c>
      <c r="T161">
        <f t="shared" si="83"/>
        <v>162.33044918254018</v>
      </c>
      <c r="U161">
        <f t="shared" si="83"/>
        <v>47.695050086826086</v>
      </c>
      <c r="V161">
        <f t="shared" si="83"/>
        <v>83.439744852483273</v>
      </c>
      <c r="W161">
        <f t="shared" si="83"/>
        <v>40.777079739484179</v>
      </c>
      <c r="X161">
        <f t="shared" si="83"/>
        <v>37.651727787924756</v>
      </c>
      <c r="Y161">
        <f t="shared" si="83"/>
        <v>43.706336357034161</v>
      </c>
      <c r="Z161">
        <f t="shared" si="83"/>
        <v>59.200716185820056</v>
      </c>
      <c r="AA161">
        <f t="shared" si="83"/>
        <v>3.9539485802633862</v>
      </c>
      <c r="AB161">
        <f t="shared" si="83"/>
        <v>171.44738065265119</v>
      </c>
      <c r="AC161">
        <f t="shared" si="83"/>
        <v>88.955261296563549</v>
      </c>
      <c r="AD161">
        <f t="shared" si="83"/>
        <v>48.823117624124279</v>
      </c>
      <c r="AE161">
        <f t="shared" si="83"/>
        <v>43.706336357034161</v>
      </c>
      <c r="AF161">
        <f t="shared" si="83"/>
        <v>27.712296457451885</v>
      </c>
      <c r="AG161">
        <f t="shared" si="83"/>
        <v>33.628709591255756</v>
      </c>
      <c r="AH161">
        <f t="shared" si="83"/>
        <v>72.96122945825482</v>
      </c>
      <c r="AI161">
        <f t="shared" si="83"/>
        <v>68.32223082807468</v>
      </c>
      <c r="AJ161">
        <f t="shared" si="83"/>
        <v>178.93518845764265</v>
      </c>
      <c r="AK161">
        <f t="shared" si="83"/>
        <v>103.26116386195645</v>
      </c>
      <c r="AL161">
        <f t="shared" si="83"/>
        <v>111.06178899118822</v>
      </c>
      <c r="AM161">
        <f t="shared" si="83"/>
        <v>2.3896942446008325</v>
      </c>
      <c r="AN161">
        <f t="shared" si="83"/>
        <v>91.94244007290672</v>
      </c>
      <c r="AO161">
        <f t="shared" si="83"/>
        <v>37.909705214202404</v>
      </c>
      <c r="AP161">
        <f t="shared" si="83"/>
        <v>25.542734056623885</v>
      </c>
      <c r="AQ161">
        <f t="shared" si="83"/>
        <v>25.542734056623885</v>
      </c>
      <c r="AR161">
        <f t="shared" si="83"/>
        <v>174.87223181115405</v>
      </c>
      <c r="AS161">
        <f t="shared" si="83"/>
        <v>174.87223181115405</v>
      </c>
      <c r="AT161">
        <f t="shared" si="83"/>
        <v>174.87223181115405</v>
      </c>
      <c r="AU161">
        <f t="shared" si="83"/>
        <v>14.549496594088851</v>
      </c>
      <c r="AV161">
        <f t="shared" si="83"/>
        <v>6.6014682042386994</v>
      </c>
      <c r="AW161">
        <f t="shared" si="83"/>
        <v>3.0389115348225459</v>
      </c>
      <c r="AX161">
        <f t="shared" si="83"/>
        <v>177.97974109518691</v>
      </c>
      <c r="AY161">
        <f t="shared" si="83"/>
        <v>144.20172956777969</v>
      </c>
      <c r="AZ161">
        <f t="shared" si="83"/>
        <v>144.20172956777969</v>
      </c>
      <c r="BA161">
        <f t="shared" si="83"/>
        <v>113.53122732650081</v>
      </c>
      <c r="BB161">
        <f t="shared" si="83"/>
        <v>113.53122732650081</v>
      </c>
      <c r="BC161">
        <f t="shared" si="83"/>
        <v>113.53122732650081</v>
      </c>
      <c r="BD161">
        <f t="shared" si="83"/>
        <v>113.53122732650081</v>
      </c>
      <c r="BE161">
        <f t="shared" si="83"/>
        <v>113.53122732650081</v>
      </c>
      <c r="BF161">
        <f t="shared" si="83"/>
        <v>113.53122732650081</v>
      </c>
      <c r="BG161">
        <f t="shared" si="83"/>
        <v>43.706336357034161</v>
      </c>
    </row>
    <row r="162" spans="2:59" x14ac:dyDescent="0.25">
      <c r="B162">
        <v>380</v>
      </c>
      <c r="C162" t="s">
        <v>1057</v>
      </c>
      <c r="D162" s="7" t="s">
        <v>1058</v>
      </c>
      <c r="E162">
        <f>ABS(SIN(E20 * Deg2Rad))</f>
        <v>0.10527971844139256</v>
      </c>
      <c r="F162">
        <f>ABS(SIN(F20 * Deg2Rad))</f>
        <v>0.53763933259749785</v>
      </c>
      <c r="G162">
        <f>ABS(SIN(G20 * Deg2Rad))</f>
        <v>6.8954660290986305E-2</v>
      </c>
      <c r="H162">
        <f>ABS(SIN(H20 * Deg2Rad))</f>
        <v>0.20791139716981596</v>
      </c>
      <c r="I162">
        <f>ABS(SIN(I20 * Deg2Rad))</f>
        <v>0.77971435858012028</v>
      </c>
      <c r="J162">
        <f>ABS(SIN(J20 * Deg2Rad))</f>
        <v>0.97771701952465273</v>
      </c>
      <c r="K162">
        <f>ABS(SIN(K20 * Deg2Rad))</f>
        <v>0.68439940211794914</v>
      </c>
      <c r="L162">
        <f>ABS(SIN(L20 * Deg2Rad))</f>
        <v>0.93870904927715326</v>
      </c>
      <c r="M162">
        <f>ABS(SIN(M20 * Deg2Rad))</f>
        <v>0.59667917861115116</v>
      </c>
      <c r="N162">
        <f>ABS(SIN(N20 * Deg2Rad))</f>
        <v>0.15717344121665666</v>
      </c>
      <c r="O162">
        <f>ABS(SIN(O20 * Deg2Rad))</f>
        <v>0.74033008815470069</v>
      </c>
      <c r="P162">
        <f>ABS(SIN(P20 * Deg2Rad))</f>
        <v>0.97305589408932014</v>
      </c>
      <c r="Q162">
        <f>ABS(SIN(Q20 * Deg2Rad))</f>
        <v>0.13912535915985502</v>
      </c>
      <c r="R162">
        <f>ABS(SIN(R20 * Deg2Rad))</f>
        <v>0.38547637844313659</v>
      </c>
      <c r="S162">
        <f>ABS(SIN(S20 * Deg2Rad))</f>
        <v>0.9415806549726069</v>
      </c>
      <c r="T162">
        <f>ABS(SIN(T20 * Deg2Rad))</f>
        <v>0.3035267370368181</v>
      </c>
      <c r="U162">
        <f>ABS(SIN(U20 * Deg2Rad))</f>
        <v>0.73957294913127503</v>
      </c>
      <c r="V162">
        <f>ABS(SIN(V20 * Deg2Rad))</f>
        <v>0.99345225602788445</v>
      </c>
      <c r="W162">
        <f>ABS(SIN(W20 * Deg2Rad))</f>
        <v>0.65311772794691025</v>
      </c>
      <c r="X162">
        <f>ABS(SIN(X20 * Deg2Rad))</f>
        <v>0.61086021024964154</v>
      </c>
      <c r="Y162">
        <f>ABS(SIN(Y20 * Deg2Rad))</f>
        <v>0.69096236000024713</v>
      </c>
      <c r="Z162">
        <f>ABS(SIN(Z20 * Deg2Rad))</f>
        <v>0.85896629729727791</v>
      </c>
      <c r="AA162">
        <f>ABS(SIN(AA20 * Deg2Rad))</f>
        <v>6.8954660290986305E-2</v>
      </c>
      <c r="AB162">
        <f>ABS(SIN(AB20 * Deg2Rad))</f>
        <v>0.14871764190959608</v>
      </c>
      <c r="AC162">
        <f>ABS(SIN(AC20 * Deg2Rad))</f>
        <v>0.99983376285396386</v>
      </c>
      <c r="AD162">
        <f>ABS(SIN(AD20 * Deg2Rad))</f>
        <v>0.75268061478203852</v>
      </c>
      <c r="AE162">
        <f>ABS(SIN(AE20 * Deg2Rad))</f>
        <v>0.69096236000024713</v>
      </c>
      <c r="AF162">
        <f>ABS(SIN(AF20 * Deg2Rad))</f>
        <v>0.46503205259248909</v>
      </c>
      <c r="AG162">
        <f>ABS(SIN(AG20 * Deg2Rad))</f>
        <v>0.55380883734214781</v>
      </c>
      <c r="AH162">
        <f>ABS(SIN(AH20 * Deg2Rad))</f>
        <v>0.95610669682250704</v>
      </c>
      <c r="AI162">
        <f>ABS(SIN(AI20 * Deg2Rad))</f>
        <v>0.92927596375768839</v>
      </c>
      <c r="AJ162">
        <f>ABS(SIN(AJ20 * Deg2Rad))</f>
        <v>1.8583397554447555E-2</v>
      </c>
      <c r="AK162">
        <f>ABS(SIN(AK20 * Deg2Rad))</f>
        <v>0.9733345811701708</v>
      </c>
      <c r="AL162">
        <f>ABS(SIN(AL20 * Deg2Rad))</f>
        <v>0.93319341205506501</v>
      </c>
      <c r="AM162">
        <f>ABS(SIN(AM20 * Deg2Rad))</f>
        <v>4.1695941465138449E-2</v>
      </c>
      <c r="AN162">
        <f>ABS(SIN(AN20 * Deg2Rad))</f>
        <v>0.99942538309170215</v>
      </c>
      <c r="AO162">
        <f>ABS(SIN(AO20 * Deg2Rad))</f>
        <v>0.61441885261522888</v>
      </c>
      <c r="AP162">
        <f>ABS(SIN(AP20 * Deg2Rad))</f>
        <v>0.43118417022694772</v>
      </c>
      <c r="AQ162">
        <f>ABS(SIN(AQ20 * Deg2Rad))</f>
        <v>0.43118417022694772</v>
      </c>
      <c r="AR162">
        <f>ABS(SIN(AR20 * Deg2Rad))</f>
        <v>8.9377014047293646E-2</v>
      </c>
      <c r="AS162">
        <f>ABS(SIN(AS20 * Deg2Rad))</f>
        <v>8.9377014047293646E-2</v>
      </c>
      <c r="AT162">
        <f>ABS(SIN(AT20 * Deg2Rad))</f>
        <v>8.9377014047293646E-2</v>
      </c>
      <c r="AU162">
        <f>ABS(SIN(AU20 * Deg2Rad))</f>
        <v>0.25121627248845363</v>
      </c>
      <c r="AV162">
        <f>ABS(SIN(AV20 * Deg2Rad))</f>
        <v>0.11496260563031607</v>
      </c>
      <c r="AW162">
        <f>ABS(SIN(AW20 * Deg2Rad))</f>
        <v>5.3014147791089282E-2</v>
      </c>
      <c r="AX162">
        <f>ABS(SIN(AX20 * Deg2Rad))</f>
        <v>3.5252863711191032E-2</v>
      </c>
      <c r="AY162">
        <f>ABS(SIN(AY20 * Deg2Rad))</f>
        <v>0.5849331914191308</v>
      </c>
      <c r="AZ162">
        <f>ABS(SIN(AZ20 * Deg2Rad))</f>
        <v>0.5849331914191308</v>
      </c>
      <c r="BA162">
        <f>ABS(SIN(BA20 * Deg2Rad))</f>
        <v>0.91684261210759455</v>
      </c>
      <c r="BB162">
        <f>ABS(SIN(BB20 * Deg2Rad))</f>
        <v>0.91684261210759455</v>
      </c>
      <c r="BC162">
        <f>ABS(SIN(BC20 * Deg2Rad))</f>
        <v>0.91684261210759455</v>
      </c>
      <c r="BD162">
        <f>ABS(SIN(BD20 * Deg2Rad))</f>
        <v>0.91684261210759455</v>
      </c>
      <c r="BE162">
        <f>ABS(SIN(BE20 * Deg2Rad))</f>
        <v>0.91684261210759455</v>
      </c>
      <c r="BF162">
        <f>ABS(SIN(BF20 * Deg2Rad))</f>
        <v>0.91684261210759455</v>
      </c>
      <c r="BG162">
        <f>ABS(SIN(BG20 * Deg2Rad))</f>
        <v>0.69096236000024713</v>
      </c>
    </row>
    <row r="163" spans="2:59" x14ac:dyDescent="0.25">
      <c r="C163" t="s">
        <v>1054</v>
      </c>
    </row>
    <row r="164" spans="2:59" x14ac:dyDescent="0.25">
      <c r="C164" t="s">
        <v>1055</v>
      </c>
    </row>
    <row r="165" spans="2:59" x14ac:dyDescent="0.25">
      <c r="C165" t="s">
        <v>1056</v>
      </c>
    </row>
    <row r="166" spans="2:59" x14ac:dyDescent="0.25">
      <c r="C166" s="6" t="s">
        <v>1059</v>
      </c>
    </row>
    <row r="167" spans="2:59" x14ac:dyDescent="0.25">
      <c r="B167">
        <v>380</v>
      </c>
      <c r="C167" t="s">
        <v>1062</v>
      </c>
      <c r="D167" s="7" t="s">
        <v>1063</v>
      </c>
      <c r="E167">
        <f t="shared" ref="E167:AU167" si="84">IF(E161&lt;13.9,1,IF(E161&gt;21,0,-1))</f>
        <v>1</v>
      </c>
      <c r="F167">
        <f t="shared" ref="F167:BG167" si="85">IF(F161&lt;13.9,1,IF(F161&gt;21,0,-1))</f>
        <v>0</v>
      </c>
      <c r="G167">
        <f t="shared" si="85"/>
        <v>1</v>
      </c>
      <c r="H167">
        <f t="shared" si="85"/>
        <v>1</v>
      </c>
      <c r="I167">
        <f t="shared" si="85"/>
        <v>0</v>
      </c>
      <c r="J167">
        <f t="shared" si="85"/>
        <v>0</v>
      </c>
      <c r="K167">
        <f t="shared" si="85"/>
        <v>0</v>
      </c>
      <c r="L167">
        <f t="shared" si="85"/>
        <v>0</v>
      </c>
      <c r="M167">
        <f t="shared" si="85"/>
        <v>0</v>
      </c>
      <c r="N167">
        <f t="shared" si="85"/>
        <v>1</v>
      </c>
      <c r="O167">
        <f t="shared" si="85"/>
        <v>0</v>
      </c>
      <c r="P167">
        <f t="shared" si="85"/>
        <v>0</v>
      </c>
      <c r="Q167">
        <f t="shared" si="85"/>
        <v>0</v>
      </c>
      <c r="R167">
        <f t="shared" si="85"/>
        <v>0</v>
      </c>
      <c r="S167">
        <f t="shared" si="85"/>
        <v>0</v>
      </c>
      <c r="T167">
        <f t="shared" si="85"/>
        <v>0</v>
      </c>
      <c r="U167">
        <f t="shared" si="85"/>
        <v>0</v>
      </c>
      <c r="V167">
        <f t="shared" si="85"/>
        <v>0</v>
      </c>
      <c r="W167">
        <f t="shared" si="85"/>
        <v>0</v>
      </c>
      <c r="X167">
        <f t="shared" si="85"/>
        <v>0</v>
      </c>
      <c r="Y167">
        <f t="shared" si="85"/>
        <v>0</v>
      </c>
      <c r="Z167">
        <f t="shared" si="85"/>
        <v>0</v>
      </c>
      <c r="AA167">
        <f t="shared" si="85"/>
        <v>1</v>
      </c>
      <c r="AB167">
        <f t="shared" si="85"/>
        <v>0</v>
      </c>
      <c r="AC167">
        <f t="shared" si="85"/>
        <v>0</v>
      </c>
      <c r="AD167">
        <f t="shared" si="85"/>
        <v>0</v>
      </c>
      <c r="AE167">
        <f t="shared" si="85"/>
        <v>0</v>
      </c>
      <c r="AF167">
        <f t="shared" si="85"/>
        <v>0</v>
      </c>
      <c r="AG167">
        <f t="shared" si="85"/>
        <v>0</v>
      </c>
      <c r="AH167">
        <f t="shared" si="85"/>
        <v>0</v>
      </c>
      <c r="AI167">
        <f t="shared" si="85"/>
        <v>0</v>
      </c>
      <c r="AJ167">
        <f t="shared" si="85"/>
        <v>0</v>
      </c>
      <c r="AK167">
        <f t="shared" si="85"/>
        <v>0</v>
      </c>
      <c r="AL167">
        <f t="shared" si="85"/>
        <v>0</v>
      </c>
      <c r="AM167">
        <f t="shared" si="85"/>
        <v>1</v>
      </c>
      <c r="AN167">
        <f t="shared" si="85"/>
        <v>0</v>
      </c>
      <c r="AO167">
        <f t="shared" si="85"/>
        <v>0</v>
      </c>
      <c r="AP167">
        <f t="shared" si="85"/>
        <v>0</v>
      </c>
      <c r="AQ167">
        <f t="shared" si="85"/>
        <v>0</v>
      </c>
      <c r="AR167">
        <f t="shared" si="85"/>
        <v>0</v>
      </c>
      <c r="AS167">
        <f t="shared" si="85"/>
        <v>0</v>
      </c>
      <c r="AT167">
        <f t="shared" si="85"/>
        <v>0</v>
      </c>
      <c r="AU167">
        <f t="shared" si="85"/>
        <v>-1</v>
      </c>
      <c r="AV167">
        <f t="shared" si="85"/>
        <v>1</v>
      </c>
      <c r="AW167">
        <f t="shared" si="85"/>
        <v>1</v>
      </c>
      <c r="AX167">
        <f t="shared" si="85"/>
        <v>0</v>
      </c>
      <c r="AY167">
        <f t="shared" si="85"/>
        <v>0</v>
      </c>
      <c r="AZ167">
        <f t="shared" si="85"/>
        <v>0</v>
      </c>
      <c r="BA167">
        <f t="shared" si="85"/>
        <v>0</v>
      </c>
      <c r="BB167">
        <f t="shared" si="85"/>
        <v>0</v>
      </c>
      <c r="BC167">
        <f t="shared" si="85"/>
        <v>0</v>
      </c>
      <c r="BD167">
        <f t="shared" si="85"/>
        <v>0</v>
      </c>
      <c r="BE167">
        <f t="shared" si="85"/>
        <v>0</v>
      </c>
      <c r="BF167">
        <f t="shared" si="85"/>
        <v>0</v>
      </c>
      <c r="BG167">
        <f t="shared" si="85"/>
        <v>0</v>
      </c>
    </row>
    <row r="168" spans="2:59" x14ac:dyDescent="0.25">
      <c r="D168" s="7" t="s">
        <v>1064</v>
      </c>
      <c r="E168">
        <f t="shared" ref="E168:AU168" si="86">IF(E171+E172=0,0,IF(E167=1,1,IF(E167=0,0,IF(E162&gt;0.36,0,1))))</f>
        <v>1</v>
      </c>
      <c r="F168">
        <f t="shared" ref="F168:BG168" si="87">IF(F171+F172=0,0,IF(F167=1,1,IF(F167=0,0,IF(F162&gt;0.36,0,1))))</f>
        <v>0</v>
      </c>
      <c r="G168">
        <f t="shared" si="87"/>
        <v>1</v>
      </c>
      <c r="H168">
        <f t="shared" si="87"/>
        <v>1</v>
      </c>
      <c r="I168">
        <f t="shared" si="87"/>
        <v>0</v>
      </c>
      <c r="J168">
        <f t="shared" si="87"/>
        <v>0</v>
      </c>
      <c r="K168">
        <f t="shared" si="87"/>
        <v>0</v>
      </c>
      <c r="L168">
        <f t="shared" si="87"/>
        <v>0</v>
      </c>
      <c r="M168">
        <f t="shared" si="87"/>
        <v>0</v>
      </c>
      <c r="N168">
        <f t="shared" si="87"/>
        <v>1</v>
      </c>
      <c r="O168">
        <f t="shared" si="87"/>
        <v>0</v>
      </c>
      <c r="P168">
        <f t="shared" si="87"/>
        <v>0</v>
      </c>
      <c r="Q168">
        <f t="shared" si="87"/>
        <v>0</v>
      </c>
      <c r="R168">
        <f t="shared" si="87"/>
        <v>0</v>
      </c>
      <c r="S168">
        <f t="shared" si="87"/>
        <v>0</v>
      </c>
      <c r="T168">
        <f t="shared" si="87"/>
        <v>0</v>
      </c>
      <c r="U168">
        <f t="shared" si="87"/>
        <v>0</v>
      </c>
      <c r="V168">
        <f t="shared" si="87"/>
        <v>0</v>
      </c>
      <c r="W168">
        <f t="shared" si="87"/>
        <v>0</v>
      </c>
      <c r="X168">
        <f t="shared" si="87"/>
        <v>0</v>
      </c>
      <c r="Y168">
        <f t="shared" si="87"/>
        <v>0</v>
      </c>
      <c r="Z168">
        <f t="shared" si="87"/>
        <v>0</v>
      </c>
      <c r="AA168">
        <f t="shared" si="87"/>
        <v>1</v>
      </c>
      <c r="AB168">
        <f t="shared" si="87"/>
        <v>0</v>
      </c>
      <c r="AC168">
        <f t="shared" si="87"/>
        <v>0</v>
      </c>
      <c r="AD168">
        <f t="shared" si="87"/>
        <v>0</v>
      </c>
      <c r="AE168">
        <f t="shared" si="87"/>
        <v>0</v>
      </c>
      <c r="AF168">
        <f t="shared" si="87"/>
        <v>0</v>
      </c>
      <c r="AG168">
        <f t="shared" si="87"/>
        <v>0</v>
      </c>
      <c r="AH168">
        <f t="shared" si="87"/>
        <v>0</v>
      </c>
      <c r="AI168">
        <f t="shared" si="87"/>
        <v>0</v>
      </c>
      <c r="AJ168">
        <f t="shared" si="87"/>
        <v>0</v>
      </c>
      <c r="AK168">
        <f t="shared" si="87"/>
        <v>0</v>
      </c>
      <c r="AL168">
        <f t="shared" si="87"/>
        <v>0</v>
      </c>
      <c r="AM168">
        <f t="shared" si="87"/>
        <v>1</v>
      </c>
      <c r="AN168">
        <f t="shared" si="87"/>
        <v>0</v>
      </c>
      <c r="AO168">
        <f t="shared" si="87"/>
        <v>0</v>
      </c>
      <c r="AP168">
        <f t="shared" si="87"/>
        <v>0</v>
      </c>
      <c r="AQ168">
        <f t="shared" si="87"/>
        <v>0</v>
      </c>
      <c r="AR168">
        <f t="shared" si="87"/>
        <v>0</v>
      </c>
      <c r="AS168">
        <f t="shared" si="87"/>
        <v>0</v>
      </c>
      <c r="AT168">
        <f t="shared" si="87"/>
        <v>0</v>
      </c>
      <c r="AU168">
        <f t="shared" si="87"/>
        <v>1</v>
      </c>
      <c r="AV168">
        <f t="shared" si="87"/>
        <v>1</v>
      </c>
      <c r="AW168">
        <f t="shared" si="87"/>
        <v>1</v>
      </c>
      <c r="AX168">
        <f t="shared" si="87"/>
        <v>0</v>
      </c>
      <c r="AY168">
        <f t="shared" si="87"/>
        <v>0</v>
      </c>
      <c r="AZ168">
        <f t="shared" si="87"/>
        <v>0</v>
      </c>
      <c r="BA168">
        <f t="shared" si="87"/>
        <v>0</v>
      </c>
      <c r="BB168">
        <f t="shared" si="87"/>
        <v>0</v>
      </c>
      <c r="BC168">
        <f t="shared" si="87"/>
        <v>0</v>
      </c>
      <c r="BD168">
        <f t="shared" si="87"/>
        <v>0</v>
      </c>
      <c r="BE168">
        <f t="shared" si="87"/>
        <v>0</v>
      </c>
      <c r="BF168">
        <f t="shared" si="87"/>
        <v>0</v>
      </c>
      <c r="BG168">
        <f t="shared" si="87"/>
        <v>0</v>
      </c>
    </row>
    <row r="169" spans="2:59" x14ac:dyDescent="0.25">
      <c r="C169" t="s">
        <v>1139</v>
      </c>
      <c r="E169" s="7" t="str">
        <f>IF(ABS(E20-180)&lt;ABS(E20-360),"Descending","Ascending")</f>
        <v>Descending</v>
      </c>
      <c r="F169" s="7" t="str">
        <f t="shared" ref="F169:BG169" si="88">IF(ABS(F20-180)&lt;ABS(F20-360),"Descending","Ascending")</f>
        <v>Descending</v>
      </c>
      <c r="G169" s="7" t="str">
        <f t="shared" si="88"/>
        <v>Ascending</v>
      </c>
      <c r="H169" s="7" t="str">
        <f t="shared" si="88"/>
        <v>Ascending</v>
      </c>
      <c r="I169" s="7" t="str">
        <f t="shared" si="88"/>
        <v>Descending</v>
      </c>
      <c r="J169" s="7" t="str">
        <f t="shared" si="88"/>
        <v>Ascending</v>
      </c>
      <c r="K169" s="7" t="str">
        <f t="shared" si="88"/>
        <v>Descending</v>
      </c>
      <c r="L169" s="7" t="str">
        <f t="shared" si="88"/>
        <v>Ascending</v>
      </c>
      <c r="M169" s="7" t="str">
        <f t="shared" si="88"/>
        <v>Descending</v>
      </c>
      <c r="N169" s="7" t="str">
        <f t="shared" si="88"/>
        <v>Descending</v>
      </c>
      <c r="O169" s="7" t="str">
        <f t="shared" si="88"/>
        <v>Descending</v>
      </c>
      <c r="P169" s="7" t="str">
        <f t="shared" si="88"/>
        <v>Ascending</v>
      </c>
      <c r="Q169" s="7" t="str">
        <f t="shared" si="88"/>
        <v>Descending</v>
      </c>
      <c r="R169" s="7" t="str">
        <f t="shared" si="88"/>
        <v>Ascending</v>
      </c>
      <c r="S169" s="7" t="str">
        <f t="shared" si="88"/>
        <v>Descending</v>
      </c>
      <c r="T169" s="7" t="str">
        <f t="shared" si="88"/>
        <v>Descending</v>
      </c>
      <c r="U169" s="7" t="str">
        <f t="shared" si="88"/>
        <v>Descending</v>
      </c>
      <c r="V169" s="7" t="str">
        <f t="shared" si="88"/>
        <v>Descending</v>
      </c>
      <c r="W169" s="7" t="str">
        <f t="shared" si="88"/>
        <v>Descending</v>
      </c>
      <c r="X169" s="7" t="str">
        <f t="shared" si="88"/>
        <v>Ascending</v>
      </c>
      <c r="Y169" s="7" t="str">
        <f t="shared" si="88"/>
        <v>Ascending</v>
      </c>
      <c r="Z169" s="7" t="str">
        <f t="shared" si="88"/>
        <v>Descending</v>
      </c>
      <c r="AA169" s="7" t="str">
        <f t="shared" si="88"/>
        <v>Ascending</v>
      </c>
      <c r="AB169" s="7" t="str">
        <f t="shared" si="88"/>
        <v>Descending</v>
      </c>
      <c r="AC169" s="7" t="str">
        <f t="shared" si="88"/>
        <v>Ascending</v>
      </c>
      <c r="AD169" s="7" t="str">
        <f t="shared" si="88"/>
        <v>Descending</v>
      </c>
      <c r="AE169" s="7" t="str">
        <f t="shared" si="88"/>
        <v>Ascending</v>
      </c>
      <c r="AF169" s="7" t="str">
        <f t="shared" si="88"/>
        <v>Descending</v>
      </c>
      <c r="AG169" s="7" t="str">
        <f t="shared" si="88"/>
        <v>Descending</v>
      </c>
      <c r="AH169" s="7" t="str">
        <f t="shared" si="88"/>
        <v>Descending</v>
      </c>
      <c r="AI169" s="7" t="str">
        <f t="shared" si="88"/>
        <v>Ascending</v>
      </c>
      <c r="AJ169" s="7" t="str">
        <f t="shared" si="88"/>
        <v>Descending</v>
      </c>
      <c r="AK169" s="7" t="str">
        <f t="shared" si="88"/>
        <v>Descending</v>
      </c>
      <c r="AL169" s="7" t="str">
        <f t="shared" si="88"/>
        <v>Descending</v>
      </c>
      <c r="AM169" s="7" t="str">
        <f t="shared" si="88"/>
        <v>Descending</v>
      </c>
      <c r="AN169" s="7" t="str">
        <f t="shared" si="88"/>
        <v>Descending</v>
      </c>
      <c r="AO169" s="7" t="str">
        <f t="shared" si="88"/>
        <v>Descending</v>
      </c>
      <c r="AP169" s="7" t="str">
        <f t="shared" si="88"/>
        <v>Ascending</v>
      </c>
      <c r="AQ169" s="7" t="str">
        <f t="shared" si="88"/>
        <v>Ascending</v>
      </c>
      <c r="AR169" s="7" t="str">
        <f t="shared" si="88"/>
        <v>Descending</v>
      </c>
      <c r="AS169" s="7" t="str">
        <f t="shared" si="88"/>
        <v>Descending</v>
      </c>
      <c r="AT169" s="7" t="str">
        <f t="shared" si="88"/>
        <v>Descending</v>
      </c>
      <c r="AU169" s="7" t="str">
        <f t="shared" si="88"/>
        <v>Ascending</v>
      </c>
      <c r="AV169" s="7" t="str">
        <f t="shared" si="88"/>
        <v>Descending</v>
      </c>
      <c r="AW169" s="7" t="str">
        <f t="shared" si="88"/>
        <v>Descending</v>
      </c>
      <c r="AX169" s="7" t="str">
        <f t="shared" si="88"/>
        <v>Descending</v>
      </c>
      <c r="AY169" s="7" t="str">
        <f t="shared" si="88"/>
        <v>Descending</v>
      </c>
      <c r="AZ169" s="7" t="str">
        <f t="shared" si="88"/>
        <v>Descending</v>
      </c>
      <c r="BA169" s="7" t="str">
        <f t="shared" si="88"/>
        <v>Descending</v>
      </c>
      <c r="BB169" s="7" t="str">
        <f t="shared" si="88"/>
        <v>Descending</v>
      </c>
      <c r="BC169" s="7" t="str">
        <f t="shared" si="88"/>
        <v>Descending</v>
      </c>
      <c r="BD169" s="7" t="str">
        <f t="shared" si="88"/>
        <v>Descending</v>
      </c>
      <c r="BE169" s="7" t="str">
        <f t="shared" si="88"/>
        <v>Descending</v>
      </c>
      <c r="BF169" s="7" t="str">
        <f t="shared" si="88"/>
        <v>Descending</v>
      </c>
      <c r="BG169" s="7" t="str">
        <f t="shared" si="88"/>
        <v>Ascending</v>
      </c>
    </row>
    <row r="170" spans="2:59" x14ac:dyDescent="0.25">
      <c r="C170" t="s">
        <v>1148</v>
      </c>
      <c r="E170" s="7" t="str">
        <f t="shared" ref="E170:AU170" si="89">IF(E172=1,"Umbral (full)",IF(E171=1,"Penumbral (Partial)","--"))</f>
        <v>Umbral (full)</v>
      </c>
      <c r="F170" s="7" t="str">
        <f t="shared" ref="F170:BG170" si="90">IF(F172=1,"Umbral (full)",IF(F171=1,"Penumbral (Partial)","--"))</f>
        <v>--</v>
      </c>
      <c r="G170" s="7" t="str">
        <f t="shared" si="90"/>
        <v>Umbral (full)</v>
      </c>
      <c r="H170" s="7" t="str">
        <f t="shared" si="90"/>
        <v>Penumbral (Partial)</v>
      </c>
      <c r="I170" s="7" t="str">
        <f t="shared" si="90"/>
        <v>--</v>
      </c>
      <c r="J170" s="7" t="str">
        <f t="shared" si="90"/>
        <v>--</v>
      </c>
      <c r="K170" s="7" t="str">
        <f t="shared" si="90"/>
        <v>--</v>
      </c>
      <c r="L170" s="7" t="str">
        <f t="shared" si="90"/>
        <v>--</v>
      </c>
      <c r="M170" s="7" t="str">
        <f t="shared" si="90"/>
        <v>--</v>
      </c>
      <c r="N170" s="7" t="str">
        <f t="shared" si="90"/>
        <v>Umbral (full)</v>
      </c>
      <c r="O170" s="7" t="str">
        <f t="shared" si="90"/>
        <v>--</v>
      </c>
      <c r="P170" s="7" t="str">
        <f t="shared" si="90"/>
        <v>--</v>
      </c>
      <c r="Q170" s="7" t="str">
        <f t="shared" si="90"/>
        <v>Umbral (full)</v>
      </c>
      <c r="R170" s="7" t="str">
        <f t="shared" si="90"/>
        <v>--</v>
      </c>
      <c r="S170" s="7" t="str">
        <f t="shared" si="90"/>
        <v>--</v>
      </c>
      <c r="T170" s="7" t="str">
        <f t="shared" si="90"/>
        <v>--</v>
      </c>
      <c r="U170" s="7" t="str">
        <f t="shared" si="90"/>
        <v>--</v>
      </c>
      <c r="V170" s="7" t="str">
        <f t="shared" si="90"/>
        <v>--</v>
      </c>
      <c r="W170" s="7" t="str">
        <f t="shared" si="90"/>
        <v>--</v>
      </c>
      <c r="X170" s="7" t="str">
        <f t="shared" si="90"/>
        <v>--</v>
      </c>
      <c r="Y170" s="7" t="str">
        <f t="shared" si="90"/>
        <v>--</v>
      </c>
      <c r="Z170" s="7" t="str">
        <f t="shared" si="90"/>
        <v>--</v>
      </c>
      <c r="AA170" s="7" t="str">
        <f t="shared" si="90"/>
        <v>Umbral (full)</v>
      </c>
      <c r="AB170" s="7" t="str">
        <f t="shared" si="90"/>
        <v>Umbral (full)</v>
      </c>
      <c r="AC170" s="7" t="str">
        <f t="shared" si="90"/>
        <v>--</v>
      </c>
      <c r="AD170" s="7" t="str">
        <f t="shared" si="90"/>
        <v>--</v>
      </c>
      <c r="AE170" s="7" t="str">
        <f t="shared" si="90"/>
        <v>--</v>
      </c>
      <c r="AF170" s="7" t="str">
        <f t="shared" si="90"/>
        <v>--</v>
      </c>
      <c r="AG170" s="7" t="str">
        <f t="shared" si="90"/>
        <v>--</v>
      </c>
      <c r="AH170" s="7" t="str">
        <f t="shared" si="90"/>
        <v>--</v>
      </c>
      <c r="AI170" s="7" t="str">
        <f t="shared" si="90"/>
        <v>--</v>
      </c>
      <c r="AJ170" s="7" t="str">
        <f t="shared" si="90"/>
        <v>Umbral (full)</v>
      </c>
      <c r="AK170" s="7" t="str">
        <f t="shared" si="90"/>
        <v>--</v>
      </c>
      <c r="AL170" s="7" t="str">
        <f t="shared" si="90"/>
        <v>--</v>
      </c>
      <c r="AM170" s="7" t="str">
        <f t="shared" si="90"/>
        <v>Umbral (full)</v>
      </c>
      <c r="AN170" s="7" t="str">
        <f t="shared" si="90"/>
        <v>--</v>
      </c>
      <c r="AO170" s="7" t="str">
        <f t="shared" si="90"/>
        <v>--</v>
      </c>
      <c r="AP170" s="7" t="str">
        <f t="shared" si="90"/>
        <v>--</v>
      </c>
      <c r="AQ170" s="7" t="str">
        <f t="shared" si="90"/>
        <v>--</v>
      </c>
      <c r="AR170" s="7" t="str">
        <f t="shared" si="90"/>
        <v>Umbral (full)</v>
      </c>
      <c r="AS170" s="7" t="str">
        <f t="shared" si="90"/>
        <v>Umbral (full)</v>
      </c>
      <c r="AT170" s="7" t="str">
        <f t="shared" si="90"/>
        <v>Umbral (full)</v>
      </c>
      <c r="AU170" s="7" t="str">
        <f t="shared" si="90"/>
        <v>Penumbral (Partial)</v>
      </c>
      <c r="AV170" s="7" t="str">
        <f t="shared" si="90"/>
        <v>Umbral (full)</v>
      </c>
      <c r="AW170" s="7" t="str">
        <f t="shared" si="90"/>
        <v>Umbral (full)</v>
      </c>
      <c r="AX170" s="7" t="str">
        <f t="shared" si="90"/>
        <v>Umbral (full)</v>
      </c>
      <c r="AY170" s="7" t="str">
        <f t="shared" si="90"/>
        <v>--</v>
      </c>
      <c r="AZ170" s="7" t="str">
        <f t="shared" si="90"/>
        <v>--</v>
      </c>
      <c r="BA170" s="7" t="str">
        <f t="shared" si="90"/>
        <v>--</v>
      </c>
      <c r="BB170" s="7" t="str">
        <f t="shared" si="90"/>
        <v>--</v>
      </c>
      <c r="BC170" s="7" t="str">
        <f t="shared" si="90"/>
        <v>--</v>
      </c>
      <c r="BD170" s="7" t="str">
        <f t="shared" si="90"/>
        <v>--</v>
      </c>
      <c r="BE170" s="7" t="str">
        <f t="shared" si="90"/>
        <v>--</v>
      </c>
      <c r="BF170" s="7" t="str">
        <f t="shared" si="90"/>
        <v>--</v>
      </c>
      <c r="BG170" s="7" t="str">
        <f t="shared" si="90"/>
        <v>--</v>
      </c>
    </row>
    <row r="171" spans="2:59" x14ac:dyDescent="0.25">
      <c r="C171" t="s">
        <v>1146</v>
      </c>
      <c r="E171" s="7">
        <f t="shared" ref="E171:AU171" si="91">IF(E258&gt;0,1,0)</f>
        <v>1</v>
      </c>
      <c r="F171" s="7">
        <f t="shared" ref="F171:BG171" si="92">IF(F258&gt;0,1,0)</f>
        <v>0</v>
      </c>
      <c r="G171" s="7">
        <f t="shared" si="92"/>
        <v>1</v>
      </c>
      <c r="H171" s="7">
        <f t="shared" si="92"/>
        <v>1</v>
      </c>
      <c r="I171" s="7">
        <f t="shared" si="92"/>
        <v>0</v>
      </c>
      <c r="J171" s="7">
        <f t="shared" si="92"/>
        <v>0</v>
      </c>
      <c r="K171" s="7">
        <f t="shared" si="92"/>
        <v>0</v>
      </c>
      <c r="L171" s="7">
        <f t="shared" si="92"/>
        <v>0</v>
      </c>
      <c r="M171" s="7">
        <f t="shared" si="92"/>
        <v>0</v>
      </c>
      <c r="N171" s="7">
        <f t="shared" si="92"/>
        <v>1</v>
      </c>
      <c r="O171" s="7">
        <f t="shared" si="92"/>
        <v>0</v>
      </c>
      <c r="P171" s="7">
        <f t="shared" si="92"/>
        <v>0</v>
      </c>
      <c r="Q171" s="7">
        <f t="shared" si="92"/>
        <v>1</v>
      </c>
      <c r="R171" s="7">
        <f t="shared" si="92"/>
        <v>0</v>
      </c>
      <c r="S171" s="7">
        <f t="shared" si="92"/>
        <v>0</v>
      </c>
      <c r="T171" s="7">
        <f t="shared" si="92"/>
        <v>0</v>
      </c>
      <c r="U171" s="7">
        <f t="shared" si="92"/>
        <v>0</v>
      </c>
      <c r="V171" s="7">
        <f t="shared" si="92"/>
        <v>0</v>
      </c>
      <c r="W171" s="7">
        <f t="shared" si="92"/>
        <v>0</v>
      </c>
      <c r="X171" s="7">
        <f t="shared" si="92"/>
        <v>0</v>
      </c>
      <c r="Y171" s="7">
        <f t="shared" si="92"/>
        <v>0</v>
      </c>
      <c r="Z171" s="7">
        <f t="shared" si="92"/>
        <v>0</v>
      </c>
      <c r="AA171" s="7">
        <f t="shared" si="92"/>
        <v>1</v>
      </c>
      <c r="AB171" s="7">
        <f t="shared" si="92"/>
        <v>1</v>
      </c>
      <c r="AC171" s="7">
        <f t="shared" si="92"/>
        <v>0</v>
      </c>
      <c r="AD171" s="7">
        <f t="shared" si="92"/>
        <v>0</v>
      </c>
      <c r="AE171" s="7">
        <f t="shared" si="92"/>
        <v>0</v>
      </c>
      <c r="AF171" s="7">
        <f t="shared" si="92"/>
        <v>0</v>
      </c>
      <c r="AG171" s="7">
        <f t="shared" si="92"/>
        <v>0</v>
      </c>
      <c r="AH171" s="7">
        <f t="shared" si="92"/>
        <v>0</v>
      </c>
      <c r="AI171" s="7">
        <f t="shared" si="92"/>
        <v>0</v>
      </c>
      <c r="AJ171" s="7">
        <f t="shared" si="92"/>
        <v>1</v>
      </c>
      <c r="AK171" s="7">
        <f t="shared" si="92"/>
        <v>0</v>
      </c>
      <c r="AL171" s="7">
        <f t="shared" si="92"/>
        <v>0</v>
      </c>
      <c r="AM171" s="7">
        <f t="shared" si="92"/>
        <v>1</v>
      </c>
      <c r="AN171" s="7">
        <f t="shared" si="92"/>
        <v>0</v>
      </c>
      <c r="AO171" s="7">
        <f t="shared" si="92"/>
        <v>0</v>
      </c>
      <c r="AP171" s="7">
        <f t="shared" si="92"/>
        <v>0</v>
      </c>
      <c r="AQ171" s="7">
        <f t="shared" si="92"/>
        <v>0</v>
      </c>
      <c r="AR171" s="7">
        <f t="shared" si="92"/>
        <v>1</v>
      </c>
      <c r="AS171" s="7">
        <f t="shared" si="92"/>
        <v>1</v>
      </c>
      <c r="AT171" s="7">
        <f t="shared" si="92"/>
        <v>1</v>
      </c>
      <c r="AU171" s="7">
        <f t="shared" si="92"/>
        <v>1</v>
      </c>
      <c r="AV171" s="7">
        <f t="shared" si="92"/>
        <v>1</v>
      </c>
      <c r="AW171" s="7">
        <f t="shared" si="92"/>
        <v>1</v>
      </c>
      <c r="AX171" s="7">
        <f t="shared" si="92"/>
        <v>1</v>
      </c>
      <c r="AY171" s="7">
        <f t="shared" si="92"/>
        <v>0</v>
      </c>
      <c r="AZ171" s="7">
        <f t="shared" si="92"/>
        <v>0</v>
      </c>
      <c r="BA171" s="7">
        <f t="shared" si="92"/>
        <v>0</v>
      </c>
      <c r="BB171" s="7">
        <f t="shared" si="92"/>
        <v>0</v>
      </c>
      <c r="BC171" s="7">
        <f t="shared" si="92"/>
        <v>0</v>
      </c>
      <c r="BD171" s="7">
        <f t="shared" si="92"/>
        <v>0</v>
      </c>
      <c r="BE171" s="7">
        <f t="shared" si="92"/>
        <v>0</v>
      </c>
      <c r="BF171" s="7">
        <f t="shared" si="92"/>
        <v>0</v>
      </c>
      <c r="BG171" s="7">
        <f t="shared" si="92"/>
        <v>0</v>
      </c>
    </row>
    <row r="172" spans="2:59" x14ac:dyDescent="0.25">
      <c r="C172" t="s">
        <v>1147</v>
      </c>
      <c r="E172" s="7">
        <f t="shared" ref="E172:AU172" si="93">IF(E260&gt;0,1,0)</f>
        <v>1</v>
      </c>
      <c r="F172" s="7">
        <f t="shared" ref="F172:BG172" si="94">IF(F260&gt;0,1,0)</f>
        <v>0</v>
      </c>
      <c r="G172" s="7">
        <f t="shared" si="94"/>
        <v>1</v>
      </c>
      <c r="H172" s="7">
        <f t="shared" si="94"/>
        <v>0</v>
      </c>
      <c r="I172" s="7">
        <f t="shared" si="94"/>
        <v>0</v>
      </c>
      <c r="J172" s="7">
        <f t="shared" si="94"/>
        <v>0</v>
      </c>
      <c r="K172" s="7">
        <f t="shared" si="94"/>
        <v>0</v>
      </c>
      <c r="L172" s="7">
        <f t="shared" si="94"/>
        <v>0</v>
      </c>
      <c r="M172" s="7">
        <f t="shared" si="94"/>
        <v>0</v>
      </c>
      <c r="N172" s="7">
        <f t="shared" si="94"/>
        <v>1</v>
      </c>
      <c r="O172" s="7">
        <f t="shared" si="94"/>
        <v>0</v>
      </c>
      <c r="P172" s="7">
        <f t="shared" si="94"/>
        <v>0</v>
      </c>
      <c r="Q172" s="7">
        <f t="shared" si="94"/>
        <v>1</v>
      </c>
      <c r="R172" s="7">
        <f t="shared" si="94"/>
        <v>0</v>
      </c>
      <c r="S172" s="7">
        <f t="shared" si="94"/>
        <v>0</v>
      </c>
      <c r="T172" s="7">
        <f t="shared" si="94"/>
        <v>0</v>
      </c>
      <c r="U172" s="7">
        <f t="shared" si="94"/>
        <v>0</v>
      </c>
      <c r="V172" s="7">
        <f t="shared" si="94"/>
        <v>0</v>
      </c>
      <c r="W172" s="7">
        <f t="shared" si="94"/>
        <v>0</v>
      </c>
      <c r="X172" s="7">
        <f t="shared" si="94"/>
        <v>0</v>
      </c>
      <c r="Y172" s="7">
        <f t="shared" si="94"/>
        <v>0</v>
      </c>
      <c r="Z172" s="7">
        <f t="shared" si="94"/>
        <v>0</v>
      </c>
      <c r="AA172" s="7">
        <f t="shared" si="94"/>
        <v>1</v>
      </c>
      <c r="AB172" s="7">
        <f t="shared" si="94"/>
        <v>1</v>
      </c>
      <c r="AC172" s="7">
        <f t="shared" si="94"/>
        <v>0</v>
      </c>
      <c r="AD172" s="7">
        <f t="shared" si="94"/>
        <v>0</v>
      </c>
      <c r="AE172" s="7">
        <f t="shared" si="94"/>
        <v>0</v>
      </c>
      <c r="AF172" s="7">
        <f t="shared" si="94"/>
        <v>0</v>
      </c>
      <c r="AG172" s="7">
        <f t="shared" si="94"/>
        <v>0</v>
      </c>
      <c r="AH172" s="7">
        <f t="shared" si="94"/>
        <v>0</v>
      </c>
      <c r="AI172" s="7">
        <f t="shared" si="94"/>
        <v>0</v>
      </c>
      <c r="AJ172" s="7">
        <f t="shared" si="94"/>
        <v>1</v>
      </c>
      <c r="AK172" s="7">
        <f t="shared" si="94"/>
        <v>0</v>
      </c>
      <c r="AL172" s="7">
        <f t="shared" si="94"/>
        <v>0</v>
      </c>
      <c r="AM172" s="7">
        <f t="shared" si="94"/>
        <v>1</v>
      </c>
      <c r="AN172" s="7">
        <f t="shared" si="94"/>
        <v>0</v>
      </c>
      <c r="AO172" s="7">
        <f t="shared" si="94"/>
        <v>0</v>
      </c>
      <c r="AP172" s="7">
        <f t="shared" si="94"/>
        <v>0</v>
      </c>
      <c r="AQ172" s="7">
        <f t="shared" si="94"/>
        <v>0</v>
      </c>
      <c r="AR172" s="7">
        <f t="shared" si="94"/>
        <v>1</v>
      </c>
      <c r="AS172" s="7">
        <f t="shared" si="94"/>
        <v>1</v>
      </c>
      <c r="AT172" s="7">
        <f t="shared" si="94"/>
        <v>1</v>
      </c>
      <c r="AU172" s="7">
        <f t="shared" si="94"/>
        <v>0</v>
      </c>
      <c r="AV172" s="7">
        <f t="shared" si="94"/>
        <v>1</v>
      </c>
      <c r="AW172" s="7">
        <f t="shared" si="94"/>
        <v>1</v>
      </c>
      <c r="AX172" s="7">
        <f t="shared" si="94"/>
        <v>1</v>
      </c>
      <c r="AY172" s="7">
        <f t="shared" si="94"/>
        <v>0</v>
      </c>
      <c r="AZ172" s="7">
        <f t="shared" si="94"/>
        <v>0</v>
      </c>
      <c r="BA172" s="7">
        <f t="shared" si="94"/>
        <v>0</v>
      </c>
      <c r="BB172" s="7">
        <f t="shared" si="94"/>
        <v>0</v>
      </c>
      <c r="BC172" s="7">
        <f t="shared" si="94"/>
        <v>0</v>
      </c>
      <c r="BD172" s="7">
        <f t="shared" si="94"/>
        <v>0</v>
      </c>
      <c r="BE172" s="7">
        <f t="shared" si="94"/>
        <v>0</v>
      </c>
      <c r="BF172" s="7">
        <f t="shared" si="94"/>
        <v>0</v>
      </c>
      <c r="BG172" s="7">
        <f t="shared" si="94"/>
        <v>0</v>
      </c>
    </row>
    <row r="174" spans="2:59" x14ac:dyDescent="0.25">
      <c r="B174">
        <v>380</v>
      </c>
      <c r="C174" t="s">
        <v>1065</v>
      </c>
      <c r="D174" s="7" t="s">
        <v>1066</v>
      </c>
      <c r="E174">
        <f>E20 - 0.02665 *SIN(E21*Deg2Rad)</f>
        <v>186.06051017170884</v>
      </c>
      <c r="F174">
        <f>F20 - 0.02665 *SIN(F21*Deg2Rad)</f>
        <v>212.53913969658061</v>
      </c>
      <c r="G174">
        <f>G20 - 0.02665 *SIN(G21*Deg2Rad)</f>
        <v>356.02395567563212</v>
      </c>
      <c r="H174">
        <f>H20 - 0.02665 *SIN(H21*Deg2Rad)</f>
        <v>347.98388900127259</v>
      </c>
      <c r="I174">
        <f>I20 - 0.02665 *SIN(I21*Deg2Rad)</f>
        <v>128.75903562118435</v>
      </c>
      <c r="J174">
        <f>J20 - 0.02665 *SIN(J21*Deg2Rad)</f>
        <v>282.1151270226506</v>
      </c>
      <c r="K174">
        <f>K20 - 0.02665 *SIN(K21*Deg2Rad)</f>
        <v>136.81373221253378</v>
      </c>
      <c r="L174">
        <f>L20 - 0.02665 *SIN(L21*Deg2Rad)</f>
        <v>290.16984213486603</v>
      </c>
      <c r="M174">
        <f>M20 - 0.02665 *SIN(M21*Deg2Rad)</f>
        <v>216.65853174004559</v>
      </c>
      <c r="N174">
        <f>N20 - 0.02665 *SIN(N21*Deg2Rad)</f>
        <v>189.0659673072565</v>
      </c>
      <c r="O174">
        <f>O20 - 0.02665 *SIN(O21*Deg2Rad)</f>
        <v>227.78581863807938</v>
      </c>
      <c r="P174">
        <f>P20 - 0.02665 *SIN(P21*Deg2Rad)</f>
        <v>283.35519032192394</v>
      </c>
      <c r="Q174">
        <f>Q20 - 0.02665 *SIN(Q21*Deg2Rad)</f>
        <v>7.9755891811259243</v>
      </c>
      <c r="R174">
        <f>R20 - 0.02665 *SIN(R21*Deg2Rad)</f>
        <v>337.30546607799175</v>
      </c>
      <c r="S174">
        <f>S20 - 0.02665 *SIN(S21*Deg2Rad)</f>
        <v>109.68107792782033</v>
      </c>
      <c r="T174">
        <f>T20 - 0.02665 *SIN(T21*Deg2Rad)</f>
        <v>17.671532965640058</v>
      </c>
      <c r="U174">
        <f>U20 - 0.02665 *SIN(U21*Deg2Rad)</f>
        <v>132.3126420306362</v>
      </c>
      <c r="V174">
        <f>V20 - 0.02665 *SIN(V21*Deg2Rad)</f>
        <v>96.564434578564985</v>
      </c>
      <c r="W174">
        <f>W20 - 0.02665 *SIN(W21*Deg2Rad)</f>
        <v>220.77268010680086</v>
      </c>
      <c r="X174">
        <f>X20 - 0.02665 *SIN(X21*Deg2Rad)</f>
        <v>322.37489583206985</v>
      </c>
      <c r="Y174">
        <f>Y20 - 0.02665 *SIN(Y21*Deg2Rad)</f>
        <v>316.30556969116981</v>
      </c>
      <c r="Z174">
        <f>Z20 - 0.02665 *SIN(Z21*Deg2Rad)</f>
        <v>120.80238850477723</v>
      </c>
      <c r="AA174">
        <f>AA20 - 0.02665 *SIN(AA21*Deg2Rad)</f>
        <v>356.02395567563212</v>
      </c>
      <c r="AB174">
        <f>AB20 - 0.02665 *SIN(AB21*Deg2Rad)</f>
        <v>8.5784335096393765</v>
      </c>
      <c r="AC174">
        <f>AC20 - 0.02665 *SIN(AC21*Deg2Rad)</f>
        <v>271.04109105586298</v>
      </c>
      <c r="AD174">
        <f>AD20 - 0.02665 *SIN(AD21*Deg2Rad)</f>
        <v>228.82740721946035</v>
      </c>
      <c r="AE174">
        <f>AE20 - 0.02665 *SIN(AE21*Deg2Rad)</f>
        <v>316.30556969116981</v>
      </c>
      <c r="AF174">
        <f>AF20 - 0.02665 *SIN(AF21*Deg2Rad)</f>
        <v>207.73854476770435</v>
      </c>
      <c r="AG174">
        <f>AG20 - 0.02665 *SIN(AG21*Deg2Rad)</f>
        <v>146.39775111805838</v>
      </c>
      <c r="AH174">
        <f>AH20 - 0.02665 *SIN(AH21*Deg2Rad)</f>
        <v>252.98549107630086</v>
      </c>
      <c r="AI174">
        <f>AI20 - 0.02665 *SIN(AI21*Deg2Rad)</f>
        <v>291.7043505258124</v>
      </c>
      <c r="AJ174">
        <f>AJ20 - 0.02665 *SIN(AJ21*Deg2Rad)</f>
        <v>1.0901887341862651</v>
      </c>
      <c r="AK174">
        <f>AK20 - 0.02665 *SIN(AK21*Deg2Rad)</f>
        <v>76.720318795786483</v>
      </c>
      <c r="AL174">
        <f>AL20 - 0.02665 *SIN(AL21*Deg2Rad)</f>
        <v>68.960350360547253</v>
      </c>
      <c r="AM174">
        <f>AM20 - 0.02665 *SIN(AM21*Deg2Rad)</f>
        <v>182.36815808971781</v>
      </c>
      <c r="AN174">
        <f>AN20 - 0.02665 *SIN(AN21*Deg2Rad)</f>
        <v>88.034319612058866</v>
      </c>
      <c r="AO174">
        <f>AO20 - 0.02665 *SIN(AO21*Deg2Rad)</f>
        <v>217.93632112988678</v>
      </c>
      <c r="AP174">
        <f>AP20 - 0.02665 *SIN(AP21*Deg2Rad)</f>
        <v>334.43856104183965</v>
      </c>
      <c r="AQ174">
        <f>AQ20 - 0.02665 *SIN(AQ21*Deg2Rad)</f>
        <v>334.43856104183965</v>
      </c>
      <c r="AR174">
        <f>AR20 - 0.02665 *SIN(AR21*Deg2Rad)</f>
        <v>5.109588282278164</v>
      </c>
      <c r="AS174">
        <f>AS20 - 0.02665 *SIN(AS21*Deg2Rad)</f>
        <v>5.109588282278164</v>
      </c>
      <c r="AT174">
        <f>AT20 - 0.02665 *SIN(AT21*Deg2Rad)</f>
        <v>5.109588282278164</v>
      </c>
      <c r="AU174">
        <f>AU20 - 0.02665 *SIN(AU21*Deg2Rad)</f>
        <v>345.47686283674449</v>
      </c>
      <c r="AV174">
        <f>AV20 - 0.02665 *SIN(AV21*Deg2Rad)</f>
        <v>186.59653922319239</v>
      </c>
      <c r="AW174">
        <f>AW20 - 0.02665 *SIN(AW21*Deg2Rad)</f>
        <v>176.98387106504839</v>
      </c>
      <c r="AX174">
        <f>AX20 - 0.02665 *SIN(AX21*Deg2Rad)</f>
        <v>2.0405708337688666</v>
      </c>
      <c r="AY174">
        <f>AY20 - 0.02665 *SIN(AY21*Deg2Rad)</f>
        <v>35.780629061812718</v>
      </c>
      <c r="AZ174">
        <f>AZ20 - 0.02665 *SIN(AZ21*Deg2Rad)</f>
        <v>35.780629061812718</v>
      </c>
      <c r="BA174">
        <f>BA20 - 0.02665 *SIN(BA21*Deg2Rad)</f>
        <v>66.451682979317894</v>
      </c>
      <c r="BB174">
        <f>BB20 - 0.02665 *SIN(BB21*Deg2Rad)</f>
        <v>66.451682979317894</v>
      </c>
      <c r="BC174">
        <f>BC20 - 0.02665 *SIN(BC21*Deg2Rad)</f>
        <v>66.451682979317894</v>
      </c>
      <c r="BD174">
        <f>BD20 - 0.02665 *SIN(BD21*Deg2Rad)</f>
        <v>66.451682979317894</v>
      </c>
      <c r="BE174">
        <f>BE20 - 0.02665 *SIN(BE21*Deg2Rad)</f>
        <v>66.451682979317894</v>
      </c>
      <c r="BF174">
        <f>BF20 - 0.02665 *SIN(BF21*Deg2Rad)</f>
        <v>66.451682979317894</v>
      </c>
      <c r="BG174">
        <f>BG20 - 0.02665 *SIN(BG21*Deg2Rad)</f>
        <v>316.30556969116981</v>
      </c>
    </row>
    <row r="175" spans="2:59" x14ac:dyDescent="0.25">
      <c r="B175">
        <v>380</v>
      </c>
      <c r="C175" t="s">
        <v>1067</v>
      </c>
      <c r="D175" s="7" t="s">
        <v>1070</v>
      </c>
      <c r="E175">
        <f>299.77 + 0.107408 *E15 - 0.009173 *E16^2</f>
        <v>243.75509725538819</v>
      </c>
      <c r="F175">
        <f t="shared" ref="F175:BG175" si="95">299.77 + 0.107408 *F15 - 0.009173 *F16^2</f>
        <v>-1917.0480091849154</v>
      </c>
      <c r="G175">
        <f t="shared" si="95"/>
        <v>299.82370399850089</v>
      </c>
      <c r="H175">
        <f t="shared" si="95"/>
        <v>298.53480720700031</v>
      </c>
      <c r="I175">
        <f t="shared" si="95"/>
        <v>282.63827145474562</v>
      </c>
      <c r="J175">
        <f t="shared" si="95"/>
        <v>283.17532086880595</v>
      </c>
      <c r="K175">
        <f t="shared" si="95"/>
        <v>283.9271895448083</v>
      </c>
      <c r="L175">
        <f t="shared" si="95"/>
        <v>284.46423823932264</v>
      </c>
      <c r="M175">
        <f t="shared" si="95"/>
        <v>166.95084019075998</v>
      </c>
      <c r="N175">
        <f t="shared" si="95"/>
        <v>-231.6703866066276</v>
      </c>
      <c r="O175">
        <f t="shared" si="95"/>
        <v>-230.27331245254211</v>
      </c>
      <c r="P175">
        <f t="shared" si="95"/>
        <v>-1246.0507543198817</v>
      </c>
      <c r="Q175">
        <f t="shared" si="95"/>
        <v>-2523.229292910959</v>
      </c>
      <c r="R175">
        <f t="shared" si="95"/>
        <v>-2523.3370156523788</v>
      </c>
      <c r="S175">
        <f t="shared" si="95"/>
        <v>-3693.1582733971013</v>
      </c>
      <c r="T175">
        <f t="shared" si="95"/>
        <v>-3693.4818321549606</v>
      </c>
      <c r="U175">
        <f t="shared" si="95"/>
        <v>-3694.3446560369184</v>
      </c>
      <c r="V175">
        <f t="shared" si="95"/>
        <v>-8658.1905947897194</v>
      </c>
      <c r="W175">
        <f t="shared" si="95"/>
        <v>282.96050113915913</v>
      </c>
      <c r="X175">
        <f t="shared" si="95"/>
        <v>289.61989045228489</v>
      </c>
      <c r="Y175">
        <f t="shared" si="95"/>
        <v>269.42676146442318</v>
      </c>
      <c r="Z175">
        <f t="shared" si="95"/>
        <v>358.25187824014472</v>
      </c>
      <c r="AA175">
        <f t="shared" si="95"/>
        <v>299.82370399850089</v>
      </c>
      <c r="AB175">
        <f t="shared" si="95"/>
        <v>239.35110275952883</v>
      </c>
      <c r="AC175">
        <f t="shared" si="95"/>
        <v>271.78980909522903</v>
      </c>
      <c r="AD175">
        <f t="shared" si="95"/>
        <v>284.24941879749417</v>
      </c>
      <c r="AE175">
        <f t="shared" si="95"/>
        <v>269.42676146442318</v>
      </c>
      <c r="AF175">
        <f t="shared" si="95"/>
        <v>290.47916313480681</v>
      </c>
      <c r="AG175">
        <f t="shared" si="95"/>
        <v>290.26434503613098</v>
      </c>
      <c r="AH175">
        <f t="shared" si="95"/>
        <v>288.11616141103679</v>
      </c>
      <c r="AI175">
        <f t="shared" si="95"/>
        <v>289.51248131300372</v>
      </c>
      <c r="AJ175">
        <f t="shared" si="95"/>
        <v>291.01620817162893</v>
      </c>
      <c r="AK175">
        <f t="shared" si="95"/>
        <v>58.017926659474696</v>
      </c>
      <c r="AL175">
        <f t="shared" si="95"/>
        <v>287.47170538809871</v>
      </c>
      <c r="AM175">
        <f t="shared" si="95"/>
        <v>-1531.8267479480448</v>
      </c>
      <c r="AN175">
        <f t="shared" si="95"/>
        <v>300.14592792654634</v>
      </c>
      <c r="AO175">
        <f t="shared" si="95"/>
        <v>-2359.3968842256077</v>
      </c>
      <c r="AP175">
        <f t="shared" si="95"/>
        <v>330.00487684628945</v>
      </c>
      <c r="AQ175">
        <f t="shared" si="95"/>
        <v>330.00487684628945</v>
      </c>
      <c r="AR175">
        <f t="shared" si="95"/>
        <v>330.11228146442318</v>
      </c>
      <c r="AS175">
        <f t="shared" si="95"/>
        <v>330.11228146442318</v>
      </c>
      <c r="AT175">
        <f t="shared" si="95"/>
        <v>330.11228146442318</v>
      </c>
      <c r="AU175">
        <f t="shared" si="95"/>
        <v>264.48582493475385</v>
      </c>
      <c r="AV175">
        <f t="shared" si="95"/>
        <v>296.70886712957287</v>
      </c>
      <c r="AW175">
        <f t="shared" si="95"/>
        <v>213.46380076898174</v>
      </c>
      <c r="AX175">
        <f t="shared" si="95"/>
        <v>243.11061151519965</v>
      </c>
      <c r="AY175">
        <f t="shared" si="95"/>
        <v>330.21968607056448</v>
      </c>
      <c r="AZ175">
        <f t="shared" si="95"/>
        <v>330.21968607056448</v>
      </c>
      <c r="BA175">
        <f t="shared" si="95"/>
        <v>330.3270906647133</v>
      </c>
      <c r="BB175">
        <f t="shared" si="95"/>
        <v>330.3270906647133</v>
      </c>
      <c r="BC175">
        <f t="shared" si="95"/>
        <v>330.3270906647133</v>
      </c>
      <c r="BD175">
        <f t="shared" si="95"/>
        <v>330.3270906647133</v>
      </c>
      <c r="BE175">
        <f t="shared" si="95"/>
        <v>330.3270906647133</v>
      </c>
      <c r="BF175">
        <f t="shared" si="95"/>
        <v>330.3270906647133</v>
      </c>
      <c r="BG175">
        <f t="shared" si="95"/>
        <v>269.42676146442318</v>
      </c>
    </row>
    <row r="176" spans="2:59" x14ac:dyDescent="0.25">
      <c r="C176" t="s">
        <v>1071</v>
      </c>
    </row>
    <row r="177" spans="1:59" x14ac:dyDescent="0.25">
      <c r="A177">
        <v>54.1</v>
      </c>
      <c r="B177" s="5">
        <v>380</v>
      </c>
      <c r="C177" s="5" t="s">
        <v>1138</v>
      </c>
      <c r="E177" s="304">
        <f>-0.4065 * SIN(E19* Deg2Rad)</f>
        <v>0.34486105799819028</v>
      </c>
      <c r="F177" s="304">
        <f>-0.4065 * SIN(F19* Deg2Rad)</f>
        <v>0.33485455145291937</v>
      </c>
      <c r="G177" s="304">
        <f>-0.4065 * SIN(G19* Deg2Rad)</f>
        <v>-0.23008488224640777</v>
      </c>
      <c r="H177" s="304">
        <f>-0.4065 * SIN(H19* Deg2Rad)</f>
        <v>-0.40474207416470365</v>
      </c>
      <c r="I177" s="304">
        <f>-0.4065 * SIN(I19* Deg2Rad)</f>
        <v>0.28116822093463345</v>
      </c>
      <c r="J177" s="304">
        <f>-0.4065 * SIN(J19* Deg2Rad)</f>
        <v>5.0610310018821096E-2</v>
      </c>
      <c r="K177" s="304">
        <f>-0.4065 * SIN(K19* Deg2Rad)</f>
        <v>-4.5548312343099223E-2</v>
      </c>
      <c r="L177" s="304">
        <f>-0.4065 * SIN(L19* Deg2Rad)</f>
        <v>0.34226118567837016</v>
      </c>
      <c r="M177" s="304">
        <f>-0.4065 * SIN(M19* Deg2Rad)</f>
        <v>-0.26703818691358988</v>
      </c>
      <c r="N177" s="304">
        <f>-0.4065 * SIN(N19* Deg2Rad)</f>
        <v>-0.35803103173194534</v>
      </c>
      <c r="O177" s="304">
        <f>-0.4065 * SIN(O19* Deg2Rad)</f>
        <v>-0.40556614275944974</v>
      </c>
      <c r="P177" s="304">
        <f>-0.4065 * SIN(P19* Deg2Rad)</f>
        <v>0.39677153160427153</v>
      </c>
      <c r="Q177" s="304">
        <f>-0.4065 * SIN(Q19* Deg2Rad)</f>
        <v>4.4465471608693123E-2</v>
      </c>
      <c r="R177" s="304">
        <f>-0.4065 * SIN(R19* Deg2Rad)</f>
        <v>0.21599256315795132</v>
      </c>
      <c r="S177" s="304">
        <f>-0.4065 * SIN(S19* Deg2Rad)</f>
        <v>0.26822951927064687</v>
      </c>
      <c r="T177" s="304">
        <f>-0.4065 * SIN(T19* Deg2Rad)</f>
        <v>-0.2398567774357874</v>
      </c>
      <c r="U177" s="304">
        <f>-0.4065 * SIN(U19* Deg2Rad)</f>
        <v>0.36119808641905632</v>
      </c>
      <c r="V177" s="304">
        <f>-0.4065 * SIN(V19* Deg2Rad)</f>
        <v>0.40574100075833675</v>
      </c>
      <c r="W177" s="304">
        <f>-0.4065 * SIN(W19* Deg2Rad)</f>
        <v>0.34765373650149017</v>
      </c>
      <c r="X177" s="304">
        <f>-0.4065 * SIN(X19* Deg2Rad)</f>
        <v>-0.39781652171186749</v>
      </c>
      <c r="Y177" s="304">
        <f>-0.4065 * SIN(Y19* Deg2Rad)</f>
        <v>0.38598455296320133</v>
      </c>
      <c r="Z177" s="304">
        <f>-0.4065 * SIN(Z19* Deg2Rad)</f>
        <v>-0.25519876494721688</v>
      </c>
      <c r="AA177" s="304">
        <f>-0.4065 * SIN(AA19* Deg2Rad)</f>
        <v>-0.23008488224640777</v>
      </c>
      <c r="AB177" s="304">
        <f>-0.4065 * SIN(AB19* Deg2Rad)</f>
        <v>0.39974529171722711</v>
      </c>
      <c r="AC177" s="304">
        <f>-0.4065 * SIN(AC19* Deg2Rad)</f>
        <v>-0.28108398133237161</v>
      </c>
      <c r="AD177" s="304">
        <f>-0.4065 * SIN(AD19* Deg2Rad)</f>
        <v>0.38439324086941157</v>
      </c>
      <c r="AE177" s="304">
        <f>-0.4065 * SIN(AE19* Deg2Rad)</f>
        <v>0.38598455296320133</v>
      </c>
      <c r="AF177" s="304">
        <f>-0.4065 * SIN(AF19* Deg2Rad)</f>
        <v>0.31857381024084963</v>
      </c>
      <c r="AG177" s="304">
        <f>-0.4065 * SIN(AG19* Deg2Rad)</f>
        <v>0.39570399346468743</v>
      </c>
      <c r="AH177" s="304">
        <f>-0.4065 * SIN(AH19* Deg2Rad)</f>
        <v>-0.39978730060821827</v>
      </c>
      <c r="AI177" s="304">
        <f>-0.4065 * SIN(AI19* Deg2Rad)</f>
        <v>-0.39450582661036326</v>
      </c>
      <c r="AJ177" s="304">
        <f>-0.4065 * SIN(AJ19* Deg2Rad)</f>
        <v>-0.3968399286500417</v>
      </c>
      <c r="AK177" s="304">
        <f>-0.4065 * SIN(AK19* Deg2Rad)</f>
        <v>0.3541031094982221</v>
      </c>
      <c r="AL177" s="304">
        <f>-0.4065 * SIN(AL19* Deg2Rad)</f>
        <v>0.33083368038433514</v>
      </c>
      <c r="AM177" s="304">
        <f>-0.4065 * SIN(AM19* Deg2Rad)</f>
        <v>-0.37319935980270852</v>
      </c>
      <c r="AN177" s="304">
        <f>-0.4065 * SIN(AN19* Deg2Rad)</f>
        <v>-0.37710302350156416</v>
      </c>
      <c r="AO177" s="304">
        <f>-0.4065 * SIN(AO19* Deg2Rad)</f>
        <v>-0.14405481151961821</v>
      </c>
      <c r="AP177" s="304">
        <f>-0.4065 * SIN(AP19* Deg2Rad)</f>
        <v>-0.40644200358034338</v>
      </c>
      <c r="AQ177" s="304">
        <f>-0.4065 * SIN(AQ19* Deg2Rad)</f>
        <v>-0.40644200358034338</v>
      </c>
      <c r="AR177" s="304">
        <f>-0.4065 * SIN(AR19* Deg2Rad)</f>
        <v>-0.36886535785567587</v>
      </c>
      <c r="AS177" s="304">
        <f>-0.4065 * SIN(AS19* Deg2Rad)</f>
        <v>-0.36886535785567587</v>
      </c>
      <c r="AT177" s="304">
        <f>-0.4065 * SIN(AT19* Deg2Rad)</f>
        <v>-0.36886535785567587</v>
      </c>
      <c r="AU177" s="304">
        <f>-0.4065 * SIN(AU19* Deg2Rad)</f>
        <v>4.9791164782237952E-3</v>
      </c>
      <c r="AV177" s="304">
        <f>-0.4065 * SIN(AV19* Deg2Rad)</f>
        <v>-4.0949861903864931E-2</v>
      </c>
      <c r="AW177" s="304">
        <f>-0.4065 * SIN(AW19* Deg2Rad)</f>
        <v>-0.15450266785695768</v>
      </c>
      <c r="AX177" s="304">
        <f>-0.4065 * SIN(AX19* Deg2Rad)</f>
        <v>-0.40358383134382858</v>
      </c>
      <c r="AY177" s="304">
        <f>-0.4065 * SIN(AY19* Deg2Rad)</f>
        <v>-0.25765585201628177</v>
      </c>
      <c r="AZ177" s="304">
        <f>-0.4065 * SIN(AZ19* Deg2Rad)</f>
        <v>-0.25765585201628177</v>
      </c>
      <c r="BA177" s="304">
        <f>-0.4065 * SIN(BA19* Deg2Rad)</f>
        <v>-9.5013114669809162E-2</v>
      </c>
      <c r="BB177" s="304">
        <f>-0.4065 * SIN(BB19* Deg2Rad)</f>
        <v>-9.5013114669809162E-2</v>
      </c>
      <c r="BC177" s="304">
        <f>-0.4065 * SIN(BC19* Deg2Rad)</f>
        <v>-9.5013114669809162E-2</v>
      </c>
      <c r="BD177" s="304">
        <f>-0.4065 * SIN(BD19* Deg2Rad)</f>
        <v>-9.5013114669809162E-2</v>
      </c>
      <c r="BE177" s="304">
        <f>-0.4065 * SIN(BE19* Deg2Rad)</f>
        <v>-9.5013114669809162E-2</v>
      </c>
      <c r="BF177" s="304">
        <f>-0.4065 * SIN(BF19* Deg2Rad)</f>
        <v>-9.5013114669809162E-2</v>
      </c>
      <c r="BG177" s="304">
        <f>-0.4065 * SIN(BG19* Deg2Rad)</f>
        <v>0.38598455296320133</v>
      </c>
    </row>
    <row r="178" spans="1:59" x14ac:dyDescent="0.25">
      <c r="C178" t="s">
        <v>1072</v>
      </c>
      <c r="E178" s="304">
        <f>0.1727 *E17* SIN(E18* Deg2Rad)</f>
        <v>-0.14314082055310939</v>
      </c>
      <c r="F178" s="304">
        <f>0.1727 *F17* SIN(F18* Deg2Rad)</f>
        <v>0.17624430585320081</v>
      </c>
      <c r="G178" s="304">
        <f>0.1727 *G17* SIN(G18* Deg2Rad)</f>
        <v>5.0798223550041294E-2</v>
      </c>
      <c r="H178" s="304">
        <f>0.1727 *H17* SIN(H18* Deg2Rad)</f>
        <v>8.0658283546020948E-2</v>
      </c>
      <c r="I178" s="304">
        <f>0.1727 *I17* SIN(I18* Deg2Rad)</f>
        <v>0.11161951532130787</v>
      </c>
      <c r="J178" s="304">
        <f>0.1727 *J17* SIN(J18* Deg2Rad)</f>
        <v>-1.7385280830000887E-2</v>
      </c>
      <c r="K178" s="304">
        <f>0.1727 *K17* SIN(K18* Deg2Rad)</f>
        <v>8.5101920859641536E-2</v>
      </c>
      <c r="L178" s="304">
        <f>0.1727 *L17* SIN(L18* Deg2Rad)</f>
        <v>1.4935800437888383E-2</v>
      </c>
      <c r="M178" s="304">
        <f>0.1727 *M17* SIN(M18* Deg2Rad)</f>
        <v>4.1238875158936157E-2</v>
      </c>
      <c r="N178" s="304">
        <f>0.1727 *N17* SIN(N18* Deg2Rad)</f>
        <v>9.4755550442783193E-2</v>
      </c>
      <c r="O178" s="304">
        <f>0.1727 *O17* SIN(O18* Deg2Rad)</f>
        <v>0.13607159078579251</v>
      </c>
      <c r="P178" s="304">
        <f>0.1727 *P17* SIN(P18* Deg2Rad)</f>
        <v>0.12993372994638314</v>
      </c>
      <c r="Q178" s="304">
        <f>0.1727 *Q17* SIN(Q18* Deg2Rad)</f>
        <v>0.16695306708809962</v>
      </c>
      <c r="R178" s="304">
        <f>0.1727 *R17* SIN(R18* Deg2Rad)</f>
        <v>0.11143374533066405</v>
      </c>
      <c r="S178" s="304">
        <f>0.1727 *S17* SIN(S18* Deg2Rad)</f>
        <v>-0.15564051579089433</v>
      </c>
      <c r="T178" s="304">
        <f>0.1727 *T17* SIN(T18* Deg2Rad)</f>
        <v>9.1835478429019554E-2</v>
      </c>
      <c r="U178" s="304">
        <f>0.1727 *U17* SIN(U18* Deg2Rad)</f>
        <v>-0.18308172986363222</v>
      </c>
      <c r="V178" s="304">
        <f>0.1727 *V17* SIN(V18* Deg2Rad)</f>
        <v>0.1943221759268956</v>
      </c>
      <c r="W178" s="304">
        <f>0.1727 *W17* SIN(W18* Deg2Rad)</f>
        <v>0.13693618742112657</v>
      </c>
      <c r="X178" s="304">
        <f>0.1727 *X17* SIN(X18* Deg2Rad)</f>
        <v>0.12816953027726269</v>
      </c>
      <c r="Y178" s="304">
        <f>0.1727 *Y17* SIN(Y18* Deg2Rad)</f>
        <v>0.15008406379726721</v>
      </c>
      <c r="Z178" s="304">
        <f>0.1727 *Z17* SIN(Z18* Deg2Rad)</f>
        <v>3.1200670319447985E-2</v>
      </c>
      <c r="AA178" s="304">
        <f>0.1727 *AA17* SIN(AA18* Deg2Rad)</f>
        <v>5.0798223550041294E-2</v>
      </c>
      <c r="AB178" s="304">
        <f>0.1727 *AB17* SIN(AB18* Deg2Rad)</f>
        <v>-3.2368848382800776E-2</v>
      </c>
      <c r="AC178" s="304">
        <f>0.1727 *AC17* SIN(AC18* Deg2Rad)</f>
        <v>-5.7371907557601159E-2</v>
      </c>
      <c r="AD178" s="304">
        <f>0.1727 *AD17* SIN(AD18* Deg2Rad)</f>
        <v>0.15415493758184426</v>
      </c>
      <c r="AE178" s="304">
        <f>0.1727 *AE17* SIN(AE18* Deg2Rad)</f>
        <v>0.15008406379726721</v>
      </c>
      <c r="AF178" s="304">
        <f>0.1727 *AF17* SIN(AF18* Deg2Rad)</f>
        <v>1.487437846477228E-2</v>
      </c>
      <c r="AG178" s="304">
        <f>0.1727 *AG17* SIN(AG18* Deg2Rad)</f>
        <v>-0.13843871121898482</v>
      </c>
      <c r="AH178" s="304">
        <f>0.1727 *AH17* SIN(AH18* Deg2Rad)</f>
        <v>0.17197777423919539</v>
      </c>
      <c r="AI178" s="304">
        <f>0.1727 *AI17* SIN(AI18* Deg2Rad)</f>
        <v>0.1683119281363106</v>
      </c>
      <c r="AJ178" s="304">
        <f>0.1727 *AJ17* SIN(AJ18* Deg2Rad)</f>
        <v>8.5142666412311621E-2</v>
      </c>
      <c r="AK178" s="304">
        <f>0.1727 *AK17* SIN(AK18* Deg2Rad)</f>
        <v>6.2025344103986267E-2</v>
      </c>
      <c r="AL178" s="304">
        <f>0.1727 *AL17* SIN(AL18* Deg2Rad)</f>
        <v>-0.17274021101878578</v>
      </c>
      <c r="AM178" s="304">
        <f>0.1727 *AM17* SIN(AM18* Deg2Rad)</f>
        <v>-0.13496611763972599</v>
      </c>
      <c r="AN178" s="304">
        <f>0.1727 *AN17* SIN(AN18* Deg2Rad)</f>
        <v>0.16725650618360552</v>
      </c>
      <c r="AO178" s="304">
        <f>0.1727 *AO17* SIN(AO18* Deg2Rad)</f>
        <v>0.15042238911535091</v>
      </c>
      <c r="AP178" s="304">
        <f>0.1727 *AP17* SIN(AP18* Deg2Rad)</f>
        <v>-0.17174423975511288</v>
      </c>
      <c r="AQ178" s="304">
        <f>0.1727 *AQ17* SIN(AQ18* Deg2Rad)</f>
        <v>-0.17174423975511288</v>
      </c>
      <c r="AR178" s="304">
        <f>0.1727 *AR17* SIN(AR18* Deg2Rad)</f>
        <v>-0.1417022576788888</v>
      </c>
      <c r="AS178" s="304">
        <f>0.1727 *AS17* SIN(AS18* Deg2Rad)</f>
        <v>-0.1417022576788888</v>
      </c>
      <c r="AT178" s="304">
        <f>0.1727 *AT17* SIN(AT18* Deg2Rad)</f>
        <v>-0.1417022576788888</v>
      </c>
      <c r="AU178" s="304">
        <f>0.1727 *AU17* SIN(AU18* Deg2Rad)</f>
        <v>5.4996045422650408E-2</v>
      </c>
      <c r="AV178" s="304">
        <f>0.1727 *AV17* SIN(AV18* Deg2Rad)</f>
        <v>-0.1652080532749316</v>
      </c>
      <c r="AW178" s="304">
        <f>0.1727 *AW17* SIN(AW18* Deg2Rad)</f>
        <v>4.8837861657769613E-2</v>
      </c>
      <c r="AX178" s="304">
        <f>0.1727 *AX17* SIN(AX18* Deg2Rad)</f>
        <v>0.13344509191333387</v>
      </c>
      <c r="AY178" s="304">
        <f>0.1727 *AY17* SIN(AY18* Deg2Rad)</f>
        <v>-7.5874061981505259E-2</v>
      </c>
      <c r="AZ178" s="304">
        <f>0.1727 *AZ17* SIN(AZ18* Deg2Rad)</f>
        <v>-7.5874061981505259E-2</v>
      </c>
      <c r="BA178" s="304">
        <f>0.1727 *BA17* SIN(BA18* Deg2Rad)</f>
        <v>9.1155550161054963E-3</v>
      </c>
      <c r="BB178" s="304">
        <f>0.1727 *BB17* SIN(BB18* Deg2Rad)</f>
        <v>9.1155550161054963E-3</v>
      </c>
      <c r="BC178" s="304">
        <f>0.1727 *BC17* SIN(BC18* Deg2Rad)</f>
        <v>9.1155550161054963E-3</v>
      </c>
      <c r="BD178" s="304">
        <f>0.1727 *BD17* SIN(BD18* Deg2Rad)</f>
        <v>9.1155550161054963E-3</v>
      </c>
      <c r="BE178" s="304">
        <f>0.1727 *BE17* SIN(BE18* Deg2Rad)</f>
        <v>9.1155550161054963E-3</v>
      </c>
      <c r="BF178" s="304">
        <f>0.1727 *BF17* SIN(BF18* Deg2Rad)</f>
        <v>9.1155550161054963E-3</v>
      </c>
      <c r="BG178" s="304">
        <f>0.1727 *BG17* SIN(BG18* Deg2Rad)</f>
        <v>0.15008406379726721</v>
      </c>
    </row>
    <row r="179" spans="1:59" x14ac:dyDescent="0.25">
      <c r="C179" t="s">
        <v>1075</v>
      </c>
      <c r="E179" s="304">
        <f>0.0161 *SIN(2 *E19* Deg2Rad)</f>
        <v>1.4462083247961666E-2</v>
      </c>
      <c r="F179" s="304">
        <f>0.0161 *SIN(2 *F19* Deg2Rad)</f>
        <v>1.5038283239530938E-2</v>
      </c>
      <c r="G179" s="304">
        <f>0.0161 *SIN(2 *G19* Deg2Rad)</f>
        <v>1.5025153442431226E-2</v>
      </c>
      <c r="H179" s="304">
        <f>0.0161 *SIN(2 *H19* Deg2Rad)</f>
        <v>2.9784384693949196E-3</v>
      </c>
      <c r="I179" s="304">
        <f>0.0161 *SIN(2 *I19* Deg2Rad)</f>
        <v>1.6085000710935476E-2</v>
      </c>
      <c r="J179" s="304">
        <f>0.0161 *SIN(2 *J19* Deg2Rad)</f>
        <v>-3.9777911874983463E-3</v>
      </c>
      <c r="K179" s="304">
        <f>0.0161 *SIN(2 *K19* Deg2Rad)</f>
        <v>-3.5852878257522365E-3</v>
      </c>
      <c r="L179" s="304">
        <f>0.0161 *SIN(2 *L19* Deg2Rad)</f>
        <v>-1.46272553242818E-2</v>
      </c>
      <c r="M179" s="304">
        <f>0.0161 *SIN(2 *M19* Deg2Rad)</f>
        <v>-1.5948392219351189E-2</v>
      </c>
      <c r="N179" s="304">
        <f>0.0161 *SIN(2 *N19* Deg2Rad)</f>
        <v>-1.3430274472181742E-2</v>
      </c>
      <c r="O179" s="304">
        <f>0.0161 *SIN(2 *O19* Deg2Rad)</f>
        <v>-2.1763683991082015E-3</v>
      </c>
      <c r="P179" s="304">
        <f>0.0161 *SIN(2 *P19* Deg2Rad)</f>
        <v>-6.8348454662052784E-3</v>
      </c>
      <c r="Q179" s="304">
        <f>0.0161 *SIN(2 *Q19* Deg2Rad)</f>
        <v>-3.5010983968035126E-3</v>
      </c>
      <c r="R179" s="304">
        <f>0.0161 *SIN(2 *R19* Deg2Rad)</f>
        <v>-1.4494279129504864E-2</v>
      </c>
      <c r="S179" s="304">
        <f>0.0161 *SIN(2 *S19* Deg2Rad)</f>
        <v>1.5965073963617328E-2</v>
      </c>
      <c r="T179" s="304">
        <f>0.0161 *SIN(2 *T19* Deg2Rad)</f>
        <v>-1.5339695810411332E-2</v>
      </c>
      <c r="U179" s="304">
        <f>0.0161 *SIN(2 *U19* Deg2Rad)</f>
        <v>-1.3126039756315183E-2</v>
      </c>
      <c r="V179" s="304">
        <f>0.0161 *SIN(2 *V19* Deg2Rad)</f>
        <v>-1.9631197532088969E-3</v>
      </c>
      <c r="W179" s="304">
        <f>0.0161 *SIN(2 *W19* Deg2Rad)</f>
        <v>-1.4271547354567345E-2</v>
      </c>
      <c r="X179" s="304">
        <f>0.0161 *SIN(2 *X19* Deg2Rad)</f>
        <v>-6.4785519246721547E-3</v>
      </c>
      <c r="Y179" s="304">
        <f>0.0161 *SIN(2 *Y19* Deg2Rad)</f>
        <v>-9.5904854707675093E-3</v>
      </c>
      <c r="Z179" s="304">
        <f>0.0161 *SIN(2 *Z19* Deg2Rad)</f>
        <v>1.5734927227129582E-2</v>
      </c>
      <c r="AA179" s="304">
        <f>0.0161 *SIN(2 *AA19* Deg2Rad)</f>
        <v>1.5025153442431226E-2</v>
      </c>
      <c r="AB179" s="304">
        <f>0.0161 *SIN(2 *AB19* Deg2Rad)</f>
        <v>5.7485064594295287E-3</v>
      </c>
      <c r="AC179" s="304">
        <f>0.0161 *SIN(2 *AC19* Deg2Rad)</f>
        <v>-1.6084599379049356E-2</v>
      </c>
      <c r="AD179" s="304">
        <f>0.0161 *SIN(2 *AD19* Deg2Rad)</f>
        <v>9.9044869922218712E-3</v>
      </c>
      <c r="AE179" s="304">
        <f>0.0161 *SIN(2 *AE19* Deg2Rad)</f>
        <v>-9.5904854707675093E-3</v>
      </c>
      <c r="AF179" s="304">
        <f>0.0161 *SIN(2 *AF19* Deg2Rad)</f>
        <v>-1.5674549865377127E-2</v>
      </c>
      <c r="AG179" s="304">
        <f>0.0161 *SIN(2 *AG19* Deg2Rad)</f>
        <v>7.1759463688852096E-3</v>
      </c>
      <c r="AH179" s="304">
        <f>0.0161 *SIN(2 *AH19* Deg2Rad)</f>
        <v>-5.7313545527278792E-3</v>
      </c>
      <c r="AI179" s="304">
        <f>0.0161 *SIN(2 *AI19* Deg2Rad)</f>
        <v>7.5351376912541146E-3</v>
      </c>
      <c r="AJ179" s="304">
        <f>0.0161 *SIN(2 *AJ19* Deg2Rad)</f>
        <v>6.8122406026008683E-3</v>
      </c>
      <c r="AK179" s="304">
        <f>0.0161 *SIN(2 *AK19* Deg2Rad)</f>
        <v>1.3775149402776963E-2</v>
      </c>
      <c r="AL179" s="304">
        <f>0.0161 *SIN(2 *AL19* Deg2Rad)</f>
        <v>-1.5227472700182362E-2</v>
      </c>
      <c r="AM179" s="304">
        <f>0.0161 *SIN(2 *AM19* Deg2Rad)</f>
        <v>-1.1718325092138014E-2</v>
      </c>
      <c r="AN179" s="304">
        <f>0.0161 *SIN(2 *AN19* Deg2Rad)</f>
        <v>-1.1153063385673991E-2</v>
      </c>
      <c r="AO179" s="304">
        <f>0.0161 *SIN(2 *AO19* Deg2Rad)</f>
        <v>1.0670435112117137E-2</v>
      </c>
      <c r="AP179" s="304">
        <f>0.0161 *SIN(2 *AP19* Deg2Rad)</f>
        <v>5.4383071071883071E-4</v>
      </c>
      <c r="AQ179" s="304">
        <f>0.0161 *SIN(2 *AQ19* Deg2Rad)</f>
        <v>5.4383071071883071E-4</v>
      </c>
      <c r="AR179" s="304">
        <f>0.0161 *SIN(2 *AR19* Deg2Rad)</f>
        <v>-1.2278624953445479E-2</v>
      </c>
      <c r="AS179" s="304">
        <f>0.0161 *SIN(2 *AS19* Deg2Rad)</f>
        <v>-1.2278624953445479E-2</v>
      </c>
      <c r="AT179" s="304">
        <f>0.0161 *SIN(2 *AT19* Deg2Rad)</f>
        <v>-1.2278624953445479E-2</v>
      </c>
      <c r="AU179" s="304">
        <f>0.0161 *SIN(2 *AU19* Deg2Rad)</f>
        <v>3.9438013045002698E-4</v>
      </c>
      <c r="AV179" s="304">
        <f>0.0161 *SIN(2 *AV19* Deg2Rad)</f>
        <v>3.227252000605009E-3</v>
      </c>
      <c r="AW179" s="304">
        <f>0.0161 *SIN(2 *AW19* Deg2Rad)</f>
        <v>-1.1320124142099331E-2</v>
      </c>
      <c r="AX179" s="304">
        <f>0.0161 *SIN(2 *AX19* Deg2Rad)</f>
        <v>3.8224325585920248E-3</v>
      </c>
      <c r="AY179" s="304">
        <f>0.0161 *SIN(2 *AY19* Deg2Rad)</f>
        <v>-1.5786129701159508E-2</v>
      </c>
      <c r="AZ179" s="304">
        <f>0.0161 *SIN(2 *AZ19* Deg2Rad)</f>
        <v>-1.5786129701159508E-2</v>
      </c>
      <c r="BA179" s="304">
        <f>0.0161 *SIN(2 *BA19* Deg2Rad)</f>
        <v>-7.3177801414269746E-3</v>
      </c>
      <c r="BB179" s="304">
        <f>0.0161 *SIN(2 *BB19* Deg2Rad)</f>
        <v>-7.3177801414269746E-3</v>
      </c>
      <c r="BC179" s="304">
        <f>0.0161 *SIN(2 *BC19* Deg2Rad)</f>
        <v>-7.3177801414269746E-3</v>
      </c>
      <c r="BD179" s="304">
        <f>0.0161 *SIN(2 *BD19* Deg2Rad)</f>
        <v>-7.3177801414269746E-3</v>
      </c>
      <c r="BE179" s="304">
        <f>0.0161 *SIN(2 *BE19* Deg2Rad)</f>
        <v>-7.3177801414269746E-3</v>
      </c>
      <c r="BF179" s="304">
        <f>0.0161 *SIN(2 *BF19* Deg2Rad)</f>
        <v>-7.3177801414269746E-3</v>
      </c>
      <c r="BG179" s="304">
        <f>0.0161 *SIN(2 *BG19* Deg2Rad)</f>
        <v>-9.5904854707675093E-3</v>
      </c>
    </row>
    <row r="180" spans="1:59" x14ac:dyDescent="0.25">
      <c r="C180" s="5" t="s">
        <v>1076</v>
      </c>
      <c r="E180" s="304">
        <f t="shared" ref="E180:AU180" si="96">-0.0097* SIN(2 *E174* Deg2Rad)</f>
        <v>-2.0367795406701361E-3</v>
      </c>
      <c r="F180" s="304">
        <f t="shared" ref="F180:BG180" si="97">-0.0097* SIN(2 *F174* Deg2Rad)</f>
        <v>-8.7967780599860317E-3</v>
      </c>
      <c r="G180" s="304">
        <f t="shared" si="97"/>
        <v>1.3419463013046166E-3</v>
      </c>
      <c r="H180" s="304">
        <f t="shared" si="97"/>
        <v>3.950328282241092E-3</v>
      </c>
      <c r="I180" s="304">
        <f t="shared" si="97"/>
        <v>9.4707329746675784E-3</v>
      </c>
      <c r="J180" s="304">
        <f t="shared" si="97"/>
        <v>3.9809246774445469E-3</v>
      </c>
      <c r="K180" s="304">
        <f t="shared" si="97"/>
        <v>9.6805662000707862E-3</v>
      </c>
      <c r="L180" s="304">
        <f t="shared" si="97"/>
        <v>6.2789832862056296E-3</v>
      </c>
      <c r="M180" s="304">
        <f t="shared" si="97"/>
        <v>-9.2917079135791773E-3</v>
      </c>
      <c r="N180" s="304">
        <f t="shared" si="97"/>
        <v>-3.0186997981452735E-3</v>
      </c>
      <c r="O180" s="304">
        <f t="shared" si="97"/>
        <v>-9.6541731629798122E-3</v>
      </c>
      <c r="P180" s="304">
        <f t="shared" si="97"/>
        <v>4.3599642359281408E-3</v>
      </c>
      <c r="Q180" s="304">
        <f t="shared" si="97"/>
        <v>-2.665736213779136E-3</v>
      </c>
      <c r="R180" s="304">
        <f t="shared" si="97"/>
        <v>6.9053529892027423E-3</v>
      </c>
      <c r="S180" s="304">
        <f t="shared" si="97"/>
        <v>6.1519338104138802E-3</v>
      </c>
      <c r="T180" s="304">
        <f t="shared" si="97"/>
        <v>-5.6111677748434795E-3</v>
      </c>
      <c r="U180" s="304">
        <f t="shared" si="97"/>
        <v>9.6573529483199427E-3</v>
      </c>
      <c r="V180" s="304">
        <f t="shared" si="97"/>
        <v>2.2032776713324194E-3</v>
      </c>
      <c r="W180" s="304">
        <f t="shared" si="97"/>
        <v>-9.5945859475688264E-3</v>
      </c>
      <c r="X180" s="304">
        <f t="shared" si="97"/>
        <v>9.3803545873725972E-3</v>
      </c>
      <c r="Y180" s="304">
        <f t="shared" si="97"/>
        <v>9.68992879544028E-3</v>
      </c>
      <c r="Z180" s="304">
        <f t="shared" si="97"/>
        <v>8.5329757801845593E-3</v>
      </c>
      <c r="AA180" s="304">
        <f t="shared" si="97"/>
        <v>1.3419463013046166E-3</v>
      </c>
      <c r="AB180" s="304">
        <f t="shared" si="97"/>
        <v>-2.8613915617475309E-3</v>
      </c>
      <c r="AC180" s="304">
        <f t="shared" si="97"/>
        <v>3.5242946930787075E-4</v>
      </c>
      <c r="AD180" s="304">
        <f t="shared" si="97"/>
        <v>-9.6135590123325211E-3</v>
      </c>
      <c r="AE180" s="304">
        <f t="shared" si="97"/>
        <v>9.68992879544028E-3</v>
      </c>
      <c r="AF180" s="304">
        <f t="shared" si="97"/>
        <v>-7.9918264868847257E-3</v>
      </c>
      <c r="AG180" s="304">
        <f t="shared" si="97"/>
        <v>8.9423676195640525E-3</v>
      </c>
      <c r="AH180" s="304">
        <f t="shared" si="97"/>
        <v>-5.4282432249307313E-3</v>
      </c>
      <c r="AI180" s="304">
        <f t="shared" si="97"/>
        <v>6.6658190670440117E-3</v>
      </c>
      <c r="AJ180" s="304">
        <f t="shared" si="97"/>
        <v>-3.6904214048419191E-4</v>
      </c>
      <c r="AK180" s="304">
        <f t="shared" si="97"/>
        <v>-4.3371104400924433E-3</v>
      </c>
      <c r="AL180" s="304">
        <f t="shared" si="97"/>
        <v>-6.5005374742179217E-3</v>
      </c>
      <c r="AM180" s="304">
        <f t="shared" si="97"/>
        <v>-8.0093091752461124E-4</v>
      </c>
      <c r="AN180" s="304">
        <f t="shared" si="97"/>
        <v>-6.6504520885417361E-4</v>
      </c>
      <c r="AO180" s="304">
        <f t="shared" si="97"/>
        <v>-9.4066291530542651E-3</v>
      </c>
      <c r="AP180" s="304">
        <f t="shared" si="97"/>
        <v>7.5513901409780728E-3</v>
      </c>
      <c r="AQ180" s="304">
        <f t="shared" si="97"/>
        <v>7.5513901409780728E-3</v>
      </c>
      <c r="AR180" s="304">
        <f t="shared" si="97"/>
        <v>-1.7209171089900492E-3</v>
      </c>
      <c r="AS180" s="304">
        <f t="shared" si="97"/>
        <v>-1.7209171089900492E-3</v>
      </c>
      <c r="AT180" s="304">
        <f t="shared" si="97"/>
        <v>-1.7209171089900492E-3</v>
      </c>
      <c r="AU180" s="304">
        <f t="shared" si="97"/>
        <v>4.7095036417057175E-3</v>
      </c>
      <c r="AV180" s="304">
        <f t="shared" si="97"/>
        <v>-2.213862586268575E-3</v>
      </c>
      <c r="AW180" s="304">
        <f t="shared" si="97"/>
        <v>1.0193571744992326E-3</v>
      </c>
      <c r="AX180" s="304">
        <f t="shared" si="97"/>
        <v>-6.9034068529219236E-4</v>
      </c>
      <c r="AY180" s="304">
        <f t="shared" si="97"/>
        <v>-9.2020249045275202E-3</v>
      </c>
      <c r="AZ180" s="304">
        <f t="shared" si="97"/>
        <v>-9.2020249045275202E-3</v>
      </c>
      <c r="BA180" s="304">
        <f t="shared" si="97"/>
        <v>-7.1052781995793058E-3</v>
      </c>
      <c r="BB180" s="304">
        <f t="shared" si="97"/>
        <v>-7.1052781995793058E-3</v>
      </c>
      <c r="BC180" s="304">
        <f t="shared" si="97"/>
        <v>-7.1052781995793058E-3</v>
      </c>
      <c r="BD180" s="304">
        <f t="shared" si="97"/>
        <v>-7.1052781995793058E-3</v>
      </c>
      <c r="BE180" s="304">
        <f t="shared" si="97"/>
        <v>-7.1052781995793058E-3</v>
      </c>
      <c r="BF180" s="304">
        <f t="shared" si="97"/>
        <v>-7.1052781995793058E-3</v>
      </c>
      <c r="BG180" s="304">
        <f t="shared" si="97"/>
        <v>9.68992879544028E-3</v>
      </c>
    </row>
    <row r="181" spans="1:59" x14ac:dyDescent="0.25">
      <c r="C181" t="s">
        <v>1077</v>
      </c>
      <c r="E181" s="304">
        <f>0.0073  *E17* SIN((E19  - E18)* Deg2Rad)</f>
        <v>-6.6798542936999453E-3</v>
      </c>
      <c r="F181" s="304">
        <f>0.0073  *F17* SIN((F19  - F18)* Deg2Rad)</f>
        <v>5.424621719150308E-3</v>
      </c>
      <c r="G181" s="304">
        <f>0.0073  *G17* SIN((G19  - G18)* Deg2Rad)</f>
        <v>2.1789453212954645E-3</v>
      </c>
      <c r="H181" s="304">
        <f>0.0073  *H17* SIN((H19  - H18)* Deg2Rad)</f>
        <v>6.1104574821680179E-3</v>
      </c>
      <c r="I181" s="304">
        <f>0.0073  *I17* SIN((I19  - I18)* Deg2Rad)</f>
        <v>-4.4761741927462661E-4</v>
      </c>
      <c r="J181" s="304">
        <f>0.0073  *J17* SIN((J19  - J18)* Deg2Rad)</f>
        <v>1.6336941495123673E-3</v>
      </c>
      <c r="K181" s="304">
        <f>0.0073  *K17* SIN((K19  - K18)* Deg2Rad)</f>
        <v>4.286630904964818E-3</v>
      </c>
      <c r="L181" s="304">
        <f>0.0073  *L17* SIN((L19  - L18)* Deg2Rad)</f>
        <v>5.7845275003464529E-3</v>
      </c>
      <c r="M181" s="304">
        <f>0.0073  *M17* SIN((M19  - M18)* Deg2Rad)</f>
        <v>5.9834491871168924E-3</v>
      </c>
      <c r="N181" s="304">
        <f>0.0073  *N17* SIN((N19  - N18)* Deg2Rad)</f>
        <v>7.3484140354138318E-3</v>
      </c>
      <c r="O181" s="304">
        <f>0.0073  *O17* SIN((O19  - O18)* Deg2Rad)</f>
        <v>4.9909926687556625E-3</v>
      </c>
      <c r="P181" s="304">
        <f>0.0073  *P17* SIN((P19  - P18)* Deg2Rad)</f>
        <v>3.79966352074844E-3</v>
      </c>
      <c r="Q181" s="304">
        <f>0.0073  *Q17* SIN((Q19  - Q18)* Deg2Rad)</f>
        <v>-7.3420863314207583E-3</v>
      </c>
      <c r="R181" s="304">
        <f>0.0073  *R17* SIN((R19  - R18)* Deg2Rad)</f>
        <v>-7.2036381164292049E-3</v>
      </c>
      <c r="S181" s="304">
        <f>0.0073  *S17* SIN((S19  - S18)* Deg2Rad)</f>
        <v>-2.1756016413243392E-3</v>
      </c>
      <c r="T181" s="304">
        <f>0.0073  *T17* SIN((T19  - T18)* Deg2Rad)</f>
        <v>-8.5947504200832581E-4</v>
      </c>
      <c r="U181" s="304">
        <f>0.0073  *U17* SIN((U19  - U18)* Deg2Rad)</f>
        <v>2.6669229687428173E-3</v>
      </c>
      <c r="V181" s="304">
        <f>0.0073  *V17* SIN((V19  - V18)* Deg2Rad)</f>
        <v>6.120117938963847E-4</v>
      </c>
      <c r="W181" s="304">
        <f>0.0073  *W17* SIN((W19  - W18)* Deg2Rad)</f>
        <v>8.0777265326756776E-4</v>
      </c>
      <c r="X181" s="304">
        <f>0.0073  *X17* SIN((X19  - X18)* Deg2Rad)</f>
        <v>-3.6764087189066473E-3</v>
      </c>
      <c r="Y181" s="304">
        <f>0.0073  *Y17* SIN((Y19  - Y18)* Deg2Rad)</f>
        <v>-5.4272632494479821E-3</v>
      </c>
      <c r="Z181" s="304">
        <f>0.0073  *Z17* SIN((Z19  - Z18)* Deg2Rad)</f>
        <v>3.4757628837652375E-3</v>
      </c>
      <c r="AA181" s="304">
        <f>0.0073  *AA17* SIN((AA19  - AA18)* Deg2Rad)</f>
        <v>2.1789453212954645E-3</v>
      </c>
      <c r="AB181" s="304">
        <f>0.0073  *AB17* SIN((AB19  - AB18)* Deg2Rad)</f>
        <v>6.811440028071181E-3</v>
      </c>
      <c r="AC181" s="304">
        <f>0.0073  *AC17* SIN((AC19  - AC18)* Deg2Rad)</f>
        <v>3.0120161178783049E-3</v>
      </c>
      <c r="AD181" s="304">
        <f>0.0073  *AD17* SIN((AD19  - AD18)* Deg2Rad)</f>
        <v>5.2360564863151091E-3</v>
      </c>
      <c r="AE181" s="304">
        <f>0.0073  *AE17* SIN((AE19  - AE18)* Deg2Rad)</f>
        <v>-5.4272632494479821E-3</v>
      </c>
      <c r="AF181" s="304">
        <f>0.0073  *AF17* SIN((AF19  - AF18)* Deg2Rad)</f>
        <v>-6.091291057213781E-3</v>
      </c>
      <c r="AG181" s="304">
        <f>0.0073  *AG17* SIN((AG19  - AG18)* Deg2Rad)</f>
        <v>-5.5901604748438598E-3</v>
      </c>
      <c r="AH181" s="304">
        <f>0.0073  *AH17* SIN((AH19  - AH18)* Deg2Rad)</f>
        <v>1.9886615442169134E-3</v>
      </c>
      <c r="AI181" s="304">
        <f>0.0073  *AI17* SIN((AI19  - AI18)* Deg2Rad)</f>
        <v>-3.3085040330217805E-3</v>
      </c>
      <c r="AJ181" s="304">
        <f>0.0073  *AJ17* SIN((AJ19  - AJ18)* Deg2Rad)</f>
        <v>-6.9815372772731449E-3</v>
      </c>
      <c r="AK181" s="304">
        <f>0.0073  *AK17* SIN((AK19  - AK18)* Deg2Rad)</f>
        <v>-4.6782137015816024E-3</v>
      </c>
      <c r="AL181" s="304">
        <f>0.0073  *AL17* SIN((AL19  - AL18)* Deg2Rad)</f>
        <v>4.2437745071632954E-3</v>
      </c>
      <c r="AM181" s="304">
        <f>0.0073  *AM17* SIN((AM19  - AM18)* Deg2Rad)</f>
        <v>-6.791387433259531E-3</v>
      </c>
      <c r="AN181" s="304">
        <f>0.0073  *AN17* SIN((AN19  - AN18)* Deg2Rad)</f>
        <v>9.5301443692637927E-4</v>
      </c>
      <c r="AO181" s="304">
        <f>0.0073  *AO17* SIN((AO19  - AO18)* Deg2Rad)</f>
        <v>-4.4410971316996787E-3</v>
      </c>
      <c r="AP181" s="304">
        <f>0.0073  *AP17* SIN((AP19  - AP18)* Deg2Rad)</f>
        <v>8.4857428225900431E-4</v>
      </c>
      <c r="AQ181" s="304">
        <f>0.0073  *AQ17* SIN((AQ19  - AQ18)* Deg2Rad)</f>
        <v>8.4857428225900431E-4</v>
      </c>
      <c r="AR181" s="304">
        <f>0.0073  *AR17* SIN((AR19  - AR18)* Deg2Rad)</f>
        <v>1.2628382533921055E-3</v>
      </c>
      <c r="AS181" s="304">
        <f>0.0073  *AS17* SIN((AS19  - AS18)* Deg2Rad)</f>
        <v>1.2628382533921055E-3</v>
      </c>
      <c r="AT181" s="304">
        <f>0.0073  *AT17* SIN((AT19  - AT18)* Deg2Rad)</f>
        <v>1.2628382533921055E-3</v>
      </c>
      <c r="AU181" s="304">
        <f>0.0073  *AU17* SIN((AU19  - AU18)* Deg2Rad)</f>
        <v>2.4093230857505248E-3</v>
      </c>
      <c r="AV181" s="304">
        <f>0.0073  *AV17* SIN((AV19  - AV18)* Deg2Rad)</f>
        <v>6.7333973059757113E-3</v>
      </c>
      <c r="AW181" s="304">
        <f>0.0073  *AW17* SIN((AW19  - AW18)* Deg2Rad)</f>
        <v>4.5754961782298988E-3</v>
      </c>
      <c r="AX181" s="304">
        <f>0.0073  *AX17* SIN((AX19  - AX18)* Deg2Rad)</f>
        <v>-5.2872662682804132E-3</v>
      </c>
      <c r="AY181" s="304">
        <f>0.0073  *AY17* SIN((AY19  - AY18)* Deg2Rad)</f>
        <v>1.6729418469994305E-3</v>
      </c>
      <c r="AZ181" s="304">
        <f>0.0073  *AZ17* SIN((AZ19  - AZ18)* Deg2Rad)</f>
        <v>1.6729418469994305E-3</v>
      </c>
      <c r="BA181" s="304">
        <f>0.0073  *BA17* SIN((BA19  - BA18)* Deg2Rad)</f>
        <v>2.0775345567476001E-3</v>
      </c>
      <c r="BB181" s="304">
        <f>0.0073  *BB17* SIN((BB19  - BB18)* Deg2Rad)</f>
        <v>2.0775345567476001E-3</v>
      </c>
      <c r="BC181" s="304">
        <f>0.0073  *BC17* SIN((BC19  - BC18)* Deg2Rad)</f>
        <v>2.0775345567476001E-3</v>
      </c>
      <c r="BD181" s="304">
        <f>0.0073  *BD17* SIN((BD19  - BD18)* Deg2Rad)</f>
        <v>2.0775345567476001E-3</v>
      </c>
      <c r="BE181" s="304">
        <f>0.0073  *BE17* SIN((BE19  - BE18)* Deg2Rad)</f>
        <v>2.0775345567476001E-3</v>
      </c>
      <c r="BF181" s="304">
        <f>0.0073  *BF17* SIN((BF19  - BF18)* Deg2Rad)</f>
        <v>2.0775345567476001E-3</v>
      </c>
      <c r="BG181" s="304">
        <f>0.0073  *BG17* SIN((BG19  - BG18)* Deg2Rad)</f>
        <v>-5.4272632494479821E-3</v>
      </c>
    </row>
    <row r="182" spans="1:59" x14ac:dyDescent="0.25">
      <c r="C182" s="5" t="s">
        <v>1078</v>
      </c>
      <c r="E182" s="304">
        <f>-0.005  *E17* SIN((E19 + E18)* Deg2Rad)</f>
        <v>1.872838381520047E-4</v>
      </c>
      <c r="F182" s="304">
        <f>-0.005  *F17* SIN((F19 + F18)* Deg2Rad)</f>
        <v>2.0703865659267777E-3</v>
      </c>
      <c r="G182" s="304">
        <f>-0.005  *G17* SIN((G19 + G18)* Deg2Rad)</f>
        <v>-3.9173163744397298E-3</v>
      </c>
      <c r="H182" s="304">
        <f>-0.005  *H17* SIN((H19 + H18)* Deg2Rad)</f>
        <v>-4.6191268134606828E-3</v>
      </c>
      <c r="I182" s="304">
        <f>-0.005  *I17* SIN((I19 + I18)* Deg2Rad)</f>
        <v>4.9743344457939091E-3</v>
      </c>
      <c r="J182" s="304">
        <f>-0.005  *J17* SIN((J19 + J18)* Deg2Rad)</f>
        <v>-1.2012604563199241E-4</v>
      </c>
      <c r="K182" s="304">
        <f>-0.005  *K17* SIN((K19 + K18)* Deg2Rad)</f>
        <v>1.9606507843252432E-3</v>
      </c>
      <c r="L182" s="304">
        <f>-0.005  *L17* SIN((L19 + L18)* Deg2Rad)</f>
        <v>-4.4286065340889639E-3</v>
      </c>
      <c r="M182" s="304">
        <f>-0.005  *M17* SIN((M19 + M18)* Deg2Rad)</f>
        <v>-2.2978790497157398E-3</v>
      </c>
      <c r="N182" s="304">
        <f>-0.005  *N17* SIN((N19 + N18)* Deg2Rad)</f>
        <v>-2.4349086119101115E-3</v>
      </c>
      <c r="O182" s="304">
        <f>-0.005  *O17* SIN((O19 + O18)* Deg2Rad)</f>
        <v>-2.8847226021750595E-3</v>
      </c>
      <c r="P182" s="304">
        <f>-0.005  *P17* SIN((P19 + P18)* Deg2Rad)</f>
        <v>-4.2386567197503239E-3</v>
      </c>
      <c r="Q182" s="304">
        <f>-0.005  *Q17* SIN((Q19 + Q18)* Deg2Rad)</f>
        <v>-4.5803941818237182E-3</v>
      </c>
      <c r="R182" s="304">
        <f>-0.005  *R17* SIN((R19 + R18)* Deg2Rad)</f>
        <v>-5.3221856953267178E-4</v>
      </c>
      <c r="S182" s="304">
        <f>-0.005  *S17* SIN((S19 + S18)* Deg2Rad)</f>
        <v>-5.2815877099754212E-3</v>
      </c>
      <c r="T182" s="304">
        <f>-0.005  *T17* SIN((T19 + T18)* Deg2Rad)</f>
        <v>4.8819454544055656E-3</v>
      </c>
      <c r="U182" s="304">
        <f>-0.005  *U17* SIN((U19 + U18)* Deg2Rad)</f>
        <v>3.0368035017720243E-3</v>
      </c>
      <c r="V182" s="304">
        <f>-0.005  *V17* SIN((V19 + V18)* Deg2Rad)</f>
        <v>-1.1064644138079819E-3</v>
      </c>
      <c r="W182" s="304">
        <f>-0.005  *W17* SIN((W19 + W18)* Deg2Rad)</f>
        <v>-4.6624448579807984E-3</v>
      </c>
      <c r="X182" s="304">
        <f>-0.005  *X17* SIN((X19 + X18)* Deg2Rad)</f>
        <v>4.0438693707892572E-3</v>
      </c>
      <c r="Y182" s="304">
        <f>-0.005  *Y17* SIN((Y19 + Y18)* Deg2Rad)</f>
        <v>9.9135546202156377E-4</v>
      </c>
      <c r="Z182" s="304">
        <f>-0.005  *Z17* SIN((Z19 + Z18)* Deg2Rad)</f>
        <v>-3.786909186246093E-3</v>
      </c>
      <c r="AA182" s="304">
        <f>-0.005  *AA17* SIN((AA19 + AA18)* Deg2Rad)</f>
        <v>-3.9173163744397298E-3</v>
      </c>
      <c r="AB182" s="304">
        <f>-0.005  *AB17* SIN((AB19 + AB18)* Deg2Rad)</f>
        <v>-5.0056301625934496E-3</v>
      </c>
      <c r="AC182" s="304">
        <f>-0.005  *AC17* SIN((AC19 + AC18)* Deg2Rad)</f>
        <v>-4.4628840503846325E-3</v>
      </c>
      <c r="AD182" s="304">
        <f>-0.005  *AD17* SIN((AD19 + AD18)* Deg2Rad)</f>
        <v>-6.828120229820751E-4</v>
      </c>
      <c r="AE182" s="304">
        <f>-0.005  *AE17* SIN((AE19 + AE18)* Deg2Rad)</f>
        <v>9.9135546202156377E-4</v>
      </c>
      <c r="AF182" s="304">
        <f>-0.005  *AF17* SIN((AF19 + AF18)* Deg2Rad)</f>
        <v>3.6371388504198685E-3</v>
      </c>
      <c r="AG182" s="304">
        <f>-0.005  *AG17* SIN((AG19 + AG18)* Deg2Rad)</f>
        <v>1.9936971570152988E-3</v>
      </c>
      <c r="AH182" s="304">
        <f>-0.005  *AH17* SIN((AH19 + AH18)* Deg2Rad)</f>
        <v>4.4014438513483148E-4</v>
      </c>
      <c r="AI182" s="304">
        <f>-0.005  *AI17* SIN((AI19 + AI18)* Deg2Rad)</f>
        <v>-8.3885895440469278E-5</v>
      </c>
      <c r="AJ182" s="304">
        <f>-0.005  *AJ17* SIN((AJ19 + AJ18)* Deg2Rad)</f>
        <v>3.7134740509500593E-3</v>
      </c>
      <c r="AK182" s="304">
        <f>-0.005  *AK17* SIN((AK19 + AK18)* Deg2Rad)</f>
        <v>4.9680509324970352E-3</v>
      </c>
      <c r="AL182" s="304">
        <f>-0.005  *AL17* SIN((AL19 + AL18)* Deg2Rad)</f>
        <v>2.9052823028005025E-3</v>
      </c>
      <c r="AM182" s="304">
        <f>-0.005  *AM17* SIN((AM19 + AM18)* Deg2Rad)</f>
        <v>1.5537755058092949E-3</v>
      </c>
      <c r="AN182" s="304">
        <f>-0.005  *AN17* SIN((AN19 + AN18)* Deg2Rad)</f>
        <v>2.963259506049221E-3</v>
      </c>
      <c r="AO182" s="304">
        <f>-0.005  *AO17* SIN((AO19 + AO18)* Deg2Rad)</f>
        <v>-5.1029293757697339E-3</v>
      </c>
      <c r="AP182" s="304">
        <f>-0.005  *AP17* SIN((AP19 + AP18)* Deg2Rad)</f>
        <v>-4.1323445378824185E-4</v>
      </c>
      <c r="AQ182" s="304">
        <f>-0.005  *AQ17* SIN((AQ19 + AQ18)* Deg2Rad)</f>
        <v>-4.1323445378824185E-4</v>
      </c>
      <c r="AR182" s="304">
        <f>-0.005  *AR17* SIN((AR19 + AR18)* Deg2Rad)</f>
        <v>-4.3129872201719136E-3</v>
      </c>
      <c r="AS182" s="304">
        <f>-0.005  *AS17* SIN((AS19 + AS18)* Deg2Rad)</f>
        <v>-4.3129872201719136E-3</v>
      </c>
      <c r="AT182" s="304">
        <f>-0.005  *AT17* SIN((AT19 + AT18)* Deg2Rad)</f>
        <v>-4.3129872201719136E-3</v>
      </c>
      <c r="AU182" s="304">
        <f>-0.005  *AU17* SIN((AU19 + AU18)* Deg2Rad)</f>
        <v>1.5340242028084158E-3</v>
      </c>
      <c r="AV182" s="304">
        <f>-0.005  *AV17* SIN((AV19 + AV18)* Deg2Rad)</f>
        <v>4.9056082768969469E-3</v>
      </c>
      <c r="AW182" s="304">
        <f>-0.005  *AW17* SIN((AW19 + AW18)* Deg2Rad)</f>
        <v>-5.182240462311467E-4</v>
      </c>
      <c r="AX182" s="304">
        <f>-0.005  *AX17* SIN((AX19 + AX18)* Deg2Rad)</f>
        <v>2.6975236522182515E-3</v>
      </c>
      <c r="AY182" s="304">
        <f>-0.005  *AY17* SIN((AY19 + AY18)* Deg2Rad)</f>
        <v>-4.5439910820332446E-3</v>
      </c>
      <c r="AZ182" s="304">
        <f>-0.005  *AZ17* SIN((AZ19 + AZ18)* Deg2Rad)</f>
        <v>-4.5439910820332446E-3</v>
      </c>
      <c r="BA182" s="304">
        <f>-0.005  *BA17* SIN((BA19 + BA18)* Deg2Rad)</f>
        <v>-9.0976342499387696E-4</v>
      </c>
      <c r="BB182" s="304">
        <f>-0.005  *BB17* SIN((BB19 + BB18)* Deg2Rad)</f>
        <v>-9.0976342499387696E-4</v>
      </c>
      <c r="BC182" s="304">
        <f>-0.005  *BC17* SIN((BC19 + BC18)* Deg2Rad)</f>
        <v>-9.0976342499387696E-4</v>
      </c>
      <c r="BD182" s="304">
        <f>-0.005  *BD17* SIN((BD19 + BD18)* Deg2Rad)</f>
        <v>-9.0976342499387696E-4</v>
      </c>
      <c r="BE182" s="304">
        <f>-0.005  *BE17* SIN((BE19 + BE18)* Deg2Rad)</f>
        <v>-9.0976342499387696E-4</v>
      </c>
      <c r="BF182" s="304">
        <f>-0.005  *BF17* SIN((BF19 + BF18)* Deg2Rad)</f>
        <v>-9.0976342499387696E-4</v>
      </c>
      <c r="BG182" s="304">
        <f>-0.005  *BG17* SIN((BG19 + BG18)* Deg2Rad)</f>
        <v>9.9135546202156377E-4</v>
      </c>
    </row>
    <row r="183" spans="1:59" x14ac:dyDescent="0.25">
      <c r="C183" s="5" t="s">
        <v>1079</v>
      </c>
      <c r="E183" s="304">
        <f>-0.0023 *SIN((E19 - 2 *E174)* Deg2Rad)</f>
        <v>1.6520659727859378E-3</v>
      </c>
      <c r="F183" s="304">
        <f>-0.0023 *SIN((F19 - 2 *F174)* Deg2Rad)</f>
        <v>-3.8421212105862784E-4</v>
      </c>
      <c r="G183" s="304">
        <f>-0.0023 *SIN((G19 - 2 *G174)* Deg2Rad)</f>
        <v>-1.5516321728569211E-3</v>
      </c>
      <c r="H183" s="304">
        <f>-0.0023 *SIN((H19 - 2 *H174)* Deg2Rad)</f>
        <v>-2.1785608934122634E-3</v>
      </c>
      <c r="I183" s="304">
        <f>-0.0023 *SIN((I19 - 2 *I174)* Deg2Rad)</f>
        <v>1.2779707254280041E-3</v>
      </c>
      <c r="J183" s="304">
        <f>-0.0023 *SIN((J19 - 2 *J174)* Deg2Rad)</f>
        <v>-1.1977151813679428E-3</v>
      </c>
      <c r="K183" s="304">
        <f>-0.0023 *SIN((K19 - 2 *K174)* Deg2Rad)</f>
        <v>2.2646315802629328E-3</v>
      </c>
      <c r="L183" s="304">
        <f>-0.0023 *SIN((L19 - 2 *L174)* Deg2Rad)</f>
        <v>-2.2793230653297475E-3</v>
      </c>
      <c r="M183" s="304">
        <f>-0.0023 *SIN((M19 - 2 *M174)* Deg2Rad)</f>
        <v>-2.0948625671328874E-3</v>
      </c>
      <c r="N183" s="304">
        <f>-0.0023 *SIN((N19 - 2 *N174)* Deg2Rad)</f>
        <v>-2.2641227596246465E-3</v>
      </c>
      <c r="O183" s="304">
        <f>-0.0023 *SIN((O19 - 2 *O174)* Deg2Rad)</f>
        <v>6.7717804509048317E-5</v>
      </c>
      <c r="P183" s="304">
        <f>-0.0023 *SIN((P19 - 2 *P174)* Deg2Rad)</f>
        <v>-2.2302148978494431E-3</v>
      </c>
      <c r="Q183" s="304">
        <f>-0.0023 *SIN((Q19 - 2 *Q174)* Deg2Rad)</f>
        <v>8.7018992742523822E-4</v>
      </c>
      <c r="R183" s="304">
        <f>-0.0023 *SIN((R19 - 2 *R174)* Deg2Rad)</f>
        <v>-5.288235503313818E-4</v>
      </c>
      <c r="S183" s="304">
        <f>-0.0023 *SIN((S19 - 2 *S174)* Deg2Rad)</f>
        <v>-7.7314912109192346E-5</v>
      </c>
      <c r="T183" s="304">
        <f>-0.0023 *SIN((T19 - 2 *T174)* Deg2Rad)</f>
        <v>-2.1811937713363183E-3</v>
      </c>
      <c r="U183" s="304">
        <f>-0.0023 *SIN((U19 - 2 *U174)* Deg2Rad)</f>
        <v>-1.2419561854777705E-3</v>
      </c>
      <c r="V183" s="304">
        <f>-0.0023 *SIN((V19 - 2 *V174)* Deg2Rad)</f>
        <v>-2.2676096489712746E-3</v>
      </c>
      <c r="W183" s="304">
        <f>-0.0023 *SIN((W19 - 2 *W174)* Deg2Rad)</f>
        <v>1.4682002964431008E-3</v>
      </c>
      <c r="X183" s="304">
        <f>-0.0023 *SIN((X19 - 2 *X174)* Deg2Rad)</f>
        <v>-1.1579497838024619E-4</v>
      </c>
      <c r="Y183" s="304">
        <f>-0.0023 *SIN((Y19 - 2 *Y174)* Deg2Rad)</f>
        <v>-6.2120246464753058E-4</v>
      </c>
      <c r="Z183" s="304">
        <f>-0.0023 *SIN((Z19 - 2 *Z174)* Deg2Rad)</f>
        <v>-8.8821827156039469E-4</v>
      </c>
      <c r="AA183" s="304">
        <f>-0.0023 *SIN((AA19 - 2 *AA174)* Deg2Rad)</f>
        <v>-1.5516321728569211E-3</v>
      </c>
      <c r="AB183" s="304">
        <f>-0.0023 *SIN((AB19 - 2 *AB174)* Deg2Rad)</f>
        <v>2.0379624346527278E-3</v>
      </c>
      <c r="AC183" s="304">
        <f>-0.0023 *SIN((AC19 - 2 *AC174)* Deg2Rad)</f>
        <v>1.6497070515361315E-3</v>
      </c>
      <c r="AD183" s="304">
        <f>-0.0023 *SIN((AD19 - 2 *AD174)* Deg2Rad)</f>
        <v>-1.0311922523193757E-3</v>
      </c>
      <c r="AE183" s="304">
        <f>-0.0023 *SIN((AE19 - 2 *AE174)* Deg2Rad)</f>
        <v>-6.2120246464753058E-4</v>
      </c>
      <c r="AF183" s="304">
        <f>-0.0023 *SIN((AF19 - 2 *AF174)* Deg2Rad)</f>
        <v>2.1985877096918857E-3</v>
      </c>
      <c r="AG183" s="304">
        <f>-0.0023 *SIN((AG19 - 2 *AG174)* Deg2Rad)</f>
        <v>1.3528775603742626E-3</v>
      </c>
      <c r="AH183" s="304">
        <f>-0.0023 *SIN((AH19 - 2 *AH174)* Deg2Rad)</f>
        <v>1.6417157183822874E-3</v>
      </c>
      <c r="AI183" s="304">
        <f>-0.0023 *SIN((AI19 - 2 *AI174)* Deg2Rad)</f>
        <v>1.2404692478418366E-3</v>
      </c>
      <c r="AJ183" s="304">
        <f>-0.0023 *SIN((AJ19 - 2 *AJ174)* Deg2Rad)</f>
        <v>-2.2247539640563555E-3</v>
      </c>
      <c r="AK183" s="304">
        <f>-0.0023 *SIN((AK19 - 2 *AK174)* Deg2Rad)</f>
        <v>-2.297147917664446E-3</v>
      </c>
      <c r="AL183" s="304">
        <f>-0.0023 *SIN((AL19 - 2 *AL174)* Deg2Rad)</f>
        <v>-4.9371082792895897E-4</v>
      </c>
      <c r="AM183" s="304">
        <f>-0.0023 *SIN((AM19 - 2 *AM174)* Deg2Rad)</f>
        <v>-2.1796527198564646E-3</v>
      </c>
      <c r="AN183" s="304">
        <f>-0.0023 *SIN((AN19 - 2 *AN174)* Deg2Rad)</f>
        <v>2.0697724484367262E-3</v>
      </c>
      <c r="AO183" s="304">
        <f>-0.0023 *SIN((AO19 - 2 *AO174)* Deg2Rad)</f>
        <v>1.886746351362766E-3</v>
      </c>
      <c r="AP183" s="304">
        <f>-0.0023 *SIN((AP19 - 2 *AP174)* Deg2Rad)</f>
        <v>-1.4736391809720528E-3</v>
      </c>
      <c r="AQ183" s="304">
        <f>-0.0023 *SIN((AQ19 - 2 *AQ174)* Deg2Rad)</f>
        <v>-1.4736391809720528E-3</v>
      </c>
      <c r="AR183" s="304">
        <f>-0.0023 *SIN((AR19 - 2 *AR174)* Deg2Rad)</f>
        <v>-2.2254282252038202E-3</v>
      </c>
      <c r="AS183" s="304">
        <f>-0.0023 *SIN((AS19 - 2 *AS174)* Deg2Rad)</f>
        <v>-2.2254282252038202E-3</v>
      </c>
      <c r="AT183" s="304">
        <f>-0.0023 *SIN((AT19 - 2 *AT174)* Deg2Rad)</f>
        <v>-2.2254282252038202E-3</v>
      </c>
      <c r="AU183" s="304">
        <f>-0.0023 *SIN((AU19 - 2 *AU174)* Deg2Rad)</f>
        <v>1.1412315129847781E-3</v>
      </c>
      <c r="AV183" s="304">
        <f>-0.0023 *SIN((AV19 - 2 *AV174)* Deg2Rad)</f>
        <v>2.9668480324262261E-4</v>
      </c>
      <c r="AW183" s="304">
        <f>-0.0023 *SIN((AW19 - 2 *AW174)* Deg2Rad)</f>
        <v>-6.4578011993392541E-4</v>
      </c>
      <c r="AX183" s="304">
        <f>-0.0023 *SIN((AX19 - 2 *AX174)* Deg2Rad)</f>
        <v>-2.2581380138036147E-3</v>
      </c>
      <c r="AY183" s="304">
        <f>-0.0023 *SIN((AY19 - 2 *AY174)* Deg2Rad)</f>
        <v>-2.1487384359050641E-3</v>
      </c>
      <c r="AZ183" s="304">
        <f>-0.0023 *SIN((AZ19 - 2 *AZ174)* Deg2Rad)</f>
        <v>-2.1487384359050641E-3</v>
      </c>
      <c r="BA183" s="304">
        <f>-0.0023 *SIN((BA19 - 2 *BA174)* Deg2Rad)</f>
        <v>-1.2721180805755448E-3</v>
      </c>
      <c r="BB183" s="304">
        <f>-0.0023 *SIN((BB19 - 2 *BB174)* Deg2Rad)</f>
        <v>-1.2721180805755448E-3</v>
      </c>
      <c r="BC183" s="304">
        <f>-0.0023 *SIN((BC19 - 2 *BC174)* Deg2Rad)</f>
        <v>-1.2721180805755448E-3</v>
      </c>
      <c r="BD183" s="304">
        <f>-0.0023 *SIN((BD19 - 2 *BD174)* Deg2Rad)</f>
        <v>-1.2721180805755448E-3</v>
      </c>
      <c r="BE183" s="304">
        <f>-0.0023 *SIN((BE19 - 2 *BE174)* Deg2Rad)</f>
        <v>-1.2721180805755448E-3</v>
      </c>
      <c r="BF183" s="304">
        <f>-0.0023 *SIN((BF19 - 2 *BF174)* Deg2Rad)</f>
        <v>-1.2721180805755448E-3</v>
      </c>
      <c r="BG183" s="304">
        <f>-0.0023 *SIN((BG19 - 2 *BG174)* Deg2Rad)</f>
        <v>-6.2120246464753058E-4</v>
      </c>
    </row>
    <row r="184" spans="1:59" x14ac:dyDescent="0.25">
      <c r="C184" t="s">
        <v>1080</v>
      </c>
      <c r="E184" s="304">
        <f>0.0021  *E17* SIN(2 *E18* Deg2Rad)</f>
        <v>-1.9521552576020622E-3</v>
      </c>
      <c r="F184" s="304">
        <f>0.0021  *F17* SIN(2 *F18* Deg2Rad)</f>
        <v>-8.2316599875716296E-4</v>
      </c>
      <c r="G184" s="304">
        <f>0.0021  *G17* SIN(2 *G18* Deg2Rad)</f>
        <v>1.180742385235212E-3</v>
      </c>
      <c r="H184" s="304">
        <f>0.0021  *H17* SIN(2 *H18* Deg2Rad)</f>
        <v>1.7345081058031261E-3</v>
      </c>
      <c r="I184" s="304">
        <f>0.0021  *I17* SIN(2 *I18* Deg2Rad)</f>
        <v>2.0718594919655747E-3</v>
      </c>
      <c r="J184" s="304">
        <f>0.0021  *J17* SIN(2 *J18* Deg2Rad)</f>
        <v>4.2065714900131542E-4</v>
      </c>
      <c r="K184" s="304">
        <f>0.0021  *K17* SIN(2 *K18* Deg2Rad)</f>
        <v>1.8010928249688808E-3</v>
      </c>
      <c r="L184" s="304">
        <f>0.0021  *L17* SIN(2 *L18* Deg2Rad)</f>
        <v>-3.6187297160305719E-4</v>
      </c>
      <c r="M184" s="304">
        <f>0.0021  *M17* SIN(2 *M18* Deg2Rad)</f>
        <v>9.7404843969523631E-4</v>
      </c>
      <c r="N184" s="304">
        <f>0.0021  *N17* SIN(2 *N18* Deg2Rad)</f>
        <v>1.9346953841962746E-3</v>
      </c>
      <c r="O184" s="304">
        <f>0.0021  *O17* SIN(2 *O18* Deg2Rad)</f>
        <v>2.0701365407555E-3</v>
      </c>
      <c r="P184" s="304">
        <f>0.0021  *P17* SIN(2 *P18* Deg2Rad)</f>
        <v>-2.1539185107971896E-3</v>
      </c>
      <c r="Q184" s="304">
        <f>0.0021  *Q17* SIN(2 *Q18* Deg2Rad)</f>
        <v>1.5851621981350036E-3</v>
      </c>
      <c r="R184" s="304">
        <f>0.0021  *R17* SIN(2 *R18* Deg2Rad)</f>
        <v>2.138016641555635E-3</v>
      </c>
      <c r="S184" s="304">
        <f>0.0021  *S17* SIN(2 *S18* Deg2Rad)</f>
        <v>2.0348812648534431E-3</v>
      </c>
      <c r="T184" s="304">
        <f>0.0021  *T17* SIN(2 *T18* Deg2Rad)</f>
        <v>-1.9373641359864799E-3</v>
      </c>
      <c r="U184" s="304">
        <f>0.0021  *U17* SIN(2 *U18* Deg2Rad)</f>
        <v>-5.6734443967767991E-4</v>
      </c>
      <c r="V184" s="304">
        <f>0.0021  *V17* SIN(2 *V18* Deg2Rad)</f>
        <v>-6.3612939868843831E-4</v>
      </c>
      <c r="W184" s="304">
        <f>0.0021  *W17* SIN(2 *W18* Deg2Rad)</f>
        <v>-2.0303195691247192E-3</v>
      </c>
      <c r="X184" s="304">
        <f>0.0021  *X17* SIN(2 *X18* Deg2Rad)</f>
        <v>-2.0896302022963891E-3</v>
      </c>
      <c r="Y184" s="304">
        <f>0.0021  *Y17* SIN(2 *Y18* Deg2Rad)</f>
        <v>1.8089646117555561E-3</v>
      </c>
      <c r="Z184" s="304">
        <f>0.0021  *Z17* SIN(2 *Z18* Deg2Rad)</f>
        <v>7.4627480334132023E-4</v>
      </c>
      <c r="AA184" s="304">
        <f>0.0021  *AA17* SIN(2 *AA18* Deg2Rad)</f>
        <v>1.180742385235212E-3</v>
      </c>
      <c r="AB184" s="304">
        <f>0.0021  *AB17* SIN(2 *AB18* Deg2Rad)</f>
        <v>7.7328002395751435E-4</v>
      </c>
      <c r="AC184" s="304">
        <f>0.0021  *AC17* SIN(2 *AC18* Deg2Rad)</f>
        <v>-1.316108708196397E-3</v>
      </c>
      <c r="AD184" s="304">
        <f>0.0021  *AD17* SIN(2 *AD18* Deg2Rad)</f>
        <v>-1.6920501526890958E-3</v>
      </c>
      <c r="AE184" s="304">
        <f>0.0021  *AE17* SIN(2 *AE18* Deg2Rad)</f>
        <v>1.8089646117555561E-3</v>
      </c>
      <c r="AF184" s="304">
        <f>0.0021  *AF17* SIN(2 *AF18* Deg2Rad)</f>
        <v>3.603956379102098E-4</v>
      </c>
      <c r="AG184" s="304">
        <f>0.0021  *AG17* SIN(2 *AG18* Deg2Rad)</f>
        <v>-2.0134529582912968E-3</v>
      </c>
      <c r="AH184" s="304">
        <f>0.0021  *AH17* SIN(2 *AH18* Deg2Rad)</f>
        <v>3.9198873829716225E-4</v>
      </c>
      <c r="AI184" s="304">
        <f>0.0021  *AI17* SIN(2 *AI18* Deg2Rad)</f>
        <v>-9.2022012107326634E-4</v>
      </c>
      <c r="AJ184" s="304">
        <f>0.0021  *AJ17* SIN(2 *AJ18* Deg2Rad)</f>
        <v>-1.801601048456871E-3</v>
      </c>
      <c r="AK184" s="304">
        <f>0.0021  *AK17* SIN(2 *AK18* Deg2Rad)</f>
        <v>1.4087325675676888E-3</v>
      </c>
      <c r="AL184" s="304">
        <f>0.0021  *AL17* SIN(2 *AL18* Deg2Rad)</f>
        <v>7.2896822038203584E-7</v>
      </c>
      <c r="AM184" s="304">
        <f>0.0021  *AM17* SIN(2 *AM18* Deg2Rad)</f>
        <v>2.1471668013442894E-3</v>
      </c>
      <c r="AN184" s="304">
        <f>0.0021  *AN17* SIN(2 *AN18* Deg2Rad)</f>
        <v>-1.0130979419440689E-3</v>
      </c>
      <c r="AO184" s="304">
        <f>0.0021  *AO17* SIN(2 *AO18* Deg2Rad)</f>
        <v>2.0314753481350712E-3</v>
      </c>
      <c r="AP184" s="304">
        <f>0.0021  *AP17* SIN(2 *AP18* Deg2Rad)</f>
        <v>-4.1565485119450057E-4</v>
      </c>
      <c r="AQ184" s="304">
        <f>0.0021  *AQ17* SIN(2 *AQ18* Deg2Rad)</f>
        <v>-4.1565485119450057E-4</v>
      </c>
      <c r="AR184" s="304">
        <f>0.0021  *AR17* SIN(2 *AR18* Deg2Rad)</f>
        <v>-1.9675856254745081E-3</v>
      </c>
      <c r="AS184" s="304">
        <f>0.0021  *AS17* SIN(2 *AS18* Deg2Rad)</f>
        <v>-1.9675856254745081E-3</v>
      </c>
      <c r="AT184" s="304">
        <f>0.0021  *AT17* SIN(2 *AT18* Deg2Rad)</f>
        <v>-1.9675856254745081E-3</v>
      </c>
      <c r="AU184" s="304">
        <f>0.0021  *AU17* SIN(2 *AU18* Deg2Rad)</f>
        <v>-1.267949740062634E-3</v>
      </c>
      <c r="AV184" s="304">
        <f>0.0021  *AV17* SIN(2 *AV18* Deg2Rad)</f>
        <v>1.1712879631793321E-3</v>
      </c>
      <c r="AW184" s="304">
        <f>0.0021  *AW17* SIN(2 *AW18* Deg2Rad)</f>
        <v>1.1393992934319987E-3</v>
      </c>
      <c r="AX184" s="304">
        <f>0.0021  *AX17* SIN(2 *AX18* Deg2Rad)</f>
        <v>-2.0633139935587437E-3</v>
      </c>
      <c r="AY184" s="304">
        <f>0.0021  *AY17* SIN(2 *AY18* Deg2Rad)</f>
        <v>-1.6573785154560202E-3</v>
      </c>
      <c r="AZ184" s="304">
        <f>0.0021  *AZ17* SIN(2 *AZ18* Deg2Rad)</f>
        <v>-1.6573785154560202E-3</v>
      </c>
      <c r="BA184" s="304">
        <f>0.0021  *BA17* SIN(2 *BA18* Deg2Rad)</f>
        <v>2.2137753583401776E-4</v>
      </c>
      <c r="BB184" s="304">
        <f>0.0021  *BB17* SIN(2 *BB18* Deg2Rad)</f>
        <v>2.2137753583401776E-4</v>
      </c>
      <c r="BC184" s="304">
        <f>0.0021  *BC17* SIN(2 *BC18* Deg2Rad)</f>
        <v>2.2137753583401776E-4</v>
      </c>
      <c r="BD184" s="304">
        <f>0.0021  *BD17* SIN(2 *BD18* Deg2Rad)</f>
        <v>2.2137753583401776E-4</v>
      </c>
      <c r="BE184" s="304">
        <f>0.0021  *BE17* SIN(2 *BE18* Deg2Rad)</f>
        <v>2.2137753583401776E-4</v>
      </c>
      <c r="BF184" s="304">
        <f>0.0021  *BF17* SIN(2 *BF18* Deg2Rad)</f>
        <v>2.2137753583401776E-4</v>
      </c>
      <c r="BG184" s="304">
        <f>0.0021  *BG17* SIN(2 *BG18* Deg2Rad)</f>
        <v>1.8089646117555561E-3</v>
      </c>
    </row>
    <row r="185" spans="1:59" x14ac:dyDescent="0.25">
      <c r="C185" t="s">
        <v>1081</v>
      </c>
      <c r="E185" s="304">
        <f>0.0012 *SIN((E19 + 2 *E174)* Deg2Rad)</f>
        <v>-1.1287407588595811E-3</v>
      </c>
      <c r="F185" s="304">
        <f>0.0012 *SIN((F19 + 2 *F174)* Deg2Rad)</f>
        <v>-1.0335264851284026E-3</v>
      </c>
      <c r="G185" s="304">
        <f>0.0012 *SIN((G19 + 2 *G174)* Deg2Rad)</f>
        <v>5.358249367584364E-4</v>
      </c>
      <c r="H185" s="304">
        <f>0.0012 *SIN((H19 + 2 *H174)* Deg2Rad)</f>
        <v>1.0458400887761008E-3</v>
      </c>
      <c r="I185" s="304">
        <f>0.0012 *SIN((I19 + 2 *I174)* Deg2Rad)</f>
        <v>1.0255532187185114E-3</v>
      </c>
      <c r="J185" s="304">
        <f>0.0012 *SIN((J19 + 2 *J174)* Deg2Rad)</f>
        <v>-3.5241239353228594E-4</v>
      </c>
      <c r="K185" s="304">
        <f>0.0012 *SIN((K19 + 2 *K174)* Deg2Rad)</f>
        <v>1.1985611822771475E-3</v>
      </c>
      <c r="L185" s="304">
        <f>0.0012 *SIN((L19 + 2 *L174)* Deg2Rad)</f>
        <v>3.5102931165978743E-4</v>
      </c>
      <c r="M185" s="304">
        <f>0.0012 *SIN((M19 + 2 *M174)* Deg2Rad)</f>
        <v>-6.403662810059369E-4</v>
      </c>
      <c r="N185" s="304">
        <f>0.0012 *SIN((N19 + 2 *N174)* Deg2Rad)</f>
        <v>8.2758692089866402E-4</v>
      </c>
      <c r="O185" s="304">
        <f>0.0012 *SIN((O19 + 2 *O174)* Deg2Rad)</f>
        <v>-1.9715020579208245E-4</v>
      </c>
      <c r="P185" s="304">
        <f>0.0012 *SIN((P19 + 2 *P174)* Deg2Rad)</f>
        <v>9.2899724145436538E-4</v>
      </c>
      <c r="Q185" s="304">
        <f>0.0012 *SIN((Q19 + 2 *Q174)* Deg2Rad)</f>
        <v>2.015936401551363E-4</v>
      </c>
      <c r="R185" s="304">
        <f>0.0012 *SIN((R19 + 2 *R174)* Deg2Rad)</f>
        <v>-1.1714898066802651E-3</v>
      </c>
      <c r="S185" s="304">
        <f>0.0012 *SIN((S19 + 2 *S174)* Deg2Rad)</f>
        <v>1.1840594999465333E-3</v>
      </c>
      <c r="T185" s="304">
        <f>0.0012 *SIN((T19 + 2 *T174)* Deg2Rad)</f>
        <v>1.7126210225716221E-5</v>
      </c>
      <c r="U185" s="304">
        <f>0.0012 *SIN((U19 + 2 *U174)* Deg2Rad)</f>
        <v>-4.482247941023595E-4</v>
      </c>
      <c r="V185" s="304">
        <f>0.0012 *SIN((V19 + 2 *V174)* Deg2Rad)</f>
        <v>1.1498032103214881E-3</v>
      </c>
      <c r="W185" s="304">
        <f>0.0012 *SIN((W19 + 2 *W174)* Deg2Rad)</f>
        <v>4.6423588452119383E-4</v>
      </c>
      <c r="X185" s="304">
        <f>0.0012 *SIN((X19 + 2 *X174)* Deg2Rad)</f>
        <v>5.3756877172631565E-4</v>
      </c>
      <c r="Y185" s="304">
        <f>0.0012 *SIN((Y19 + 2 *Y174)* Deg2Rad)</f>
        <v>-4.2792483847101462E-4</v>
      </c>
      <c r="Z185" s="304">
        <f>0.0012 *SIN((Z19 + 2 *Z174)* Deg2Rad)</f>
        <v>-1.1799347981339033E-3</v>
      </c>
      <c r="AA185" s="304">
        <f>0.0012 *SIN((AA19 + 2 *AA174)* Deg2Rad)</f>
        <v>5.358249367584364E-4</v>
      </c>
      <c r="AB185" s="304">
        <f>0.0012 *SIN((AB19 + 2 *AB174)* Deg2Rad)</f>
        <v>-1.191811385571048E-3</v>
      </c>
      <c r="AC185" s="304">
        <f>0.0012 *SIN((AC19 + 2 *AC174)* Deg2Rad)</f>
        <v>-7.9772397466385361E-4</v>
      </c>
      <c r="AD185" s="304">
        <f>0.0012 *SIN((AD19 + 2 *AD174)* Deg2Rad)</f>
        <v>-2.3570808077798472E-4</v>
      </c>
      <c r="AE185" s="304">
        <f>0.0012 *SIN((AE19 + 2 *AE174)* Deg2Rad)</f>
        <v>-4.2792483847101462E-4</v>
      </c>
      <c r="AF185" s="304">
        <f>0.0012 *SIN((AF19 + 2 *AF174)* Deg2Rad)</f>
        <v>8.1128143674196346E-5</v>
      </c>
      <c r="AG185" s="304">
        <f>0.0012 *SIN((AG19 + 2 *AG174)* Deg2Rad)</f>
        <v>-1.9931883045938882E-4</v>
      </c>
      <c r="AH185" s="304">
        <f>0.0012 *SIN((AH19 + 2 *AH174)* Deg2Rad)</f>
        <v>-1.0996175578874823E-3</v>
      </c>
      <c r="AI185" s="304">
        <f>0.0012 *SIN((AI19 + 2 *AI174)* Deg2Rad)</f>
        <v>-1.0448829286827063E-3</v>
      </c>
      <c r="AJ185" s="304">
        <f>0.0012 *SIN((AJ19 + 2 *AJ174)* Deg2Rad)</f>
        <v>1.1805288733238038E-3</v>
      </c>
      <c r="AK185" s="304">
        <f>0.0012 *SIN((AK19 + 2 *AK174)* Deg2Rad)</f>
        <v>6.71511193785105E-4</v>
      </c>
      <c r="AL185" s="304">
        <f>0.0012 *SIN((AL19 + 2 *AL174)* Deg2Rad)</f>
        <v>1.192157675483683E-3</v>
      </c>
      <c r="AM185" s="304">
        <f>0.0012 *SIN((AM19 + 2 *AM174)* Deg2Rad)</f>
        <v>1.0586569120170674E-3</v>
      </c>
      <c r="AN185" s="304">
        <f>0.0012 *SIN((AN19 + 2 *AN174)* Deg2Rad)</f>
        <v>-1.1413182081211081E-3</v>
      </c>
      <c r="AO185" s="304">
        <f>0.0012 *SIN((AO19 + 2 *AO174)* Deg2Rad)</f>
        <v>1.1919797886774935E-3</v>
      </c>
      <c r="AP185" s="304">
        <f>0.0012 *SIN((AP19 + 2 *AP174)* Deg2Rad)</f>
        <v>7.3729527970770373E-4</v>
      </c>
      <c r="AQ185" s="304">
        <f>0.0012 *SIN((AQ19 + 2 *AQ174)* Deg2Rad)</f>
        <v>7.3729527970770373E-4</v>
      </c>
      <c r="AR185" s="304">
        <f>0.0012 *SIN((AR19 + 2 *AR174)* Deg2Rad)</f>
        <v>9.8216181697048676E-4</v>
      </c>
      <c r="AS185" s="304">
        <f>0.0012 *SIN((AS19 + 2 *AS174)* Deg2Rad)</f>
        <v>9.8216181697048676E-4</v>
      </c>
      <c r="AT185" s="304">
        <f>0.0012 *SIN((AT19 + 2 *AT174)* Deg2Rad)</f>
        <v>9.8216181697048676E-4</v>
      </c>
      <c r="AU185" s="304">
        <f>0.0012 *SIN((AU19 + 2 *AU174)* Deg2Rad)</f>
        <v>5.6972546254528916E-4</v>
      </c>
      <c r="AV185" s="304">
        <f>0.0012 *SIN((AV19 + 2 *AV174)* Deg2Rad)</f>
        <v>3.9018130204002079E-4</v>
      </c>
      <c r="AW185" s="304">
        <f>0.0012 *SIN((AW19 + 2 *AW174)* Deg2Rad)</f>
        <v>5.7021320025774363E-4</v>
      </c>
      <c r="AX185" s="304">
        <f>0.0012 *SIN((AX19 + 2 *AX174)* Deg2Rad)</f>
        <v>1.1985816905247888E-3</v>
      </c>
      <c r="AY185" s="304">
        <f>0.0012 *SIN((AY19 + 2 *AY174)* Deg2Rad)</f>
        <v>-6.3993484996330426E-4</v>
      </c>
      <c r="AZ185" s="304">
        <f>0.0012 *SIN((AZ19 + 2 *AZ174)* Deg2Rad)</f>
        <v>-6.3993484996330426E-4</v>
      </c>
      <c r="BA185" s="304">
        <f>0.0012 *SIN((BA19 + 2 *BA174)* Deg2Rad)</f>
        <v>-1.0455971685281011E-3</v>
      </c>
      <c r="BB185" s="304">
        <f>0.0012 *SIN((BB19 + 2 *BB174)* Deg2Rad)</f>
        <v>-1.0455971685281011E-3</v>
      </c>
      <c r="BC185" s="304">
        <f>0.0012 *SIN((BC19 + 2 *BC174)* Deg2Rad)</f>
        <v>-1.0455971685281011E-3</v>
      </c>
      <c r="BD185" s="304">
        <f>0.0012 *SIN((BD19 + 2 *BD174)* Deg2Rad)</f>
        <v>-1.0455971685281011E-3</v>
      </c>
      <c r="BE185" s="304">
        <f>0.0012 *SIN((BE19 + 2 *BE174)* Deg2Rad)</f>
        <v>-1.0455971685281011E-3</v>
      </c>
      <c r="BF185" s="304">
        <f>0.0012 *SIN((BF19 + 2 *BF174)* Deg2Rad)</f>
        <v>-1.0455971685281011E-3</v>
      </c>
      <c r="BG185" s="304">
        <f>0.0012 *SIN((BG19 + 2 *BG174)* Deg2Rad)</f>
        <v>-4.2792483847101462E-4</v>
      </c>
    </row>
    <row r="186" spans="1:59" x14ac:dyDescent="0.25">
      <c r="C186" t="s">
        <v>1082</v>
      </c>
      <c r="E186" s="304">
        <f>0.0006  *E17* SIN((2 *E19 + E18)* Deg2Rad)</f>
        <v>5.2110047311411964E-4</v>
      </c>
      <c r="F186" s="304">
        <f>0.0006  *F17* SIN((2 *F19 + F18)* Deg2Rad)</f>
        <v>-3.3059910477873706E-4</v>
      </c>
      <c r="G186" s="304">
        <f>0.0006  *G17* SIN((2 *G19 + G18)* Deg2Rad)</f>
        <v>5.9857528162869829E-4</v>
      </c>
      <c r="H186" s="304">
        <f>0.0006  *H17* SIN((2 *H19 + H18)* Deg2Rad)</f>
        <v>-1.7723778003638134E-4</v>
      </c>
      <c r="I186" s="304">
        <f>0.0006  *I17* SIN((2 *I19 + I18)* Deg2Rad)</f>
        <v>4.7440332365596176E-4</v>
      </c>
      <c r="J186" s="304">
        <f>0.0006  *J17* SIN((2 *J19 + J18)* Deg2Rad)</f>
        <v>8.9006443294927914E-5</v>
      </c>
      <c r="K186" s="304">
        <f>0.0006  *K17* SIN((2 *K19 + K18)* Deg2Rad)</f>
        <v>1.7192901265762443E-4</v>
      </c>
      <c r="L186" s="304">
        <f>0.0006  *L17* SIN((2 *L19 + L18)* Deg2Rad)</f>
        <v>5.2154984903822487E-4</v>
      </c>
      <c r="M186" s="304">
        <f>0.0006  *M17* SIN((2 *M19 + M18)* Deg2Rad)</f>
        <v>-5.5907549823047329E-4</v>
      </c>
      <c r="N186" s="304">
        <f>0.0006  *N17* SIN((2 *N19 + N18)* Deg2Rad)</f>
        <v>-6.0593701944473941E-4</v>
      </c>
      <c r="O186" s="304">
        <f>0.0006  *O17* SIN((2 *O19 + O18)* Deg2Rad)</f>
        <v>-5.1964630832894193E-4</v>
      </c>
      <c r="P186" s="304">
        <f>0.0006  *P17* SIN((2 *P19 + P18)* Deg2Rad)</f>
        <v>-2.3019596159997414E-4</v>
      </c>
      <c r="Q186" s="304">
        <f>0.0006  *Q17* SIN((2 *Q19 + Q18)* Deg2Rad)</f>
        <v>5.1266428286009854E-4</v>
      </c>
      <c r="R186" s="304">
        <f>0.0006  *R17* SIN((2 *R19 + R18)* Deg2Rad)</f>
        <v>-2.7893767488675107E-4</v>
      </c>
      <c r="S186" s="304">
        <f>0.0006  *S17* SIN((2 *S19 + S18)* Deg2Rad)</f>
        <v>-4.117243077490324E-4</v>
      </c>
      <c r="T186" s="304">
        <f>0.0006  *T17* SIN((2 *T19 + T18)* Deg2Rad)</f>
        <v>6.2690396405494292E-4</v>
      </c>
      <c r="U186" s="304">
        <f>0.0006  *U17* SIN((2 *U19 + U18)* Deg2Rad)</f>
        <v>3.0170348834489139E-4</v>
      </c>
      <c r="V186" s="304">
        <f>0.0006  *V17* SIN((2 *V19 + V18)* Deg2Rad)</f>
        <v>-6.5890045664118398E-4</v>
      </c>
      <c r="W186" s="304">
        <f>0.0006  *W17* SIN((2 *W19 + W18)* Deg2Rad)</f>
        <v>1.0415271930226159E-4</v>
      </c>
      <c r="X186" s="304">
        <f>0.0006  *X17* SIN((2 *X19 + X18)* Deg2Rad)</f>
        <v>-2.4576079939019583E-4</v>
      </c>
      <c r="Y186" s="304">
        <f>0.0006  *Y17* SIN((2 *Y19 + Y18)* Deg2Rad)</f>
        <v>-5.9605741129496075E-4</v>
      </c>
      <c r="Z186" s="304">
        <f>0.0006  *Z17* SIN((2 *Z19 + Z18)* Deg2Rad)</f>
        <v>5.9903732256370076E-4</v>
      </c>
      <c r="AA186" s="304">
        <f>0.0006  *AA17* SIN((2 *AA19 + AA18)* Deg2Rad)</f>
        <v>5.9857528162869829E-4</v>
      </c>
      <c r="AB186" s="304">
        <f>0.0006  *AB17* SIN((2 *AB19 + AB18)* Deg2Rad)</f>
        <v>-1.056384055835233E-4</v>
      </c>
      <c r="AC186" s="304">
        <f>0.0006  *AC17* SIN((2 *AC19 + AC18)* Deg2Rad)</f>
        <v>-5.744355708154563E-4</v>
      </c>
      <c r="AD186" s="304">
        <f>0.0006  *AD17* SIN((2 *AD19 + AD18)* Deg2Rad)</f>
        <v>-5.8887579612683101E-4</v>
      </c>
      <c r="AE186" s="304">
        <f>0.0006  *AE17* SIN((2 *AE19 + AE18)* Deg2Rad)</f>
        <v>-5.9605741129496075E-4</v>
      </c>
      <c r="AF186" s="304">
        <f>0.0006  *AF17* SIN((2 *AF19 + AF18)* Deg2Rad)</f>
        <v>-5.9387867058654077E-4</v>
      </c>
      <c r="AG186" s="304">
        <f>0.0006  *AG17* SIN((2 *AG19 + AG18)* Deg2Rad)</f>
        <v>5.9051111342984131E-4</v>
      </c>
      <c r="AH186" s="304">
        <f>0.0006  *AH17* SIN((2 *AH19 + AH18)* Deg2Rad)</f>
        <v>-5.783729556255448E-4</v>
      </c>
      <c r="AI186" s="304">
        <f>0.0006  *AI17* SIN((2 *AI19 + AI18)* Deg2Rad)</f>
        <v>-5.7990033781958107E-4</v>
      </c>
      <c r="AJ186" s="304">
        <f>0.0006  *AJ17* SIN((2 *AJ19 + AJ18)* Deg2Rad)</f>
        <v>-4.8894486482081842E-4</v>
      </c>
      <c r="AK186" s="304">
        <f>0.0006  *AK17* SIN((2 *AK19 + AK18)* Deg2Rad)</f>
        <v>3.7006565355527434E-4</v>
      </c>
      <c r="AL186" s="304">
        <f>0.0006  *AL17* SIN((2 *AL19 + AL18)* Deg2Rad)</f>
        <v>1.9498361188858727E-4</v>
      </c>
      <c r="AM186" s="304">
        <f>0.0006  *AM17* SIN((2 *AM19 + AM18)* Deg2Rad)</f>
        <v>6.1672222688861369E-4</v>
      </c>
      <c r="AN186" s="304">
        <f>0.0006  *AN17* SIN((2 *AN19 + AN18)* Deg2Rad)</f>
        <v>-3.1555426499706759E-4</v>
      </c>
      <c r="AO186" s="304">
        <f>0.0006  *AO17* SIN((2 *AO19 + AO18)* Deg2Rad)</f>
        <v>6.226200171649337E-4</v>
      </c>
      <c r="AP186" s="304">
        <f>0.0006  *AP17* SIN((2 *AP19 + AP18)* Deg2Rad)</f>
        <v>5.9835470857535935E-4</v>
      </c>
      <c r="AQ186" s="304">
        <f>0.0006  *AQ17* SIN((2 *AQ19 + AQ18)* Deg2Rad)</f>
        <v>5.9835470857535935E-4</v>
      </c>
      <c r="AR186" s="304">
        <f>0.0006  *AR17* SIN((2 *AR19 + AR18)* Deg2Rad)</f>
        <v>5.7319950854265067E-5</v>
      </c>
      <c r="AS186" s="304">
        <f>0.0006  *AS17* SIN((2 *AS19 + AS18)* Deg2Rad)</f>
        <v>5.7319950854265067E-5</v>
      </c>
      <c r="AT186" s="304">
        <f>0.0006  *AT17* SIN((2 *AT19 + AT18)* Deg2Rad)</f>
        <v>5.7319950854265067E-5</v>
      </c>
      <c r="AU186" s="304">
        <f>0.0006  *AU17* SIN((2 *AU19 + AU18)* Deg2Rad)</f>
        <v>1.770691259133188E-4</v>
      </c>
      <c r="AV186" s="304">
        <f>0.0006  *AV17* SIN((2 *AV19 + AV18)* Deg2Rad)</f>
        <v>-5.9738562074751456E-4</v>
      </c>
      <c r="AW186" s="304">
        <f>0.0006  *AW17* SIN((2 *AW19 + AW18)* Deg2Rad)</f>
        <v>-2.847140504089615E-4</v>
      </c>
      <c r="AX186" s="304">
        <f>0.0006  *AX17* SIN((2 *AX19 + AX18)* Deg2Rad)</f>
        <v>-5.4102756263951996E-4</v>
      </c>
      <c r="AY186" s="304">
        <f>0.0006  *AY17* SIN((2 *AY19 + AY18)* Deg2Rad)</f>
        <v>-5.7990353702971258E-4</v>
      </c>
      <c r="AZ186" s="304">
        <f>0.0006  *AZ17* SIN((2 *AZ19 + AZ18)* Deg2Rad)</f>
        <v>-5.7990353702971258E-4</v>
      </c>
      <c r="BA186" s="304">
        <f>0.0006  *BA17* SIN((2 *BA19 + BA18)* Deg2Rad)</f>
        <v>-2.4396476984141284E-4</v>
      </c>
      <c r="BB186" s="304">
        <f>0.0006  *BB17* SIN((2 *BB19 + BB18)* Deg2Rad)</f>
        <v>-2.4396476984141284E-4</v>
      </c>
      <c r="BC186" s="304">
        <f>0.0006  *BC17* SIN((2 *BC19 + BC18)* Deg2Rad)</f>
        <v>-2.4396476984141284E-4</v>
      </c>
      <c r="BD186" s="304">
        <f>0.0006  *BD17* SIN((2 *BD19 + BD18)* Deg2Rad)</f>
        <v>-2.4396476984141284E-4</v>
      </c>
      <c r="BE186" s="304">
        <f>0.0006  *BE17* SIN((2 *BE19 + BE18)* Deg2Rad)</f>
        <v>-2.4396476984141284E-4</v>
      </c>
      <c r="BF186" s="304">
        <f>0.0006  *BF17* SIN((2 *BF19 + BF18)* Deg2Rad)</f>
        <v>-2.4396476984141284E-4</v>
      </c>
      <c r="BG186" s="304">
        <f>0.0006  *BG17* SIN((2 *BG19 + BG18)* Deg2Rad)</f>
        <v>-5.9605741129496075E-4</v>
      </c>
    </row>
    <row r="187" spans="1:59" x14ac:dyDescent="0.25">
      <c r="C187" s="5" t="s">
        <v>1083</v>
      </c>
      <c r="E187" s="304">
        <f>-0.0004 *SIN(3 *E19* Deg2Rad)</f>
        <v>4.1093478075854459E-5</v>
      </c>
      <c r="F187" s="304">
        <f>-0.0004 *SIN(3 *F19* Deg2Rad)</f>
        <v>9.4151672678070418E-5</v>
      </c>
      <c r="G187" s="304">
        <f>-0.0004 *SIN(3 *G19* Deg2Rad)</f>
        <v>-3.8908071902575987E-4</v>
      </c>
      <c r="H187" s="304">
        <f>-0.0004 *SIN(3 *H19* Deg2Rad)</f>
        <v>3.8452129165248577E-4</v>
      </c>
      <c r="I187" s="304">
        <f>-0.0004 *SIN(3 *I19* Deg2Rad)</f>
        <v>3.0055216253442271E-4</v>
      </c>
      <c r="J187" s="304">
        <f>-0.0004 *SIN(3 *J19* Deg2Rad)</f>
        <v>1.4631528538883393E-4</v>
      </c>
      <c r="K187" s="304">
        <f>-0.0004 *SIN(3 *K19* Deg2Rad)</f>
        <v>-1.3220906780868208E-4</v>
      </c>
      <c r="L187" s="304">
        <f>-0.0004 *SIN(3 *L19* Deg2Rad)</f>
        <v>5.5347723515297537E-5</v>
      </c>
      <c r="M187" s="304">
        <f>-0.0004 *SIN(3 *M19* Deg2Rad)</f>
        <v>-3.3471986067402774E-4</v>
      </c>
      <c r="N187" s="304">
        <f>-0.0004 *SIN(3 *N19* Deg2Rad)</f>
        <v>3.6283637223607131E-5</v>
      </c>
      <c r="O187" s="304">
        <f>-0.0004 *SIN(3 *O19* Deg2Rad)</f>
        <v>3.9175499085433913E-4</v>
      </c>
      <c r="P187" s="304">
        <f>-0.0004 *SIN(3 *P19* Deg2Rad)</f>
        <v>-3.1657110804268442E-4</v>
      </c>
      <c r="Q187" s="304">
        <f>-0.0004 *SIN(3 *Q19* Deg2Rad)</f>
        <v>1.2916923841333562E-4</v>
      </c>
      <c r="R187" s="304">
        <f>-0.0004 *SIN(3 *R19* Deg2Rad)</f>
        <v>3.975923902696496E-4</v>
      </c>
      <c r="S187" s="304">
        <f>-0.0004 *SIN(3 *S19* Deg2Rad)</f>
        <v>3.3213887863921065E-4</v>
      </c>
      <c r="T187" s="304">
        <f>-0.0004 *SIN(3 *T19* Deg2Rad)</f>
        <v>-3.7936836540440269E-4</v>
      </c>
      <c r="U187" s="304">
        <f>-0.0004 *SIN(3 *U19* Deg2Rad)</f>
        <v>-5.6202360734921509E-5</v>
      </c>
      <c r="V187" s="304">
        <f>-0.0004 *SIN(3 *V19* Deg2Rad)</f>
        <v>-3.9329495920089599E-4</v>
      </c>
      <c r="W187" s="304">
        <f>-0.0004 *SIN(3 *W19* Deg2Rad)</f>
        <v>2.5410946630142189E-5</v>
      </c>
      <c r="X187" s="304">
        <f>-0.0004 *SIN(3 *X19* Deg2Rad)</f>
        <v>3.2527307111013449E-4</v>
      </c>
      <c r="Y187" s="304">
        <f>-0.0004 *SIN(3 *Y19* Deg2Rad)</f>
        <v>-2.3033364497198431E-4</v>
      </c>
      <c r="Z187" s="304">
        <f>-0.0004 *SIN(3 *Z19* Deg2Rad)</f>
        <v>-3.5746473814759301E-4</v>
      </c>
      <c r="AA187" s="304">
        <f>-0.0004 *SIN(3 *AA19* Deg2Rad)</f>
        <v>-3.8908071902575987E-4</v>
      </c>
      <c r="AB187" s="304">
        <f>-0.0004 *SIN(3 *AB19* Deg2Rad)</f>
        <v>-3.4149772259005535E-4</v>
      </c>
      <c r="AC187" s="304">
        <f>-0.0004 *SIN(3 *AC19* Deg2Rad)</f>
        <v>-3.0077923412894208E-4</v>
      </c>
      <c r="AD187" s="304">
        <f>-0.0004 *SIN(3 *AD19* Deg2Rad)</f>
        <v>-2.1815938036299311E-4</v>
      </c>
      <c r="AE187" s="304">
        <f>-0.0004 *SIN(3 *AE19* Deg2Rad)</f>
        <v>-2.3033364497198431E-4</v>
      </c>
      <c r="AF187" s="304">
        <f>-0.0004 *SIN(3 *AF19* Deg2Rad)</f>
        <v>1.7030131064158543E-4</v>
      </c>
      <c r="AG187" s="304">
        <f>-0.0004 *SIN(3 *AG19* Deg2Rad)</f>
        <v>-3.0774532114214321E-4</v>
      </c>
      <c r="AH187" s="304">
        <f>-0.0004 *SIN(3 *AH19* Deg2Rad)</f>
        <v>3.4185345908670087E-4</v>
      </c>
      <c r="AI187" s="304">
        <f>-0.0004 *SIN(3 *AI19* Deg2Rad)</f>
        <v>2.9791632603412283E-4</v>
      </c>
      <c r="AJ187" s="304">
        <f>-0.0004 *SIN(3 *AJ19* Deg2Rad)</f>
        <v>3.1713877622555623E-4</v>
      </c>
      <c r="AK187" s="304">
        <f>-0.0004 *SIN(3 *AK19* Deg2Rad)</f>
        <v>-1.2292051922216427E-5</v>
      </c>
      <c r="AL187" s="304">
        <f>-0.0004 *SIN(3 *AL19* Deg2Rad)</f>
        <v>1.1411415206926155E-4</v>
      </c>
      <c r="AM187" s="304">
        <f>-0.0004 *SIN(3 *AM19* Deg2Rad)</f>
        <v>1.364195239269782E-4</v>
      </c>
      <c r="AN187" s="304">
        <f>-0.0004 *SIN(3 *AN19* Deg2Rad)</f>
        <v>1.6415563684601701E-4</v>
      </c>
      <c r="AO187" s="304">
        <f>-0.0004 *SIN(3 *AO19* Deg2Rad)</f>
        <v>-3.540472283825496E-4</v>
      </c>
      <c r="AP187" s="304">
        <f>-0.0004 *SIN(3 *AP19* Deg2Rad)</f>
        <v>3.9948647627294638E-4</v>
      </c>
      <c r="AQ187" s="304">
        <f>-0.0004 *SIN(3 *AQ19* Deg2Rad)</f>
        <v>3.9948647627294638E-4</v>
      </c>
      <c r="AR187" s="304">
        <f>-0.0004 *SIN(3 *AR19* Deg2Rad)</f>
        <v>1.0657755209086193E-4</v>
      </c>
      <c r="AS187" s="304">
        <f>-0.0004 *SIN(3 *AS19* Deg2Rad)</f>
        <v>1.0657755209086193E-4</v>
      </c>
      <c r="AT187" s="304">
        <f>-0.0004 *SIN(3 *AT19* Deg2Rad)</f>
        <v>1.0657755209086193E-4</v>
      </c>
      <c r="AU187" s="304">
        <f>-0.0004 *SIN(3 *AU19* Deg2Rad)</f>
        <v>1.4695558504691165E-5</v>
      </c>
      <c r="AV187" s="304">
        <f>-0.0004 *SIN(3 *AV19* Deg2Rad)</f>
        <v>-1.1924953130856829E-4</v>
      </c>
      <c r="AW187" s="304">
        <f>-0.0004 *SIN(3 *AW19* Deg2Rad)</f>
        <v>-3.6824552298752791E-4</v>
      </c>
      <c r="AX187" s="304">
        <f>-0.0004 *SIN(3 *AX19* Deg2Rad)</f>
        <v>3.7442058897229361E-4</v>
      </c>
      <c r="AY187" s="304">
        <f>-0.0004 *SIN(3 *AY19* Deg2Rad)</f>
        <v>-3.5317265140650194E-4</v>
      </c>
      <c r="AZ187" s="304">
        <f>-0.0004 *SIN(3 *AZ19* Deg2Rad)</f>
        <v>-3.5317265140650194E-4</v>
      </c>
      <c r="BA187" s="304">
        <f>-0.0004 *SIN(3 *BA19* Deg2Rad)</f>
        <v>-2.60050548747378E-4</v>
      </c>
      <c r="BB187" s="304">
        <f>-0.0004 *SIN(3 *BB19* Deg2Rad)</f>
        <v>-2.60050548747378E-4</v>
      </c>
      <c r="BC187" s="304">
        <f>-0.0004 *SIN(3 *BC19* Deg2Rad)</f>
        <v>-2.60050548747378E-4</v>
      </c>
      <c r="BD187" s="304">
        <f>-0.0004 *SIN(3 *BD19* Deg2Rad)</f>
        <v>-2.60050548747378E-4</v>
      </c>
      <c r="BE187" s="304">
        <f>-0.0004 *SIN(3 *BE19* Deg2Rad)</f>
        <v>-2.60050548747378E-4</v>
      </c>
      <c r="BF187" s="304">
        <f>-0.0004 *SIN(3 *BF19* Deg2Rad)</f>
        <v>-2.60050548747378E-4</v>
      </c>
      <c r="BG187" s="304">
        <f>-0.0004 *SIN(3 *BG19* Deg2Rad)</f>
        <v>-2.3033364497198431E-4</v>
      </c>
    </row>
    <row r="188" spans="1:59" x14ac:dyDescent="0.25">
      <c r="C188" s="5" t="s">
        <v>1084</v>
      </c>
      <c r="E188" s="304">
        <f>-0.0003  *E17* SIN((E18 + 2 *E174)* Deg2Rad)</f>
        <v>2.0774602096717713E-4</v>
      </c>
      <c r="F188" s="304">
        <f>-0.0003  *F17* SIN((F18 + 2 *F174)* Deg2Rad)</f>
        <v>-7.4674250867522919E-5</v>
      </c>
      <c r="G188" s="304">
        <f>-0.0003  *G17* SIN((G18 + 2 *G174)* Deg2Rad)</f>
        <v>-4.7726481958605854E-5</v>
      </c>
      <c r="H188" s="304">
        <f>-0.0003  *H17* SIN((H18 + 2 *H174)* Deg2Rad)</f>
        <v>-1.9932665445407455E-5</v>
      </c>
      <c r="I188" s="304">
        <f>-0.0003  *I17* SIN((I18 + 2 *I174)* Deg2Rad)</f>
        <v>2.6554074053728263E-4</v>
      </c>
      <c r="J188" s="304">
        <f>-0.0003  *J17* SIN((J18 + 2 *J174)* Deg2Rad)</f>
        <v>-1.500745389707987E-4</v>
      </c>
      <c r="K188" s="304">
        <f>-0.0003  *K17* SIN((K18 + 2 *K174)* Deg2Rad)</f>
        <v>2.5127437270437746E-4</v>
      </c>
      <c r="L188" s="304">
        <f>-0.0003  *L17* SIN((L18 + 2 *L174)* Deg2Rad)</f>
        <v>-1.7374826644491121E-4</v>
      </c>
      <c r="M188" s="304">
        <f>-0.0003  *M17* SIN((M18 + 2 *M174)* Deg2Rad)</f>
        <v>-3.0036638830675225E-4</v>
      </c>
      <c r="N188" s="304">
        <f>-0.0003  *N17* SIN((N18 + 2 *N174)* Deg2Rad)</f>
        <v>-2.3558987320877704E-4</v>
      </c>
      <c r="O188" s="304">
        <f>-0.0003  *O17* SIN((O18 + 2 *O174)* Deg2Rad)</f>
        <v>-1.6568687893067977E-4</v>
      </c>
      <c r="P188" s="304">
        <f>-0.0003  *P17* SIN((P18 + 2 *P174)* Deg2Rad)</f>
        <v>1.0711343177158881E-4</v>
      </c>
      <c r="Q188" s="304">
        <f>-0.0003  *Q17* SIN((Q18 + 2 *Q174)* Deg2Rad)</f>
        <v>-3.1264893913180813E-4</v>
      </c>
      <c r="R188" s="304">
        <f>-0.0003  *R17* SIN((R18 + 2 *R174)* Deg2Rad)</f>
        <v>4.0979053085613821E-5</v>
      </c>
      <c r="S188" s="304">
        <f>-0.0003  *S17* SIN((S18 + 2 *S174)* Deg2Rad)</f>
        <v>-3.1835918963437596E-4</v>
      </c>
      <c r="T188" s="304">
        <f>-0.0003  *T17* SIN((T18 + 2 *T174)* Deg2Rad)</f>
        <v>3.0768963731641773E-5</v>
      </c>
      <c r="U188" s="304">
        <f>-0.0003  *U17* SIN((U18 + 2 *U174)* Deg2Rad)</f>
        <v>1.0888072315405889E-5</v>
      </c>
      <c r="V188" s="304">
        <f>-0.0003  *V17* SIN((V18 + 2 *V174)* Deg2Rad)</f>
        <v>3.1832133748739712E-4</v>
      </c>
      <c r="W188" s="304">
        <f>-0.0003  *W17* SIN((W18 + 2 *W174)* Deg2Rad)</f>
        <v>1.459948056737187E-4</v>
      </c>
      <c r="X188" s="304">
        <f>-0.0003  *X17* SIN((X18 + 2 *X174)* Deg2Rad)</f>
        <v>-2.5121218380924203E-4</v>
      </c>
      <c r="Y188" s="304">
        <f>-0.0003  *Y17* SIN((Y18 + 2 *Y174)* Deg2Rad)</f>
        <v>1.3673602427602933E-4</v>
      </c>
      <c r="Z188" s="304">
        <f>-0.0003  *Z17* SIN((Z18 + 2 *Z174)* Deg2Rad)</f>
        <v>2.850407390652488E-4</v>
      </c>
      <c r="AA188" s="304">
        <f>-0.0003  *AA17* SIN((AA18 + 2 *AA174)* Deg2Rad)</f>
        <v>-4.7726481958605854E-5</v>
      </c>
      <c r="AB188" s="304">
        <f>-0.0003  *AB17* SIN((AB18 + 2 *AB174)* Deg2Rad)</f>
        <v>1.4075761414147683E-4</v>
      </c>
      <c r="AC188" s="304">
        <f>-0.0003  *AC17* SIN((AC18 + 2 *AC174)* Deg2Rad)</f>
        <v>-8.9308914957674789E-5</v>
      </c>
      <c r="AD188" s="304">
        <f>-0.0003  *AD17* SIN((AD18 + 2 *AD174)* Deg2Rad)</f>
        <v>1.699034717271121E-4</v>
      </c>
      <c r="AE188" s="304">
        <f>-0.0003  *AE17* SIN((AE18 + 2 *AE174)* Deg2Rad)</f>
        <v>1.3673602427602933E-4</v>
      </c>
      <c r="AF188" s="304">
        <f>-0.0003  *AF17* SIN((AF18 + 2 *AF174)* Deg2Rad)</f>
        <v>-2.6093867973125669E-4</v>
      </c>
      <c r="AG188" s="304">
        <f>-0.0003  *AG17* SIN((AG18 + 2 *AG174)* Deg2Rad)</f>
        <v>2.5860125702015512E-4</v>
      </c>
      <c r="AH188" s="304">
        <f>-0.0003  *AH17* SIN((AH18 + 2 *AH174)* Deg2Rad)</f>
        <v>2.318485521382173E-4</v>
      </c>
      <c r="AI188" s="304">
        <f>-0.0003  *AI17* SIN((AI18 + 2 *AI174)* Deg2Rad)</f>
        <v>1.6604737012154288E-4</v>
      </c>
      <c r="AJ188" s="304">
        <f>-0.0003  *AJ17* SIN((AJ18 + 2 *AJ174)* Deg2Rad)</f>
        <v>-1.3786329308559074E-4</v>
      </c>
      <c r="AK188" s="304">
        <f>-0.0003  *AK17* SIN((AK18 + 2 *AK174)* Deg2Rad)</f>
        <v>-2.9466903746638505E-5</v>
      </c>
      <c r="AL188" s="304">
        <f>-0.0003  *AL17* SIN((AL18 + 2 *AL174)* Deg2Rad)</f>
        <v>-2.2268235469133943E-4</v>
      </c>
      <c r="AM188" s="304">
        <f>-0.0003  *AM17* SIN((AM18 + 2 *AM174)* Deg2Rad)</f>
        <v>2.5039431797975269E-4</v>
      </c>
      <c r="AN188" s="304">
        <f>-0.0003  *AN17* SIN((AN18 + 2 *AN174)* Deg2Rad)</f>
        <v>2.9498315847706466E-4</v>
      </c>
      <c r="AO188" s="304">
        <f>-0.0003  *AO17* SIN((AO18 + 2 *AO174)* Deg2Rad)</f>
        <v>-2.3298227454460958E-4</v>
      </c>
      <c r="AP188" s="304">
        <f>-0.0003  *AP17* SIN((AP18 + 2 *AP174)* Deg2Rad)</f>
        <v>2.1048211058671183E-4</v>
      </c>
      <c r="AQ188" s="304">
        <f>-0.0003  *AQ17* SIN((AQ18 + 2 *AQ174)* Deg2Rad)</f>
        <v>2.1048211058671183E-4</v>
      </c>
      <c r="AR188" s="304">
        <f>-0.0003  *AR17* SIN((AR18 + 2 *AR174)* Deg2Rad)</f>
        <v>2.1187737339672149E-4</v>
      </c>
      <c r="AS188" s="304">
        <f>-0.0003  *AS17* SIN((AS18 + 2 *AS174)* Deg2Rad)</f>
        <v>2.1187737339672149E-4</v>
      </c>
      <c r="AT188" s="304">
        <f>-0.0003  *AT17* SIN((AT18 + 2 *AT174)* Deg2Rad)</f>
        <v>2.1187737339672149E-4</v>
      </c>
      <c r="AU188" s="304">
        <f>-0.0003  *AU17* SIN((AU18 + 2 *AU174)* Deg2Rad)</f>
        <v>-2.2169353521521616E-4</v>
      </c>
      <c r="AV188" s="304">
        <f>-0.0003  *AV17* SIN((AV18 + 2 *AV174)* Deg2Rad)</f>
        <v>2.9937291018573793E-4</v>
      </c>
      <c r="AW188" s="304">
        <f>-0.0003  *AW17* SIN((AW18 + 2 *AW174)* Deg2Rad)</f>
        <v>-5.4074026577074415E-5</v>
      </c>
      <c r="AX188" s="304">
        <f>-0.0003  *AX17* SIN((AX18 + 2 *AX174)* Deg2Rad)</f>
        <v>-2.1763295868557534E-4</v>
      </c>
      <c r="AY188" s="304">
        <f>-0.0003  *AY17* SIN((AY18 + 2 *AY174)* Deg2Rad)</f>
        <v>-2.1379032690105391E-4</v>
      </c>
      <c r="AZ188" s="304">
        <f>-0.0003  *AZ17* SIN((AZ18 + 2 *AZ174)* Deg2Rad)</f>
        <v>-2.1379032690105391E-4</v>
      </c>
      <c r="BA188" s="304">
        <f>-0.0003  *BA17* SIN((BA18 + 2 *BA174)* Deg2Rad)</f>
        <v>-2.0853735856697845E-4</v>
      </c>
      <c r="BB188" s="304">
        <f>-0.0003  *BB17* SIN((BB18 + 2 *BB174)* Deg2Rad)</f>
        <v>-2.0853735856697845E-4</v>
      </c>
      <c r="BC188" s="304">
        <f>-0.0003  *BC17* SIN((BC18 + 2 *BC174)* Deg2Rad)</f>
        <v>-2.0853735856697845E-4</v>
      </c>
      <c r="BD188" s="304">
        <f>-0.0003  *BD17* SIN((BD18 + 2 *BD174)* Deg2Rad)</f>
        <v>-2.0853735856697845E-4</v>
      </c>
      <c r="BE188" s="304">
        <f>-0.0003  *BE17* SIN((BE18 + 2 *BE174)* Deg2Rad)</f>
        <v>-2.0853735856697845E-4</v>
      </c>
      <c r="BF188" s="304">
        <f>-0.0003  *BF17* SIN((BF18 + 2 *BF174)* Deg2Rad)</f>
        <v>-2.0853735856697845E-4</v>
      </c>
      <c r="BG188" s="304">
        <f>-0.0003  *BG17* SIN((BG18 + 2 *BG174)* Deg2Rad)</f>
        <v>1.3673602427602933E-4</v>
      </c>
    </row>
    <row r="189" spans="1:59" x14ac:dyDescent="0.25">
      <c r="C189" t="s">
        <v>1085</v>
      </c>
      <c r="E189" s="304">
        <f t="shared" ref="E189:AU189" si="98">0.0003 *SIN(E175 * Deg2Rad)</f>
        <v>-2.6907362571166384E-4</v>
      </c>
      <c r="F189" s="304">
        <f t="shared" ref="F189:BG189" si="99">0.0003 *SIN(F175 * Deg2Rad)</f>
        <v>-2.6718774134170038E-4</v>
      </c>
      <c r="G189" s="304">
        <f t="shared" si="99"/>
        <v>-2.602679323840253E-4</v>
      </c>
      <c r="H189" s="304">
        <f t="shared" si="99"/>
        <v>-2.6355812291755027E-4</v>
      </c>
      <c r="I189" s="304">
        <f t="shared" si="99"/>
        <v>-2.9273124979320783E-4</v>
      </c>
      <c r="J189" s="304">
        <f t="shared" si="99"/>
        <v>-2.9210315118146453E-4</v>
      </c>
      <c r="K189" s="304">
        <f t="shared" si="99"/>
        <v>-2.9118071182991976E-4</v>
      </c>
      <c r="L189" s="304">
        <f t="shared" si="99"/>
        <v>-2.9049111872559737E-4</v>
      </c>
      <c r="M189" s="304">
        <f t="shared" si="99"/>
        <v>6.7736094442088932E-5</v>
      </c>
      <c r="N189" s="304">
        <f t="shared" si="99"/>
        <v>2.3533677965393435E-4</v>
      </c>
      <c r="O189" s="304">
        <f t="shared" si="99"/>
        <v>2.3073058282833812E-4</v>
      </c>
      <c r="P189" s="304">
        <f t="shared" si="99"/>
        <v>-7.2318685121896737E-5</v>
      </c>
      <c r="Q189" s="304">
        <f t="shared" si="99"/>
        <v>-1.689958747434865E-5</v>
      </c>
      <c r="R189" s="304">
        <f t="shared" si="99"/>
        <v>-1.7462696594854604E-5</v>
      </c>
      <c r="S189" s="304">
        <f t="shared" si="99"/>
        <v>-2.995443457031278E-4</v>
      </c>
      <c r="T189" s="304">
        <f t="shared" si="99"/>
        <v>-2.9944623181367202E-4</v>
      </c>
      <c r="U189" s="304">
        <f t="shared" si="99"/>
        <v>-2.9913791778671527E-4</v>
      </c>
      <c r="V189" s="304">
        <f t="shared" si="99"/>
        <v>-9.3653692380216982E-5</v>
      </c>
      <c r="W189" s="304">
        <f t="shared" si="99"/>
        <v>-2.9235747334762041E-4</v>
      </c>
      <c r="X189" s="304">
        <f t="shared" si="99"/>
        <v>-2.8258228281256045E-4</v>
      </c>
      <c r="Y189" s="304">
        <f t="shared" si="99"/>
        <v>-2.9998498542210806E-4</v>
      </c>
      <c r="Z189" s="304">
        <f t="shared" si="99"/>
        <v>-9.1517241024995906E-6</v>
      </c>
      <c r="AA189" s="304">
        <f t="shared" si="99"/>
        <v>-2.602679323840253E-4</v>
      </c>
      <c r="AB189" s="304">
        <f t="shared" si="99"/>
        <v>-2.5809218657454614E-4</v>
      </c>
      <c r="AC189" s="304">
        <f t="shared" si="99"/>
        <v>-2.9985363942757712E-4</v>
      </c>
      <c r="AD189" s="304">
        <f t="shared" si="99"/>
        <v>-2.9077002198318728E-4</v>
      </c>
      <c r="AE189" s="304">
        <f t="shared" si="99"/>
        <v>-2.9998498542210806E-4</v>
      </c>
      <c r="AF189" s="304">
        <f t="shared" si="99"/>
        <v>-2.8103984636690339E-4</v>
      </c>
      <c r="AG189" s="304">
        <f t="shared" si="99"/>
        <v>-2.8143139495333909E-4</v>
      </c>
      <c r="AH189" s="304">
        <f t="shared" si="99"/>
        <v>-2.8512841841003188E-4</v>
      </c>
      <c r="AI189" s="304">
        <f t="shared" si="99"/>
        <v>-2.827706256714174E-4</v>
      </c>
      <c r="AJ189" s="304">
        <f t="shared" si="99"/>
        <v>-2.8004370356467256E-4</v>
      </c>
      <c r="AK189" s="304">
        <f t="shared" si="99"/>
        <v>2.5446415661304754E-4</v>
      </c>
      <c r="AL189" s="304">
        <f t="shared" si="99"/>
        <v>-2.8615959997171621E-4</v>
      </c>
      <c r="AM189" s="304">
        <f t="shared" si="99"/>
        <v>-2.9984753629772309E-4</v>
      </c>
      <c r="AN189" s="304">
        <f t="shared" si="99"/>
        <v>-2.5942474046841929E-4</v>
      </c>
      <c r="AO189" s="304">
        <f t="shared" si="99"/>
        <v>9.9632951535655293E-5</v>
      </c>
      <c r="AP189" s="304">
        <f t="shared" si="99"/>
        <v>-1.499778854049105E-4</v>
      </c>
      <c r="AQ189" s="304">
        <f t="shared" si="99"/>
        <v>-1.499778854049105E-4</v>
      </c>
      <c r="AR189" s="304">
        <f t="shared" si="99"/>
        <v>-1.4949057217771334E-4</v>
      </c>
      <c r="AS189" s="304">
        <f t="shared" si="99"/>
        <v>-1.4949057217771334E-4</v>
      </c>
      <c r="AT189" s="304">
        <f t="shared" si="99"/>
        <v>-1.4949057217771334E-4</v>
      </c>
      <c r="AU189" s="304">
        <f t="shared" si="99"/>
        <v>-2.9861173665475001E-4</v>
      </c>
      <c r="AV189" s="304">
        <f t="shared" si="99"/>
        <v>-2.6799055222469719E-4</v>
      </c>
      <c r="AW189" s="304">
        <f t="shared" si="99"/>
        <v>-1.6542300889696776E-4</v>
      </c>
      <c r="AX189" s="304">
        <f t="shared" si="99"/>
        <v>-2.6756439236334871E-4</v>
      </c>
      <c r="AY189" s="304">
        <f t="shared" si="99"/>
        <v>-1.4900273369664312E-4</v>
      </c>
      <c r="AZ189" s="304">
        <f t="shared" si="99"/>
        <v>-1.4900273369664312E-4</v>
      </c>
      <c r="BA189" s="304">
        <f t="shared" si="99"/>
        <v>-1.4851437167613514E-4</v>
      </c>
      <c r="BB189" s="304">
        <f t="shared" si="99"/>
        <v>-1.4851437167613514E-4</v>
      </c>
      <c r="BC189" s="304">
        <f t="shared" si="99"/>
        <v>-1.4851437167613514E-4</v>
      </c>
      <c r="BD189" s="304">
        <f t="shared" si="99"/>
        <v>-1.4851437167613514E-4</v>
      </c>
      <c r="BE189" s="304">
        <f t="shared" si="99"/>
        <v>-1.4851437167613514E-4</v>
      </c>
      <c r="BF189" s="304">
        <f t="shared" si="99"/>
        <v>-1.4851437167613514E-4</v>
      </c>
      <c r="BG189" s="304">
        <f t="shared" si="99"/>
        <v>-2.9998498542210806E-4</v>
      </c>
    </row>
    <row r="190" spans="1:59" x14ac:dyDescent="0.25">
      <c r="C190" s="5" t="s">
        <v>1086</v>
      </c>
      <c r="E190" s="304">
        <f>-0.0002  *E17* SIN((E18 - 2 *E174)* Deg2Rad)</f>
        <v>1.856478231882576E-4</v>
      </c>
      <c r="F190" s="304">
        <f>-0.0002  *F17* SIN((F18 - 2 *F174)* Deg2Rad)</f>
        <v>-1.2222819595516789E-4</v>
      </c>
      <c r="G190" s="304">
        <f>-0.0002  *G17* SIN((G18 - 2 *G174)* Deg2Rad)</f>
        <v>-8.4707540359588862E-5</v>
      </c>
      <c r="H190" s="304">
        <f>-0.0002  *H17* SIN((H18 - 2 *H174)* Deg2Rad)</f>
        <v>-1.5733471116947441E-4</v>
      </c>
      <c r="I190" s="304">
        <f>-0.0002  *I17* SIN((I18 - 2 *I174)* Deg2Rad)</f>
        <v>-1.2115104452695538E-4</v>
      </c>
      <c r="J190" s="304">
        <f>-0.0002  *J17* SIN((J18 - 2 *J174)* Deg2Rad)</f>
        <v>6.3330065391384939E-5</v>
      </c>
      <c r="K190" s="304">
        <f>-0.0002  *K17* SIN((K18 - 2 *K174)* Deg2Rad)</f>
        <v>-1.7998713639617164E-4</v>
      </c>
      <c r="L190" s="304">
        <f>-0.0002  *L17* SIN((L18 - 2 *L174)* Deg2Rad)</f>
        <v>1.4220014125850838E-4</v>
      </c>
      <c r="M190" s="304">
        <f>-0.0002  *M17* SIN((M18 - 2 *M174)* Deg2Rad)</f>
        <v>1.7282408383657971E-4</v>
      </c>
      <c r="N190" s="304">
        <f>-0.0002  *N17* SIN((N18 - 2 *N174)* Deg2Rad)</f>
        <v>-5.1510367106218444E-5</v>
      </c>
      <c r="O190" s="304">
        <f>-0.0002  *O17* SIN((O18 - 2 *O174)* Deg2Rad)</f>
        <v>1.4105715889188935E-4</v>
      </c>
      <c r="P190" s="304">
        <f>-0.0002  *P17* SIN((P18 - 2 *P174)* Deg2Rad)</f>
        <v>1.9742369730238753E-4</v>
      </c>
      <c r="Q190" s="304">
        <f>-0.0002  *Q17* SIN((Q18 - 2 *Q174)* Deg2Rad)</f>
        <v>-1.6336758800105001E-4</v>
      </c>
      <c r="R190" s="304">
        <f>-0.0002  *R17* SIN((R18 - 2 *R174)* Deg2Rad)</f>
        <v>-2.0857862064659874E-4</v>
      </c>
      <c r="S190" s="304">
        <f>-0.0002  *S17* SIN((S18 - 2 *S174)* Deg2Rad)</f>
        <v>-6.6472472722189934E-5</v>
      </c>
      <c r="T190" s="304">
        <f>-0.0002  *T17* SIN((T18 - 2 *T174)* Deg2Rad)</f>
        <v>-1.9401693166855815E-4</v>
      </c>
      <c r="U190" s="304">
        <f>-0.0002  *U17* SIN((U18 - 2 *U174)* Deg2Rad)</f>
        <v>-4.6978639653495275E-5</v>
      </c>
      <c r="V190" s="304">
        <f>-0.0002  *V17* SIN((V18 - 2 *V174)* Deg2Rad)</f>
        <v>2.2610172975496157E-4</v>
      </c>
      <c r="W190" s="304">
        <f>-0.0002  *W17* SIN((W18 - 2 *W174)* Deg2Rad)</f>
        <v>-1.439615585814869E-4</v>
      </c>
      <c r="X190" s="304">
        <f>-0.0002  *X17* SIN((X18 - 2 *X174)* Deg2Rad)</f>
        <v>9.1894565873762532E-5</v>
      </c>
      <c r="Y190" s="304">
        <f>-0.0002  *Y17* SIN((Y18 - 2 *Y174)* Deg2Rad)</f>
        <v>-1.069938535497861E-4</v>
      </c>
      <c r="Z190" s="304">
        <f>-0.0002  *Z17* SIN((Z18 - 2 *Z174)* Deg2Rad)</f>
        <v>-1.5566119336626039E-4</v>
      </c>
      <c r="AA190" s="304">
        <f>-0.0002  *AA17* SIN((AA18 - 2 *AA174)* Deg2Rad)</f>
        <v>-8.4707540359588862E-5</v>
      </c>
      <c r="AB190" s="304">
        <f>-0.0002  *AB17* SIN((AB18 - 2 *AB174)* Deg2Rad)</f>
        <v>-2.2203302486534143E-5</v>
      </c>
      <c r="AC190" s="304">
        <f>-0.0002  *AC17* SIN((AC18 - 2 *AC174)* Deg2Rad)</f>
        <v>-7.3255227672470966E-5</v>
      </c>
      <c r="AD190" s="304">
        <f>-0.0002  *AD17* SIN((AD18 - 2 *AD174)* Deg2Rad)</f>
        <v>-6.5708704201368037E-5</v>
      </c>
      <c r="AE190" s="304">
        <f>-0.0002  *AE17* SIN((AE18 - 2 *AE174)* Deg2Rad)</f>
        <v>-1.069938535497861E-4</v>
      </c>
      <c r="AF190" s="304">
        <f>-0.0002  *AF17* SIN((AF18 - 2 *AF174)* Deg2Rad)</f>
        <v>1.5443429821992592E-4</v>
      </c>
      <c r="AG190" s="304">
        <f>-0.0002  *AG17* SIN((AG18 - 2 *AG174)* Deg2Rad)</f>
        <v>-4.8168898677382839E-5</v>
      </c>
      <c r="AH190" s="304">
        <f>-0.0002  *AH17* SIN((AH18 - 2 *AH174)* Deg2Rad)</f>
        <v>1.7554967291251358E-4</v>
      </c>
      <c r="AI190" s="304">
        <f>-0.0002  *AI17* SIN((AI18 - 2 *AI174)* Deg2Rad)</f>
        <v>1.7250643260736365E-4</v>
      </c>
      <c r="AJ190" s="304">
        <f>-0.0002  *AJ17* SIN((AJ18 - 2 *AJ174)* Deg2Rad)</f>
        <v>-1.0515199151283186E-4</v>
      </c>
      <c r="AK190" s="304">
        <f>-0.0002  *AK17* SIN((AK18 - 2 *AK174)* Deg2Rad)</f>
        <v>1.4814467922041641E-4</v>
      </c>
      <c r="AL190" s="304">
        <f>-0.0002  *AL17* SIN((AL18 - 2 *AL174)* Deg2Rad)</f>
        <v>-1.4850142924739714E-4</v>
      </c>
      <c r="AM190" s="304">
        <f>-0.0002  *AM17* SIN((AM18 - 2 *AM174)* Deg2Rad)</f>
        <v>1.4460546850918798E-4</v>
      </c>
      <c r="AN190" s="304">
        <f>-0.0002  *AN17* SIN((AN18 - 2 *AN174)* Deg2Rad)</f>
        <v>1.8982501293563015E-4</v>
      </c>
      <c r="AO190" s="304">
        <f>-0.0002  *AO17* SIN((AO18 - 2 *AO174)* Deg2Rad)</f>
        <v>7.0284323352462542E-5</v>
      </c>
      <c r="AP190" s="304">
        <f>-0.0002  *AP17* SIN((AP18 - 2 *AP174)* Deg2Rad)</f>
        <v>1.0935006962318855E-4</v>
      </c>
      <c r="AQ190" s="304">
        <f>-0.0002  *AQ17* SIN((AQ18 - 2 *AQ174)* Deg2Rad)</f>
        <v>1.0935006962318855E-4</v>
      </c>
      <c r="AR190" s="304">
        <f>-0.0002  *AR17* SIN((AR18 - 2 *AR174)* Deg2Rad)</f>
        <v>1.8174629440367252E-4</v>
      </c>
      <c r="AS190" s="304">
        <f>-0.0002  *AS17* SIN((AS18 - 2 *AS174)* Deg2Rad)</f>
        <v>1.8174629440367252E-4</v>
      </c>
      <c r="AT190" s="304">
        <f>-0.0002  *AT17* SIN((AT18 - 2 *AT174)* Deg2Rad)</f>
        <v>1.8174629440367252E-4</v>
      </c>
      <c r="AU190" s="304">
        <f>-0.0002  *AU17* SIN((AU18 - 2 *AU174)* Deg2Rad)</f>
        <v>3.6437089839056296E-5</v>
      </c>
      <c r="AV190" s="304">
        <f>-0.0002  *AV17* SIN((AV18 - 2 *AV174)* Deg2Rad)</f>
        <v>1.729661350477875E-4</v>
      </c>
      <c r="AW190" s="304">
        <f>-0.0002  *AW17* SIN((AW18 - 2 *AW174)* Deg2Rad)</f>
        <v>-7.6440378950189865E-5</v>
      </c>
      <c r="AX190" s="304">
        <f>-0.0002  *AX17* SIN((AX18 - 2 *AX174)* Deg2Rad)</f>
        <v>-1.6320715720655277E-4</v>
      </c>
      <c r="AY190" s="304">
        <f>-0.0002  *AY17* SIN((AY18 - 2 *AY174)* Deg2Rad)</f>
        <v>1.9811055631840569E-4</v>
      </c>
      <c r="AZ190" s="304">
        <f>-0.0002  *AZ17* SIN((AZ18 - 2 *AZ174)* Deg2Rad)</f>
        <v>1.9811055631840569E-4</v>
      </c>
      <c r="BA190" s="304">
        <f>-0.0002  *BA17* SIN((BA18 - 2 *BA174)* Deg2Rad)</f>
        <v>1.5339790120977347E-4</v>
      </c>
      <c r="BB190" s="304">
        <f>-0.0002  *BB17* SIN((BB18 - 2 *BB174)* Deg2Rad)</f>
        <v>1.5339790120977347E-4</v>
      </c>
      <c r="BC190" s="304">
        <f>-0.0002  *BC17* SIN((BC18 - 2 *BC174)* Deg2Rad)</f>
        <v>1.5339790120977347E-4</v>
      </c>
      <c r="BD190" s="304">
        <f>-0.0002  *BD17* SIN((BD18 - 2 *BD174)* Deg2Rad)</f>
        <v>1.5339790120977347E-4</v>
      </c>
      <c r="BE190" s="304">
        <f>-0.0002  *BE17* SIN((BE18 - 2 *BE174)* Deg2Rad)</f>
        <v>1.5339790120977347E-4</v>
      </c>
      <c r="BF190" s="304">
        <f>-0.0002  *BF17* SIN((BF18 - 2 *BF174)* Deg2Rad)</f>
        <v>1.5339790120977347E-4</v>
      </c>
      <c r="BG190" s="304">
        <f>-0.0002  *BG17* SIN((BG18 - 2 *BG174)* Deg2Rad)</f>
        <v>-1.069938535497861E-4</v>
      </c>
    </row>
    <row r="191" spans="1:59" x14ac:dyDescent="0.25">
      <c r="C191" s="5" t="s">
        <v>1087</v>
      </c>
      <c r="E191" s="304">
        <f>-0.0002  *E17* SIN((2 *E19 - E18)* Deg2Rad)</f>
        <v>-2.8005821285104849E-5</v>
      </c>
      <c r="F191" s="304">
        <f>-0.0002  *F17* SIN((2 *F19 - F18)* Deg2Rad)</f>
        <v>-3.5583855029186763E-5</v>
      </c>
      <c r="G191" s="304">
        <f>-0.0002  *G17* SIN((2 *G19 - G18)* Deg2Rad)</f>
        <v>-1.5725635522295436E-4</v>
      </c>
      <c r="H191" s="304">
        <f>-0.0002  *H17* SIN((2 *H19 - H18)* Deg2Rad)</f>
        <v>-1.2451323629410544E-4</v>
      </c>
      <c r="I191" s="304">
        <f>-0.0002  *I17* SIN((2 *I19 - I18)* Deg2Rad)</f>
        <v>-1.4697752918087754E-4</v>
      </c>
      <c r="J191" s="304">
        <f>-0.0002  *J17* SIN((2 *J19 - J18)* Deg2Rad)</f>
        <v>-6.8687473040805082E-5</v>
      </c>
      <c r="K191" s="304">
        <f>-0.0002  *K17* SIN((2 *K19 - K18)* Deg2Rad)</f>
        <v>1.348500936727802E-4</v>
      </c>
      <c r="L191" s="304">
        <f>-0.0002  *L17* SIN((2 *L19 - L18)* Deg2Rad)</f>
        <v>-1.8830421076973609E-4</v>
      </c>
      <c r="M191" s="304">
        <f>-0.0002  *M17* SIN((2 *M19 - M18)* Deg2Rad)</f>
        <v>1.9943562989610487E-4</v>
      </c>
      <c r="N191" s="304">
        <f>-0.0002  *N17* SIN((2 *N19 - N18)* Deg2Rad)</f>
        <v>8.0943306704286047E-5</v>
      </c>
      <c r="O191" s="304">
        <f>-0.0002  *O17* SIN((2 *O19 - O18)* Deg2Rad)</f>
        <v>-1.3905470073697843E-4</v>
      </c>
      <c r="P191" s="304">
        <f>-0.0002  *P17* SIN((2 *P19 - P18)* Deg2Rad)</f>
        <v>-1.957500804955221E-4</v>
      </c>
      <c r="Q191" s="304">
        <f>-0.0002  *Q17* SIN((2 *Q19 - Q18)* Deg2Rad)</f>
        <v>2.0654738868472065E-4</v>
      </c>
      <c r="R191" s="304">
        <f>-0.0002  *R17* SIN((2 *R19 - R18)* Deg2Rad)</f>
        <v>2.0533971994506862E-4</v>
      </c>
      <c r="S191" s="304">
        <f>-0.0002  *S17* SIN((2 *S19 - S18)* Deg2Rad)</f>
        <v>9.0669054728877702E-5</v>
      </c>
      <c r="T191" s="304">
        <f>-0.0002  *T17* SIN((2 *T19 - T18)* Deg2Rad)</f>
        <v>-1.4437503643835594E-4</v>
      </c>
      <c r="U191" s="304">
        <f>-0.0002  *U17* SIN((2 *U19 - U18)* Deg2Rad)</f>
        <v>1.4498183760321026E-4</v>
      </c>
      <c r="V191" s="304">
        <f>-0.0002  *V17* SIN((2 *V19 - V18)* Deg2Rad)</f>
        <v>-2.2708848539538954E-4</v>
      </c>
      <c r="W191" s="304">
        <f>-0.0002  *W17* SIN((2 *W19 - W18)* Deg2Rad)</f>
        <v>-1.8152070729949581E-4</v>
      </c>
      <c r="X191" s="304">
        <f>-0.0002  *X17* SIN((2 *X19 - X18)* Deg2Rad)</f>
        <v>-1.8984555262253932E-4</v>
      </c>
      <c r="Y191" s="304">
        <f>-0.0002  *Y17* SIN((2 *Y19 - Y18)* Deg2Rad)</f>
        <v>-8.0527954375042316E-5</v>
      </c>
      <c r="Z191" s="304">
        <f>-0.0002  *Z17* SIN((2 *Z19 - Z18)* Deg2Rad)</f>
        <v>-1.8437713720205847E-4</v>
      </c>
      <c r="AA191" s="304">
        <f>-0.0002  *AA17* SIN((2 *AA19 - AA18)* Deg2Rad)</f>
        <v>-1.5725635522295436E-4</v>
      </c>
      <c r="AB191" s="304">
        <f>-0.0002  *AB17* SIN((2 *AB19 - AB18)* Deg2Rad)</f>
        <v>1.0524236401833831E-4</v>
      </c>
      <c r="AC191" s="304">
        <f>-0.0002  *AC17* SIN((2 *AC19 - AC18)* Deg2Rad)</f>
        <v>1.8566774622284614E-4</v>
      </c>
      <c r="AD191" s="304">
        <f>-0.0002  *AD17* SIN((2 *AD19 - AD18)* Deg2Rad)</f>
        <v>-8.5197438131603755E-5</v>
      </c>
      <c r="AE191" s="304">
        <f>-0.0002  *AE17* SIN((2 *AE19 - AE18)* Deg2Rad)</f>
        <v>-8.0527954375042316E-5</v>
      </c>
      <c r="AF191" s="304">
        <f>-0.0002  *AF17* SIN((2 *AF19 - AF18)* Deg2Rad)</f>
        <v>1.9009191393290601E-4</v>
      </c>
      <c r="AG191" s="304">
        <f>-0.0002  *AG17* SIN((2 *AG19 - AG18)* Deg2Rad)</f>
        <v>9.0197452507624406E-5</v>
      </c>
      <c r="AH191" s="304">
        <f>-0.0002  *AH17* SIN((2 *AH19 - AH18)* Deg2Rad)</f>
        <v>-1.7944251420873791E-4</v>
      </c>
      <c r="AI191" s="304">
        <f>-0.0002  *AI17* SIN((2 *AI19 - AI18)* Deg2Rad)</f>
        <v>-1.5120520831753777E-4</v>
      </c>
      <c r="AJ191" s="304">
        <f>-0.0002  *AJ17* SIN((2 *AJ19 - AJ18)* Deg2Rad)</f>
        <v>-1.5699340944879002E-5</v>
      </c>
      <c r="AK191" s="304">
        <f>-0.0002  *AK17* SIN((2 *AK19 - AK18)* Deg2Rad)</f>
        <v>-1.9771935230414995E-4</v>
      </c>
      <c r="AL191" s="304">
        <f>-0.0002  *AL17* SIN((2 *AL19 - AL18)* Deg2Rad)</f>
        <v>6.4928874215200446E-5</v>
      </c>
      <c r="AM191" s="304">
        <f>-0.0002  *AM17* SIN((2 *AM19 - AM18)* Deg2Rad)</f>
        <v>8.7900458581628402E-6</v>
      </c>
      <c r="AN191" s="304">
        <f>-0.0002  *AN17* SIN((2 *AN19 - AN18)* Deg2Rad)</f>
        <v>-1.741986682031019E-4</v>
      </c>
      <c r="AO191" s="304">
        <f>-0.0002  *AO17* SIN((2 *AO19 - AO18)* Deg2Rad)</f>
        <v>5.3354232995163112E-5</v>
      </c>
      <c r="AP191" s="304">
        <f>-0.0002  *AP17* SIN((2 *AP19 - AP18)* Deg2Rad)</f>
        <v>1.981077447655403E-4</v>
      </c>
      <c r="AQ191" s="304">
        <f>-0.0002  *AQ17* SIN((2 *AQ19 - AQ18)* Deg2Rad)</f>
        <v>1.981077447655403E-4</v>
      </c>
      <c r="AR191" s="304">
        <f>-0.0002  *AR17* SIN((2 *AR19 - AR18)* Deg2Rad)</f>
        <v>1.9318066922936435E-4</v>
      </c>
      <c r="AS191" s="304">
        <f>-0.0002  *AS17* SIN((2 *AS19 - AS18)* Deg2Rad)</f>
        <v>1.9318066922936435E-4</v>
      </c>
      <c r="AT191" s="304">
        <f>-0.0002  *AT17* SIN((2 *AT19 - AT18)* Deg2Rad)</f>
        <v>1.9318066922936435E-4</v>
      </c>
      <c r="AU191" s="304">
        <f>-0.0002  *AU17* SIN((2 *AU19 - AU18)* Deg2Rad)</f>
        <v>6.831811171849156E-5</v>
      </c>
      <c r="AV191" s="304">
        <f>-0.0002  *AV17* SIN((2 *AV19 - AV18)* Deg2Rad)</f>
        <v>-1.7575267563290278E-4</v>
      </c>
      <c r="AW191" s="304">
        <f>-0.0002  *AW17* SIN((2 *AW19 - AW18)* Deg2Rad)</f>
        <v>1.7533901096266358E-4</v>
      </c>
      <c r="AX191" s="304">
        <f>-0.0002  *AX17* SIN((2 *AX19 - AX18)* Deg2Rad)</f>
        <v>-1.1989967640294723E-4</v>
      </c>
      <c r="AY191" s="304">
        <f>-0.0002  *AY17* SIN((2 *AY19 - AY18)* Deg2Rad)</f>
        <v>1.587700222256332E-4</v>
      </c>
      <c r="AZ191" s="304">
        <f>-0.0002  *AZ17* SIN((2 *AZ19 - AZ18)* Deg2Rad)</f>
        <v>1.587700222256332E-4</v>
      </c>
      <c r="BA191" s="304">
        <f>-0.0002  *BA17* SIN((2 *BA19 - BA18)* Deg2Rad)</f>
        <v>1.0012774052267938E-4</v>
      </c>
      <c r="BB191" s="304">
        <f>-0.0002  *BB17* SIN((2 *BB19 - BB18)* Deg2Rad)</f>
        <v>1.0012774052267938E-4</v>
      </c>
      <c r="BC191" s="304">
        <f>-0.0002  *BC17* SIN((2 *BC19 - BC18)* Deg2Rad)</f>
        <v>1.0012774052267938E-4</v>
      </c>
      <c r="BD191" s="304">
        <f>-0.0002  *BD17* SIN((2 *BD19 - BD18)* Deg2Rad)</f>
        <v>1.0012774052267938E-4</v>
      </c>
      <c r="BE191" s="304">
        <f>-0.0002  *BE17* SIN((2 *BE19 - BE18)* Deg2Rad)</f>
        <v>1.0012774052267938E-4</v>
      </c>
      <c r="BF191" s="304">
        <f>-0.0002  *BF17* SIN((2 *BF19 - BF18)* Deg2Rad)</f>
        <v>1.0012774052267938E-4</v>
      </c>
      <c r="BG191" s="304">
        <f>-0.0002  *BG17* SIN((2 *BG19 - BG18)* Deg2Rad)</f>
        <v>-8.0527954375042316E-5</v>
      </c>
    </row>
    <row r="192" spans="1:59" x14ac:dyDescent="0.25">
      <c r="C192" s="5" t="s">
        <v>1088</v>
      </c>
      <c r="E192" s="304">
        <f>-0.0002 *SIN(E21* Deg2Rad)</f>
        <v>1.2928781619404243E-4</v>
      </c>
      <c r="F192" s="304">
        <f>-0.0002 *SIN(F21* Deg2Rad)</f>
        <v>1.2050712475743766E-4</v>
      </c>
      <c r="G192" s="304">
        <f>-0.0002 *SIN(G21* Deg2Rad)</f>
        <v>-1.6582171935828737E-4</v>
      </c>
      <c r="H192" s="304">
        <f>-0.0002 *SIN(H21* Deg2Rad)</f>
        <v>-1.2103714364319342E-4</v>
      </c>
      <c r="I192" s="304">
        <f>-0.0002 *SIN(I21* Deg2Rad)</f>
        <v>-4.9040148297122925E-5</v>
      </c>
      <c r="J192" s="304">
        <f>-0.0002 *SIN(J21* Deg2Rad)</f>
        <v>-2.2206769307553334E-5</v>
      </c>
      <c r="K192" s="304">
        <f>-0.0002 *SIN(K21* Deg2Rad)</f>
        <v>1.5940196121970314E-5</v>
      </c>
      <c r="L192" s="304">
        <f>-0.0002 *SIN(L21* Deg2Rad)</f>
        <v>4.2913516836293666E-5</v>
      </c>
      <c r="M192" s="304">
        <f>-0.0002 *SIN(M21* Deg2Rad)</f>
        <v>1.9588749650227135E-4</v>
      </c>
      <c r="N192" s="304">
        <f>-0.0002 *SIN(N21* Deg2Rad)</f>
        <v>1.7333411489631987E-4</v>
      </c>
      <c r="O192" s="304">
        <f>-0.0002 *SIN(O21* Deg2Rad)</f>
        <v>1.9720096102340381E-4</v>
      </c>
      <c r="P192" s="304">
        <f>-0.0002 *SIN(P21* Deg2Rad)</f>
        <v>1.8458552120223696E-4</v>
      </c>
      <c r="Q192" s="304">
        <f>-0.0002 *SIN(Q21* Deg2Rad)</f>
        <v>-1.6246560746565637E-4</v>
      </c>
      <c r="R192" s="304">
        <f>-0.0002 *SIN(R21* Deg2Rad)</f>
        <v>-1.5922192845511878E-4</v>
      </c>
      <c r="S192" s="304">
        <f>-0.0002 *SIN(S21* Deg2Rad)</f>
        <v>-1.4874426893937082E-6</v>
      </c>
      <c r="T192" s="304">
        <f>-0.0002 *SIN(T21* Deg2Rad)</f>
        <v>1.4875408482059222E-5</v>
      </c>
      <c r="U192" s="304">
        <f>-0.0002 *SIN(U21* Deg2Rad)</f>
        <v>5.7726960317257453E-5</v>
      </c>
      <c r="V192" s="304">
        <f>-0.0002 *SIN(V21* Deg2Rad)</f>
        <v>3.1365336197025794E-5</v>
      </c>
      <c r="W192" s="304">
        <f>-0.0002 *SIN(W21* Deg2Rad)</f>
        <v>-3.3017881300781436E-5</v>
      </c>
      <c r="X192" s="304">
        <f>-0.0002 *SIN(X21* Deg2Rad)</f>
        <v>1.9980202622607227E-4</v>
      </c>
      <c r="Y192" s="304">
        <f>-0.0002 *SIN(Y21* Deg2Rad)</f>
        <v>8.9351206033635471E-5</v>
      </c>
      <c r="Z192" s="304">
        <f>-0.0002 *SIN(Z21* Deg2Rad)</f>
        <v>2.3299741818294101E-5</v>
      </c>
      <c r="AA192" s="304">
        <f>-0.0002 *SIN(AA21* Deg2Rad)</f>
        <v>-1.6582171935828737E-4</v>
      </c>
      <c r="AB192" s="304">
        <f>-0.0002 *SIN(AB21* Deg2Rad)</f>
        <v>1.937272967397198E-4</v>
      </c>
      <c r="AC192" s="304">
        <f>-0.0002 *SIN(AC21* Deg2Rad)</f>
        <v>-2.7374465842004039E-5</v>
      </c>
      <c r="AD192" s="304">
        <f>-0.0002 *SIN(AD21* Deg2Rad)</f>
        <v>3.2192085073818073E-5</v>
      </c>
      <c r="AE192" s="304">
        <f>-0.0002 *SIN(AE21* Deg2Rad)</f>
        <v>8.9351206033635471E-5</v>
      </c>
      <c r="AF192" s="304">
        <f>-0.0002 *SIN(AF21* Deg2Rad)</f>
        <v>1.9698544279524009E-4</v>
      </c>
      <c r="AG192" s="304">
        <f>-0.0002 *SIN(AG21* Deg2Rad)</f>
        <v>1.9857943200095153E-4</v>
      </c>
      <c r="AH192" s="304">
        <f>-0.0002 *SIN(AH21* Deg2Rad)</f>
        <v>1.8207593280331511E-4</v>
      </c>
      <c r="AI192" s="304">
        <f>-0.0002 *SIN(AI21* Deg2Rad)</f>
        <v>1.9948483217323179E-4</v>
      </c>
      <c r="AJ192" s="304">
        <f>-0.0002 *SIN(AJ21* Deg2Rad)</f>
        <v>1.9044796869731887E-4</v>
      </c>
      <c r="AK192" s="304">
        <f>-0.0002 *SIN(AK21* Deg2Rad)</f>
        <v>-1.3896692125382889E-4</v>
      </c>
      <c r="AL192" s="304">
        <f>-0.0002 *SIN(AL21* Deg2Rad)</f>
        <v>1.6614898112930087E-4</v>
      </c>
      <c r="AM192" s="304">
        <f>-0.0002 *SIN(AM21* Deg2Rad)</f>
        <v>-1.6162217548243562E-4</v>
      </c>
      <c r="AN192" s="304">
        <f>-0.0002 *SIN(AN21* Deg2Rad)</f>
        <v>-1.7441136986423746E-4</v>
      </c>
      <c r="AO192" s="304">
        <f>-0.0002 *SIN(AO21* Deg2Rad)</f>
        <v>1.9974420776268191E-4</v>
      </c>
      <c r="AP192" s="304">
        <f>-0.0002 *SIN(AP21* Deg2Rad)</f>
        <v>-1.4037449558304454E-4</v>
      </c>
      <c r="AQ192" s="304">
        <f>-0.0002 *SIN(AQ21* Deg2Rad)</f>
        <v>-1.4037449558304454E-4</v>
      </c>
      <c r="AR192" s="304">
        <f>-0.0002 *SIN(AR21* Deg2Rad)</f>
        <v>-1.3643457086517002E-4</v>
      </c>
      <c r="AS192" s="304">
        <f>-0.0002 *SIN(AS21* Deg2Rad)</f>
        <v>-1.3643457086517002E-4</v>
      </c>
      <c r="AT192" s="304">
        <f>-0.0002 *SIN(AT21* Deg2Rad)</f>
        <v>-1.3643457086517002E-4</v>
      </c>
      <c r="AU192" s="304">
        <f>-0.0002 *SIN(AU21* Deg2Rad)</f>
        <v>1.978193683553393E-4</v>
      </c>
      <c r="AV192" s="304">
        <f>-0.0002 *SIN(AV21* Deg2Rad)</f>
        <v>-3.6990476895303592E-5</v>
      </c>
      <c r="AW192" s="304">
        <f>-0.0002 *SIN(AW21* Deg2Rad)</f>
        <v>1.7097635925656499E-4</v>
      </c>
      <c r="AX192" s="304">
        <f>-0.0002 *SIN(AX21* Deg2Rad)</f>
        <v>1.5243473888012113E-4</v>
      </c>
      <c r="AY192" s="304">
        <f>-0.0002 *SIN(AY21* Deg2Rad)</f>
        <v>-1.3239302369671917E-4</v>
      </c>
      <c r="AZ192" s="304">
        <f>-0.0002 *SIN(AZ21* Deg2Rad)</f>
        <v>-1.3239302369671917E-4</v>
      </c>
      <c r="BA192" s="304">
        <f>-0.0002 *SIN(BA21* Deg2Rad)</f>
        <v>-1.282528643999496E-4</v>
      </c>
      <c r="BB192" s="304">
        <f>-0.0002 *SIN(BB21* Deg2Rad)</f>
        <v>-1.282528643999496E-4</v>
      </c>
      <c r="BC192" s="304">
        <f>-0.0002 *SIN(BC21* Deg2Rad)</f>
        <v>-1.282528643999496E-4</v>
      </c>
      <c r="BD192" s="304">
        <f>-0.0002 *SIN(BD21* Deg2Rad)</f>
        <v>-1.282528643999496E-4</v>
      </c>
      <c r="BE192" s="304">
        <f>-0.0002 *SIN(BE21* Deg2Rad)</f>
        <v>-1.282528643999496E-4</v>
      </c>
      <c r="BF192" s="304">
        <f>-0.0002 *SIN(BF21* Deg2Rad)</f>
        <v>-1.282528643999496E-4</v>
      </c>
      <c r="BG192" s="304">
        <f>-0.0002 *SIN(BG21* Deg2Rad)</f>
        <v>8.9351206033635471E-5</v>
      </c>
    </row>
    <row r="193" spans="3:59" x14ac:dyDescent="0.25">
      <c r="C193" s="35" t="s">
        <v>1089</v>
      </c>
      <c r="D193" s="86" t="s">
        <v>298</v>
      </c>
      <c r="E193" s="325">
        <f>E14+SUM(E177:E192)</f>
        <v>2436150.1026083794</v>
      </c>
      <c r="F193" s="325">
        <f t="shared" ref="F193:BG193" si="100">F14+SUM(F177:F192)</f>
        <v>1842762.8086119301</v>
      </c>
      <c r="G193" s="325">
        <f t="shared" si="100"/>
        <v>2451564.6979551502</v>
      </c>
      <c r="H193" s="325">
        <f t="shared" si="100"/>
        <v>2451210.1803471139</v>
      </c>
      <c r="I193" s="325">
        <f t="shared" si="100"/>
        <v>2446840.396415405</v>
      </c>
      <c r="J193" s="325">
        <f t="shared" si="100"/>
        <v>2446987.6550612249</v>
      </c>
      <c r="K193" s="325">
        <f t="shared" si="100"/>
        <v>2447194.3929362698</v>
      </c>
      <c r="L193" s="325">
        <f t="shared" si="100"/>
        <v>2447342.3367732926</v>
      </c>
      <c r="M193" s="325">
        <f t="shared" si="100"/>
        <v>2415035.2750145062</v>
      </c>
      <c r="N193" s="325">
        <f t="shared" si="100"/>
        <v>2305476.7676579366</v>
      </c>
      <c r="O193" s="325">
        <f t="shared" si="100"/>
        <v>2305860.6628382583</v>
      </c>
      <c r="P193" s="325">
        <f t="shared" si="100"/>
        <v>2026886.0056718295</v>
      </c>
      <c r="Q193" s="325">
        <f t="shared" si="100"/>
        <v>1676534.8255609679</v>
      </c>
      <c r="R193" s="325">
        <f t="shared" si="100"/>
        <v>1676505.4113173606</v>
      </c>
      <c r="S193" s="325">
        <f t="shared" si="100"/>
        <v>1356009.8200350069</v>
      </c>
      <c r="T193" s="325">
        <f t="shared" si="100"/>
        <v>1355920.9291806093</v>
      </c>
      <c r="U193" s="325">
        <f t="shared" si="100"/>
        <v>1355685.0321353932</v>
      </c>
      <c r="V193" s="325">
        <f t="shared" si="100"/>
        <v>25.320346631179184</v>
      </c>
      <c r="W193" s="325">
        <f t="shared" si="100"/>
        <v>2446929.0169016607</v>
      </c>
      <c r="X193" s="325">
        <f t="shared" si="100"/>
        <v>2448759.188615521</v>
      </c>
      <c r="Y193" s="325">
        <f t="shared" si="100"/>
        <v>2443208.2377190017</v>
      </c>
      <c r="Z193" s="325">
        <f t="shared" si="100"/>
        <v>2467629.3021622258</v>
      </c>
      <c r="AA193" s="325">
        <f t="shared" si="100"/>
        <v>2451564.6979551502</v>
      </c>
      <c r="AB193" s="325">
        <f t="shared" si="100"/>
        <v>2434939.5148587241</v>
      </c>
      <c r="AC193" s="325">
        <f t="shared" si="100"/>
        <v>2443857.0219861665</v>
      </c>
      <c r="AD193" s="325">
        <f t="shared" si="100"/>
        <v>2447283.4669584776</v>
      </c>
      <c r="AE193" s="325">
        <f t="shared" si="100"/>
        <v>2443208.2377190017</v>
      </c>
      <c r="AF193" s="325">
        <f t="shared" si="100"/>
        <v>2448996.0112680057</v>
      </c>
      <c r="AG193" s="325">
        <f t="shared" si="100"/>
        <v>2448936.9099743739</v>
      </c>
      <c r="AH193" s="325">
        <f t="shared" si="100"/>
        <v>2448345.7930519218</v>
      </c>
      <c r="AI193" s="325">
        <f t="shared" si="100"/>
        <v>2448729.710136808</v>
      </c>
      <c r="AJ193" s="325">
        <f t="shared" si="100"/>
        <v>2449143.0427804291</v>
      </c>
      <c r="AK193" s="325">
        <f t="shared" si="100"/>
        <v>2385091.9339739634</v>
      </c>
      <c r="AL193" s="325">
        <f t="shared" si="100"/>
        <v>2448168.9893332622</v>
      </c>
      <c r="AM193" s="325">
        <f t="shared" si="100"/>
        <v>1948451.7260351253</v>
      </c>
      <c r="AN193" s="325">
        <f t="shared" si="100"/>
        <v>2451653.2366133942</v>
      </c>
      <c r="AO193" s="325">
        <f t="shared" si="100"/>
        <v>1721450.6506064343</v>
      </c>
      <c r="AP193" s="325">
        <f t="shared" si="100"/>
        <v>2459862.3888501134</v>
      </c>
      <c r="AQ193" s="325">
        <f t="shared" si="100"/>
        <v>2459862.3888501134</v>
      </c>
      <c r="AR193" s="325">
        <f t="shared" si="100"/>
        <v>2459891.9586579017</v>
      </c>
      <c r="AS193" s="325">
        <f t="shared" si="100"/>
        <v>2459891.9586579017</v>
      </c>
      <c r="AT193" s="325">
        <f t="shared" si="100"/>
        <v>2459891.9586579017</v>
      </c>
      <c r="AU193" s="325">
        <f t="shared" si="100"/>
        <v>2441849.3686694875</v>
      </c>
      <c r="AV193" s="325">
        <f t="shared" si="100"/>
        <v>2450708.2835051473</v>
      </c>
      <c r="AW193" s="325">
        <f t="shared" si="100"/>
        <v>2427822.1581283249</v>
      </c>
      <c r="AX193" s="325">
        <f t="shared" si="100"/>
        <v>2435972.4385621757</v>
      </c>
      <c r="AY193" s="325">
        <f t="shared" si="100"/>
        <v>2459921.6527036508</v>
      </c>
      <c r="AZ193" s="325">
        <f t="shared" si="100"/>
        <v>2459921.6527036508</v>
      </c>
      <c r="BA193" s="325">
        <f t="shared" si="100"/>
        <v>2459951.4482141417</v>
      </c>
      <c r="BB193" s="325">
        <f t="shared" si="100"/>
        <v>2459951.4482141417</v>
      </c>
      <c r="BC193" s="325">
        <f t="shared" si="100"/>
        <v>2459951.4482141417</v>
      </c>
      <c r="BD193" s="325">
        <f t="shared" si="100"/>
        <v>2459951.4482141417</v>
      </c>
      <c r="BE193" s="325">
        <f t="shared" si="100"/>
        <v>2459951.4482141417</v>
      </c>
      <c r="BF193" s="325">
        <f t="shared" si="100"/>
        <v>2459951.4482141417</v>
      </c>
      <c r="BG193" s="325">
        <f t="shared" si="100"/>
        <v>2443208.2377190017</v>
      </c>
    </row>
    <row r="195" spans="3:59" x14ac:dyDescent="0.25">
      <c r="C195" t="s">
        <v>1000</v>
      </c>
      <c r="D195" s="7" t="s">
        <v>1001</v>
      </c>
      <c r="E195">
        <f t="shared" ref="E195:AU195" si="101">_xlfn.FLOOR.MATH(E193+0.5)</f>
        <v>2436150</v>
      </c>
      <c r="F195">
        <f t="shared" ref="F195:BG195" si="102">_xlfn.FLOOR.MATH(F193+0.5)</f>
        <v>1842763</v>
      </c>
      <c r="G195">
        <f t="shared" si="102"/>
        <v>2451565</v>
      </c>
      <c r="H195">
        <f t="shared" si="102"/>
        <v>2451210</v>
      </c>
      <c r="I195">
        <f t="shared" si="102"/>
        <v>2446840</v>
      </c>
      <c r="J195">
        <f t="shared" si="102"/>
        <v>2446988</v>
      </c>
      <c r="K195">
        <f t="shared" si="102"/>
        <v>2447194</v>
      </c>
      <c r="L195">
        <f t="shared" si="102"/>
        <v>2447342</v>
      </c>
      <c r="M195">
        <f t="shared" si="102"/>
        <v>2415035</v>
      </c>
      <c r="N195">
        <f t="shared" si="102"/>
        <v>2305477</v>
      </c>
      <c r="O195">
        <f t="shared" si="102"/>
        <v>2305861</v>
      </c>
      <c r="P195">
        <f t="shared" si="102"/>
        <v>2026886</v>
      </c>
      <c r="Q195">
        <f t="shared" si="102"/>
        <v>1676535</v>
      </c>
      <c r="R195">
        <f t="shared" si="102"/>
        <v>1676505</v>
      </c>
      <c r="S195">
        <f t="shared" si="102"/>
        <v>1356010</v>
      </c>
      <c r="T195">
        <f t="shared" si="102"/>
        <v>1355921</v>
      </c>
      <c r="U195">
        <f t="shared" si="102"/>
        <v>1355685</v>
      </c>
      <c r="V195">
        <f t="shared" si="102"/>
        <v>25</v>
      </c>
      <c r="W195">
        <f t="shared" si="102"/>
        <v>2446929</v>
      </c>
      <c r="X195">
        <f t="shared" si="102"/>
        <v>2448759</v>
      </c>
      <c r="Y195">
        <f t="shared" si="102"/>
        <v>2443208</v>
      </c>
      <c r="Z195">
        <f t="shared" si="102"/>
        <v>2467629</v>
      </c>
      <c r="AA195">
        <f t="shared" si="102"/>
        <v>2451565</v>
      </c>
      <c r="AB195">
        <f t="shared" si="102"/>
        <v>2434940</v>
      </c>
      <c r="AC195">
        <f t="shared" si="102"/>
        <v>2443857</v>
      </c>
      <c r="AD195">
        <f t="shared" si="102"/>
        <v>2447283</v>
      </c>
      <c r="AE195">
        <f t="shared" si="102"/>
        <v>2443208</v>
      </c>
      <c r="AF195">
        <f t="shared" si="102"/>
        <v>2448996</v>
      </c>
      <c r="AG195">
        <f t="shared" si="102"/>
        <v>2448937</v>
      </c>
      <c r="AH195">
        <f t="shared" si="102"/>
        <v>2448346</v>
      </c>
      <c r="AI195">
        <f t="shared" si="102"/>
        <v>2448730</v>
      </c>
      <c r="AJ195">
        <f t="shared" si="102"/>
        <v>2449143</v>
      </c>
      <c r="AK195">
        <f t="shared" si="102"/>
        <v>2385092</v>
      </c>
      <c r="AL195">
        <f t="shared" si="102"/>
        <v>2448169</v>
      </c>
      <c r="AM195">
        <f t="shared" si="102"/>
        <v>1948452</v>
      </c>
      <c r="AN195">
        <f t="shared" si="102"/>
        <v>2451653</v>
      </c>
      <c r="AO195">
        <f t="shared" si="102"/>
        <v>1721451</v>
      </c>
      <c r="AP195">
        <f t="shared" si="102"/>
        <v>2459862</v>
      </c>
      <c r="AQ195">
        <f t="shared" si="102"/>
        <v>2459862</v>
      </c>
      <c r="AR195">
        <f t="shared" si="102"/>
        <v>2459892</v>
      </c>
      <c r="AS195">
        <f t="shared" si="102"/>
        <v>2459892</v>
      </c>
      <c r="AT195">
        <f t="shared" si="102"/>
        <v>2459892</v>
      </c>
      <c r="AU195">
        <f t="shared" si="102"/>
        <v>2441849</v>
      </c>
      <c r="AV195">
        <f t="shared" si="102"/>
        <v>2450708</v>
      </c>
      <c r="AW195">
        <f t="shared" si="102"/>
        <v>2427822</v>
      </c>
      <c r="AX195">
        <f t="shared" si="102"/>
        <v>2435972</v>
      </c>
      <c r="AY195">
        <f t="shared" si="102"/>
        <v>2459922</v>
      </c>
      <c r="AZ195">
        <f t="shared" si="102"/>
        <v>2459922</v>
      </c>
      <c r="BA195">
        <f t="shared" si="102"/>
        <v>2459951</v>
      </c>
      <c r="BB195">
        <f t="shared" si="102"/>
        <v>2459951</v>
      </c>
      <c r="BC195">
        <f t="shared" si="102"/>
        <v>2459951</v>
      </c>
      <c r="BD195">
        <f t="shared" si="102"/>
        <v>2459951</v>
      </c>
      <c r="BE195">
        <f t="shared" si="102"/>
        <v>2459951</v>
      </c>
      <c r="BF195">
        <f t="shared" si="102"/>
        <v>2459951</v>
      </c>
      <c r="BG195">
        <f t="shared" si="102"/>
        <v>2443208</v>
      </c>
    </row>
    <row r="196" spans="3:59" x14ac:dyDescent="0.25">
      <c r="C196" t="s">
        <v>1002</v>
      </c>
      <c r="D196" s="7" t="s">
        <v>7</v>
      </c>
      <c r="E196" s="13">
        <f t="shared" ref="E196:AU196" si="103">(E193+0.5) - E195</f>
        <v>0.60260837944224477</v>
      </c>
      <c r="F196" s="13">
        <f t="shared" ref="F196" si="104">(F193+0.5) - F195</f>
        <v>0.30861193011514843</v>
      </c>
      <c r="G196" s="13">
        <f t="shared" ref="G196" si="105">(G193+0.5) - G195</f>
        <v>0.19795515015721321</v>
      </c>
      <c r="H196" s="13">
        <f t="shared" ref="H196" si="106">(H193+0.5) - H195</f>
        <v>0.68034711387008429</v>
      </c>
      <c r="I196" s="13">
        <f t="shared" ref="I196" si="107">(I193+0.5) - I195</f>
        <v>0.89641540497541428</v>
      </c>
      <c r="J196" s="13">
        <f t="shared" ref="J196" si="108">(J193+0.5) - J195</f>
        <v>0.15506122494116426</v>
      </c>
      <c r="K196" s="13">
        <f t="shared" ref="K196" si="109">(K193+0.5) - K195</f>
        <v>0.89293626975268126</v>
      </c>
      <c r="L196" s="13">
        <f t="shared" ref="L196" si="110">(L193+0.5) - L195</f>
        <v>0.83677329262718558</v>
      </c>
      <c r="M196" s="13">
        <f t="shared" ref="M196" si="111">(M193+0.5) - M195</f>
        <v>0.77501450618728995</v>
      </c>
      <c r="N196" s="13">
        <f t="shared" ref="N196" si="112">(N193+0.5) - N195</f>
        <v>0.26765793655067682</v>
      </c>
      <c r="O196" s="13">
        <f t="shared" ref="O196" si="113">(O193+0.5) - O195</f>
        <v>0.16283825831487775</v>
      </c>
      <c r="P196" s="13">
        <f t="shared" ref="P196" si="114">(P193+0.5) - P195</f>
        <v>0.50567182945087552</v>
      </c>
      <c r="Q196" s="13">
        <f t="shared" ref="Q196" si="115">(Q193+0.5) - Q195</f>
        <v>0.32556096790358424</v>
      </c>
      <c r="R196" s="13">
        <f t="shared" ref="R196" si="116">(R193+0.5) - R195</f>
        <v>0.91131736058741808</v>
      </c>
      <c r="S196" s="13">
        <f t="shared" ref="S196" si="117">(S193+0.5) - S195</f>
        <v>0.32003500685095787</v>
      </c>
      <c r="T196" s="13">
        <f t="shared" ref="T196" si="118">(T193+0.5) - T195</f>
        <v>0.42918060929514468</v>
      </c>
      <c r="U196" s="13">
        <f t="shared" ref="U196" si="119">(U193+0.5) - U195</f>
        <v>0.5321353932376951</v>
      </c>
      <c r="V196" s="13">
        <f t="shared" ref="V196" si="120">(V193+0.5) - V195</f>
        <v>0.82034663117918427</v>
      </c>
      <c r="W196" s="13">
        <f t="shared" ref="W196" si="121">(W193+0.5) - W195</f>
        <v>0.5169016607105732</v>
      </c>
      <c r="X196" s="13">
        <f t="shared" ref="X196" si="122">(X193+0.5) - X195</f>
        <v>0.68861552095040679</v>
      </c>
      <c r="Y196" s="13">
        <f t="shared" ref="Y196" si="123">(Y193+0.5) - Y195</f>
        <v>0.73771900171414018</v>
      </c>
      <c r="Z196" s="13">
        <f t="shared" ref="Z196" si="124">(Z193+0.5) - Z195</f>
        <v>0.80216222582384944</v>
      </c>
      <c r="AA196" s="13">
        <f t="shared" ref="AA196" si="125">(AA193+0.5) - AA195</f>
        <v>0.19795515015721321</v>
      </c>
      <c r="AB196" s="13">
        <f t="shared" ref="AB196" si="126">(AB193+0.5) - AB195</f>
        <v>1.485872408375144E-2</v>
      </c>
      <c r="AC196" s="13">
        <f t="shared" ref="AC196" si="127">(AC193+0.5) - AC195</f>
        <v>0.52198616648092866</v>
      </c>
      <c r="AD196" s="13">
        <f t="shared" ref="AD196" si="128">(AD193+0.5) - AD195</f>
        <v>0.96695847762748599</v>
      </c>
      <c r="AE196" s="13">
        <f t="shared" ref="AE196" si="129">(AE193+0.5) - AE195</f>
        <v>0.73771900171414018</v>
      </c>
      <c r="AF196" s="13">
        <f t="shared" ref="AF196" si="130">(AF193+0.5) - AF195</f>
        <v>0.51126800570636988</v>
      </c>
      <c r="AG196" s="13">
        <f t="shared" ref="AG196" si="131">(AG193+0.5) - AG195</f>
        <v>0.40997437387704849</v>
      </c>
      <c r="AH196" s="13">
        <f t="shared" ref="AH196" si="132">(AH193+0.5) - AH195</f>
        <v>0.29305192176252604</v>
      </c>
      <c r="AI196" s="13">
        <f t="shared" ref="AI196" si="133">(AI193+0.5) - AI195</f>
        <v>0.2101368079893291</v>
      </c>
      <c r="AJ196" s="13">
        <f t="shared" ref="AJ196" si="134">(AJ193+0.5) - AJ195</f>
        <v>0.54278042912483215</v>
      </c>
      <c r="AK196" s="13">
        <f t="shared" ref="AK196" si="135">(AK193+0.5) - AK195</f>
        <v>0.43397396337240934</v>
      </c>
      <c r="AL196" s="13">
        <f t="shared" ref="AL196" si="136">(AL193+0.5) - AL195</f>
        <v>0.48933326220139861</v>
      </c>
      <c r="AM196" s="13">
        <f t="shared" ref="AM196" si="137">(AM193+0.5) - AM195</f>
        <v>0.2260351253207773</v>
      </c>
      <c r="AN196" s="13">
        <f t="shared" ref="AN196" si="138">(AN193+0.5) - AN195</f>
        <v>0.73661339422687888</v>
      </c>
      <c r="AO196" s="13">
        <f t="shared" ref="AO196" si="139">(AO193+0.5) - AO195</f>
        <v>0.15060643432661891</v>
      </c>
      <c r="AP196" s="13">
        <f t="shared" ref="AP196" si="140">(AP193+0.5) - AP195</f>
        <v>0.88885011337697506</v>
      </c>
      <c r="AQ196" s="13">
        <f t="shared" ref="AQ196" si="141">(AQ193+0.5) - AQ195</f>
        <v>0.88885011337697506</v>
      </c>
      <c r="AR196" s="13">
        <f t="shared" ref="AR196" si="142">(AR193+0.5) - AR195</f>
        <v>0.45865790173411369</v>
      </c>
      <c r="AS196" s="13">
        <f t="shared" ref="AS196" si="143">(AS193+0.5) - AS195</f>
        <v>0.45865790173411369</v>
      </c>
      <c r="AT196" s="13">
        <f t="shared" ref="AT196" si="144">(AT193+0.5) - AT195</f>
        <v>0.45865790173411369</v>
      </c>
      <c r="AU196" s="13">
        <f t="shared" ref="AU196" si="145">(AU193+0.5) - AU195</f>
        <v>0.86866948753595352</v>
      </c>
      <c r="AV196" s="13">
        <f t="shared" ref="AV196" si="146">(AV193+0.5) - AV195</f>
        <v>0.78350514732301235</v>
      </c>
      <c r="AW196" s="13">
        <f t="shared" ref="AW196" si="147">(AW193+0.5) - AW195</f>
        <v>0.65812832489609718</v>
      </c>
      <c r="AX196" s="13">
        <f t="shared" ref="AX196" si="148">(AX193+0.5) - AX195</f>
        <v>0.93856217572465539</v>
      </c>
      <c r="AY196" s="13">
        <f t="shared" ref="AY196" si="149">(AY193+0.5) - AY195</f>
        <v>0.15270365076139569</v>
      </c>
      <c r="AZ196" s="13">
        <f t="shared" ref="AZ196" si="150">(AZ193+0.5) - AZ195</f>
        <v>0.15270365076139569</v>
      </c>
      <c r="BA196" s="13">
        <f t="shared" ref="BA196" si="151">(BA193+0.5) - BA195</f>
        <v>0.94821414165198803</v>
      </c>
      <c r="BB196" s="13">
        <f t="shared" ref="BB196" si="152">(BB193+0.5) - BB195</f>
        <v>0.94821414165198803</v>
      </c>
      <c r="BC196" s="13">
        <f t="shared" ref="BC196" si="153">(BC193+0.5) - BC195</f>
        <v>0.94821414165198803</v>
      </c>
      <c r="BD196" s="13">
        <f t="shared" ref="BD196" si="154">(BD193+0.5) - BD195</f>
        <v>0.94821414165198803</v>
      </c>
      <c r="BE196" s="13">
        <f t="shared" ref="BE196" si="155">(BE193+0.5) - BE195</f>
        <v>0.94821414165198803</v>
      </c>
      <c r="BF196" s="13">
        <f t="shared" ref="BF196" si="156">(BF193+0.5) - BF195</f>
        <v>0.94821414165198803</v>
      </c>
      <c r="BG196" s="13">
        <f t="shared" ref="BG196" si="157">(BG193+0.5) - BG195</f>
        <v>0.73771900171414018</v>
      </c>
    </row>
    <row r="197" spans="3:59" x14ac:dyDescent="0.25">
      <c r="C197" t="s">
        <v>1003</v>
      </c>
      <c r="D197" s="7" t="s">
        <v>281</v>
      </c>
      <c r="E197">
        <f t="shared" ref="E197:AU197" si="158" xml:space="preserve">    _xlfn.FLOOR.MATH((E195 - 1867216.25) / 36524.25)</f>
        <v>15</v>
      </c>
      <c r="F197">
        <f t="shared" ref="F197:BG197" si="159" xml:space="preserve">    _xlfn.FLOOR.MATH((F195 - 1867216.25) / 36524.25)</f>
        <v>-1</v>
      </c>
      <c r="G197">
        <f t="shared" si="159"/>
        <v>15</v>
      </c>
      <c r="H197">
        <f t="shared" si="159"/>
        <v>15</v>
      </c>
      <c r="I197">
        <f t="shared" si="159"/>
        <v>15</v>
      </c>
      <c r="J197">
        <f t="shared" si="159"/>
        <v>15</v>
      </c>
      <c r="K197">
        <f t="shared" si="159"/>
        <v>15</v>
      </c>
      <c r="L197">
        <f t="shared" si="159"/>
        <v>15</v>
      </c>
      <c r="M197">
        <f t="shared" si="159"/>
        <v>14</v>
      </c>
      <c r="N197">
        <f t="shared" si="159"/>
        <v>11</v>
      </c>
      <c r="O197">
        <f t="shared" si="159"/>
        <v>12</v>
      </c>
      <c r="P197">
        <f t="shared" si="159"/>
        <v>4</v>
      </c>
      <c r="Q197">
        <f t="shared" si="159"/>
        <v>-6</v>
      </c>
      <c r="R197">
        <f t="shared" si="159"/>
        <v>-6</v>
      </c>
      <c r="S197">
        <f t="shared" si="159"/>
        <v>-14</v>
      </c>
      <c r="T197">
        <f t="shared" si="159"/>
        <v>-14</v>
      </c>
      <c r="U197">
        <f t="shared" si="159"/>
        <v>-15</v>
      </c>
      <c r="V197">
        <f t="shared" si="159"/>
        <v>-52</v>
      </c>
      <c r="W197">
        <f t="shared" si="159"/>
        <v>15</v>
      </c>
      <c r="X197">
        <f t="shared" si="159"/>
        <v>15</v>
      </c>
      <c r="Y197">
        <f t="shared" si="159"/>
        <v>15</v>
      </c>
      <c r="Z197">
        <f t="shared" si="159"/>
        <v>16</v>
      </c>
      <c r="AA197">
        <f t="shared" si="159"/>
        <v>15</v>
      </c>
      <c r="AB197">
        <f t="shared" si="159"/>
        <v>15</v>
      </c>
      <c r="AC197">
        <f t="shared" si="159"/>
        <v>15</v>
      </c>
      <c r="AD197">
        <f t="shared" si="159"/>
        <v>15</v>
      </c>
      <c r="AE197">
        <f t="shared" si="159"/>
        <v>15</v>
      </c>
      <c r="AF197">
        <f t="shared" si="159"/>
        <v>15</v>
      </c>
      <c r="AG197">
        <f t="shared" si="159"/>
        <v>15</v>
      </c>
      <c r="AH197">
        <f t="shared" si="159"/>
        <v>15</v>
      </c>
      <c r="AI197">
        <f t="shared" si="159"/>
        <v>15</v>
      </c>
      <c r="AJ197">
        <f t="shared" si="159"/>
        <v>15</v>
      </c>
      <c r="AK197">
        <f t="shared" si="159"/>
        <v>14</v>
      </c>
      <c r="AL197">
        <f t="shared" si="159"/>
        <v>15</v>
      </c>
      <c r="AM197">
        <f t="shared" si="159"/>
        <v>2</v>
      </c>
      <c r="AN197">
        <f t="shared" si="159"/>
        <v>16</v>
      </c>
      <c r="AO197">
        <f t="shared" si="159"/>
        <v>-4</v>
      </c>
      <c r="AP197">
        <f t="shared" si="159"/>
        <v>16</v>
      </c>
      <c r="AQ197">
        <f t="shared" si="159"/>
        <v>16</v>
      </c>
      <c r="AR197">
        <f t="shared" si="159"/>
        <v>16</v>
      </c>
      <c r="AS197">
        <f t="shared" si="159"/>
        <v>16</v>
      </c>
      <c r="AT197">
        <f t="shared" si="159"/>
        <v>16</v>
      </c>
      <c r="AU197">
        <f t="shared" si="159"/>
        <v>15</v>
      </c>
      <c r="AV197">
        <f t="shared" si="159"/>
        <v>15</v>
      </c>
      <c r="AW197">
        <f t="shared" si="159"/>
        <v>15</v>
      </c>
      <c r="AX197">
        <f t="shared" si="159"/>
        <v>15</v>
      </c>
      <c r="AY197">
        <f t="shared" si="159"/>
        <v>16</v>
      </c>
      <c r="AZ197">
        <f t="shared" si="159"/>
        <v>16</v>
      </c>
      <c r="BA197">
        <f t="shared" si="159"/>
        <v>16</v>
      </c>
      <c r="BB197">
        <f t="shared" si="159"/>
        <v>16</v>
      </c>
      <c r="BC197">
        <f t="shared" si="159"/>
        <v>16</v>
      </c>
      <c r="BD197">
        <f t="shared" si="159"/>
        <v>16</v>
      </c>
      <c r="BE197">
        <f t="shared" si="159"/>
        <v>16</v>
      </c>
      <c r="BF197">
        <f t="shared" si="159"/>
        <v>16</v>
      </c>
      <c r="BG197">
        <f t="shared" si="159"/>
        <v>15</v>
      </c>
    </row>
    <row r="198" spans="3:59" x14ac:dyDescent="0.25">
      <c r="C198" t="s">
        <v>1004</v>
      </c>
      <c r="D198" s="7" t="s">
        <v>256</v>
      </c>
      <c r="E198" s="78">
        <f t="shared" ref="E198:AU198" si="160" xml:space="preserve">    E195 + 1 + E197 - _xlfn.FLOOR.MATH(E197/4)</f>
        <v>2436163</v>
      </c>
      <c r="F198" s="78">
        <f t="shared" ref="F198" si="161" xml:space="preserve">    F195 + 1 + F197 - _xlfn.FLOOR.MATH(F197/4)</f>
        <v>1842764</v>
      </c>
      <c r="G198" s="78">
        <f t="shared" ref="G198" si="162" xml:space="preserve">    G195 + 1 + G197 - _xlfn.FLOOR.MATH(G197/4)</f>
        <v>2451578</v>
      </c>
      <c r="H198" s="78">
        <f t="shared" ref="H198" si="163" xml:space="preserve">    H195 + 1 + H197 - _xlfn.FLOOR.MATH(H197/4)</f>
        <v>2451223</v>
      </c>
      <c r="I198" s="78">
        <f t="shared" ref="I198" si="164" xml:space="preserve">    I195 + 1 + I197 - _xlfn.FLOOR.MATH(I197/4)</f>
        <v>2446853</v>
      </c>
      <c r="J198" s="78">
        <f t="shared" ref="J198" si="165" xml:space="preserve">    J195 + 1 + J197 - _xlfn.FLOOR.MATH(J197/4)</f>
        <v>2447001</v>
      </c>
      <c r="K198" s="78">
        <f t="shared" ref="K198" si="166" xml:space="preserve">    K195 + 1 + K197 - _xlfn.FLOOR.MATH(K197/4)</f>
        <v>2447207</v>
      </c>
      <c r="L198" s="78">
        <f t="shared" ref="L198" si="167" xml:space="preserve">    L195 + 1 + L197 - _xlfn.FLOOR.MATH(L197/4)</f>
        <v>2447355</v>
      </c>
      <c r="M198" s="78">
        <f t="shared" ref="M198" si="168" xml:space="preserve">    M195 + 1 + M197 - _xlfn.FLOOR.MATH(M197/4)</f>
        <v>2415047</v>
      </c>
      <c r="N198" s="78">
        <f t="shared" ref="N198" si="169" xml:space="preserve">    N195 + 1 + N197 - _xlfn.FLOOR.MATH(N197/4)</f>
        <v>2305487</v>
      </c>
      <c r="O198" s="78">
        <f t="shared" ref="O198" si="170" xml:space="preserve">    O195 + 1 + O197 - _xlfn.FLOOR.MATH(O197/4)</f>
        <v>2305871</v>
      </c>
      <c r="P198" s="78">
        <f t="shared" ref="P198" si="171" xml:space="preserve">    P195 + 1 + P197 - _xlfn.FLOOR.MATH(P197/4)</f>
        <v>2026890</v>
      </c>
      <c r="Q198" s="78">
        <f t="shared" ref="Q198" si="172" xml:space="preserve">    Q195 + 1 + Q197 - _xlfn.FLOOR.MATH(Q197/4)</f>
        <v>1676532</v>
      </c>
      <c r="R198" s="78">
        <f t="shared" ref="R198" si="173" xml:space="preserve">    R195 + 1 + R197 - _xlfn.FLOOR.MATH(R197/4)</f>
        <v>1676502</v>
      </c>
      <c r="S198" s="78">
        <f t="shared" ref="S198" si="174" xml:space="preserve">    S195 + 1 + S197 - _xlfn.FLOOR.MATH(S197/4)</f>
        <v>1356001</v>
      </c>
      <c r="T198" s="78">
        <f t="shared" ref="T198" si="175" xml:space="preserve">    T195 + 1 + T197 - _xlfn.FLOOR.MATH(T197/4)</f>
        <v>1355912</v>
      </c>
      <c r="U198" s="78">
        <f t="shared" ref="U198" si="176" xml:space="preserve">    U195 + 1 + U197 - _xlfn.FLOOR.MATH(U197/4)</f>
        <v>1355675</v>
      </c>
      <c r="V198" s="78">
        <f t="shared" ref="V198" si="177" xml:space="preserve">    V195 + 1 + V197 - _xlfn.FLOOR.MATH(V197/4)</f>
        <v>-13</v>
      </c>
      <c r="W198" s="78">
        <f t="shared" ref="W198" si="178" xml:space="preserve">    W195 + 1 + W197 - _xlfn.FLOOR.MATH(W197/4)</f>
        <v>2446942</v>
      </c>
      <c r="X198" s="78">
        <f t="shared" ref="X198" si="179" xml:space="preserve">    X195 + 1 + X197 - _xlfn.FLOOR.MATH(X197/4)</f>
        <v>2448772</v>
      </c>
      <c r="Y198" s="78">
        <f t="shared" ref="Y198" si="180" xml:space="preserve">    Y195 + 1 + Y197 - _xlfn.FLOOR.MATH(Y197/4)</f>
        <v>2443221</v>
      </c>
      <c r="Z198" s="78">
        <f t="shared" ref="Z198" si="181" xml:space="preserve">    Z195 + 1 + Z197 - _xlfn.FLOOR.MATH(Z197/4)</f>
        <v>2467642</v>
      </c>
      <c r="AA198" s="78">
        <f t="shared" ref="AA198" si="182" xml:space="preserve">    AA195 + 1 + AA197 - _xlfn.FLOOR.MATH(AA197/4)</f>
        <v>2451578</v>
      </c>
      <c r="AB198" s="78">
        <f t="shared" ref="AB198" si="183" xml:space="preserve">    AB195 + 1 + AB197 - _xlfn.FLOOR.MATH(AB197/4)</f>
        <v>2434953</v>
      </c>
      <c r="AC198" s="78">
        <f t="shared" ref="AC198" si="184" xml:space="preserve">    AC195 + 1 + AC197 - _xlfn.FLOOR.MATH(AC197/4)</f>
        <v>2443870</v>
      </c>
      <c r="AD198" s="78">
        <f t="shared" ref="AD198" si="185" xml:space="preserve">    AD195 + 1 + AD197 - _xlfn.FLOOR.MATH(AD197/4)</f>
        <v>2447296</v>
      </c>
      <c r="AE198" s="78">
        <f t="shared" ref="AE198" si="186" xml:space="preserve">    AE195 + 1 + AE197 - _xlfn.FLOOR.MATH(AE197/4)</f>
        <v>2443221</v>
      </c>
      <c r="AF198" s="78">
        <f t="shared" ref="AF198" si="187" xml:space="preserve">    AF195 + 1 + AF197 - _xlfn.FLOOR.MATH(AF197/4)</f>
        <v>2449009</v>
      </c>
      <c r="AG198" s="78">
        <f t="shared" ref="AG198" si="188" xml:space="preserve">    AG195 + 1 + AG197 - _xlfn.FLOOR.MATH(AG197/4)</f>
        <v>2448950</v>
      </c>
      <c r="AH198" s="78">
        <f t="shared" ref="AH198" si="189" xml:space="preserve">    AH195 + 1 + AH197 - _xlfn.FLOOR.MATH(AH197/4)</f>
        <v>2448359</v>
      </c>
      <c r="AI198" s="78">
        <f t="shared" ref="AI198" si="190" xml:space="preserve">    AI195 + 1 + AI197 - _xlfn.FLOOR.MATH(AI197/4)</f>
        <v>2448743</v>
      </c>
      <c r="AJ198" s="78">
        <f t="shared" ref="AJ198" si="191" xml:space="preserve">    AJ195 + 1 + AJ197 - _xlfn.FLOOR.MATH(AJ197/4)</f>
        <v>2449156</v>
      </c>
      <c r="AK198" s="78">
        <f t="shared" ref="AK198" si="192" xml:space="preserve">    AK195 + 1 + AK197 - _xlfn.FLOOR.MATH(AK197/4)</f>
        <v>2385104</v>
      </c>
      <c r="AL198" s="78">
        <f t="shared" ref="AL198" si="193" xml:space="preserve">    AL195 + 1 + AL197 - _xlfn.FLOOR.MATH(AL197/4)</f>
        <v>2448182</v>
      </c>
      <c r="AM198" s="78">
        <f t="shared" ref="AM198" si="194" xml:space="preserve">    AM195 + 1 + AM197 - _xlfn.FLOOR.MATH(AM197/4)</f>
        <v>1948455</v>
      </c>
      <c r="AN198" s="78">
        <f t="shared" ref="AN198" si="195" xml:space="preserve">    AN195 + 1 + AN197 - _xlfn.FLOOR.MATH(AN197/4)</f>
        <v>2451666</v>
      </c>
      <c r="AO198" s="78">
        <f t="shared" ref="AO198" si="196" xml:space="preserve">    AO195 + 1 + AO197 - _xlfn.FLOOR.MATH(AO197/4)</f>
        <v>1721449</v>
      </c>
      <c r="AP198" s="78">
        <f t="shared" ref="AP198" si="197" xml:space="preserve">    AP195 + 1 + AP197 - _xlfn.FLOOR.MATH(AP197/4)</f>
        <v>2459875</v>
      </c>
      <c r="AQ198" s="78">
        <f t="shared" ref="AQ198" si="198" xml:space="preserve">    AQ195 + 1 + AQ197 - _xlfn.FLOOR.MATH(AQ197/4)</f>
        <v>2459875</v>
      </c>
      <c r="AR198" s="78">
        <f t="shared" ref="AR198" si="199" xml:space="preserve">    AR195 + 1 + AR197 - _xlfn.FLOOR.MATH(AR197/4)</f>
        <v>2459905</v>
      </c>
      <c r="AS198" s="78">
        <f t="shared" ref="AS198" si="200" xml:space="preserve">    AS195 + 1 + AS197 - _xlfn.FLOOR.MATH(AS197/4)</f>
        <v>2459905</v>
      </c>
      <c r="AT198" s="78">
        <f t="shared" ref="AT198" si="201" xml:space="preserve">    AT195 + 1 + AT197 - _xlfn.FLOOR.MATH(AT197/4)</f>
        <v>2459905</v>
      </c>
      <c r="AU198" s="78">
        <f t="shared" ref="AU198" si="202" xml:space="preserve">    AU195 + 1 + AU197 - _xlfn.FLOOR.MATH(AU197/4)</f>
        <v>2441862</v>
      </c>
      <c r="AV198" s="78">
        <f t="shared" ref="AV198" si="203" xml:space="preserve">    AV195 + 1 + AV197 - _xlfn.FLOOR.MATH(AV197/4)</f>
        <v>2450721</v>
      </c>
      <c r="AW198" s="78">
        <f t="shared" ref="AW198" si="204" xml:space="preserve">    AW195 + 1 + AW197 - _xlfn.FLOOR.MATH(AW197/4)</f>
        <v>2427835</v>
      </c>
      <c r="AX198" s="78">
        <f t="shared" ref="AX198" si="205" xml:space="preserve">    AX195 + 1 + AX197 - _xlfn.FLOOR.MATH(AX197/4)</f>
        <v>2435985</v>
      </c>
      <c r="AY198" s="78">
        <f t="shared" ref="AY198" si="206" xml:space="preserve">    AY195 + 1 + AY197 - _xlfn.FLOOR.MATH(AY197/4)</f>
        <v>2459935</v>
      </c>
      <c r="AZ198" s="78">
        <f t="shared" ref="AZ198" si="207" xml:space="preserve">    AZ195 + 1 + AZ197 - _xlfn.FLOOR.MATH(AZ197/4)</f>
        <v>2459935</v>
      </c>
      <c r="BA198" s="78">
        <f t="shared" ref="BA198" si="208" xml:space="preserve">    BA195 + 1 + BA197 - _xlfn.FLOOR.MATH(BA197/4)</f>
        <v>2459964</v>
      </c>
      <c r="BB198" s="78">
        <f t="shared" ref="BB198" si="209" xml:space="preserve">    BB195 + 1 + BB197 - _xlfn.FLOOR.MATH(BB197/4)</f>
        <v>2459964</v>
      </c>
      <c r="BC198" s="78">
        <f t="shared" ref="BC198" si="210" xml:space="preserve">    BC195 + 1 + BC197 - _xlfn.FLOOR.MATH(BC197/4)</f>
        <v>2459964</v>
      </c>
      <c r="BD198" s="78">
        <f t="shared" ref="BD198" si="211" xml:space="preserve">    BD195 + 1 + BD197 - _xlfn.FLOOR.MATH(BD197/4)</f>
        <v>2459964</v>
      </c>
      <c r="BE198" s="78">
        <f t="shared" ref="BE198" si="212" xml:space="preserve">    BE195 + 1 + BE197 - _xlfn.FLOOR.MATH(BE197/4)</f>
        <v>2459964</v>
      </c>
      <c r="BF198" s="78">
        <f t="shared" ref="BF198" si="213" xml:space="preserve">    BF195 + 1 + BF197 - _xlfn.FLOOR.MATH(BF197/4)</f>
        <v>2459964</v>
      </c>
      <c r="BG198" s="78">
        <f t="shared" ref="BG198" si="214" xml:space="preserve">    BG195 + 1 + BG197 - _xlfn.FLOOR.MATH(BG197/4)</f>
        <v>2443221</v>
      </c>
    </row>
    <row r="199" spans="3:59" x14ac:dyDescent="0.25">
      <c r="C199" t="s">
        <v>1005</v>
      </c>
      <c r="D199" s="7" t="s">
        <v>110</v>
      </c>
      <c r="E199" s="78">
        <f t="shared" ref="E199:AU199" si="215">IF(E195&lt;2299161,E195,E198)</f>
        <v>2436163</v>
      </c>
      <c r="F199" s="78">
        <f t="shared" ref="F199" si="216">IF(F195&lt;2299161,F195,F198)</f>
        <v>1842763</v>
      </c>
      <c r="G199" s="78">
        <f t="shared" ref="G199" si="217">IF(G195&lt;2299161,G195,G198)</f>
        <v>2451578</v>
      </c>
      <c r="H199" s="78">
        <f t="shared" ref="H199" si="218">IF(H195&lt;2299161,H195,H198)</f>
        <v>2451223</v>
      </c>
      <c r="I199" s="78">
        <f t="shared" ref="I199" si="219">IF(I195&lt;2299161,I195,I198)</f>
        <v>2446853</v>
      </c>
      <c r="J199" s="78">
        <f t="shared" ref="J199" si="220">IF(J195&lt;2299161,J195,J198)</f>
        <v>2447001</v>
      </c>
      <c r="K199" s="78">
        <f t="shared" ref="K199" si="221">IF(K195&lt;2299161,K195,K198)</f>
        <v>2447207</v>
      </c>
      <c r="L199" s="78">
        <f t="shared" ref="L199" si="222">IF(L195&lt;2299161,L195,L198)</f>
        <v>2447355</v>
      </c>
      <c r="M199" s="78">
        <f t="shared" ref="M199" si="223">IF(M195&lt;2299161,M195,M198)</f>
        <v>2415047</v>
      </c>
      <c r="N199" s="78">
        <f t="shared" ref="N199" si="224">IF(N195&lt;2299161,N195,N198)</f>
        <v>2305487</v>
      </c>
      <c r="O199" s="78">
        <f t="shared" ref="O199" si="225">IF(O195&lt;2299161,O195,O198)</f>
        <v>2305871</v>
      </c>
      <c r="P199" s="78">
        <f t="shared" ref="P199" si="226">IF(P195&lt;2299161,P195,P198)</f>
        <v>2026886</v>
      </c>
      <c r="Q199" s="78">
        <f t="shared" ref="Q199" si="227">IF(Q195&lt;2299161,Q195,Q198)</f>
        <v>1676535</v>
      </c>
      <c r="R199" s="78">
        <f t="shared" ref="R199" si="228">IF(R195&lt;2299161,R195,R198)</f>
        <v>1676505</v>
      </c>
      <c r="S199" s="78">
        <f t="shared" ref="S199" si="229">IF(S195&lt;2299161,S195,S198)</f>
        <v>1356010</v>
      </c>
      <c r="T199" s="78">
        <f t="shared" ref="T199" si="230">IF(T195&lt;2299161,T195,T198)</f>
        <v>1355921</v>
      </c>
      <c r="U199" s="78">
        <f t="shared" ref="U199" si="231">IF(U195&lt;2299161,U195,U198)</f>
        <v>1355685</v>
      </c>
      <c r="V199" s="78">
        <f t="shared" ref="V199" si="232">IF(V195&lt;2299161,V195,V198)</f>
        <v>25</v>
      </c>
      <c r="W199" s="78">
        <f t="shared" ref="W199" si="233">IF(W195&lt;2299161,W195,W198)</f>
        <v>2446942</v>
      </c>
      <c r="X199" s="78">
        <f t="shared" ref="X199" si="234">IF(X195&lt;2299161,X195,X198)</f>
        <v>2448772</v>
      </c>
      <c r="Y199" s="78">
        <f t="shared" ref="Y199" si="235">IF(Y195&lt;2299161,Y195,Y198)</f>
        <v>2443221</v>
      </c>
      <c r="Z199" s="78">
        <f t="shared" ref="Z199" si="236">IF(Z195&lt;2299161,Z195,Z198)</f>
        <v>2467642</v>
      </c>
      <c r="AA199" s="78">
        <f t="shared" ref="AA199" si="237">IF(AA195&lt;2299161,AA195,AA198)</f>
        <v>2451578</v>
      </c>
      <c r="AB199" s="78">
        <f t="shared" ref="AB199" si="238">IF(AB195&lt;2299161,AB195,AB198)</f>
        <v>2434953</v>
      </c>
      <c r="AC199" s="78">
        <f t="shared" ref="AC199" si="239">IF(AC195&lt;2299161,AC195,AC198)</f>
        <v>2443870</v>
      </c>
      <c r="AD199" s="78">
        <f t="shared" ref="AD199" si="240">IF(AD195&lt;2299161,AD195,AD198)</f>
        <v>2447296</v>
      </c>
      <c r="AE199" s="78">
        <f t="shared" ref="AE199" si="241">IF(AE195&lt;2299161,AE195,AE198)</f>
        <v>2443221</v>
      </c>
      <c r="AF199" s="78">
        <f t="shared" ref="AF199" si="242">IF(AF195&lt;2299161,AF195,AF198)</f>
        <v>2449009</v>
      </c>
      <c r="AG199" s="78">
        <f t="shared" ref="AG199" si="243">IF(AG195&lt;2299161,AG195,AG198)</f>
        <v>2448950</v>
      </c>
      <c r="AH199" s="78">
        <f t="shared" ref="AH199" si="244">IF(AH195&lt;2299161,AH195,AH198)</f>
        <v>2448359</v>
      </c>
      <c r="AI199" s="78">
        <f t="shared" ref="AI199" si="245">IF(AI195&lt;2299161,AI195,AI198)</f>
        <v>2448743</v>
      </c>
      <c r="AJ199" s="78">
        <f t="shared" ref="AJ199" si="246">IF(AJ195&lt;2299161,AJ195,AJ198)</f>
        <v>2449156</v>
      </c>
      <c r="AK199" s="78">
        <f t="shared" ref="AK199" si="247">IF(AK195&lt;2299161,AK195,AK198)</f>
        <v>2385104</v>
      </c>
      <c r="AL199" s="78">
        <f t="shared" ref="AL199" si="248">IF(AL195&lt;2299161,AL195,AL198)</f>
        <v>2448182</v>
      </c>
      <c r="AM199" s="78">
        <f t="shared" ref="AM199" si="249">IF(AM195&lt;2299161,AM195,AM198)</f>
        <v>1948452</v>
      </c>
      <c r="AN199" s="78">
        <f t="shared" ref="AN199" si="250">IF(AN195&lt;2299161,AN195,AN198)</f>
        <v>2451666</v>
      </c>
      <c r="AO199" s="78">
        <f t="shared" ref="AO199" si="251">IF(AO195&lt;2299161,AO195,AO198)</f>
        <v>1721451</v>
      </c>
      <c r="AP199" s="78">
        <f t="shared" ref="AP199" si="252">IF(AP195&lt;2299161,AP195,AP198)</f>
        <v>2459875</v>
      </c>
      <c r="AQ199" s="78">
        <f t="shared" ref="AQ199" si="253">IF(AQ195&lt;2299161,AQ195,AQ198)</f>
        <v>2459875</v>
      </c>
      <c r="AR199" s="78">
        <f t="shared" ref="AR199" si="254">IF(AR195&lt;2299161,AR195,AR198)</f>
        <v>2459905</v>
      </c>
      <c r="AS199" s="78">
        <f t="shared" ref="AS199" si="255">IF(AS195&lt;2299161,AS195,AS198)</f>
        <v>2459905</v>
      </c>
      <c r="AT199" s="78">
        <f t="shared" ref="AT199" si="256">IF(AT195&lt;2299161,AT195,AT198)</f>
        <v>2459905</v>
      </c>
      <c r="AU199" s="78">
        <f t="shared" ref="AU199" si="257">IF(AU195&lt;2299161,AU195,AU198)</f>
        <v>2441862</v>
      </c>
      <c r="AV199" s="78">
        <f t="shared" ref="AV199" si="258">IF(AV195&lt;2299161,AV195,AV198)</f>
        <v>2450721</v>
      </c>
      <c r="AW199" s="78">
        <f t="shared" ref="AW199" si="259">IF(AW195&lt;2299161,AW195,AW198)</f>
        <v>2427835</v>
      </c>
      <c r="AX199" s="78">
        <f t="shared" ref="AX199" si="260">IF(AX195&lt;2299161,AX195,AX198)</f>
        <v>2435985</v>
      </c>
      <c r="AY199" s="78">
        <f t="shared" ref="AY199" si="261">IF(AY195&lt;2299161,AY195,AY198)</f>
        <v>2459935</v>
      </c>
      <c r="AZ199" s="78">
        <f t="shared" ref="AZ199" si="262">IF(AZ195&lt;2299161,AZ195,AZ198)</f>
        <v>2459935</v>
      </c>
      <c r="BA199" s="78">
        <f t="shared" ref="BA199" si="263">IF(BA195&lt;2299161,BA195,BA198)</f>
        <v>2459964</v>
      </c>
      <c r="BB199" s="78">
        <f t="shared" ref="BB199" si="264">IF(BB195&lt;2299161,BB195,BB198)</f>
        <v>2459964</v>
      </c>
      <c r="BC199" s="78">
        <f t="shared" ref="BC199" si="265">IF(BC195&lt;2299161,BC195,BC198)</f>
        <v>2459964</v>
      </c>
      <c r="BD199" s="78">
        <f t="shared" ref="BD199" si="266">IF(BD195&lt;2299161,BD195,BD198)</f>
        <v>2459964</v>
      </c>
      <c r="BE199" s="78">
        <f t="shared" ref="BE199" si="267">IF(BE195&lt;2299161,BE195,BE198)</f>
        <v>2459964</v>
      </c>
      <c r="BF199" s="78">
        <f t="shared" ref="BF199" si="268">IF(BF195&lt;2299161,BF195,BF198)</f>
        <v>2459964</v>
      </c>
      <c r="BG199" s="78">
        <f t="shared" ref="BG199" si="269">IF(BG195&lt;2299161,BG195,BG198)</f>
        <v>2443221</v>
      </c>
    </row>
    <row r="200" spans="3:59" x14ac:dyDescent="0.25">
      <c r="C200" t="s">
        <v>1006</v>
      </c>
      <c r="D200" s="7" t="s">
        <v>111</v>
      </c>
      <c r="E200" s="78">
        <f t="shared" ref="E200:AU200" si="270">E199+1524</f>
        <v>2437687</v>
      </c>
      <c r="F200" s="78">
        <f t="shared" ref="F200:BG200" si="271">F199+1524</f>
        <v>1844287</v>
      </c>
      <c r="G200" s="78">
        <f t="shared" si="271"/>
        <v>2453102</v>
      </c>
      <c r="H200" s="78">
        <f t="shared" si="271"/>
        <v>2452747</v>
      </c>
      <c r="I200" s="78">
        <f t="shared" si="271"/>
        <v>2448377</v>
      </c>
      <c r="J200" s="78">
        <f t="shared" si="271"/>
        <v>2448525</v>
      </c>
      <c r="K200" s="78">
        <f t="shared" si="271"/>
        <v>2448731</v>
      </c>
      <c r="L200" s="78">
        <f t="shared" si="271"/>
        <v>2448879</v>
      </c>
      <c r="M200" s="78">
        <f t="shared" si="271"/>
        <v>2416571</v>
      </c>
      <c r="N200" s="78">
        <f t="shared" si="271"/>
        <v>2307011</v>
      </c>
      <c r="O200" s="78">
        <f t="shared" si="271"/>
        <v>2307395</v>
      </c>
      <c r="P200" s="78">
        <f t="shared" si="271"/>
        <v>2028410</v>
      </c>
      <c r="Q200" s="78">
        <f t="shared" si="271"/>
        <v>1678059</v>
      </c>
      <c r="R200" s="78">
        <f t="shared" si="271"/>
        <v>1678029</v>
      </c>
      <c r="S200" s="78">
        <f t="shared" si="271"/>
        <v>1357534</v>
      </c>
      <c r="T200" s="78">
        <f t="shared" si="271"/>
        <v>1357445</v>
      </c>
      <c r="U200" s="78">
        <f t="shared" si="271"/>
        <v>1357209</v>
      </c>
      <c r="V200" s="78">
        <f t="shared" si="271"/>
        <v>1549</v>
      </c>
      <c r="W200" s="78">
        <f t="shared" si="271"/>
        <v>2448466</v>
      </c>
      <c r="X200" s="78">
        <f t="shared" si="271"/>
        <v>2450296</v>
      </c>
      <c r="Y200" s="78">
        <f t="shared" si="271"/>
        <v>2444745</v>
      </c>
      <c r="Z200" s="78">
        <f t="shared" si="271"/>
        <v>2469166</v>
      </c>
      <c r="AA200" s="78">
        <f t="shared" si="271"/>
        <v>2453102</v>
      </c>
      <c r="AB200" s="78">
        <f t="shared" si="271"/>
        <v>2436477</v>
      </c>
      <c r="AC200" s="78">
        <f t="shared" si="271"/>
        <v>2445394</v>
      </c>
      <c r="AD200" s="78">
        <f t="shared" si="271"/>
        <v>2448820</v>
      </c>
      <c r="AE200" s="78">
        <f t="shared" si="271"/>
        <v>2444745</v>
      </c>
      <c r="AF200" s="78">
        <f t="shared" si="271"/>
        <v>2450533</v>
      </c>
      <c r="AG200" s="78">
        <f t="shared" si="271"/>
        <v>2450474</v>
      </c>
      <c r="AH200" s="78">
        <f t="shared" si="271"/>
        <v>2449883</v>
      </c>
      <c r="AI200" s="78">
        <f t="shared" si="271"/>
        <v>2450267</v>
      </c>
      <c r="AJ200" s="78">
        <f t="shared" si="271"/>
        <v>2450680</v>
      </c>
      <c r="AK200" s="78">
        <f t="shared" si="271"/>
        <v>2386628</v>
      </c>
      <c r="AL200" s="78">
        <f t="shared" si="271"/>
        <v>2449706</v>
      </c>
      <c r="AM200" s="78">
        <f t="shared" si="271"/>
        <v>1949976</v>
      </c>
      <c r="AN200" s="78">
        <f t="shared" si="271"/>
        <v>2453190</v>
      </c>
      <c r="AO200" s="78">
        <f t="shared" si="271"/>
        <v>1722975</v>
      </c>
      <c r="AP200" s="78">
        <f t="shared" si="271"/>
        <v>2461399</v>
      </c>
      <c r="AQ200" s="78">
        <f t="shared" si="271"/>
        <v>2461399</v>
      </c>
      <c r="AR200" s="78">
        <f t="shared" si="271"/>
        <v>2461429</v>
      </c>
      <c r="AS200" s="78">
        <f t="shared" si="271"/>
        <v>2461429</v>
      </c>
      <c r="AT200" s="78">
        <f t="shared" si="271"/>
        <v>2461429</v>
      </c>
      <c r="AU200" s="78">
        <f t="shared" si="271"/>
        <v>2443386</v>
      </c>
      <c r="AV200" s="78">
        <f t="shared" si="271"/>
        <v>2452245</v>
      </c>
      <c r="AW200" s="78">
        <f t="shared" si="271"/>
        <v>2429359</v>
      </c>
      <c r="AX200" s="78">
        <f t="shared" si="271"/>
        <v>2437509</v>
      </c>
      <c r="AY200" s="78">
        <f t="shared" si="271"/>
        <v>2461459</v>
      </c>
      <c r="AZ200" s="78">
        <f t="shared" si="271"/>
        <v>2461459</v>
      </c>
      <c r="BA200" s="78">
        <f t="shared" si="271"/>
        <v>2461488</v>
      </c>
      <c r="BB200" s="78">
        <f t="shared" si="271"/>
        <v>2461488</v>
      </c>
      <c r="BC200" s="78">
        <f t="shared" si="271"/>
        <v>2461488</v>
      </c>
      <c r="BD200" s="78">
        <f t="shared" si="271"/>
        <v>2461488</v>
      </c>
      <c r="BE200" s="78">
        <f t="shared" si="271"/>
        <v>2461488</v>
      </c>
      <c r="BF200" s="78">
        <f t="shared" si="271"/>
        <v>2461488</v>
      </c>
      <c r="BG200" s="78">
        <f t="shared" si="271"/>
        <v>2444745</v>
      </c>
    </row>
    <row r="201" spans="3:59" x14ac:dyDescent="0.25">
      <c r="C201" t="s">
        <v>1007</v>
      </c>
      <c r="D201" s="7" t="s">
        <v>161</v>
      </c>
      <c r="E201">
        <f t="shared" ref="E201:AU201" si="272">_xlfn.FLOOR.MATH((E200 - 122.1)/365.25)</f>
        <v>6673</v>
      </c>
      <c r="F201">
        <f t="shared" ref="F201:BG201" si="273">_xlfn.FLOOR.MATH((F200 - 122.1)/365.25)</f>
        <v>5049</v>
      </c>
      <c r="G201">
        <f t="shared" si="273"/>
        <v>6715</v>
      </c>
      <c r="H201">
        <f t="shared" si="273"/>
        <v>6714</v>
      </c>
      <c r="I201">
        <f t="shared" si="273"/>
        <v>6702</v>
      </c>
      <c r="J201">
        <f t="shared" si="273"/>
        <v>6703</v>
      </c>
      <c r="K201">
        <f t="shared" si="273"/>
        <v>6703</v>
      </c>
      <c r="L201">
        <f t="shared" si="273"/>
        <v>6704</v>
      </c>
      <c r="M201">
        <f t="shared" si="273"/>
        <v>6615</v>
      </c>
      <c r="N201">
        <f t="shared" si="273"/>
        <v>6315</v>
      </c>
      <c r="O201">
        <f t="shared" si="273"/>
        <v>6316</v>
      </c>
      <c r="P201">
        <f t="shared" si="273"/>
        <v>5553</v>
      </c>
      <c r="Q201">
        <f t="shared" si="273"/>
        <v>4593</v>
      </c>
      <c r="R201">
        <f t="shared" si="273"/>
        <v>4593</v>
      </c>
      <c r="S201">
        <f t="shared" si="273"/>
        <v>3716</v>
      </c>
      <c r="T201">
        <f t="shared" si="273"/>
        <v>3716</v>
      </c>
      <c r="U201">
        <f t="shared" si="273"/>
        <v>3715</v>
      </c>
      <c r="V201">
        <f t="shared" si="273"/>
        <v>3</v>
      </c>
      <c r="W201">
        <f t="shared" si="273"/>
        <v>6703</v>
      </c>
      <c r="X201">
        <f t="shared" si="273"/>
        <v>6708</v>
      </c>
      <c r="Y201">
        <f t="shared" si="273"/>
        <v>6693</v>
      </c>
      <c r="Z201">
        <f t="shared" si="273"/>
        <v>6759</v>
      </c>
      <c r="AA201">
        <f t="shared" si="273"/>
        <v>6715</v>
      </c>
      <c r="AB201">
        <f t="shared" si="273"/>
        <v>6670</v>
      </c>
      <c r="AC201">
        <f t="shared" si="273"/>
        <v>6694</v>
      </c>
      <c r="AD201">
        <f t="shared" si="273"/>
        <v>6704</v>
      </c>
      <c r="AE201">
        <f t="shared" si="273"/>
        <v>6693</v>
      </c>
      <c r="AF201">
        <f t="shared" si="273"/>
        <v>6708</v>
      </c>
      <c r="AG201">
        <f t="shared" si="273"/>
        <v>6708</v>
      </c>
      <c r="AH201">
        <f t="shared" si="273"/>
        <v>6707</v>
      </c>
      <c r="AI201">
        <f t="shared" si="273"/>
        <v>6708</v>
      </c>
      <c r="AJ201">
        <f t="shared" si="273"/>
        <v>6709</v>
      </c>
      <c r="AK201">
        <f t="shared" si="273"/>
        <v>6533</v>
      </c>
      <c r="AL201">
        <f t="shared" si="273"/>
        <v>6706</v>
      </c>
      <c r="AM201">
        <f t="shared" si="273"/>
        <v>5338</v>
      </c>
      <c r="AN201">
        <f t="shared" si="273"/>
        <v>6716</v>
      </c>
      <c r="AO201">
        <f t="shared" si="273"/>
        <v>4716</v>
      </c>
      <c r="AP201">
        <f t="shared" si="273"/>
        <v>6738</v>
      </c>
      <c r="AQ201">
        <f t="shared" si="273"/>
        <v>6738</v>
      </c>
      <c r="AR201">
        <f t="shared" si="273"/>
        <v>6738</v>
      </c>
      <c r="AS201">
        <f t="shared" si="273"/>
        <v>6738</v>
      </c>
      <c r="AT201">
        <f t="shared" si="273"/>
        <v>6738</v>
      </c>
      <c r="AU201">
        <f t="shared" si="273"/>
        <v>6689</v>
      </c>
      <c r="AV201">
        <f t="shared" si="273"/>
        <v>6713</v>
      </c>
      <c r="AW201">
        <f t="shared" si="273"/>
        <v>6650</v>
      </c>
      <c r="AX201">
        <f t="shared" si="273"/>
        <v>6673</v>
      </c>
      <c r="AY201">
        <f t="shared" si="273"/>
        <v>6738</v>
      </c>
      <c r="AZ201">
        <f t="shared" si="273"/>
        <v>6738</v>
      </c>
      <c r="BA201">
        <f t="shared" si="273"/>
        <v>6738</v>
      </c>
      <c r="BB201">
        <f t="shared" si="273"/>
        <v>6738</v>
      </c>
      <c r="BC201">
        <f t="shared" si="273"/>
        <v>6738</v>
      </c>
      <c r="BD201">
        <f t="shared" si="273"/>
        <v>6738</v>
      </c>
      <c r="BE201">
        <f t="shared" si="273"/>
        <v>6738</v>
      </c>
      <c r="BF201">
        <f t="shared" si="273"/>
        <v>6738</v>
      </c>
      <c r="BG201">
        <f t="shared" si="273"/>
        <v>6693</v>
      </c>
    </row>
    <row r="202" spans="3:59" x14ac:dyDescent="0.25">
      <c r="C202" t="s">
        <v>1008</v>
      </c>
      <c r="D202" s="7" t="s">
        <v>162</v>
      </c>
      <c r="E202">
        <f t="shared" ref="E202:AU202" si="274">_xlfn.FLOOR.MATH(365.25 *E201)</f>
        <v>2437313</v>
      </c>
      <c r="F202">
        <f t="shared" ref="F202:BG202" si="275">_xlfn.FLOOR.MATH(365.25 *F201)</f>
        <v>1844147</v>
      </c>
      <c r="G202">
        <f t="shared" si="275"/>
        <v>2452653</v>
      </c>
      <c r="H202">
        <f t="shared" si="275"/>
        <v>2452288</v>
      </c>
      <c r="I202">
        <f t="shared" si="275"/>
        <v>2447905</v>
      </c>
      <c r="J202">
        <f t="shared" si="275"/>
        <v>2448270</v>
      </c>
      <c r="K202">
        <f t="shared" si="275"/>
        <v>2448270</v>
      </c>
      <c r="L202">
        <f t="shared" si="275"/>
        <v>2448636</v>
      </c>
      <c r="M202">
        <f t="shared" si="275"/>
        <v>2416128</v>
      </c>
      <c r="N202">
        <f t="shared" si="275"/>
        <v>2306553</v>
      </c>
      <c r="O202">
        <f t="shared" si="275"/>
        <v>2306919</v>
      </c>
      <c r="P202">
        <f t="shared" si="275"/>
        <v>2028233</v>
      </c>
      <c r="Q202">
        <f t="shared" si="275"/>
        <v>1677593</v>
      </c>
      <c r="R202">
        <f t="shared" si="275"/>
        <v>1677593</v>
      </c>
      <c r="S202">
        <f t="shared" si="275"/>
        <v>1357269</v>
      </c>
      <c r="T202">
        <f t="shared" si="275"/>
        <v>1357269</v>
      </c>
      <c r="U202">
        <f t="shared" si="275"/>
        <v>1356903</v>
      </c>
      <c r="V202">
        <f t="shared" si="275"/>
        <v>1095</v>
      </c>
      <c r="W202">
        <f t="shared" si="275"/>
        <v>2448270</v>
      </c>
      <c r="X202">
        <f t="shared" si="275"/>
        <v>2450097</v>
      </c>
      <c r="Y202">
        <f t="shared" si="275"/>
        <v>2444618</v>
      </c>
      <c r="Z202">
        <f t="shared" si="275"/>
        <v>2468724</v>
      </c>
      <c r="AA202">
        <f t="shared" si="275"/>
        <v>2452653</v>
      </c>
      <c r="AB202">
        <f t="shared" si="275"/>
        <v>2436217</v>
      </c>
      <c r="AC202">
        <f t="shared" si="275"/>
        <v>2444983</v>
      </c>
      <c r="AD202">
        <f t="shared" si="275"/>
        <v>2448636</v>
      </c>
      <c r="AE202">
        <f t="shared" si="275"/>
        <v>2444618</v>
      </c>
      <c r="AF202">
        <f t="shared" si="275"/>
        <v>2450097</v>
      </c>
      <c r="AG202">
        <f t="shared" si="275"/>
        <v>2450097</v>
      </c>
      <c r="AH202">
        <f t="shared" si="275"/>
        <v>2449731</v>
      </c>
      <c r="AI202">
        <f t="shared" si="275"/>
        <v>2450097</v>
      </c>
      <c r="AJ202">
        <f t="shared" si="275"/>
        <v>2450462</v>
      </c>
      <c r="AK202">
        <f t="shared" si="275"/>
        <v>2386178</v>
      </c>
      <c r="AL202">
        <f t="shared" si="275"/>
        <v>2449366</v>
      </c>
      <c r="AM202">
        <f t="shared" si="275"/>
        <v>1949704</v>
      </c>
      <c r="AN202">
        <f t="shared" si="275"/>
        <v>2453019</v>
      </c>
      <c r="AO202">
        <f t="shared" si="275"/>
        <v>1722519</v>
      </c>
      <c r="AP202">
        <f t="shared" si="275"/>
        <v>2461054</v>
      </c>
      <c r="AQ202">
        <f t="shared" si="275"/>
        <v>2461054</v>
      </c>
      <c r="AR202">
        <f t="shared" si="275"/>
        <v>2461054</v>
      </c>
      <c r="AS202">
        <f t="shared" si="275"/>
        <v>2461054</v>
      </c>
      <c r="AT202">
        <f t="shared" si="275"/>
        <v>2461054</v>
      </c>
      <c r="AU202">
        <f t="shared" si="275"/>
        <v>2443157</v>
      </c>
      <c r="AV202">
        <f t="shared" si="275"/>
        <v>2451923</v>
      </c>
      <c r="AW202">
        <f t="shared" si="275"/>
        <v>2428912</v>
      </c>
      <c r="AX202">
        <f t="shared" si="275"/>
        <v>2437313</v>
      </c>
      <c r="AY202">
        <f t="shared" si="275"/>
        <v>2461054</v>
      </c>
      <c r="AZ202">
        <f t="shared" si="275"/>
        <v>2461054</v>
      </c>
      <c r="BA202">
        <f t="shared" si="275"/>
        <v>2461054</v>
      </c>
      <c r="BB202">
        <f t="shared" si="275"/>
        <v>2461054</v>
      </c>
      <c r="BC202">
        <f t="shared" si="275"/>
        <v>2461054</v>
      </c>
      <c r="BD202">
        <f t="shared" si="275"/>
        <v>2461054</v>
      </c>
      <c r="BE202">
        <f t="shared" si="275"/>
        <v>2461054</v>
      </c>
      <c r="BF202">
        <f t="shared" si="275"/>
        <v>2461054</v>
      </c>
      <c r="BG202">
        <f t="shared" si="275"/>
        <v>2444618</v>
      </c>
    </row>
    <row r="203" spans="3:59" x14ac:dyDescent="0.25">
      <c r="C203" t="s">
        <v>1009</v>
      </c>
      <c r="D203" s="7" t="s">
        <v>4</v>
      </c>
      <c r="E203">
        <f t="shared" ref="E203:AU203" si="276">_xlfn.FLOOR.MATH((E200 - E202) / 30.6001)</f>
        <v>12</v>
      </c>
      <c r="F203">
        <f t="shared" ref="F203:BG203" si="277">_xlfn.FLOOR.MATH((F200 - F202) / 30.6001)</f>
        <v>4</v>
      </c>
      <c r="G203">
        <f t="shared" si="277"/>
        <v>14</v>
      </c>
      <c r="H203">
        <f t="shared" si="277"/>
        <v>14</v>
      </c>
      <c r="I203">
        <f t="shared" si="277"/>
        <v>15</v>
      </c>
      <c r="J203">
        <f t="shared" si="277"/>
        <v>8</v>
      </c>
      <c r="K203">
        <f t="shared" si="277"/>
        <v>15</v>
      </c>
      <c r="L203">
        <f t="shared" si="277"/>
        <v>7</v>
      </c>
      <c r="M203">
        <f t="shared" si="277"/>
        <v>14</v>
      </c>
      <c r="N203">
        <f t="shared" si="277"/>
        <v>14</v>
      </c>
      <c r="O203">
        <f t="shared" si="277"/>
        <v>15</v>
      </c>
      <c r="P203">
        <f t="shared" si="277"/>
        <v>5</v>
      </c>
      <c r="Q203">
        <f t="shared" si="277"/>
        <v>15</v>
      </c>
      <c r="R203">
        <f t="shared" si="277"/>
        <v>14</v>
      </c>
      <c r="S203">
        <f t="shared" si="277"/>
        <v>8</v>
      </c>
      <c r="T203">
        <f t="shared" si="277"/>
        <v>5</v>
      </c>
      <c r="U203">
        <f t="shared" si="277"/>
        <v>9</v>
      </c>
      <c r="V203">
        <f t="shared" si="277"/>
        <v>14</v>
      </c>
      <c r="W203">
        <f t="shared" si="277"/>
        <v>6</v>
      </c>
      <c r="X203">
        <f t="shared" si="277"/>
        <v>6</v>
      </c>
      <c r="Y203">
        <f t="shared" si="277"/>
        <v>4</v>
      </c>
      <c r="Z203">
        <f t="shared" si="277"/>
        <v>14</v>
      </c>
      <c r="AA203">
        <f t="shared" si="277"/>
        <v>14</v>
      </c>
      <c r="AB203">
        <f t="shared" si="277"/>
        <v>8</v>
      </c>
      <c r="AC203">
        <f t="shared" si="277"/>
        <v>13</v>
      </c>
      <c r="AD203">
        <f t="shared" si="277"/>
        <v>6</v>
      </c>
      <c r="AE203">
        <f t="shared" si="277"/>
        <v>4</v>
      </c>
      <c r="AF203">
        <f t="shared" si="277"/>
        <v>14</v>
      </c>
      <c r="AG203">
        <f t="shared" si="277"/>
        <v>12</v>
      </c>
      <c r="AH203">
        <f t="shared" si="277"/>
        <v>4</v>
      </c>
      <c r="AI203">
        <f t="shared" si="277"/>
        <v>5</v>
      </c>
      <c r="AJ203">
        <f t="shared" si="277"/>
        <v>7</v>
      </c>
      <c r="AK203">
        <f t="shared" si="277"/>
        <v>14</v>
      </c>
      <c r="AL203">
        <f t="shared" si="277"/>
        <v>11</v>
      </c>
      <c r="AM203">
        <f t="shared" si="277"/>
        <v>8</v>
      </c>
      <c r="AN203">
        <f t="shared" si="277"/>
        <v>5</v>
      </c>
      <c r="AO203">
        <f t="shared" si="277"/>
        <v>14</v>
      </c>
      <c r="AP203">
        <f t="shared" si="277"/>
        <v>11</v>
      </c>
      <c r="AQ203">
        <f t="shared" si="277"/>
        <v>11</v>
      </c>
      <c r="AR203">
        <f t="shared" si="277"/>
        <v>12</v>
      </c>
      <c r="AS203">
        <f t="shared" si="277"/>
        <v>12</v>
      </c>
      <c r="AT203">
        <f t="shared" si="277"/>
        <v>12</v>
      </c>
      <c r="AU203">
        <f t="shared" si="277"/>
        <v>7</v>
      </c>
      <c r="AV203">
        <f t="shared" si="277"/>
        <v>10</v>
      </c>
      <c r="AW203">
        <f t="shared" si="277"/>
        <v>14</v>
      </c>
      <c r="AX203">
        <f t="shared" si="277"/>
        <v>6</v>
      </c>
      <c r="AY203">
        <f t="shared" si="277"/>
        <v>13</v>
      </c>
      <c r="AZ203">
        <f t="shared" si="277"/>
        <v>13</v>
      </c>
      <c r="BA203">
        <f t="shared" si="277"/>
        <v>14</v>
      </c>
      <c r="BB203">
        <f t="shared" si="277"/>
        <v>14</v>
      </c>
      <c r="BC203">
        <f t="shared" si="277"/>
        <v>14</v>
      </c>
      <c r="BD203">
        <f t="shared" si="277"/>
        <v>14</v>
      </c>
      <c r="BE203">
        <f t="shared" si="277"/>
        <v>14</v>
      </c>
      <c r="BF203">
        <f t="shared" si="277"/>
        <v>14</v>
      </c>
      <c r="BG203">
        <f t="shared" si="277"/>
        <v>4</v>
      </c>
    </row>
    <row r="204" spans="3:59" x14ac:dyDescent="0.25">
      <c r="C204" t="s">
        <v>1010</v>
      </c>
      <c r="D204" s="7" t="s">
        <v>1011</v>
      </c>
      <c r="E204" s="13">
        <f t="shared" ref="E204:AU204" si="278">E200 - E202 - _xlfn.FLOOR.MATH(30.6001 *E203) + E196</f>
        <v>7.6026083794422448</v>
      </c>
      <c r="F204" s="13">
        <f t="shared" ref="F204:BG204" si="279">F200 - F202 - _xlfn.FLOOR.MATH(30.6001 *F203) + F196</f>
        <v>18.308611930115148</v>
      </c>
      <c r="G204" s="13">
        <f t="shared" si="279"/>
        <v>21.197955150157213</v>
      </c>
      <c r="H204" s="13">
        <f t="shared" si="279"/>
        <v>31.680347113870084</v>
      </c>
      <c r="I204" s="13">
        <f t="shared" si="279"/>
        <v>13.896415404975414</v>
      </c>
      <c r="J204" s="13">
        <f t="shared" si="279"/>
        <v>11.155061224941164</v>
      </c>
      <c r="K204" s="13">
        <f t="shared" si="279"/>
        <v>2.8929362697526813</v>
      </c>
      <c r="L204" s="13">
        <f t="shared" si="279"/>
        <v>29.836773292627186</v>
      </c>
      <c r="M204" s="13">
        <f t="shared" si="279"/>
        <v>15.77501450618729</v>
      </c>
      <c r="N204" s="13">
        <f t="shared" si="279"/>
        <v>30.267657936550677</v>
      </c>
      <c r="O204" s="13">
        <f t="shared" si="279"/>
        <v>17.162838258314878</v>
      </c>
      <c r="P204" s="13">
        <f t="shared" si="279"/>
        <v>24.505671829450876</v>
      </c>
      <c r="Q204" s="13">
        <f t="shared" si="279"/>
        <v>7.3255609679035842</v>
      </c>
      <c r="R204" s="13">
        <f t="shared" si="279"/>
        <v>8.9113173605874181</v>
      </c>
      <c r="S204" s="13">
        <f t="shared" si="279"/>
        <v>21.320035006850958</v>
      </c>
      <c r="T204" s="13">
        <f t="shared" si="279"/>
        <v>23.429180609295145</v>
      </c>
      <c r="U204" s="13">
        <f t="shared" si="279"/>
        <v>31.532135393237695</v>
      </c>
      <c r="V204" s="13">
        <f t="shared" si="279"/>
        <v>26.820346631179184</v>
      </c>
      <c r="W204" s="13">
        <f t="shared" si="279"/>
        <v>13.516901660710573</v>
      </c>
      <c r="X204" s="13">
        <f t="shared" si="279"/>
        <v>16.688615520950407</v>
      </c>
      <c r="Y204" s="13">
        <f t="shared" si="279"/>
        <v>5.7377190017141402</v>
      </c>
      <c r="Z204" s="13">
        <f t="shared" si="279"/>
        <v>14.802162225823849</v>
      </c>
      <c r="AA204" s="13">
        <f t="shared" si="279"/>
        <v>21.197955150157213</v>
      </c>
      <c r="AB204" s="13">
        <f t="shared" si="279"/>
        <v>16.014858724083751</v>
      </c>
      <c r="AC204" s="13">
        <f t="shared" si="279"/>
        <v>14.521986166480929</v>
      </c>
      <c r="AD204" s="13">
        <f t="shared" si="279"/>
        <v>1.966958477627486</v>
      </c>
      <c r="AE204" s="13">
        <f t="shared" si="279"/>
        <v>5.7377190017141402</v>
      </c>
      <c r="AF204" s="13">
        <f t="shared" si="279"/>
        <v>8.5112680057063699</v>
      </c>
      <c r="AG204" s="13">
        <f t="shared" si="279"/>
        <v>10.409974373877048</v>
      </c>
      <c r="AH204" s="13">
        <f t="shared" si="279"/>
        <v>30.293051921762526</v>
      </c>
      <c r="AI204" s="13">
        <f t="shared" si="279"/>
        <v>17.210136807989329</v>
      </c>
      <c r="AJ204" s="13">
        <f t="shared" si="279"/>
        <v>4.5427804291248322</v>
      </c>
      <c r="AK204" s="13">
        <f t="shared" si="279"/>
        <v>22.433973963372409</v>
      </c>
      <c r="AL204" s="13">
        <f t="shared" si="279"/>
        <v>4.4893332622013986</v>
      </c>
      <c r="AM204" s="13">
        <f t="shared" si="279"/>
        <v>28.226035125320777</v>
      </c>
      <c r="AN204" s="13">
        <f t="shared" si="279"/>
        <v>18.736613394226879</v>
      </c>
      <c r="AO204" s="13">
        <f t="shared" si="279"/>
        <v>28.150606434326619</v>
      </c>
      <c r="AP204" s="13">
        <f t="shared" si="279"/>
        <v>9.8888501133769751</v>
      </c>
      <c r="AQ204" s="13">
        <f t="shared" si="279"/>
        <v>9.8888501133769751</v>
      </c>
      <c r="AR204" s="13">
        <f t="shared" si="279"/>
        <v>8.4586579017341137</v>
      </c>
      <c r="AS204" s="13">
        <f t="shared" si="279"/>
        <v>8.4586579017341137</v>
      </c>
      <c r="AT204" s="13">
        <f t="shared" si="279"/>
        <v>8.4586579017341137</v>
      </c>
      <c r="AU204" s="13">
        <f t="shared" si="279"/>
        <v>15.868669487535954</v>
      </c>
      <c r="AV204" s="13">
        <f t="shared" si="279"/>
        <v>16.783505147323012</v>
      </c>
      <c r="AW204" s="13">
        <f t="shared" si="279"/>
        <v>19.658128324896097</v>
      </c>
      <c r="AX204" s="13">
        <f t="shared" si="279"/>
        <v>13.938562175724655</v>
      </c>
      <c r="AY204" s="13">
        <f t="shared" si="279"/>
        <v>8.1527036507613957</v>
      </c>
      <c r="AZ204" s="13">
        <f t="shared" si="279"/>
        <v>8.1527036507613957</v>
      </c>
      <c r="BA204" s="13">
        <f t="shared" si="279"/>
        <v>6.948214141651988</v>
      </c>
      <c r="BB204" s="13">
        <f t="shared" si="279"/>
        <v>6.948214141651988</v>
      </c>
      <c r="BC204" s="13">
        <f t="shared" si="279"/>
        <v>6.948214141651988</v>
      </c>
      <c r="BD204" s="13">
        <f t="shared" si="279"/>
        <v>6.948214141651988</v>
      </c>
      <c r="BE204" s="13">
        <f t="shared" si="279"/>
        <v>6.948214141651988</v>
      </c>
      <c r="BF204" s="13">
        <f t="shared" si="279"/>
        <v>6.948214141651988</v>
      </c>
      <c r="BG204" s="13">
        <f t="shared" si="279"/>
        <v>5.7377190017141402</v>
      </c>
    </row>
    <row r="205" spans="3:59" x14ac:dyDescent="0.25">
      <c r="C205" t="s">
        <v>1012</v>
      </c>
      <c r="D205" s="7" t="s">
        <v>1013</v>
      </c>
      <c r="E205">
        <f t="shared" ref="E205:AU205" si="280">IF(E203&lt;14,E203-1,E203-13)</f>
        <v>11</v>
      </c>
      <c r="F205">
        <f t="shared" ref="F205:BG205" si="281">IF(F203&lt;14,F203-1,F203-13)</f>
        <v>3</v>
      </c>
      <c r="G205">
        <f t="shared" si="281"/>
        <v>1</v>
      </c>
      <c r="H205">
        <f t="shared" si="281"/>
        <v>1</v>
      </c>
      <c r="I205">
        <f t="shared" si="281"/>
        <v>2</v>
      </c>
      <c r="J205">
        <f t="shared" si="281"/>
        <v>7</v>
      </c>
      <c r="K205">
        <f t="shared" si="281"/>
        <v>2</v>
      </c>
      <c r="L205">
        <f t="shared" si="281"/>
        <v>6</v>
      </c>
      <c r="M205">
        <f t="shared" si="281"/>
        <v>1</v>
      </c>
      <c r="N205">
        <f t="shared" si="281"/>
        <v>1</v>
      </c>
      <c r="O205">
        <f t="shared" si="281"/>
        <v>2</v>
      </c>
      <c r="P205">
        <f t="shared" si="281"/>
        <v>4</v>
      </c>
      <c r="Q205">
        <f t="shared" si="281"/>
        <v>2</v>
      </c>
      <c r="R205">
        <f t="shared" si="281"/>
        <v>1</v>
      </c>
      <c r="S205">
        <f t="shared" si="281"/>
        <v>7</v>
      </c>
      <c r="T205">
        <f t="shared" si="281"/>
        <v>4</v>
      </c>
      <c r="U205">
        <f t="shared" si="281"/>
        <v>8</v>
      </c>
      <c r="V205">
        <f t="shared" si="281"/>
        <v>1</v>
      </c>
      <c r="W205">
        <f t="shared" si="281"/>
        <v>5</v>
      </c>
      <c r="X205">
        <f t="shared" si="281"/>
        <v>5</v>
      </c>
      <c r="Y205">
        <f t="shared" si="281"/>
        <v>3</v>
      </c>
      <c r="Z205">
        <f t="shared" si="281"/>
        <v>1</v>
      </c>
      <c r="AA205">
        <f t="shared" si="281"/>
        <v>1</v>
      </c>
      <c r="AB205">
        <f t="shared" si="281"/>
        <v>7</v>
      </c>
      <c r="AC205">
        <f t="shared" si="281"/>
        <v>12</v>
      </c>
      <c r="AD205">
        <f t="shared" si="281"/>
        <v>5</v>
      </c>
      <c r="AE205">
        <f t="shared" si="281"/>
        <v>3</v>
      </c>
      <c r="AF205">
        <f t="shared" si="281"/>
        <v>1</v>
      </c>
      <c r="AG205">
        <f t="shared" si="281"/>
        <v>11</v>
      </c>
      <c r="AH205">
        <f t="shared" si="281"/>
        <v>3</v>
      </c>
      <c r="AI205">
        <f t="shared" si="281"/>
        <v>4</v>
      </c>
      <c r="AJ205">
        <f t="shared" si="281"/>
        <v>6</v>
      </c>
      <c r="AK205">
        <f t="shared" si="281"/>
        <v>1</v>
      </c>
      <c r="AL205">
        <f t="shared" si="281"/>
        <v>10</v>
      </c>
      <c r="AM205">
        <f t="shared" si="281"/>
        <v>7</v>
      </c>
      <c r="AN205">
        <f t="shared" si="281"/>
        <v>4</v>
      </c>
      <c r="AO205">
        <f t="shared" si="281"/>
        <v>1</v>
      </c>
      <c r="AP205">
        <f t="shared" si="281"/>
        <v>10</v>
      </c>
      <c r="AQ205">
        <f t="shared" si="281"/>
        <v>10</v>
      </c>
      <c r="AR205">
        <f t="shared" si="281"/>
        <v>11</v>
      </c>
      <c r="AS205">
        <f t="shared" si="281"/>
        <v>11</v>
      </c>
      <c r="AT205">
        <f t="shared" si="281"/>
        <v>11</v>
      </c>
      <c r="AU205">
        <f t="shared" si="281"/>
        <v>6</v>
      </c>
      <c r="AV205">
        <f t="shared" si="281"/>
        <v>9</v>
      </c>
      <c r="AW205">
        <f t="shared" si="281"/>
        <v>1</v>
      </c>
      <c r="AX205">
        <f t="shared" si="281"/>
        <v>5</v>
      </c>
      <c r="AY205">
        <f t="shared" si="281"/>
        <v>12</v>
      </c>
      <c r="AZ205">
        <f t="shared" si="281"/>
        <v>12</v>
      </c>
      <c r="BA205">
        <f t="shared" si="281"/>
        <v>1</v>
      </c>
      <c r="BB205">
        <f t="shared" si="281"/>
        <v>1</v>
      </c>
      <c r="BC205">
        <f t="shared" si="281"/>
        <v>1</v>
      </c>
      <c r="BD205">
        <f t="shared" si="281"/>
        <v>1</v>
      </c>
      <c r="BE205">
        <f t="shared" si="281"/>
        <v>1</v>
      </c>
      <c r="BF205">
        <f t="shared" si="281"/>
        <v>1</v>
      </c>
      <c r="BG205">
        <f t="shared" si="281"/>
        <v>3</v>
      </c>
    </row>
    <row r="206" spans="3:59" x14ac:dyDescent="0.25">
      <c r="C206" t="s">
        <v>1014</v>
      </c>
      <c r="D206" s="7" t="s">
        <v>980</v>
      </c>
      <c r="E206">
        <f t="shared" ref="E206:AU206" si="282">IF(E205&gt;2,E201-4716,E201-4715)</f>
        <v>1957</v>
      </c>
      <c r="F206">
        <f t="shared" ref="F206:BG206" si="283">IF(F205&gt;2,F201-4716,F201-4715)</f>
        <v>333</v>
      </c>
      <c r="G206">
        <f t="shared" si="283"/>
        <v>2000</v>
      </c>
      <c r="H206">
        <f t="shared" si="283"/>
        <v>1999</v>
      </c>
      <c r="I206">
        <f t="shared" si="283"/>
        <v>1987</v>
      </c>
      <c r="J206">
        <f t="shared" si="283"/>
        <v>1987</v>
      </c>
      <c r="K206">
        <f t="shared" si="283"/>
        <v>1988</v>
      </c>
      <c r="L206">
        <f t="shared" si="283"/>
        <v>1988</v>
      </c>
      <c r="M206">
        <f t="shared" si="283"/>
        <v>1900</v>
      </c>
      <c r="N206">
        <f t="shared" si="283"/>
        <v>1600</v>
      </c>
      <c r="O206">
        <f t="shared" si="283"/>
        <v>1601</v>
      </c>
      <c r="P206">
        <f t="shared" si="283"/>
        <v>837</v>
      </c>
      <c r="Q206">
        <f t="shared" si="283"/>
        <v>-122</v>
      </c>
      <c r="R206">
        <f t="shared" si="283"/>
        <v>-122</v>
      </c>
      <c r="S206">
        <f t="shared" si="283"/>
        <v>-1000</v>
      </c>
      <c r="T206">
        <f t="shared" si="283"/>
        <v>-1000</v>
      </c>
      <c r="U206">
        <f t="shared" si="283"/>
        <v>-1001</v>
      </c>
      <c r="V206">
        <f t="shared" si="283"/>
        <v>-4712</v>
      </c>
      <c r="W206">
        <f t="shared" si="283"/>
        <v>1987</v>
      </c>
      <c r="X206">
        <f t="shared" si="283"/>
        <v>1992</v>
      </c>
      <c r="Y206">
        <f t="shared" si="283"/>
        <v>1977</v>
      </c>
      <c r="Z206">
        <f t="shared" si="283"/>
        <v>2044</v>
      </c>
      <c r="AA206">
        <f t="shared" si="283"/>
        <v>2000</v>
      </c>
      <c r="AB206">
        <f t="shared" si="283"/>
        <v>1954</v>
      </c>
      <c r="AC206">
        <f t="shared" si="283"/>
        <v>1978</v>
      </c>
      <c r="AD206">
        <f t="shared" si="283"/>
        <v>1988</v>
      </c>
      <c r="AE206">
        <f t="shared" si="283"/>
        <v>1977</v>
      </c>
      <c r="AF206">
        <f t="shared" si="283"/>
        <v>1993</v>
      </c>
      <c r="AG206">
        <f t="shared" si="283"/>
        <v>1992</v>
      </c>
      <c r="AH206">
        <f t="shared" si="283"/>
        <v>1991</v>
      </c>
      <c r="AI206">
        <f t="shared" si="283"/>
        <v>1992</v>
      </c>
      <c r="AJ206">
        <f t="shared" si="283"/>
        <v>1993</v>
      </c>
      <c r="AK206">
        <f t="shared" si="283"/>
        <v>1818</v>
      </c>
      <c r="AL206">
        <f t="shared" si="283"/>
        <v>1990</v>
      </c>
      <c r="AM206">
        <f t="shared" si="283"/>
        <v>622</v>
      </c>
      <c r="AN206">
        <f t="shared" si="283"/>
        <v>2000</v>
      </c>
      <c r="AO206">
        <f t="shared" si="283"/>
        <v>1</v>
      </c>
      <c r="AP206">
        <f t="shared" si="283"/>
        <v>2022</v>
      </c>
      <c r="AQ206">
        <f t="shared" si="283"/>
        <v>2022</v>
      </c>
      <c r="AR206">
        <f t="shared" si="283"/>
        <v>2022</v>
      </c>
      <c r="AS206">
        <f t="shared" si="283"/>
        <v>2022</v>
      </c>
      <c r="AT206">
        <f t="shared" si="283"/>
        <v>2022</v>
      </c>
      <c r="AU206">
        <f t="shared" si="283"/>
        <v>1973</v>
      </c>
      <c r="AV206">
        <f t="shared" si="283"/>
        <v>1997</v>
      </c>
      <c r="AW206">
        <f t="shared" si="283"/>
        <v>1935</v>
      </c>
      <c r="AX206">
        <f t="shared" si="283"/>
        <v>1957</v>
      </c>
      <c r="AY206">
        <f t="shared" si="283"/>
        <v>2022</v>
      </c>
      <c r="AZ206">
        <f t="shared" si="283"/>
        <v>2022</v>
      </c>
      <c r="BA206">
        <f t="shared" si="283"/>
        <v>2023</v>
      </c>
      <c r="BB206">
        <f t="shared" si="283"/>
        <v>2023</v>
      </c>
      <c r="BC206">
        <f t="shared" si="283"/>
        <v>2023</v>
      </c>
      <c r="BD206">
        <f t="shared" si="283"/>
        <v>2023</v>
      </c>
      <c r="BE206">
        <f t="shared" si="283"/>
        <v>2023</v>
      </c>
      <c r="BF206">
        <f t="shared" si="283"/>
        <v>2023</v>
      </c>
      <c r="BG206">
        <f t="shared" si="283"/>
        <v>1977</v>
      </c>
    </row>
    <row r="207" spans="3:59" x14ac:dyDescent="0.25">
      <c r="C207" s="35"/>
      <c r="D207" s="60" t="s">
        <v>938</v>
      </c>
      <c r="E207" s="122">
        <f t="shared" ref="E207:AU207" si="284">IF(E206&gt;1899,DATE(E206,E205,E204)+E196,E206&amp;"-"&amp;E205&amp;"-"&amp;E204)</f>
        <v>21131.602608379442</v>
      </c>
      <c r="F207" s="122" t="str">
        <f t="shared" ref="F207:BG207" si="285">IF(F206&gt;1899,DATE(F206,F205,F204)+F196,F206&amp;"-"&amp;F205&amp;"-"&amp;F204)</f>
        <v>333-3-18.3086119301151</v>
      </c>
      <c r="G207" s="122">
        <f t="shared" si="285"/>
        <v>36546.197955150157</v>
      </c>
      <c r="H207" s="122">
        <f t="shared" si="285"/>
        <v>36191.68034711387</v>
      </c>
      <c r="I207" s="122">
        <f t="shared" si="285"/>
        <v>31821.896415404975</v>
      </c>
      <c r="J207" s="122">
        <f t="shared" si="285"/>
        <v>31969.155061224941</v>
      </c>
      <c r="K207" s="122">
        <f t="shared" si="285"/>
        <v>32175.892936269753</v>
      </c>
      <c r="L207" s="122">
        <f t="shared" si="285"/>
        <v>32323.836773292627</v>
      </c>
      <c r="M207" s="122">
        <f t="shared" si="285"/>
        <v>15.77501450618729</v>
      </c>
      <c r="N207" s="122" t="str">
        <f t="shared" si="285"/>
        <v>1600-1-30.2676579365506</v>
      </c>
      <c r="O207" s="122" t="str">
        <f t="shared" si="285"/>
        <v>1601-2-17.1628382583148</v>
      </c>
      <c r="P207" s="122" t="str">
        <f t="shared" si="285"/>
        <v>837-4-24.5056718294508</v>
      </c>
      <c r="Q207" s="122" t="str">
        <f t="shared" si="285"/>
        <v>-122-2-7.32556096790358</v>
      </c>
      <c r="R207" s="122" t="str">
        <f t="shared" si="285"/>
        <v>-122-1-8.91131736058741</v>
      </c>
      <c r="S207" s="122" t="str">
        <f t="shared" si="285"/>
        <v>-1000-7-21.3200350068509</v>
      </c>
      <c r="T207" s="122" t="str">
        <f t="shared" si="285"/>
        <v>-1000-4-23.4291806092951</v>
      </c>
      <c r="U207" s="122" t="str">
        <f t="shared" si="285"/>
        <v>-1001-8-31.5321353932376</v>
      </c>
      <c r="V207" s="122" t="str">
        <f t="shared" si="285"/>
        <v>-4712-1-26.8203466311792</v>
      </c>
      <c r="W207" s="122">
        <f t="shared" si="285"/>
        <v>31910.516901660711</v>
      </c>
      <c r="X207" s="122">
        <f t="shared" si="285"/>
        <v>33740.68861552095</v>
      </c>
      <c r="Y207" s="122">
        <f t="shared" si="285"/>
        <v>28189.737719001714</v>
      </c>
      <c r="Z207" s="122">
        <f t="shared" si="285"/>
        <v>52610.802162225824</v>
      </c>
      <c r="AA207" s="122">
        <f t="shared" si="285"/>
        <v>36546.197955150157</v>
      </c>
      <c r="AB207" s="122">
        <f t="shared" si="285"/>
        <v>19921.014858724084</v>
      </c>
      <c r="AC207" s="122">
        <f t="shared" si="285"/>
        <v>28838.521986166481</v>
      </c>
      <c r="AD207" s="122">
        <f t="shared" si="285"/>
        <v>32264.966958477627</v>
      </c>
      <c r="AE207" s="122">
        <f t="shared" si="285"/>
        <v>28189.737719001714</v>
      </c>
      <c r="AF207" s="122">
        <f t="shared" si="285"/>
        <v>33977.511268005706</v>
      </c>
      <c r="AG207" s="122">
        <f t="shared" si="285"/>
        <v>33918.409974373877</v>
      </c>
      <c r="AH207" s="122">
        <f t="shared" si="285"/>
        <v>33327.293051921763</v>
      </c>
      <c r="AI207" s="122">
        <f t="shared" si="285"/>
        <v>33711.210136807989</v>
      </c>
      <c r="AJ207" s="122">
        <f t="shared" si="285"/>
        <v>34124.542780429125</v>
      </c>
      <c r="AK207" s="122" t="str">
        <f t="shared" si="285"/>
        <v>1818-1-22.4339739633724</v>
      </c>
      <c r="AL207" s="122">
        <f t="shared" si="285"/>
        <v>33150.489333262201</v>
      </c>
      <c r="AM207" s="122" t="str">
        <f t="shared" si="285"/>
        <v>622-7-28.2260351253207</v>
      </c>
      <c r="AN207" s="122">
        <f t="shared" si="285"/>
        <v>36634.736613394227</v>
      </c>
      <c r="AO207" s="122" t="str">
        <f t="shared" si="285"/>
        <v>1-1-28.1506064343266</v>
      </c>
      <c r="AP207" s="122">
        <f t="shared" si="285"/>
        <v>44843.888850113377</v>
      </c>
      <c r="AQ207" s="122">
        <f t="shared" si="285"/>
        <v>44843.888850113377</v>
      </c>
      <c r="AR207" s="122">
        <f t="shared" si="285"/>
        <v>44873.458657901734</v>
      </c>
      <c r="AS207" s="122">
        <f t="shared" si="285"/>
        <v>44873.458657901734</v>
      </c>
      <c r="AT207" s="122">
        <f t="shared" si="285"/>
        <v>44873.458657901734</v>
      </c>
      <c r="AU207" s="122">
        <f t="shared" si="285"/>
        <v>26830.868669487536</v>
      </c>
      <c r="AV207" s="122">
        <f t="shared" si="285"/>
        <v>35689.783505147323</v>
      </c>
      <c r="AW207" s="122">
        <f t="shared" si="285"/>
        <v>12803.658128324896</v>
      </c>
      <c r="AX207" s="122">
        <f t="shared" si="285"/>
        <v>20953.938562175725</v>
      </c>
      <c r="AY207" s="122">
        <f t="shared" si="285"/>
        <v>44903.152703650761</v>
      </c>
      <c r="AZ207" s="122">
        <f t="shared" si="285"/>
        <v>44903.152703650761</v>
      </c>
      <c r="BA207" s="122">
        <f t="shared" si="285"/>
        <v>44932.948214141652</v>
      </c>
      <c r="BB207" s="122">
        <f t="shared" si="285"/>
        <v>44932.948214141652</v>
      </c>
      <c r="BC207" s="122">
        <f t="shared" si="285"/>
        <v>44932.948214141652</v>
      </c>
      <c r="BD207" s="122">
        <f t="shared" si="285"/>
        <v>44932.948214141652</v>
      </c>
      <c r="BE207" s="122">
        <f t="shared" si="285"/>
        <v>44932.948214141652</v>
      </c>
      <c r="BF207" s="122">
        <f t="shared" si="285"/>
        <v>44932.948214141652</v>
      </c>
      <c r="BG207" s="122">
        <f t="shared" si="285"/>
        <v>28189.737719001714</v>
      </c>
    </row>
    <row r="208" spans="3:59" x14ac:dyDescent="0.25">
      <c r="D208" s="19" t="s">
        <v>3</v>
      </c>
      <c r="E208" s="336">
        <f>E193-E4</f>
        <v>2436150.1022356944</v>
      </c>
      <c r="F208" s="336">
        <f t="shared" ref="F208:BG208" si="286">F193-F4</f>
        <v>1842762.7457386758</v>
      </c>
      <c r="G208" s="336">
        <f t="shared" si="286"/>
        <v>2451564.6972028352</v>
      </c>
      <c r="H208" s="336">
        <f t="shared" si="286"/>
        <v>2451210.1791783348</v>
      </c>
      <c r="I208" s="336">
        <f t="shared" si="286"/>
        <v>2446840.3957695714</v>
      </c>
      <c r="J208" s="336">
        <f t="shared" si="286"/>
        <v>2446987.6544153914</v>
      </c>
      <c r="K208" s="336">
        <f t="shared" si="286"/>
        <v>2447194.3922904362</v>
      </c>
      <c r="L208" s="336">
        <f t="shared" si="286"/>
        <v>2447342.3361274591</v>
      </c>
      <c r="M208" s="336">
        <f t="shared" si="286"/>
        <v>2415035.2750469134</v>
      </c>
      <c r="N208" s="336">
        <f t="shared" si="286"/>
        <v>2305476.7665144182</v>
      </c>
      <c r="O208" s="336">
        <f t="shared" si="286"/>
        <v>2305860.6616947399</v>
      </c>
      <c r="P208" s="336">
        <f t="shared" si="286"/>
        <v>2026885.9786146586</v>
      </c>
      <c r="Q208" s="336">
        <f t="shared" si="286"/>
        <v>1676534.7174640191</v>
      </c>
      <c r="R208" s="336">
        <f t="shared" si="286"/>
        <v>1676505.3033329102</v>
      </c>
      <c r="S208" s="336">
        <f t="shared" si="286"/>
        <v>1356009.5907294513</v>
      </c>
      <c r="T208" s="336">
        <f t="shared" si="286"/>
        <v>1355920.6998750537</v>
      </c>
      <c r="U208" s="336">
        <f t="shared" si="286"/>
        <v>1355684.8026659195</v>
      </c>
      <c r="V208" s="336">
        <f t="shared" si="286"/>
        <v>24.07920486821622</v>
      </c>
      <c r="W208" s="336">
        <f t="shared" si="286"/>
        <v>2446929.0162558272</v>
      </c>
      <c r="X208" s="336">
        <f t="shared" si="286"/>
        <v>2448759.1879407526</v>
      </c>
      <c r="Y208" s="336">
        <f t="shared" si="286"/>
        <v>2443208.2371634464</v>
      </c>
      <c r="Z208" s="336">
        <f t="shared" si="286"/>
        <v>2467629.30064535</v>
      </c>
      <c r="AA208" s="336">
        <f t="shared" si="286"/>
        <v>2451564.6972028352</v>
      </c>
      <c r="AB208" s="336">
        <f t="shared" si="286"/>
        <v>2434939.5145033998</v>
      </c>
      <c r="AC208" s="336">
        <f t="shared" si="286"/>
        <v>2443857.0214248239</v>
      </c>
      <c r="AD208" s="336">
        <f t="shared" si="286"/>
        <v>2447283.4663126441</v>
      </c>
      <c r="AE208" s="336">
        <f t="shared" si="286"/>
        <v>2443208.2371634464</v>
      </c>
      <c r="AF208" s="336">
        <f t="shared" si="286"/>
        <v>2448996.0105932374</v>
      </c>
      <c r="AG208" s="336">
        <f t="shared" si="286"/>
        <v>2448936.9092996055</v>
      </c>
      <c r="AH208" s="336">
        <f t="shared" si="286"/>
        <v>2448345.7923771534</v>
      </c>
      <c r="AI208" s="336">
        <f t="shared" si="286"/>
        <v>2448729.7094620396</v>
      </c>
      <c r="AJ208" s="336">
        <f t="shared" si="286"/>
        <v>2449143.0420859847</v>
      </c>
      <c r="AK208" s="336">
        <f t="shared" si="286"/>
        <v>2385091.9339720686</v>
      </c>
      <c r="AL208" s="336">
        <f t="shared" si="286"/>
        <v>2448168.9886746975</v>
      </c>
      <c r="AM208" s="336">
        <f t="shared" si="286"/>
        <v>1948451.6855187304</v>
      </c>
      <c r="AN208" s="336">
        <f t="shared" si="286"/>
        <v>2451653.2358610793</v>
      </c>
      <c r="AO208" s="336">
        <f t="shared" si="286"/>
        <v>1721450.5560126551</v>
      </c>
      <c r="AP208" s="336">
        <f t="shared" si="286"/>
        <v>2459862.3877296909</v>
      </c>
      <c r="AQ208" s="336">
        <f t="shared" si="286"/>
        <v>2459862.3877296909</v>
      </c>
      <c r="AR208" s="336">
        <f t="shared" si="286"/>
        <v>2459891.9575374792</v>
      </c>
      <c r="AS208" s="336">
        <f t="shared" si="286"/>
        <v>2459891.9575374792</v>
      </c>
      <c r="AT208" s="336">
        <f t="shared" si="286"/>
        <v>2459891.9575374792</v>
      </c>
      <c r="AU208" s="336">
        <f t="shared" si="286"/>
        <v>2441849.3681544415</v>
      </c>
      <c r="AV208" s="336">
        <f t="shared" si="286"/>
        <v>2450708.2827759809</v>
      </c>
      <c r="AW208" s="336">
        <f t="shared" si="286"/>
        <v>2427822.1578517044</v>
      </c>
      <c r="AX208" s="336">
        <f t="shared" si="286"/>
        <v>2435972.4381894907</v>
      </c>
      <c r="AY208" s="336">
        <f t="shared" si="286"/>
        <v>2459921.6515832283</v>
      </c>
      <c r="AZ208" s="336">
        <f t="shared" si="286"/>
        <v>2459921.6515832283</v>
      </c>
      <c r="BA208" s="336">
        <f t="shared" si="286"/>
        <v>2459951.4470937192</v>
      </c>
      <c r="BB208" s="336">
        <f t="shared" si="286"/>
        <v>2459951.4470937192</v>
      </c>
      <c r="BC208" s="336">
        <f t="shared" si="286"/>
        <v>2459951.4470937192</v>
      </c>
      <c r="BD208" s="336">
        <f t="shared" si="286"/>
        <v>2459951.4470937192</v>
      </c>
      <c r="BE208" s="336">
        <f t="shared" si="286"/>
        <v>2459951.4470937192</v>
      </c>
      <c r="BF208" s="336">
        <f t="shared" si="286"/>
        <v>2459951.4470937192</v>
      </c>
      <c r="BG208" s="336">
        <f t="shared" si="286"/>
        <v>2443208.2371634464</v>
      </c>
    </row>
    <row r="209" spans="2:59" x14ac:dyDescent="0.25">
      <c r="D20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</row>
    <row r="210" spans="2:59" x14ac:dyDescent="0.25">
      <c r="C210" t="s">
        <v>1000</v>
      </c>
      <c r="D210" s="7" t="s">
        <v>1001</v>
      </c>
      <c r="E210">
        <f t="shared" ref="E210:AU210" si="287">_xlfn.FLOOR.MATH(E208+0.5)</f>
        <v>2436150</v>
      </c>
      <c r="F210">
        <f t="shared" ref="F210:BG210" si="288">_xlfn.FLOOR.MATH(F208+0.5)</f>
        <v>1842763</v>
      </c>
      <c r="G210">
        <f t="shared" si="288"/>
        <v>2451565</v>
      </c>
      <c r="H210">
        <f t="shared" si="288"/>
        <v>2451210</v>
      </c>
      <c r="I210">
        <f t="shared" si="288"/>
        <v>2446840</v>
      </c>
      <c r="J210">
        <f t="shared" si="288"/>
        <v>2446988</v>
      </c>
      <c r="K210">
        <f t="shared" si="288"/>
        <v>2447194</v>
      </c>
      <c r="L210">
        <f t="shared" si="288"/>
        <v>2447342</v>
      </c>
      <c r="M210">
        <f t="shared" si="288"/>
        <v>2415035</v>
      </c>
      <c r="N210">
        <f t="shared" si="288"/>
        <v>2305477</v>
      </c>
      <c r="O210">
        <f t="shared" si="288"/>
        <v>2305861</v>
      </c>
      <c r="P210">
        <f t="shared" si="288"/>
        <v>2026886</v>
      </c>
      <c r="Q210">
        <f t="shared" si="288"/>
        <v>1676535</v>
      </c>
      <c r="R210">
        <f t="shared" si="288"/>
        <v>1676505</v>
      </c>
      <c r="S210">
        <f t="shared" si="288"/>
        <v>1356010</v>
      </c>
      <c r="T210">
        <f t="shared" si="288"/>
        <v>1355921</v>
      </c>
      <c r="U210">
        <f t="shared" si="288"/>
        <v>1355685</v>
      </c>
      <c r="V210">
        <f t="shared" si="288"/>
        <v>24</v>
      </c>
      <c r="W210">
        <f t="shared" si="288"/>
        <v>2446929</v>
      </c>
      <c r="X210">
        <f t="shared" si="288"/>
        <v>2448759</v>
      </c>
      <c r="Y210">
        <f t="shared" si="288"/>
        <v>2443208</v>
      </c>
      <c r="Z210">
        <f t="shared" si="288"/>
        <v>2467629</v>
      </c>
      <c r="AA210">
        <f t="shared" si="288"/>
        <v>2451565</v>
      </c>
      <c r="AB210">
        <f t="shared" si="288"/>
        <v>2434940</v>
      </c>
      <c r="AC210">
        <f t="shared" si="288"/>
        <v>2443857</v>
      </c>
      <c r="AD210">
        <f t="shared" si="288"/>
        <v>2447283</v>
      </c>
      <c r="AE210">
        <f t="shared" si="288"/>
        <v>2443208</v>
      </c>
      <c r="AF210">
        <f t="shared" si="288"/>
        <v>2448996</v>
      </c>
      <c r="AG210">
        <f t="shared" si="288"/>
        <v>2448937</v>
      </c>
      <c r="AH210">
        <f t="shared" si="288"/>
        <v>2448346</v>
      </c>
      <c r="AI210">
        <f t="shared" si="288"/>
        <v>2448730</v>
      </c>
      <c r="AJ210">
        <f t="shared" si="288"/>
        <v>2449143</v>
      </c>
      <c r="AK210">
        <f t="shared" si="288"/>
        <v>2385092</v>
      </c>
      <c r="AL210">
        <f t="shared" si="288"/>
        <v>2448169</v>
      </c>
      <c r="AM210">
        <f t="shared" si="288"/>
        <v>1948452</v>
      </c>
      <c r="AN210">
        <f t="shared" si="288"/>
        <v>2451653</v>
      </c>
      <c r="AO210">
        <f t="shared" si="288"/>
        <v>1721451</v>
      </c>
      <c r="AP210">
        <f t="shared" si="288"/>
        <v>2459862</v>
      </c>
      <c r="AQ210">
        <f t="shared" si="288"/>
        <v>2459862</v>
      </c>
      <c r="AR210">
        <f t="shared" si="288"/>
        <v>2459892</v>
      </c>
      <c r="AS210">
        <f t="shared" si="288"/>
        <v>2459892</v>
      </c>
      <c r="AT210">
        <f t="shared" si="288"/>
        <v>2459892</v>
      </c>
      <c r="AU210">
        <f t="shared" si="288"/>
        <v>2441849</v>
      </c>
      <c r="AV210">
        <f t="shared" si="288"/>
        <v>2450708</v>
      </c>
      <c r="AW210">
        <f t="shared" si="288"/>
        <v>2427822</v>
      </c>
      <c r="AX210">
        <f t="shared" si="288"/>
        <v>2435972</v>
      </c>
      <c r="AY210">
        <f t="shared" si="288"/>
        <v>2459922</v>
      </c>
      <c r="AZ210">
        <f t="shared" si="288"/>
        <v>2459922</v>
      </c>
      <c r="BA210">
        <f t="shared" si="288"/>
        <v>2459951</v>
      </c>
      <c r="BB210">
        <f t="shared" si="288"/>
        <v>2459951</v>
      </c>
      <c r="BC210">
        <f t="shared" si="288"/>
        <v>2459951</v>
      </c>
      <c r="BD210">
        <f t="shared" si="288"/>
        <v>2459951</v>
      </c>
      <c r="BE210">
        <f t="shared" si="288"/>
        <v>2459951</v>
      </c>
      <c r="BF210">
        <f t="shared" si="288"/>
        <v>2459951</v>
      </c>
      <c r="BG210">
        <f t="shared" si="288"/>
        <v>2443208</v>
      </c>
    </row>
    <row r="211" spans="2:59" x14ac:dyDescent="0.25">
      <c r="C211" t="s">
        <v>1002</v>
      </c>
      <c r="D211" s="7" t="s">
        <v>7</v>
      </c>
      <c r="E211" s="13">
        <f t="shared" ref="E211:AU211" si="289">(E208+0.5) - E210</f>
        <v>0.60223569441586733</v>
      </c>
      <c r="F211" s="13">
        <f t="shared" ref="F211:BG211" si="290">(F208+0.5) - F210</f>
        <v>0.24573867581784725</v>
      </c>
      <c r="G211" s="13">
        <f t="shared" si="290"/>
        <v>0.19720283523201942</v>
      </c>
      <c r="H211" s="13">
        <f t="shared" si="290"/>
        <v>0.67917833477258682</v>
      </c>
      <c r="I211" s="13">
        <f t="shared" si="290"/>
        <v>0.89576957141980529</v>
      </c>
      <c r="J211" s="13">
        <f t="shared" si="290"/>
        <v>0.15441539138555527</v>
      </c>
      <c r="K211" s="13">
        <f t="shared" si="290"/>
        <v>0.89229043619707227</v>
      </c>
      <c r="L211" s="13">
        <f t="shared" si="290"/>
        <v>0.8361274590715766</v>
      </c>
      <c r="M211" s="13">
        <f t="shared" si="290"/>
        <v>0.77504691341891885</v>
      </c>
      <c r="N211" s="13">
        <f t="shared" si="290"/>
        <v>0.26651441818103194</v>
      </c>
      <c r="O211" s="13">
        <f t="shared" si="290"/>
        <v>0.16169473994523287</v>
      </c>
      <c r="P211" s="13">
        <f t="shared" si="290"/>
        <v>0.4786146585829556</v>
      </c>
      <c r="Q211" s="13">
        <f t="shared" si="290"/>
        <v>0.21746401907876134</v>
      </c>
      <c r="R211" s="13">
        <f t="shared" si="290"/>
        <v>0.80333291017450392</v>
      </c>
      <c r="S211" s="13">
        <f t="shared" si="290"/>
        <v>9.0729451272636652E-2</v>
      </c>
      <c r="T211" s="13">
        <f t="shared" si="290"/>
        <v>0.19987505371682346</v>
      </c>
      <c r="U211" s="13">
        <f t="shared" si="290"/>
        <v>0.30266591953113675</v>
      </c>
      <c r="V211" s="13">
        <f t="shared" si="290"/>
        <v>0.57920486821621964</v>
      </c>
      <c r="W211" s="13">
        <f t="shared" si="290"/>
        <v>0.51625582715496421</v>
      </c>
      <c r="X211" s="13">
        <f t="shared" si="290"/>
        <v>0.68794075259938836</v>
      </c>
      <c r="Y211" s="13">
        <f t="shared" si="290"/>
        <v>0.73716344637796283</v>
      </c>
      <c r="Z211" s="13">
        <f t="shared" si="290"/>
        <v>0.80064535001292825</v>
      </c>
      <c r="AA211" s="13">
        <f t="shared" si="290"/>
        <v>0.19720283523201942</v>
      </c>
      <c r="AB211" s="13">
        <f t="shared" si="290"/>
        <v>1.4503399841487408E-2</v>
      </c>
      <c r="AC211" s="13">
        <f t="shared" si="290"/>
        <v>0.52142482390627265</v>
      </c>
      <c r="AD211" s="13">
        <f t="shared" si="290"/>
        <v>0.966312644071877</v>
      </c>
      <c r="AE211" s="13">
        <f t="shared" si="290"/>
        <v>0.73716344637796283</v>
      </c>
      <c r="AF211" s="13">
        <f t="shared" si="290"/>
        <v>0.51059323735535145</v>
      </c>
      <c r="AG211" s="13">
        <f t="shared" si="290"/>
        <v>0.40929960552603006</v>
      </c>
      <c r="AH211" s="13">
        <f t="shared" si="290"/>
        <v>0.29237715341150761</v>
      </c>
      <c r="AI211" s="13">
        <f t="shared" si="290"/>
        <v>0.20946203963831067</v>
      </c>
      <c r="AJ211" s="13">
        <f t="shared" si="290"/>
        <v>0.54208598472177982</v>
      </c>
      <c r="AK211" s="13">
        <f t="shared" si="290"/>
        <v>0.43397206859663129</v>
      </c>
      <c r="AL211" s="13">
        <f t="shared" si="290"/>
        <v>0.48867469746619463</v>
      </c>
      <c r="AM211" s="13">
        <f t="shared" si="290"/>
        <v>0.18551873043179512</v>
      </c>
      <c r="AN211" s="13">
        <f t="shared" si="290"/>
        <v>0.73586107930168509</v>
      </c>
      <c r="AO211" s="13">
        <f t="shared" si="290"/>
        <v>5.6012655142694712E-2</v>
      </c>
      <c r="AP211" s="13">
        <f t="shared" si="290"/>
        <v>0.88772969087585807</v>
      </c>
      <c r="AQ211" s="13">
        <f t="shared" si="290"/>
        <v>0.88772969087585807</v>
      </c>
      <c r="AR211" s="13">
        <f t="shared" si="290"/>
        <v>0.4575374792329967</v>
      </c>
      <c r="AS211" s="13">
        <f t="shared" si="290"/>
        <v>0.4575374792329967</v>
      </c>
      <c r="AT211" s="13">
        <f t="shared" si="290"/>
        <v>0.4575374792329967</v>
      </c>
      <c r="AU211" s="13">
        <f t="shared" si="290"/>
        <v>0.86815444147214293</v>
      </c>
      <c r="AV211" s="13">
        <f t="shared" si="290"/>
        <v>0.78277598088607192</v>
      </c>
      <c r="AW211" s="13">
        <f t="shared" si="290"/>
        <v>0.65785170439630747</v>
      </c>
      <c r="AX211" s="13">
        <f t="shared" si="290"/>
        <v>0.93818949069827795</v>
      </c>
      <c r="AY211" s="13">
        <f t="shared" si="290"/>
        <v>0.1515832282602787</v>
      </c>
      <c r="AZ211" s="13">
        <f t="shared" si="290"/>
        <v>0.1515832282602787</v>
      </c>
      <c r="BA211" s="13">
        <f t="shared" si="290"/>
        <v>0.94709371915087104</v>
      </c>
      <c r="BB211" s="13">
        <f t="shared" si="290"/>
        <v>0.94709371915087104</v>
      </c>
      <c r="BC211" s="13">
        <f t="shared" si="290"/>
        <v>0.94709371915087104</v>
      </c>
      <c r="BD211" s="13">
        <f t="shared" si="290"/>
        <v>0.94709371915087104</v>
      </c>
      <c r="BE211" s="13">
        <f t="shared" si="290"/>
        <v>0.94709371915087104</v>
      </c>
      <c r="BF211" s="13">
        <f t="shared" si="290"/>
        <v>0.94709371915087104</v>
      </c>
      <c r="BG211" s="13">
        <f t="shared" si="290"/>
        <v>0.73716344637796283</v>
      </c>
    </row>
    <row r="212" spans="2:59" x14ac:dyDescent="0.25">
      <c r="C212" t="s">
        <v>1003</v>
      </c>
      <c r="D212" s="7" t="s">
        <v>281</v>
      </c>
      <c r="E212">
        <f t="shared" ref="E212:AU212" si="291" xml:space="preserve">    _xlfn.FLOOR.MATH((E210 - 1867216.25) / 36524.25)</f>
        <v>15</v>
      </c>
      <c r="F212">
        <f t="shared" ref="F212:BG212" si="292" xml:space="preserve">    _xlfn.FLOOR.MATH((F210 - 1867216.25) / 36524.25)</f>
        <v>-1</v>
      </c>
      <c r="G212">
        <f t="shared" si="292"/>
        <v>15</v>
      </c>
      <c r="H212">
        <f t="shared" si="292"/>
        <v>15</v>
      </c>
      <c r="I212">
        <f t="shared" si="292"/>
        <v>15</v>
      </c>
      <c r="J212">
        <f t="shared" si="292"/>
        <v>15</v>
      </c>
      <c r="K212">
        <f t="shared" si="292"/>
        <v>15</v>
      </c>
      <c r="L212">
        <f t="shared" si="292"/>
        <v>15</v>
      </c>
      <c r="M212">
        <f t="shared" si="292"/>
        <v>14</v>
      </c>
      <c r="N212">
        <f t="shared" si="292"/>
        <v>11</v>
      </c>
      <c r="O212">
        <f t="shared" si="292"/>
        <v>12</v>
      </c>
      <c r="P212">
        <f t="shared" si="292"/>
        <v>4</v>
      </c>
      <c r="Q212">
        <f t="shared" si="292"/>
        <v>-6</v>
      </c>
      <c r="R212">
        <f t="shared" si="292"/>
        <v>-6</v>
      </c>
      <c r="S212">
        <f t="shared" si="292"/>
        <v>-14</v>
      </c>
      <c r="T212">
        <f t="shared" si="292"/>
        <v>-14</v>
      </c>
      <c r="U212">
        <f t="shared" si="292"/>
        <v>-15</v>
      </c>
      <c r="V212">
        <f t="shared" si="292"/>
        <v>-52</v>
      </c>
      <c r="W212">
        <f t="shared" si="292"/>
        <v>15</v>
      </c>
      <c r="X212">
        <f t="shared" si="292"/>
        <v>15</v>
      </c>
      <c r="Y212">
        <f t="shared" si="292"/>
        <v>15</v>
      </c>
      <c r="Z212">
        <f t="shared" si="292"/>
        <v>16</v>
      </c>
      <c r="AA212">
        <f t="shared" si="292"/>
        <v>15</v>
      </c>
      <c r="AB212">
        <f t="shared" si="292"/>
        <v>15</v>
      </c>
      <c r="AC212">
        <f t="shared" si="292"/>
        <v>15</v>
      </c>
      <c r="AD212">
        <f t="shared" si="292"/>
        <v>15</v>
      </c>
      <c r="AE212">
        <f t="shared" si="292"/>
        <v>15</v>
      </c>
      <c r="AF212">
        <f t="shared" si="292"/>
        <v>15</v>
      </c>
      <c r="AG212">
        <f t="shared" si="292"/>
        <v>15</v>
      </c>
      <c r="AH212">
        <f t="shared" si="292"/>
        <v>15</v>
      </c>
      <c r="AI212">
        <f t="shared" si="292"/>
        <v>15</v>
      </c>
      <c r="AJ212">
        <f t="shared" si="292"/>
        <v>15</v>
      </c>
      <c r="AK212">
        <f t="shared" si="292"/>
        <v>14</v>
      </c>
      <c r="AL212">
        <f t="shared" si="292"/>
        <v>15</v>
      </c>
      <c r="AM212">
        <f t="shared" si="292"/>
        <v>2</v>
      </c>
      <c r="AN212">
        <f t="shared" si="292"/>
        <v>16</v>
      </c>
      <c r="AO212">
        <f t="shared" si="292"/>
        <v>-4</v>
      </c>
      <c r="AP212">
        <f t="shared" si="292"/>
        <v>16</v>
      </c>
      <c r="AQ212">
        <f t="shared" si="292"/>
        <v>16</v>
      </c>
      <c r="AR212">
        <f t="shared" si="292"/>
        <v>16</v>
      </c>
      <c r="AS212">
        <f t="shared" si="292"/>
        <v>16</v>
      </c>
      <c r="AT212">
        <f t="shared" si="292"/>
        <v>16</v>
      </c>
      <c r="AU212">
        <f t="shared" si="292"/>
        <v>15</v>
      </c>
      <c r="AV212">
        <f t="shared" si="292"/>
        <v>15</v>
      </c>
      <c r="AW212">
        <f t="shared" si="292"/>
        <v>15</v>
      </c>
      <c r="AX212">
        <f t="shared" si="292"/>
        <v>15</v>
      </c>
      <c r="AY212">
        <f t="shared" si="292"/>
        <v>16</v>
      </c>
      <c r="AZ212">
        <f t="shared" si="292"/>
        <v>16</v>
      </c>
      <c r="BA212">
        <f t="shared" si="292"/>
        <v>16</v>
      </c>
      <c r="BB212">
        <f t="shared" si="292"/>
        <v>16</v>
      </c>
      <c r="BC212">
        <f t="shared" si="292"/>
        <v>16</v>
      </c>
      <c r="BD212">
        <f t="shared" si="292"/>
        <v>16</v>
      </c>
      <c r="BE212">
        <f t="shared" si="292"/>
        <v>16</v>
      </c>
      <c r="BF212">
        <f t="shared" si="292"/>
        <v>16</v>
      </c>
      <c r="BG212">
        <f t="shared" si="292"/>
        <v>15</v>
      </c>
    </row>
    <row r="213" spans="2:59" x14ac:dyDescent="0.25">
      <c r="C213" t="s">
        <v>1004</v>
      </c>
      <c r="D213" s="7" t="s">
        <v>256</v>
      </c>
      <c r="E213" s="78">
        <f t="shared" ref="E213:AU213" si="293" xml:space="preserve">    E210 + 1 + E212 - _xlfn.FLOOR.MATH(E212/4)</f>
        <v>2436163</v>
      </c>
      <c r="F213" s="78">
        <f t="shared" ref="F213:BG213" si="294" xml:space="preserve">    F210 + 1 + F212 - _xlfn.FLOOR.MATH(F212/4)</f>
        <v>1842764</v>
      </c>
      <c r="G213" s="78">
        <f t="shared" si="294"/>
        <v>2451578</v>
      </c>
      <c r="H213" s="78">
        <f t="shared" si="294"/>
        <v>2451223</v>
      </c>
      <c r="I213" s="78">
        <f t="shared" si="294"/>
        <v>2446853</v>
      </c>
      <c r="J213" s="78">
        <f t="shared" si="294"/>
        <v>2447001</v>
      </c>
      <c r="K213" s="78">
        <f t="shared" si="294"/>
        <v>2447207</v>
      </c>
      <c r="L213" s="78">
        <f t="shared" si="294"/>
        <v>2447355</v>
      </c>
      <c r="M213" s="78">
        <f t="shared" si="294"/>
        <v>2415047</v>
      </c>
      <c r="N213" s="78">
        <f t="shared" si="294"/>
        <v>2305487</v>
      </c>
      <c r="O213" s="78">
        <f t="shared" si="294"/>
        <v>2305871</v>
      </c>
      <c r="P213" s="78">
        <f t="shared" si="294"/>
        <v>2026890</v>
      </c>
      <c r="Q213" s="78">
        <f t="shared" si="294"/>
        <v>1676532</v>
      </c>
      <c r="R213" s="78">
        <f t="shared" si="294"/>
        <v>1676502</v>
      </c>
      <c r="S213" s="78">
        <f t="shared" si="294"/>
        <v>1356001</v>
      </c>
      <c r="T213" s="78">
        <f t="shared" si="294"/>
        <v>1355912</v>
      </c>
      <c r="U213" s="78">
        <f t="shared" si="294"/>
        <v>1355675</v>
      </c>
      <c r="V213" s="78">
        <f t="shared" si="294"/>
        <v>-14</v>
      </c>
      <c r="W213" s="78">
        <f t="shared" si="294"/>
        <v>2446942</v>
      </c>
      <c r="X213" s="78">
        <f t="shared" si="294"/>
        <v>2448772</v>
      </c>
      <c r="Y213" s="78">
        <f t="shared" si="294"/>
        <v>2443221</v>
      </c>
      <c r="Z213" s="78">
        <f t="shared" si="294"/>
        <v>2467642</v>
      </c>
      <c r="AA213" s="78">
        <f t="shared" si="294"/>
        <v>2451578</v>
      </c>
      <c r="AB213" s="78">
        <f t="shared" si="294"/>
        <v>2434953</v>
      </c>
      <c r="AC213" s="78">
        <f t="shared" si="294"/>
        <v>2443870</v>
      </c>
      <c r="AD213" s="78">
        <f t="shared" si="294"/>
        <v>2447296</v>
      </c>
      <c r="AE213" s="78">
        <f t="shared" si="294"/>
        <v>2443221</v>
      </c>
      <c r="AF213" s="78">
        <f t="shared" si="294"/>
        <v>2449009</v>
      </c>
      <c r="AG213" s="78">
        <f t="shared" si="294"/>
        <v>2448950</v>
      </c>
      <c r="AH213" s="78">
        <f t="shared" si="294"/>
        <v>2448359</v>
      </c>
      <c r="AI213" s="78">
        <f t="shared" si="294"/>
        <v>2448743</v>
      </c>
      <c r="AJ213" s="78">
        <f t="shared" si="294"/>
        <v>2449156</v>
      </c>
      <c r="AK213" s="78">
        <f t="shared" si="294"/>
        <v>2385104</v>
      </c>
      <c r="AL213" s="78">
        <f t="shared" si="294"/>
        <v>2448182</v>
      </c>
      <c r="AM213" s="78">
        <f t="shared" si="294"/>
        <v>1948455</v>
      </c>
      <c r="AN213" s="78">
        <f t="shared" si="294"/>
        <v>2451666</v>
      </c>
      <c r="AO213" s="78">
        <f t="shared" si="294"/>
        <v>1721449</v>
      </c>
      <c r="AP213" s="78">
        <f t="shared" si="294"/>
        <v>2459875</v>
      </c>
      <c r="AQ213" s="78">
        <f t="shared" si="294"/>
        <v>2459875</v>
      </c>
      <c r="AR213" s="78">
        <f t="shared" si="294"/>
        <v>2459905</v>
      </c>
      <c r="AS213" s="78">
        <f t="shared" si="294"/>
        <v>2459905</v>
      </c>
      <c r="AT213" s="78">
        <f t="shared" si="294"/>
        <v>2459905</v>
      </c>
      <c r="AU213" s="78">
        <f t="shared" si="294"/>
        <v>2441862</v>
      </c>
      <c r="AV213" s="78">
        <f t="shared" si="294"/>
        <v>2450721</v>
      </c>
      <c r="AW213" s="78">
        <f t="shared" si="294"/>
        <v>2427835</v>
      </c>
      <c r="AX213" s="78">
        <f t="shared" si="294"/>
        <v>2435985</v>
      </c>
      <c r="AY213" s="78">
        <f t="shared" si="294"/>
        <v>2459935</v>
      </c>
      <c r="AZ213" s="78">
        <f t="shared" si="294"/>
        <v>2459935</v>
      </c>
      <c r="BA213" s="78">
        <f t="shared" si="294"/>
        <v>2459964</v>
      </c>
      <c r="BB213" s="78">
        <f t="shared" si="294"/>
        <v>2459964</v>
      </c>
      <c r="BC213" s="78">
        <f t="shared" si="294"/>
        <v>2459964</v>
      </c>
      <c r="BD213" s="78">
        <f t="shared" si="294"/>
        <v>2459964</v>
      </c>
      <c r="BE213" s="78">
        <f t="shared" si="294"/>
        <v>2459964</v>
      </c>
      <c r="BF213" s="78">
        <f t="shared" si="294"/>
        <v>2459964</v>
      </c>
      <c r="BG213" s="78">
        <f t="shared" si="294"/>
        <v>2443221</v>
      </c>
    </row>
    <row r="214" spans="2:59" x14ac:dyDescent="0.25">
      <c r="C214" t="s">
        <v>1005</v>
      </c>
      <c r="D214" s="7" t="s">
        <v>110</v>
      </c>
      <c r="E214" s="78">
        <f t="shared" ref="E214:AU214" si="295">IF(E210&lt;2299161,E210,E213)</f>
        <v>2436163</v>
      </c>
      <c r="F214" s="78">
        <f t="shared" ref="F214:BG214" si="296">IF(F210&lt;2299161,F210,F213)</f>
        <v>1842763</v>
      </c>
      <c r="G214" s="78">
        <f t="shared" si="296"/>
        <v>2451578</v>
      </c>
      <c r="H214" s="78">
        <f t="shared" si="296"/>
        <v>2451223</v>
      </c>
      <c r="I214" s="78">
        <f t="shared" si="296"/>
        <v>2446853</v>
      </c>
      <c r="J214" s="78">
        <f t="shared" si="296"/>
        <v>2447001</v>
      </c>
      <c r="K214" s="78">
        <f t="shared" si="296"/>
        <v>2447207</v>
      </c>
      <c r="L214" s="78">
        <f t="shared" si="296"/>
        <v>2447355</v>
      </c>
      <c r="M214" s="78">
        <f t="shared" si="296"/>
        <v>2415047</v>
      </c>
      <c r="N214" s="78">
        <f t="shared" si="296"/>
        <v>2305487</v>
      </c>
      <c r="O214" s="78">
        <f t="shared" si="296"/>
        <v>2305871</v>
      </c>
      <c r="P214" s="78">
        <f t="shared" si="296"/>
        <v>2026886</v>
      </c>
      <c r="Q214" s="78">
        <f t="shared" si="296"/>
        <v>1676535</v>
      </c>
      <c r="R214" s="78">
        <f t="shared" si="296"/>
        <v>1676505</v>
      </c>
      <c r="S214" s="78">
        <f t="shared" si="296"/>
        <v>1356010</v>
      </c>
      <c r="T214" s="78">
        <f t="shared" si="296"/>
        <v>1355921</v>
      </c>
      <c r="U214" s="78">
        <f t="shared" si="296"/>
        <v>1355685</v>
      </c>
      <c r="V214" s="78">
        <f t="shared" si="296"/>
        <v>24</v>
      </c>
      <c r="W214" s="78">
        <f t="shared" si="296"/>
        <v>2446942</v>
      </c>
      <c r="X214" s="78">
        <f t="shared" si="296"/>
        <v>2448772</v>
      </c>
      <c r="Y214" s="78">
        <f t="shared" si="296"/>
        <v>2443221</v>
      </c>
      <c r="Z214" s="78">
        <f t="shared" si="296"/>
        <v>2467642</v>
      </c>
      <c r="AA214" s="78">
        <f t="shared" si="296"/>
        <v>2451578</v>
      </c>
      <c r="AB214" s="78">
        <f t="shared" si="296"/>
        <v>2434953</v>
      </c>
      <c r="AC214" s="78">
        <f t="shared" si="296"/>
        <v>2443870</v>
      </c>
      <c r="AD214" s="78">
        <f t="shared" si="296"/>
        <v>2447296</v>
      </c>
      <c r="AE214" s="78">
        <f t="shared" si="296"/>
        <v>2443221</v>
      </c>
      <c r="AF214" s="78">
        <f t="shared" si="296"/>
        <v>2449009</v>
      </c>
      <c r="AG214" s="78">
        <f t="shared" si="296"/>
        <v>2448950</v>
      </c>
      <c r="AH214" s="78">
        <f t="shared" si="296"/>
        <v>2448359</v>
      </c>
      <c r="AI214" s="78">
        <f t="shared" si="296"/>
        <v>2448743</v>
      </c>
      <c r="AJ214" s="78">
        <f t="shared" si="296"/>
        <v>2449156</v>
      </c>
      <c r="AK214" s="78">
        <f t="shared" si="296"/>
        <v>2385104</v>
      </c>
      <c r="AL214" s="78">
        <f t="shared" si="296"/>
        <v>2448182</v>
      </c>
      <c r="AM214" s="78">
        <f t="shared" si="296"/>
        <v>1948452</v>
      </c>
      <c r="AN214" s="78">
        <f t="shared" si="296"/>
        <v>2451666</v>
      </c>
      <c r="AO214" s="78">
        <f t="shared" si="296"/>
        <v>1721451</v>
      </c>
      <c r="AP214" s="78">
        <f t="shared" si="296"/>
        <v>2459875</v>
      </c>
      <c r="AQ214" s="78">
        <f t="shared" si="296"/>
        <v>2459875</v>
      </c>
      <c r="AR214" s="78">
        <f t="shared" si="296"/>
        <v>2459905</v>
      </c>
      <c r="AS214" s="78">
        <f t="shared" si="296"/>
        <v>2459905</v>
      </c>
      <c r="AT214" s="78">
        <f t="shared" si="296"/>
        <v>2459905</v>
      </c>
      <c r="AU214" s="78">
        <f t="shared" si="296"/>
        <v>2441862</v>
      </c>
      <c r="AV214" s="78">
        <f t="shared" si="296"/>
        <v>2450721</v>
      </c>
      <c r="AW214" s="78">
        <f t="shared" si="296"/>
        <v>2427835</v>
      </c>
      <c r="AX214" s="78">
        <f t="shared" si="296"/>
        <v>2435985</v>
      </c>
      <c r="AY214" s="78">
        <f t="shared" si="296"/>
        <v>2459935</v>
      </c>
      <c r="AZ214" s="78">
        <f t="shared" si="296"/>
        <v>2459935</v>
      </c>
      <c r="BA214" s="78">
        <f t="shared" si="296"/>
        <v>2459964</v>
      </c>
      <c r="BB214" s="78">
        <f t="shared" si="296"/>
        <v>2459964</v>
      </c>
      <c r="BC214" s="78">
        <f t="shared" si="296"/>
        <v>2459964</v>
      </c>
      <c r="BD214" s="78">
        <f t="shared" si="296"/>
        <v>2459964</v>
      </c>
      <c r="BE214" s="78">
        <f t="shared" si="296"/>
        <v>2459964</v>
      </c>
      <c r="BF214" s="78">
        <f t="shared" si="296"/>
        <v>2459964</v>
      </c>
      <c r="BG214" s="78">
        <f t="shared" si="296"/>
        <v>2443221</v>
      </c>
    </row>
    <row r="215" spans="2:59" x14ac:dyDescent="0.25">
      <c r="C215" t="s">
        <v>1006</v>
      </c>
      <c r="D215" s="7" t="s">
        <v>111</v>
      </c>
      <c r="E215" s="78">
        <f t="shared" ref="E215:AU215" si="297">E214+1524</f>
        <v>2437687</v>
      </c>
      <c r="F215" s="78">
        <f t="shared" ref="F215:BG215" si="298">F214+1524</f>
        <v>1844287</v>
      </c>
      <c r="G215" s="78">
        <f t="shared" si="298"/>
        <v>2453102</v>
      </c>
      <c r="H215" s="78">
        <f t="shared" si="298"/>
        <v>2452747</v>
      </c>
      <c r="I215" s="78">
        <f t="shared" si="298"/>
        <v>2448377</v>
      </c>
      <c r="J215" s="78">
        <f t="shared" si="298"/>
        <v>2448525</v>
      </c>
      <c r="K215" s="78">
        <f t="shared" si="298"/>
        <v>2448731</v>
      </c>
      <c r="L215" s="78">
        <f t="shared" si="298"/>
        <v>2448879</v>
      </c>
      <c r="M215" s="78">
        <f t="shared" si="298"/>
        <v>2416571</v>
      </c>
      <c r="N215" s="78">
        <f t="shared" si="298"/>
        <v>2307011</v>
      </c>
      <c r="O215" s="78">
        <f t="shared" si="298"/>
        <v>2307395</v>
      </c>
      <c r="P215" s="78">
        <f t="shared" si="298"/>
        <v>2028410</v>
      </c>
      <c r="Q215" s="78">
        <f t="shared" si="298"/>
        <v>1678059</v>
      </c>
      <c r="R215" s="78">
        <f t="shared" si="298"/>
        <v>1678029</v>
      </c>
      <c r="S215" s="78">
        <f t="shared" si="298"/>
        <v>1357534</v>
      </c>
      <c r="T215" s="78">
        <f t="shared" si="298"/>
        <v>1357445</v>
      </c>
      <c r="U215" s="78">
        <f t="shared" si="298"/>
        <v>1357209</v>
      </c>
      <c r="V215" s="78">
        <f t="shared" si="298"/>
        <v>1548</v>
      </c>
      <c r="W215" s="78">
        <f t="shared" si="298"/>
        <v>2448466</v>
      </c>
      <c r="X215" s="78">
        <f t="shared" si="298"/>
        <v>2450296</v>
      </c>
      <c r="Y215" s="78">
        <f t="shared" si="298"/>
        <v>2444745</v>
      </c>
      <c r="Z215" s="78">
        <f t="shared" si="298"/>
        <v>2469166</v>
      </c>
      <c r="AA215" s="78">
        <f t="shared" si="298"/>
        <v>2453102</v>
      </c>
      <c r="AB215" s="78">
        <f t="shared" si="298"/>
        <v>2436477</v>
      </c>
      <c r="AC215" s="78">
        <f t="shared" si="298"/>
        <v>2445394</v>
      </c>
      <c r="AD215" s="78">
        <f t="shared" si="298"/>
        <v>2448820</v>
      </c>
      <c r="AE215" s="78">
        <f t="shared" si="298"/>
        <v>2444745</v>
      </c>
      <c r="AF215" s="78">
        <f t="shared" si="298"/>
        <v>2450533</v>
      </c>
      <c r="AG215" s="78">
        <f t="shared" si="298"/>
        <v>2450474</v>
      </c>
      <c r="AH215" s="78">
        <f t="shared" si="298"/>
        <v>2449883</v>
      </c>
      <c r="AI215" s="78">
        <f t="shared" si="298"/>
        <v>2450267</v>
      </c>
      <c r="AJ215" s="78">
        <f t="shared" si="298"/>
        <v>2450680</v>
      </c>
      <c r="AK215" s="78">
        <f t="shared" si="298"/>
        <v>2386628</v>
      </c>
      <c r="AL215" s="78">
        <f t="shared" si="298"/>
        <v>2449706</v>
      </c>
      <c r="AM215" s="78">
        <f t="shared" si="298"/>
        <v>1949976</v>
      </c>
      <c r="AN215" s="78">
        <f t="shared" si="298"/>
        <v>2453190</v>
      </c>
      <c r="AO215" s="78">
        <f t="shared" si="298"/>
        <v>1722975</v>
      </c>
      <c r="AP215" s="78">
        <f t="shared" si="298"/>
        <v>2461399</v>
      </c>
      <c r="AQ215" s="78">
        <f t="shared" si="298"/>
        <v>2461399</v>
      </c>
      <c r="AR215" s="78">
        <f t="shared" si="298"/>
        <v>2461429</v>
      </c>
      <c r="AS215" s="78">
        <f t="shared" si="298"/>
        <v>2461429</v>
      </c>
      <c r="AT215" s="78">
        <f t="shared" si="298"/>
        <v>2461429</v>
      </c>
      <c r="AU215" s="78">
        <f t="shared" si="298"/>
        <v>2443386</v>
      </c>
      <c r="AV215" s="78">
        <f t="shared" si="298"/>
        <v>2452245</v>
      </c>
      <c r="AW215" s="78">
        <f t="shared" si="298"/>
        <v>2429359</v>
      </c>
      <c r="AX215" s="78">
        <f t="shared" si="298"/>
        <v>2437509</v>
      </c>
      <c r="AY215" s="78">
        <f t="shared" si="298"/>
        <v>2461459</v>
      </c>
      <c r="AZ215" s="78">
        <f t="shared" si="298"/>
        <v>2461459</v>
      </c>
      <c r="BA215" s="78">
        <f t="shared" si="298"/>
        <v>2461488</v>
      </c>
      <c r="BB215" s="78">
        <f t="shared" si="298"/>
        <v>2461488</v>
      </c>
      <c r="BC215" s="78">
        <f t="shared" si="298"/>
        <v>2461488</v>
      </c>
      <c r="BD215" s="78">
        <f t="shared" si="298"/>
        <v>2461488</v>
      </c>
      <c r="BE215" s="78">
        <f t="shared" si="298"/>
        <v>2461488</v>
      </c>
      <c r="BF215" s="78">
        <f t="shared" si="298"/>
        <v>2461488</v>
      </c>
      <c r="BG215" s="78">
        <f t="shared" si="298"/>
        <v>2444745</v>
      </c>
    </row>
    <row r="216" spans="2:59" x14ac:dyDescent="0.25">
      <c r="C216" t="s">
        <v>1007</v>
      </c>
      <c r="D216" s="7" t="s">
        <v>161</v>
      </c>
      <c r="E216">
        <f t="shared" ref="E216:AU216" si="299">_xlfn.FLOOR.MATH((E215 - 122.1)/365.25)</f>
        <v>6673</v>
      </c>
      <c r="F216">
        <f t="shared" ref="F216:BG216" si="300">_xlfn.FLOOR.MATH((F215 - 122.1)/365.25)</f>
        <v>5049</v>
      </c>
      <c r="G216">
        <f t="shared" si="300"/>
        <v>6715</v>
      </c>
      <c r="H216">
        <f t="shared" si="300"/>
        <v>6714</v>
      </c>
      <c r="I216">
        <f t="shared" si="300"/>
        <v>6702</v>
      </c>
      <c r="J216">
        <f t="shared" si="300"/>
        <v>6703</v>
      </c>
      <c r="K216">
        <f t="shared" si="300"/>
        <v>6703</v>
      </c>
      <c r="L216">
        <f t="shared" si="300"/>
        <v>6704</v>
      </c>
      <c r="M216">
        <f t="shared" si="300"/>
        <v>6615</v>
      </c>
      <c r="N216">
        <f t="shared" si="300"/>
        <v>6315</v>
      </c>
      <c r="O216">
        <f t="shared" si="300"/>
        <v>6316</v>
      </c>
      <c r="P216">
        <f t="shared" si="300"/>
        <v>5553</v>
      </c>
      <c r="Q216">
        <f t="shared" si="300"/>
        <v>4593</v>
      </c>
      <c r="R216">
        <f t="shared" si="300"/>
        <v>4593</v>
      </c>
      <c r="S216">
        <f t="shared" si="300"/>
        <v>3716</v>
      </c>
      <c r="T216">
        <f t="shared" si="300"/>
        <v>3716</v>
      </c>
      <c r="U216">
        <f t="shared" si="300"/>
        <v>3715</v>
      </c>
      <c r="V216">
        <f t="shared" si="300"/>
        <v>3</v>
      </c>
      <c r="W216">
        <f t="shared" si="300"/>
        <v>6703</v>
      </c>
      <c r="X216">
        <f t="shared" si="300"/>
        <v>6708</v>
      </c>
      <c r="Y216">
        <f t="shared" si="300"/>
        <v>6693</v>
      </c>
      <c r="Z216">
        <f t="shared" si="300"/>
        <v>6759</v>
      </c>
      <c r="AA216">
        <f t="shared" si="300"/>
        <v>6715</v>
      </c>
      <c r="AB216">
        <f t="shared" si="300"/>
        <v>6670</v>
      </c>
      <c r="AC216">
        <f t="shared" si="300"/>
        <v>6694</v>
      </c>
      <c r="AD216">
        <f t="shared" si="300"/>
        <v>6704</v>
      </c>
      <c r="AE216">
        <f t="shared" si="300"/>
        <v>6693</v>
      </c>
      <c r="AF216">
        <f t="shared" si="300"/>
        <v>6708</v>
      </c>
      <c r="AG216">
        <f t="shared" si="300"/>
        <v>6708</v>
      </c>
      <c r="AH216">
        <f t="shared" si="300"/>
        <v>6707</v>
      </c>
      <c r="AI216">
        <f t="shared" si="300"/>
        <v>6708</v>
      </c>
      <c r="AJ216">
        <f t="shared" si="300"/>
        <v>6709</v>
      </c>
      <c r="AK216">
        <f t="shared" si="300"/>
        <v>6533</v>
      </c>
      <c r="AL216">
        <f t="shared" si="300"/>
        <v>6706</v>
      </c>
      <c r="AM216">
        <f t="shared" si="300"/>
        <v>5338</v>
      </c>
      <c r="AN216">
        <f t="shared" si="300"/>
        <v>6716</v>
      </c>
      <c r="AO216">
        <f t="shared" si="300"/>
        <v>4716</v>
      </c>
      <c r="AP216">
        <f t="shared" si="300"/>
        <v>6738</v>
      </c>
      <c r="AQ216">
        <f t="shared" si="300"/>
        <v>6738</v>
      </c>
      <c r="AR216">
        <f t="shared" si="300"/>
        <v>6738</v>
      </c>
      <c r="AS216">
        <f t="shared" si="300"/>
        <v>6738</v>
      </c>
      <c r="AT216">
        <f t="shared" si="300"/>
        <v>6738</v>
      </c>
      <c r="AU216">
        <f t="shared" si="300"/>
        <v>6689</v>
      </c>
      <c r="AV216">
        <f t="shared" si="300"/>
        <v>6713</v>
      </c>
      <c r="AW216">
        <f t="shared" si="300"/>
        <v>6650</v>
      </c>
      <c r="AX216">
        <f t="shared" si="300"/>
        <v>6673</v>
      </c>
      <c r="AY216">
        <f t="shared" si="300"/>
        <v>6738</v>
      </c>
      <c r="AZ216">
        <f t="shared" si="300"/>
        <v>6738</v>
      </c>
      <c r="BA216">
        <f t="shared" si="300"/>
        <v>6738</v>
      </c>
      <c r="BB216">
        <f t="shared" si="300"/>
        <v>6738</v>
      </c>
      <c r="BC216">
        <f t="shared" si="300"/>
        <v>6738</v>
      </c>
      <c r="BD216">
        <f t="shared" si="300"/>
        <v>6738</v>
      </c>
      <c r="BE216">
        <f t="shared" si="300"/>
        <v>6738</v>
      </c>
      <c r="BF216">
        <f t="shared" si="300"/>
        <v>6738</v>
      </c>
      <c r="BG216">
        <f t="shared" si="300"/>
        <v>6693</v>
      </c>
    </row>
    <row r="217" spans="2:59" x14ac:dyDescent="0.25">
      <c r="C217" t="s">
        <v>1008</v>
      </c>
      <c r="D217" s="7" t="s">
        <v>162</v>
      </c>
      <c r="E217">
        <f t="shared" ref="E217:AU217" si="301">_xlfn.FLOOR.MATH(365.25 *E216)</f>
        <v>2437313</v>
      </c>
      <c r="F217">
        <f t="shared" ref="F217:BG217" si="302">_xlfn.FLOOR.MATH(365.25 *F216)</f>
        <v>1844147</v>
      </c>
      <c r="G217">
        <f t="shared" si="302"/>
        <v>2452653</v>
      </c>
      <c r="H217">
        <f t="shared" si="302"/>
        <v>2452288</v>
      </c>
      <c r="I217">
        <f t="shared" si="302"/>
        <v>2447905</v>
      </c>
      <c r="J217">
        <f t="shared" si="302"/>
        <v>2448270</v>
      </c>
      <c r="K217">
        <f t="shared" si="302"/>
        <v>2448270</v>
      </c>
      <c r="L217">
        <f t="shared" si="302"/>
        <v>2448636</v>
      </c>
      <c r="M217">
        <f t="shared" si="302"/>
        <v>2416128</v>
      </c>
      <c r="N217">
        <f t="shared" si="302"/>
        <v>2306553</v>
      </c>
      <c r="O217">
        <f t="shared" si="302"/>
        <v>2306919</v>
      </c>
      <c r="P217">
        <f t="shared" si="302"/>
        <v>2028233</v>
      </c>
      <c r="Q217">
        <f t="shared" si="302"/>
        <v>1677593</v>
      </c>
      <c r="R217">
        <f t="shared" si="302"/>
        <v>1677593</v>
      </c>
      <c r="S217">
        <f t="shared" si="302"/>
        <v>1357269</v>
      </c>
      <c r="T217">
        <f t="shared" si="302"/>
        <v>1357269</v>
      </c>
      <c r="U217">
        <f t="shared" si="302"/>
        <v>1356903</v>
      </c>
      <c r="V217">
        <f t="shared" si="302"/>
        <v>1095</v>
      </c>
      <c r="W217">
        <f t="shared" si="302"/>
        <v>2448270</v>
      </c>
      <c r="X217">
        <f t="shared" si="302"/>
        <v>2450097</v>
      </c>
      <c r="Y217">
        <f t="shared" si="302"/>
        <v>2444618</v>
      </c>
      <c r="Z217">
        <f t="shared" si="302"/>
        <v>2468724</v>
      </c>
      <c r="AA217">
        <f t="shared" si="302"/>
        <v>2452653</v>
      </c>
      <c r="AB217">
        <f t="shared" si="302"/>
        <v>2436217</v>
      </c>
      <c r="AC217">
        <f t="shared" si="302"/>
        <v>2444983</v>
      </c>
      <c r="AD217">
        <f t="shared" si="302"/>
        <v>2448636</v>
      </c>
      <c r="AE217">
        <f t="shared" si="302"/>
        <v>2444618</v>
      </c>
      <c r="AF217">
        <f t="shared" si="302"/>
        <v>2450097</v>
      </c>
      <c r="AG217">
        <f t="shared" si="302"/>
        <v>2450097</v>
      </c>
      <c r="AH217">
        <f t="shared" si="302"/>
        <v>2449731</v>
      </c>
      <c r="AI217">
        <f t="shared" si="302"/>
        <v>2450097</v>
      </c>
      <c r="AJ217">
        <f t="shared" si="302"/>
        <v>2450462</v>
      </c>
      <c r="AK217">
        <f t="shared" si="302"/>
        <v>2386178</v>
      </c>
      <c r="AL217">
        <f t="shared" si="302"/>
        <v>2449366</v>
      </c>
      <c r="AM217">
        <f t="shared" si="302"/>
        <v>1949704</v>
      </c>
      <c r="AN217">
        <f t="shared" si="302"/>
        <v>2453019</v>
      </c>
      <c r="AO217">
        <f t="shared" si="302"/>
        <v>1722519</v>
      </c>
      <c r="AP217">
        <f t="shared" si="302"/>
        <v>2461054</v>
      </c>
      <c r="AQ217">
        <f t="shared" si="302"/>
        <v>2461054</v>
      </c>
      <c r="AR217">
        <f t="shared" si="302"/>
        <v>2461054</v>
      </c>
      <c r="AS217">
        <f t="shared" si="302"/>
        <v>2461054</v>
      </c>
      <c r="AT217">
        <f t="shared" si="302"/>
        <v>2461054</v>
      </c>
      <c r="AU217">
        <f t="shared" si="302"/>
        <v>2443157</v>
      </c>
      <c r="AV217">
        <f t="shared" si="302"/>
        <v>2451923</v>
      </c>
      <c r="AW217">
        <f t="shared" si="302"/>
        <v>2428912</v>
      </c>
      <c r="AX217">
        <f t="shared" si="302"/>
        <v>2437313</v>
      </c>
      <c r="AY217">
        <f t="shared" si="302"/>
        <v>2461054</v>
      </c>
      <c r="AZ217">
        <f t="shared" si="302"/>
        <v>2461054</v>
      </c>
      <c r="BA217">
        <f t="shared" si="302"/>
        <v>2461054</v>
      </c>
      <c r="BB217">
        <f t="shared" si="302"/>
        <v>2461054</v>
      </c>
      <c r="BC217">
        <f t="shared" si="302"/>
        <v>2461054</v>
      </c>
      <c r="BD217">
        <f t="shared" si="302"/>
        <v>2461054</v>
      </c>
      <c r="BE217">
        <f t="shared" si="302"/>
        <v>2461054</v>
      </c>
      <c r="BF217">
        <f t="shared" si="302"/>
        <v>2461054</v>
      </c>
      <c r="BG217">
        <f t="shared" si="302"/>
        <v>2444618</v>
      </c>
    </row>
    <row r="218" spans="2:59" x14ac:dyDescent="0.25">
      <c r="C218" t="s">
        <v>1009</v>
      </c>
      <c r="D218" s="7" t="s">
        <v>4</v>
      </c>
      <c r="E218">
        <f t="shared" ref="E218:AU218" si="303">_xlfn.FLOOR.MATH((E215 - E217) / 30.6001)</f>
        <v>12</v>
      </c>
      <c r="F218">
        <f t="shared" ref="F218:BG218" si="304">_xlfn.FLOOR.MATH((F215 - F217) / 30.6001)</f>
        <v>4</v>
      </c>
      <c r="G218">
        <f t="shared" si="304"/>
        <v>14</v>
      </c>
      <c r="H218">
        <f t="shared" si="304"/>
        <v>14</v>
      </c>
      <c r="I218">
        <f t="shared" si="304"/>
        <v>15</v>
      </c>
      <c r="J218">
        <f t="shared" si="304"/>
        <v>8</v>
      </c>
      <c r="K218">
        <f t="shared" si="304"/>
        <v>15</v>
      </c>
      <c r="L218">
        <f t="shared" si="304"/>
        <v>7</v>
      </c>
      <c r="M218">
        <f t="shared" si="304"/>
        <v>14</v>
      </c>
      <c r="N218">
        <f t="shared" si="304"/>
        <v>14</v>
      </c>
      <c r="O218">
        <f t="shared" si="304"/>
        <v>15</v>
      </c>
      <c r="P218">
        <f t="shared" si="304"/>
        <v>5</v>
      </c>
      <c r="Q218">
        <f t="shared" si="304"/>
        <v>15</v>
      </c>
      <c r="R218">
        <f t="shared" si="304"/>
        <v>14</v>
      </c>
      <c r="S218">
        <f t="shared" si="304"/>
        <v>8</v>
      </c>
      <c r="T218">
        <f t="shared" si="304"/>
        <v>5</v>
      </c>
      <c r="U218">
        <f t="shared" si="304"/>
        <v>9</v>
      </c>
      <c r="V218">
        <f t="shared" si="304"/>
        <v>14</v>
      </c>
      <c r="W218">
        <f t="shared" si="304"/>
        <v>6</v>
      </c>
      <c r="X218">
        <f t="shared" si="304"/>
        <v>6</v>
      </c>
      <c r="Y218">
        <f t="shared" si="304"/>
        <v>4</v>
      </c>
      <c r="Z218">
        <f t="shared" si="304"/>
        <v>14</v>
      </c>
      <c r="AA218">
        <f t="shared" si="304"/>
        <v>14</v>
      </c>
      <c r="AB218">
        <f t="shared" si="304"/>
        <v>8</v>
      </c>
      <c r="AC218">
        <f t="shared" si="304"/>
        <v>13</v>
      </c>
      <c r="AD218">
        <f t="shared" si="304"/>
        <v>6</v>
      </c>
      <c r="AE218">
        <f t="shared" si="304"/>
        <v>4</v>
      </c>
      <c r="AF218">
        <f t="shared" si="304"/>
        <v>14</v>
      </c>
      <c r="AG218">
        <f t="shared" si="304"/>
        <v>12</v>
      </c>
      <c r="AH218">
        <f t="shared" si="304"/>
        <v>4</v>
      </c>
      <c r="AI218">
        <f t="shared" si="304"/>
        <v>5</v>
      </c>
      <c r="AJ218">
        <f t="shared" si="304"/>
        <v>7</v>
      </c>
      <c r="AK218">
        <f t="shared" si="304"/>
        <v>14</v>
      </c>
      <c r="AL218">
        <f t="shared" si="304"/>
        <v>11</v>
      </c>
      <c r="AM218">
        <f t="shared" si="304"/>
        <v>8</v>
      </c>
      <c r="AN218">
        <f t="shared" si="304"/>
        <v>5</v>
      </c>
      <c r="AO218">
        <f t="shared" si="304"/>
        <v>14</v>
      </c>
      <c r="AP218">
        <f t="shared" si="304"/>
        <v>11</v>
      </c>
      <c r="AQ218">
        <f t="shared" si="304"/>
        <v>11</v>
      </c>
      <c r="AR218">
        <f t="shared" si="304"/>
        <v>12</v>
      </c>
      <c r="AS218">
        <f t="shared" si="304"/>
        <v>12</v>
      </c>
      <c r="AT218">
        <f t="shared" si="304"/>
        <v>12</v>
      </c>
      <c r="AU218">
        <f t="shared" si="304"/>
        <v>7</v>
      </c>
      <c r="AV218">
        <f t="shared" si="304"/>
        <v>10</v>
      </c>
      <c r="AW218">
        <f t="shared" si="304"/>
        <v>14</v>
      </c>
      <c r="AX218">
        <f t="shared" si="304"/>
        <v>6</v>
      </c>
      <c r="AY218">
        <f t="shared" si="304"/>
        <v>13</v>
      </c>
      <c r="AZ218">
        <f t="shared" si="304"/>
        <v>13</v>
      </c>
      <c r="BA218">
        <f t="shared" si="304"/>
        <v>14</v>
      </c>
      <c r="BB218">
        <f t="shared" si="304"/>
        <v>14</v>
      </c>
      <c r="BC218">
        <f t="shared" si="304"/>
        <v>14</v>
      </c>
      <c r="BD218">
        <f t="shared" si="304"/>
        <v>14</v>
      </c>
      <c r="BE218">
        <f t="shared" si="304"/>
        <v>14</v>
      </c>
      <c r="BF218">
        <f t="shared" si="304"/>
        <v>14</v>
      </c>
      <c r="BG218">
        <f t="shared" si="304"/>
        <v>4</v>
      </c>
    </row>
    <row r="219" spans="2:59" x14ac:dyDescent="0.25">
      <c r="C219" t="s">
        <v>1010</v>
      </c>
      <c r="D219" s="7" t="s">
        <v>1011</v>
      </c>
      <c r="E219" s="13">
        <f t="shared" ref="E219:AU219" si="305">E215 - E217 - _xlfn.FLOOR.MATH(30.6001 *E218) + E211</f>
        <v>7.6022356944158673</v>
      </c>
      <c r="F219" s="13">
        <f t="shared" ref="F219:BG219" si="306">F215 - F217 - _xlfn.FLOOR.MATH(30.6001 *F218) + F211</f>
        <v>18.245738675817847</v>
      </c>
      <c r="G219" s="13">
        <f t="shared" si="306"/>
        <v>21.197202835232019</v>
      </c>
      <c r="H219" s="13">
        <f t="shared" si="306"/>
        <v>31.679178334772587</v>
      </c>
      <c r="I219" s="13">
        <f t="shared" si="306"/>
        <v>13.895769571419805</v>
      </c>
      <c r="J219" s="13">
        <f t="shared" si="306"/>
        <v>11.154415391385555</v>
      </c>
      <c r="K219" s="13">
        <f t="shared" si="306"/>
        <v>2.8922904361970723</v>
      </c>
      <c r="L219" s="13">
        <f t="shared" si="306"/>
        <v>29.836127459071577</v>
      </c>
      <c r="M219" s="13">
        <f t="shared" si="306"/>
        <v>15.775046913418919</v>
      </c>
      <c r="N219" s="13">
        <f t="shared" si="306"/>
        <v>30.266514418181032</v>
      </c>
      <c r="O219" s="13">
        <f t="shared" si="306"/>
        <v>17.161694739945233</v>
      </c>
      <c r="P219" s="13">
        <f t="shared" si="306"/>
        <v>24.478614658582956</v>
      </c>
      <c r="Q219" s="13">
        <f t="shared" si="306"/>
        <v>7.2174640190787613</v>
      </c>
      <c r="R219" s="13">
        <f t="shared" si="306"/>
        <v>8.8033329101745039</v>
      </c>
      <c r="S219" s="13">
        <f t="shared" si="306"/>
        <v>21.090729451272637</v>
      </c>
      <c r="T219" s="13">
        <f t="shared" si="306"/>
        <v>23.199875053716823</v>
      </c>
      <c r="U219" s="13">
        <f t="shared" si="306"/>
        <v>31.302665919531137</v>
      </c>
      <c r="V219" s="13">
        <f t="shared" si="306"/>
        <v>25.57920486821622</v>
      </c>
      <c r="W219" s="13">
        <f t="shared" si="306"/>
        <v>13.516255827154964</v>
      </c>
      <c r="X219" s="13">
        <f t="shared" si="306"/>
        <v>16.687940752599388</v>
      </c>
      <c r="Y219" s="13">
        <f t="shared" si="306"/>
        <v>5.7371634463779628</v>
      </c>
      <c r="Z219" s="13">
        <f t="shared" si="306"/>
        <v>14.800645350012928</v>
      </c>
      <c r="AA219" s="13">
        <f t="shared" si="306"/>
        <v>21.197202835232019</v>
      </c>
      <c r="AB219" s="13">
        <f t="shared" si="306"/>
        <v>16.014503399841487</v>
      </c>
      <c r="AC219" s="13">
        <f t="shared" si="306"/>
        <v>14.521424823906273</v>
      </c>
      <c r="AD219" s="13">
        <f t="shared" si="306"/>
        <v>1.966312644071877</v>
      </c>
      <c r="AE219" s="13">
        <f t="shared" si="306"/>
        <v>5.7371634463779628</v>
      </c>
      <c r="AF219" s="13">
        <f t="shared" si="306"/>
        <v>8.5105932373553514</v>
      </c>
      <c r="AG219" s="13">
        <f t="shared" si="306"/>
        <v>10.40929960552603</v>
      </c>
      <c r="AH219" s="13">
        <f t="shared" si="306"/>
        <v>30.292377153411508</v>
      </c>
      <c r="AI219" s="13">
        <f t="shared" si="306"/>
        <v>17.209462039638311</v>
      </c>
      <c r="AJ219" s="13">
        <f t="shared" si="306"/>
        <v>4.5420859847217798</v>
      </c>
      <c r="AK219" s="13">
        <f t="shared" si="306"/>
        <v>22.433972068596631</v>
      </c>
      <c r="AL219" s="13">
        <f t="shared" si="306"/>
        <v>4.4886746974661946</v>
      </c>
      <c r="AM219" s="13">
        <f t="shared" si="306"/>
        <v>28.185518730431795</v>
      </c>
      <c r="AN219" s="13">
        <f t="shared" si="306"/>
        <v>18.735861079301685</v>
      </c>
      <c r="AO219" s="13">
        <f t="shared" si="306"/>
        <v>28.056012655142695</v>
      </c>
      <c r="AP219" s="13">
        <f t="shared" si="306"/>
        <v>9.8877296908758581</v>
      </c>
      <c r="AQ219" s="13">
        <f t="shared" si="306"/>
        <v>9.8877296908758581</v>
      </c>
      <c r="AR219" s="13">
        <f t="shared" si="306"/>
        <v>8.4575374792329967</v>
      </c>
      <c r="AS219" s="13">
        <f t="shared" si="306"/>
        <v>8.4575374792329967</v>
      </c>
      <c r="AT219" s="13">
        <f t="shared" si="306"/>
        <v>8.4575374792329967</v>
      </c>
      <c r="AU219" s="13">
        <f t="shared" si="306"/>
        <v>15.868154441472143</v>
      </c>
      <c r="AV219" s="13">
        <f t="shared" si="306"/>
        <v>16.782775980886072</v>
      </c>
      <c r="AW219" s="13">
        <f t="shared" si="306"/>
        <v>19.657851704396307</v>
      </c>
      <c r="AX219" s="13">
        <f t="shared" si="306"/>
        <v>13.938189490698278</v>
      </c>
      <c r="AY219" s="13">
        <f t="shared" si="306"/>
        <v>8.1515832282602787</v>
      </c>
      <c r="AZ219" s="13">
        <f t="shared" si="306"/>
        <v>8.1515832282602787</v>
      </c>
      <c r="BA219" s="13">
        <f t="shared" si="306"/>
        <v>6.947093719150871</v>
      </c>
      <c r="BB219" s="13">
        <f t="shared" si="306"/>
        <v>6.947093719150871</v>
      </c>
      <c r="BC219" s="13">
        <f t="shared" si="306"/>
        <v>6.947093719150871</v>
      </c>
      <c r="BD219" s="13">
        <f t="shared" si="306"/>
        <v>6.947093719150871</v>
      </c>
      <c r="BE219" s="13">
        <f t="shared" si="306"/>
        <v>6.947093719150871</v>
      </c>
      <c r="BF219" s="13">
        <f t="shared" si="306"/>
        <v>6.947093719150871</v>
      </c>
      <c r="BG219" s="13">
        <f t="shared" si="306"/>
        <v>5.7371634463779628</v>
      </c>
    </row>
    <row r="220" spans="2:59" x14ac:dyDescent="0.25">
      <c r="C220" t="s">
        <v>1012</v>
      </c>
      <c r="D220" s="7" t="s">
        <v>1013</v>
      </c>
      <c r="E220">
        <f t="shared" ref="E220:AU220" si="307">IF(E218&lt;14,E218-1,E218-13)</f>
        <v>11</v>
      </c>
      <c r="F220">
        <f t="shared" ref="F220:BG220" si="308">IF(F218&lt;14,F218-1,F218-13)</f>
        <v>3</v>
      </c>
      <c r="G220">
        <f t="shared" si="308"/>
        <v>1</v>
      </c>
      <c r="H220">
        <f t="shared" si="308"/>
        <v>1</v>
      </c>
      <c r="I220">
        <f t="shared" si="308"/>
        <v>2</v>
      </c>
      <c r="J220">
        <f t="shared" si="308"/>
        <v>7</v>
      </c>
      <c r="K220">
        <f t="shared" si="308"/>
        <v>2</v>
      </c>
      <c r="L220">
        <f t="shared" si="308"/>
        <v>6</v>
      </c>
      <c r="M220">
        <f t="shared" si="308"/>
        <v>1</v>
      </c>
      <c r="N220">
        <f t="shared" si="308"/>
        <v>1</v>
      </c>
      <c r="O220">
        <f t="shared" si="308"/>
        <v>2</v>
      </c>
      <c r="P220">
        <f t="shared" si="308"/>
        <v>4</v>
      </c>
      <c r="Q220">
        <f t="shared" si="308"/>
        <v>2</v>
      </c>
      <c r="R220">
        <f t="shared" si="308"/>
        <v>1</v>
      </c>
      <c r="S220">
        <f t="shared" si="308"/>
        <v>7</v>
      </c>
      <c r="T220">
        <f t="shared" si="308"/>
        <v>4</v>
      </c>
      <c r="U220">
        <f t="shared" si="308"/>
        <v>8</v>
      </c>
      <c r="V220">
        <f t="shared" si="308"/>
        <v>1</v>
      </c>
      <c r="W220">
        <f t="shared" si="308"/>
        <v>5</v>
      </c>
      <c r="X220">
        <f t="shared" si="308"/>
        <v>5</v>
      </c>
      <c r="Y220">
        <f t="shared" si="308"/>
        <v>3</v>
      </c>
      <c r="Z220">
        <f t="shared" si="308"/>
        <v>1</v>
      </c>
      <c r="AA220">
        <f t="shared" si="308"/>
        <v>1</v>
      </c>
      <c r="AB220">
        <f t="shared" si="308"/>
        <v>7</v>
      </c>
      <c r="AC220">
        <f t="shared" si="308"/>
        <v>12</v>
      </c>
      <c r="AD220">
        <f t="shared" si="308"/>
        <v>5</v>
      </c>
      <c r="AE220">
        <f t="shared" si="308"/>
        <v>3</v>
      </c>
      <c r="AF220">
        <f t="shared" si="308"/>
        <v>1</v>
      </c>
      <c r="AG220">
        <f t="shared" si="308"/>
        <v>11</v>
      </c>
      <c r="AH220">
        <f t="shared" si="308"/>
        <v>3</v>
      </c>
      <c r="AI220">
        <f t="shared" si="308"/>
        <v>4</v>
      </c>
      <c r="AJ220">
        <f t="shared" si="308"/>
        <v>6</v>
      </c>
      <c r="AK220">
        <f t="shared" si="308"/>
        <v>1</v>
      </c>
      <c r="AL220">
        <f t="shared" si="308"/>
        <v>10</v>
      </c>
      <c r="AM220">
        <f t="shared" si="308"/>
        <v>7</v>
      </c>
      <c r="AN220">
        <f t="shared" si="308"/>
        <v>4</v>
      </c>
      <c r="AO220">
        <f t="shared" si="308"/>
        <v>1</v>
      </c>
      <c r="AP220">
        <f t="shared" si="308"/>
        <v>10</v>
      </c>
      <c r="AQ220">
        <f t="shared" si="308"/>
        <v>10</v>
      </c>
      <c r="AR220">
        <f t="shared" si="308"/>
        <v>11</v>
      </c>
      <c r="AS220">
        <f t="shared" si="308"/>
        <v>11</v>
      </c>
      <c r="AT220">
        <f t="shared" si="308"/>
        <v>11</v>
      </c>
      <c r="AU220">
        <f t="shared" si="308"/>
        <v>6</v>
      </c>
      <c r="AV220">
        <f t="shared" si="308"/>
        <v>9</v>
      </c>
      <c r="AW220">
        <f t="shared" si="308"/>
        <v>1</v>
      </c>
      <c r="AX220">
        <f t="shared" si="308"/>
        <v>5</v>
      </c>
      <c r="AY220">
        <f t="shared" si="308"/>
        <v>12</v>
      </c>
      <c r="AZ220">
        <f t="shared" si="308"/>
        <v>12</v>
      </c>
      <c r="BA220">
        <f t="shared" si="308"/>
        <v>1</v>
      </c>
      <c r="BB220">
        <f t="shared" si="308"/>
        <v>1</v>
      </c>
      <c r="BC220">
        <f t="shared" si="308"/>
        <v>1</v>
      </c>
      <c r="BD220">
        <f t="shared" si="308"/>
        <v>1</v>
      </c>
      <c r="BE220">
        <f t="shared" si="308"/>
        <v>1</v>
      </c>
      <c r="BF220">
        <f t="shared" si="308"/>
        <v>1</v>
      </c>
      <c r="BG220">
        <f t="shared" si="308"/>
        <v>3</v>
      </c>
    </row>
    <row r="221" spans="2:59" x14ac:dyDescent="0.25">
      <c r="C221" t="s">
        <v>1014</v>
      </c>
      <c r="D221" s="7" t="s">
        <v>980</v>
      </c>
      <c r="E221">
        <f t="shared" ref="E221:AU221" si="309">IF(E220&gt;2,E216-4716,E216-4715)</f>
        <v>1957</v>
      </c>
      <c r="F221">
        <f t="shared" ref="F221:BG221" si="310">IF(F220&gt;2,F216-4716,F216-4715)</f>
        <v>333</v>
      </c>
      <c r="G221">
        <f t="shared" si="310"/>
        <v>2000</v>
      </c>
      <c r="H221">
        <f t="shared" si="310"/>
        <v>1999</v>
      </c>
      <c r="I221">
        <f t="shared" si="310"/>
        <v>1987</v>
      </c>
      <c r="J221">
        <f t="shared" si="310"/>
        <v>1987</v>
      </c>
      <c r="K221">
        <f t="shared" si="310"/>
        <v>1988</v>
      </c>
      <c r="L221">
        <f t="shared" si="310"/>
        <v>1988</v>
      </c>
      <c r="M221">
        <f t="shared" si="310"/>
        <v>1900</v>
      </c>
      <c r="N221">
        <f t="shared" si="310"/>
        <v>1600</v>
      </c>
      <c r="O221">
        <f t="shared" si="310"/>
        <v>1601</v>
      </c>
      <c r="P221">
        <f t="shared" si="310"/>
        <v>837</v>
      </c>
      <c r="Q221">
        <f t="shared" si="310"/>
        <v>-122</v>
      </c>
      <c r="R221">
        <f t="shared" si="310"/>
        <v>-122</v>
      </c>
      <c r="S221">
        <f t="shared" si="310"/>
        <v>-1000</v>
      </c>
      <c r="T221">
        <f t="shared" si="310"/>
        <v>-1000</v>
      </c>
      <c r="U221">
        <f t="shared" si="310"/>
        <v>-1001</v>
      </c>
      <c r="V221">
        <f t="shared" si="310"/>
        <v>-4712</v>
      </c>
      <c r="W221">
        <f t="shared" si="310"/>
        <v>1987</v>
      </c>
      <c r="X221">
        <f t="shared" si="310"/>
        <v>1992</v>
      </c>
      <c r="Y221">
        <f t="shared" si="310"/>
        <v>1977</v>
      </c>
      <c r="Z221">
        <f t="shared" si="310"/>
        <v>2044</v>
      </c>
      <c r="AA221">
        <f t="shared" si="310"/>
        <v>2000</v>
      </c>
      <c r="AB221">
        <f t="shared" si="310"/>
        <v>1954</v>
      </c>
      <c r="AC221">
        <f t="shared" si="310"/>
        <v>1978</v>
      </c>
      <c r="AD221">
        <f t="shared" si="310"/>
        <v>1988</v>
      </c>
      <c r="AE221">
        <f t="shared" si="310"/>
        <v>1977</v>
      </c>
      <c r="AF221">
        <f t="shared" si="310"/>
        <v>1993</v>
      </c>
      <c r="AG221">
        <f t="shared" si="310"/>
        <v>1992</v>
      </c>
      <c r="AH221">
        <f t="shared" si="310"/>
        <v>1991</v>
      </c>
      <c r="AI221">
        <f t="shared" si="310"/>
        <v>1992</v>
      </c>
      <c r="AJ221">
        <f t="shared" si="310"/>
        <v>1993</v>
      </c>
      <c r="AK221">
        <f t="shared" si="310"/>
        <v>1818</v>
      </c>
      <c r="AL221">
        <f t="shared" si="310"/>
        <v>1990</v>
      </c>
      <c r="AM221">
        <f t="shared" si="310"/>
        <v>622</v>
      </c>
      <c r="AN221">
        <f t="shared" si="310"/>
        <v>2000</v>
      </c>
      <c r="AO221">
        <f t="shared" si="310"/>
        <v>1</v>
      </c>
      <c r="AP221">
        <f t="shared" si="310"/>
        <v>2022</v>
      </c>
      <c r="AQ221">
        <f t="shared" si="310"/>
        <v>2022</v>
      </c>
      <c r="AR221">
        <f t="shared" si="310"/>
        <v>2022</v>
      </c>
      <c r="AS221">
        <f t="shared" si="310"/>
        <v>2022</v>
      </c>
      <c r="AT221">
        <f t="shared" si="310"/>
        <v>2022</v>
      </c>
      <c r="AU221">
        <f t="shared" si="310"/>
        <v>1973</v>
      </c>
      <c r="AV221">
        <f t="shared" si="310"/>
        <v>1997</v>
      </c>
      <c r="AW221">
        <f t="shared" si="310"/>
        <v>1935</v>
      </c>
      <c r="AX221">
        <f t="shared" si="310"/>
        <v>1957</v>
      </c>
      <c r="AY221">
        <f t="shared" si="310"/>
        <v>2022</v>
      </c>
      <c r="AZ221">
        <f t="shared" si="310"/>
        <v>2022</v>
      </c>
      <c r="BA221">
        <f t="shared" si="310"/>
        <v>2023</v>
      </c>
      <c r="BB221">
        <f t="shared" si="310"/>
        <v>2023</v>
      </c>
      <c r="BC221">
        <f t="shared" si="310"/>
        <v>2023</v>
      </c>
      <c r="BD221">
        <f t="shared" si="310"/>
        <v>2023</v>
      </c>
      <c r="BE221">
        <f t="shared" si="310"/>
        <v>2023</v>
      </c>
      <c r="BF221">
        <f t="shared" si="310"/>
        <v>2023</v>
      </c>
      <c r="BG221">
        <f t="shared" si="310"/>
        <v>1977</v>
      </c>
    </row>
    <row r="222" spans="2:59" x14ac:dyDescent="0.25">
      <c r="C222" s="35"/>
      <c r="D222" s="60" t="s">
        <v>938</v>
      </c>
      <c r="E222" s="122">
        <f t="shared" ref="E222:AU222" si="311">IF(E221&gt;1899,DATE(E221,E220,E219)+E211,E221&amp;"-"&amp;E220&amp;"-"&amp;E219)</f>
        <v>21131.602235694416</v>
      </c>
      <c r="F222" s="122" t="str">
        <f t="shared" ref="F222:BG222" si="312">IF(F221&gt;1899,DATE(F221,F220,F219)+F211,F221&amp;"-"&amp;F220&amp;"-"&amp;F219)</f>
        <v>333-3-18.2457386758178</v>
      </c>
      <c r="G222" s="122">
        <f t="shared" si="312"/>
        <v>36546.197202835232</v>
      </c>
      <c r="H222" s="122">
        <f t="shared" si="312"/>
        <v>36191.679178334773</v>
      </c>
      <c r="I222" s="122">
        <f t="shared" si="312"/>
        <v>31821.89576957142</v>
      </c>
      <c r="J222" s="122">
        <f t="shared" si="312"/>
        <v>31969.154415391386</v>
      </c>
      <c r="K222" s="122">
        <f t="shared" si="312"/>
        <v>32175.892290436197</v>
      </c>
      <c r="L222" s="122">
        <f t="shared" si="312"/>
        <v>32323.836127459072</v>
      </c>
      <c r="M222" s="122">
        <f t="shared" si="312"/>
        <v>15.775046913418919</v>
      </c>
      <c r="N222" s="122" t="str">
        <f t="shared" si="312"/>
        <v>1600-1-30.266514418181</v>
      </c>
      <c r="O222" s="122" t="str">
        <f t="shared" si="312"/>
        <v>1601-2-17.1616947399452</v>
      </c>
      <c r="P222" s="122" t="str">
        <f t="shared" si="312"/>
        <v>837-4-24.4786146585829</v>
      </c>
      <c r="Q222" s="122" t="str">
        <f t="shared" si="312"/>
        <v>-122-2-7.21746401907876</v>
      </c>
      <c r="R222" s="122" t="str">
        <f t="shared" si="312"/>
        <v>-122-1-8.8033329101745</v>
      </c>
      <c r="S222" s="122" t="str">
        <f t="shared" si="312"/>
        <v>-1000-7-21.0907294512726</v>
      </c>
      <c r="T222" s="122" t="str">
        <f t="shared" si="312"/>
        <v>-1000-4-23.1998750537168</v>
      </c>
      <c r="U222" s="122" t="str">
        <f t="shared" si="312"/>
        <v>-1001-8-31.3026659195311</v>
      </c>
      <c r="V222" s="122" t="str">
        <f t="shared" si="312"/>
        <v>-4712-1-25.5792048682162</v>
      </c>
      <c r="W222" s="122">
        <f t="shared" si="312"/>
        <v>31910.516255827155</v>
      </c>
      <c r="X222" s="122">
        <f t="shared" si="312"/>
        <v>33740.687940752599</v>
      </c>
      <c r="Y222" s="122">
        <f t="shared" si="312"/>
        <v>28189.737163446378</v>
      </c>
      <c r="Z222" s="122">
        <f t="shared" si="312"/>
        <v>52610.800645350013</v>
      </c>
      <c r="AA222" s="122">
        <f t="shared" si="312"/>
        <v>36546.197202835232</v>
      </c>
      <c r="AB222" s="122">
        <f t="shared" si="312"/>
        <v>19921.014503399841</v>
      </c>
      <c r="AC222" s="122">
        <f t="shared" si="312"/>
        <v>28838.521424823906</v>
      </c>
      <c r="AD222" s="122">
        <f t="shared" si="312"/>
        <v>32264.966312644072</v>
      </c>
      <c r="AE222" s="122">
        <f t="shared" si="312"/>
        <v>28189.737163446378</v>
      </c>
      <c r="AF222" s="122">
        <f t="shared" si="312"/>
        <v>33977.510593237355</v>
      </c>
      <c r="AG222" s="122">
        <f t="shared" si="312"/>
        <v>33918.409299605526</v>
      </c>
      <c r="AH222" s="122">
        <f t="shared" si="312"/>
        <v>33327.292377153412</v>
      </c>
      <c r="AI222" s="122">
        <f t="shared" si="312"/>
        <v>33711.209462039638</v>
      </c>
      <c r="AJ222" s="122">
        <f t="shared" si="312"/>
        <v>34124.542085984722</v>
      </c>
      <c r="AK222" s="122" t="str">
        <f t="shared" si="312"/>
        <v>1818-1-22.4339720685966</v>
      </c>
      <c r="AL222" s="122">
        <f t="shared" si="312"/>
        <v>33150.488674697466</v>
      </c>
      <c r="AM222" s="122" t="str">
        <f t="shared" si="312"/>
        <v>622-7-28.1855187304317</v>
      </c>
      <c r="AN222" s="122">
        <f t="shared" si="312"/>
        <v>36634.735861079302</v>
      </c>
      <c r="AO222" s="122" t="str">
        <f t="shared" si="312"/>
        <v>1-1-28.0560126551426</v>
      </c>
      <c r="AP222" s="122">
        <f t="shared" si="312"/>
        <v>44843.887729690876</v>
      </c>
      <c r="AQ222" s="122">
        <f t="shared" si="312"/>
        <v>44843.887729690876</v>
      </c>
      <c r="AR222" s="122">
        <f t="shared" si="312"/>
        <v>44873.457537479233</v>
      </c>
      <c r="AS222" s="122">
        <f t="shared" si="312"/>
        <v>44873.457537479233</v>
      </c>
      <c r="AT222" s="122">
        <f t="shared" si="312"/>
        <v>44873.457537479233</v>
      </c>
      <c r="AU222" s="122">
        <f t="shared" si="312"/>
        <v>26830.868154441472</v>
      </c>
      <c r="AV222" s="122">
        <f t="shared" si="312"/>
        <v>35689.782775980886</v>
      </c>
      <c r="AW222" s="122">
        <f t="shared" si="312"/>
        <v>12803.657851704396</v>
      </c>
      <c r="AX222" s="122">
        <f t="shared" si="312"/>
        <v>20953.938189490698</v>
      </c>
      <c r="AY222" s="122">
        <f t="shared" si="312"/>
        <v>44903.15158322826</v>
      </c>
      <c r="AZ222" s="122">
        <f t="shared" si="312"/>
        <v>44903.15158322826</v>
      </c>
      <c r="BA222" s="122">
        <f t="shared" si="312"/>
        <v>44932.947093719151</v>
      </c>
      <c r="BB222" s="122">
        <f t="shared" si="312"/>
        <v>44932.947093719151</v>
      </c>
      <c r="BC222" s="122">
        <f t="shared" si="312"/>
        <v>44932.947093719151</v>
      </c>
      <c r="BD222" s="122">
        <f t="shared" si="312"/>
        <v>44932.947093719151</v>
      </c>
      <c r="BE222" s="122">
        <f t="shared" si="312"/>
        <v>44932.947093719151</v>
      </c>
      <c r="BF222" s="122">
        <f t="shared" si="312"/>
        <v>44932.947093719151</v>
      </c>
      <c r="BG222" s="122">
        <f t="shared" si="312"/>
        <v>28189.737163446378</v>
      </c>
    </row>
    <row r="224" spans="2:59" x14ac:dyDescent="0.25">
      <c r="B224">
        <v>381</v>
      </c>
      <c r="C224" t="s">
        <v>1090</v>
      </c>
      <c r="E224" s="75">
        <f>0.207  *E17* SIN(E18 * Deg2Rad)</f>
        <v>-0.17157006285172927</v>
      </c>
      <c r="F224" s="75">
        <f>0.207  *F17* SIN(F18 * Deg2Rad)</f>
        <v>0.21124824152641899</v>
      </c>
      <c r="G224" s="75">
        <f>0.207  *G17* SIN(G18 * Deg2Rad)</f>
        <v>6.0887274318810358E-2</v>
      </c>
      <c r="H224" s="75">
        <f>0.207  *H17* SIN(H18 * Deg2Rad)</f>
        <v>9.6677849994362117E-2</v>
      </c>
      <c r="I224" s="75">
        <f>0.207  *I17* SIN(I18 * Deg2Rad)</f>
        <v>0.13378830151424859</v>
      </c>
      <c r="J224" s="75">
        <f>0.207  *J17* SIN(J18 * Deg2Rad)</f>
        <v>-2.083817679102596E-2</v>
      </c>
      <c r="K224" s="75">
        <f>0.207  *K17* SIN(K18 * Deg2Rad)</f>
        <v>0.10200403947855123</v>
      </c>
      <c r="L224" s="75">
        <f>0.207  *L17* SIN(L18 * Deg2Rad)</f>
        <v>1.790220434651358E-2</v>
      </c>
      <c r="M224" s="75">
        <f>0.207  *M17* SIN(M18 * Deg2Rad)</f>
        <v>4.9429340810074017E-2</v>
      </c>
      <c r="N224" s="75">
        <f>0.207  *N17* SIN(N18 * Deg2Rad)</f>
        <v>0.11357497939580845</v>
      </c>
      <c r="O224" s="75">
        <f>0.207  *O17* SIN(O18 * Deg2Rad)</f>
        <v>0.16309681119084565</v>
      </c>
      <c r="P224" s="75">
        <f>0.207  *P17* SIN(P18 * Deg2Rad)</f>
        <v>0.15573990792646963</v>
      </c>
      <c r="Q224" s="75">
        <f>0.207  *Q17* SIN(Q18 * Deg2Rad)</f>
        <v>0.20011166697878766</v>
      </c>
      <c r="R224" s="75">
        <f>0.207  *R17* SIN(R18 * Deg2Rad)</f>
        <v>0.1335656356887519</v>
      </c>
      <c r="S224" s="75">
        <f>0.207  *S17* SIN(S18 * Deg2Rad)</f>
        <v>-0.18655232639672914</v>
      </c>
      <c r="T224" s="75">
        <f>0.207  *T17* SIN(T18 * Deg2Rad)</f>
        <v>0.1100749509832487</v>
      </c>
      <c r="U224" s="75">
        <f>0.207  *U17* SIN(U18 * Deg2Rad)</f>
        <v>-0.21944364841790312</v>
      </c>
      <c r="V224" s="75">
        <f>0.207  *V17* SIN(V18 * Deg2Rad)</f>
        <v>0.23291656292337806</v>
      </c>
      <c r="W224" s="75">
        <f>0.207  *W17* SIN(W18 * Deg2Rad)</f>
        <v>0.16413312562925997</v>
      </c>
      <c r="X224" s="75">
        <f>0.207  *X17* SIN(X18 * Deg2Rad)</f>
        <v>0.15362532001964896</v>
      </c>
      <c r="Y224" s="75">
        <f>0.207  *Y17* SIN(Y18 * Deg2Rad)</f>
        <v>0.17989230576742507</v>
      </c>
      <c r="Z224" s="75">
        <f>0.207  *Z17* SIN(Z18 * Deg2Rad)</f>
        <v>3.7397445026784784E-2</v>
      </c>
      <c r="AA224" s="75">
        <f>0.207  *AA17* SIN(AA18 * Deg2Rad)</f>
        <v>6.0887274318810358E-2</v>
      </c>
      <c r="AB224" s="75">
        <f>0.207  *AB17* SIN(AB18 * Deg2Rad)</f>
        <v>-3.8797635293802903E-2</v>
      </c>
      <c r="AC224" s="75">
        <f>0.207  *AC17* SIN(AC18 * Deg2Rad)</f>
        <v>-6.876655972451326E-2</v>
      </c>
      <c r="AD224" s="75">
        <f>0.207  *AD17* SIN(AD18 * Deg2Rad)</f>
        <v>0.18477169704366972</v>
      </c>
      <c r="AE224" s="75">
        <f>0.207  *AE17* SIN(AE18 * Deg2Rad)</f>
        <v>0.17989230576742507</v>
      </c>
      <c r="AF224" s="75">
        <f>0.207  *AF17* SIN(AF18 * Deg2Rad)</f>
        <v>1.7828583336467061E-2</v>
      </c>
      <c r="AG224" s="75">
        <f>0.207  *AG17* SIN(AG18 * Deg2Rad)</f>
        <v>-0.16593406613972123</v>
      </c>
      <c r="AH224" s="75">
        <f>0.207  *AH17* SIN(AH18 * Deg2Rad)</f>
        <v>0.20613433275919771</v>
      </c>
      <c r="AI224" s="75">
        <f>0.207  *AI17* SIN(AI18 * Deg2Rad)</f>
        <v>0.20174041183680541</v>
      </c>
      <c r="AJ224" s="75">
        <f>0.207  *AJ17* SIN(AJ18 * Deg2Rad)</f>
        <v>0.10205287751794155</v>
      </c>
      <c r="AK224" s="75">
        <f>0.207  *AK17* SIN(AK18 * Deg2Rad)</f>
        <v>7.4344216731471666E-2</v>
      </c>
      <c r="AL224" s="75">
        <f>0.207  *AL17* SIN(AL18 * Deg2Rad)</f>
        <v>-0.20704819734156724</v>
      </c>
      <c r="AM224" s="75">
        <f>0.207  *AM17* SIN(AM18 * Deg2Rad)</f>
        <v>-0.16177177968397963</v>
      </c>
      <c r="AN224" s="75">
        <f>0.207  *AN17* SIN(AN18 * Deg2Rad)</f>
        <v>0.20047537220617456</v>
      </c>
      <c r="AO224" s="75">
        <f>0.207  *AO17* SIN(AO18 * Deg2Rad)</f>
        <v>0.18029782598076224</v>
      </c>
      <c r="AP224" s="75">
        <f>0.207  *AP17* SIN(AP18 * Deg2Rad)</f>
        <v>-0.20585441591956208</v>
      </c>
      <c r="AQ224" s="75">
        <f>0.207  *AQ17* SIN(AQ18 * Deg2Rad)</f>
        <v>-0.20585441591956208</v>
      </c>
      <c r="AR224" s="75">
        <f>0.207  *AR17* SIN(AR18 * Deg2Rad)</f>
        <v>-0.16984578656357835</v>
      </c>
      <c r="AS224" s="75">
        <f>0.207  *AS17* SIN(AS18 * Deg2Rad)</f>
        <v>-0.16984578656357835</v>
      </c>
      <c r="AT224" s="75">
        <f>0.207  *AT17* SIN(AT18 * Deg2Rad)</f>
        <v>-0.16984578656357835</v>
      </c>
      <c r="AU224" s="75">
        <f>0.207  *AU17* SIN(AU18 * Deg2Rad)</f>
        <v>6.5918826881810277E-2</v>
      </c>
      <c r="AV224" s="75">
        <f>0.207  *AV17* SIN(AV18 * Deg2Rad)</f>
        <v>-0.19802007543665803</v>
      </c>
      <c r="AW224" s="75">
        <f>0.207  *AW17* SIN(AW18 * Deg2Rad)</f>
        <v>5.8537564349498021E-2</v>
      </c>
      <c r="AX224" s="75">
        <f>0.207  *AX17* SIN(AX18 * Deg2Rad)</f>
        <v>0.15994866257128032</v>
      </c>
      <c r="AY224" s="75">
        <f>0.207  *AY17* SIN(AY18 * Deg2Rad)</f>
        <v>-9.0943432716685507E-2</v>
      </c>
      <c r="AZ224" s="75">
        <f>0.207  *AZ17* SIN(AZ18 * Deg2Rad)</f>
        <v>-9.0943432716685507E-2</v>
      </c>
      <c r="BA224" s="75">
        <f>0.207  *BA17* SIN(BA18 * Deg2Rad)</f>
        <v>1.0925998195332009E-2</v>
      </c>
      <c r="BB224" s="75">
        <f>0.207  *BB17* SIN(BB18 * Deg2Rad)</f>
        <v>1.0925998195332009E-2</v>
      </c>
      <c r="BC224" s="75">
        <f>0.207  *BC17* SIN(BC18 * Deg2Rad)</f>
        <v>1.0925998195332009E-2</v>
      </c>
      <c r="BD224" s="75">
        <f>0.207  *BD17* SIN(BD18 * Deg2Rad)</f>
        <v>1.0925998195332009E-2</v>
      </c>
      <c r="BE224" s="75">
        <f>0.207  *BE17* SIN(BE18 * Deg2Rad)</f>
        <v>1.0925998195332009E-2</v>
      </c>
      <c r="BF224" s="75">
        <f>0.207  *BF17* SIN(BF18 * Deg2Rad)</f>
        <v>1.0925998195332009E-2</v>
      </c>
      <c r="BG224" s="75">
        <f>0.207  *BG17* SIN(BG18 * Deg2Rad)</f>
        <v>0.17989230576742507</v>
      </c>
    </row>
    <row r="225" spans="2:59" x14ac:dyDescent="0.25">
      <c r="C225" t="s">
        <v>1091</v>
      </c>
      <c r="E225" s="75">
        <f>0.0024  *E17* SIN(2* E18 * Deg2Rad)</f>
        <v>-2.2310345801166425E-3</v>
      </c>
      <c r="F225" s="75">
        <f>0.0024  *F17* SIN(2* F18 * Deg2Rad)</f>
        <v>-9.4076114143675773E-4</v>
      </c>
      <c r="G225" s="75">
        <f>0.0024  *G17* SIN(2* G18 * Deg2Rad)</f>
        <v>1.3494198688402423E-3</v>
      </c>
      <c r="H225" s="75">
        <f>0.0024  *H17* SIN(2* H18 * Deg2Rad)</f>
        <v>1.9822949780607152E-3</v>
      </c>
      <c r="I225" s="75">
        <f>0.0024  *I17* SIN(2* I18 * Deg2Rad)</f>
        <v>2.3678394193892283E-3</v>
      </c>
      <c r="J225" s="75">
        <f>0.0024  *J17* SIN(2* J18 * Deg2Rad)</f>
        <v>4.8075102743007472E-4</v>
      </c>
      <c r="K225" s="75">
        <f>0.0024  *K17* SIN(2* K18 * Deg2Rad)</f>
        <v>2.0583917999644351E-3</v>
      </c>
      <c r="L225" s="75">
        <f>0.0024  *L17* SIN(2* L18 * Deg2Rad)</f>
        <v>-4.1356911040349393E-4</v>
      </c>
      <c r="M225" s="75">
        <f>0.0024  *M17* SIN(2* M18 * Deg2Rad)</f>
        <v>1.1131982167945558E-3</v>
      </c>
      <c r="N225" s="75">
        <f>0.0024  *N17* SIN(2* N18 * Deg2Rad)</f>
        <v>2.2110804390814563E-3</v>
      </c>
      <c r="O225" s="75">
        <f>0.0024  *O17* SIN(2* O18 * Deg2Rad)</f>
        <v>2.3658703322920003E-3</v>
      </c>
      <c r="P225" s="75">
        <f>0.0024  *P17* SIN(2* P18 * Deg2Rad)</f>
        <v>-2.4616211551967884E-3</v>
      </c>
      <c r="Q225" s="75">
        <f>0.0024  *Q17* SIN(2* Q18 * Deg2Rad)</f>
        <v>1.8116139407257186E-3</v>
      </c>
      <c r="R225" s="75">
        <f>0.0024  *R17* SIN(2* R18 * Deg2Rad)</f>
        <v>2.4434475903492973E-3</v>
      </c>
      <c r="S225" s="75">
        <f>0.0024  *S17* SIN(2* S18 * Deg2Rad)</f>
        <v>2.325578588403935E-3</v>
      </c>
      <c r="T225" s="75">
        <f>0.0024  *T17* SIN(2* T18 * Deg2Rad)</f>
        <v>-2.2141304411274058E-3</v>
      </c>
      <c r="U225" s="75">
        <f>0.0024  *U17* SIN(2* U18 * Deg2Rad)</f>
        <v>-6.4839364534591986E-4</v>
      </c>
      <c r="V225" s="75">
        <f>0.0024  *V17* SIN(2* V18 * Deg2Rad)</f>
        <v>-7.2700502707250089E-4</v>
      </c>
      <c r="W225" s="75">
        <f>0.0024  *W17* SIN(2* W18 * Deg2Rad)</f>
        <v>-2.3203652218568216E-3</v>
      </c>
      <c r="X225" s="75">
        <f>0.0024  *X17* SIN(2* X18 * Deg2Rad)</f>
        <v>-2.3881488026244449E-3</v>
      </c>
      <c r="Y225" s="75">
        <f>0.0024  *Y17* SIN(2* Y18 * Deg2Rad)</f>
        <v>2.0673881277206356E-3</v>
      </c>
      <c r="Z225" s="75">
        <f>0.0024  *Z17* SIN(2* Z18 * Deg2Rad)</f>
        <v>8.5288548953293736E-4</v>
      </c>
      <c r="AA225" s="75">
        <f>0.0024  *AA17* SIN(2* AA18 * Deg2Rad)</f>
        <v>1.3494198688402423E-3</v>
      </c>
      <c r="AB225" s="75">
        <f>0.0024  *AB17* SIN(2* AB18 * Deg2Rad)</f>
        <v>8.8374859880858774E-4</v>
      </c>
      <c r="AC225" s="75">
        <f>0.0024  *AC17* SIN(2* AC18 * Deg2Rad)</f>
        <v>-1.5041242379387394E-3</v>
      </c>
      <c r="AD225" s="75">
        <f>0.0024  *AD17* SIN(2* AD18 * Deg2Rad)</f>
        <v>-1.9337716030732523E-3</v>
      </c>
      <c r="AE225" s="75">
        <f>0.0024  *AE17* SIN(2* AE18 * Deg2Rad)</f>
        <v>2.0673881277206356E-3</v>
      </c>
      <c r="AF225" s="75">
        <f>0.0024  *AF17* SIN(2* AF18 * Deg2Rad)</f>
        <v>4.1188072904023979E-4</v>
      </c>
      <c r="AG225" s="75">
        <f>0.0024  *AG17* SIN(2* AG18 * Deg2Rad)</f>
        <v>-2.3010890951900538E-3</v>
      </c>
      <c r="AH225" s="75">
        <f>0.0024  *AH17* SIN(2* AH18 * Deg2Rad)</f>
        <v>4.4798712948247114E-4</v>
      </c>
      <c r="AI225" s="75">
        <f>0.0024  *AI17* SIN(2* AI18 * Deg2Rad)</f>
        <v>-1.0516801383694471E-3</v>
      </c>
      <c r="AJ225" s="75">
        <f>0.0024  *AJ17* SIN(2* AJ18 * Deg2Rad)</f>
        <v>-2.0589726268078522E-3</v>
      </c>
      <c r="AK225" s="75">
        <f>0.0024  *AK17* SIN(2* AK18 * Deg2Rad)</f>
        <v>1.6099800772202159E-3</v>
      </c>
      <c r="AL225" s="75">
        <f>0.0024  *AL17* SIN(2* AL18 * Deg2Rad)</f>
        <v>8.3310653757946965E-7</v>
      </c>
      <c r="AM225" s="75">
        <f>0.0024  *AM17* SIN(2* AM18 * Deg2Rad)</f>
        <v>2.4539049158220443E-3</v>
      </c>
      <c r="AN225" s="75">
        <f>0.0024  *AN17* SIN(2* AN18 * Deg2Rad)</f>
        <v>-1.1578262193646502E-3</v>
      </c>
      <c r="AO225" s="75">
        <f>0.0024  *AO17* SIN(2* AO18 * Deg2Rad)</f>
        <v>2.3216861121543668E-3</v>
      </c>
      <c r="AP225" s="75">
        <f>0.0024  *AP17* SIN(2* AP18 * Deg2Rad)</f>
        <v>-4.7503411565085775E-4</v>
      </c>
      <c r="AQ225" s="75">
        <f>0.0024  *AQ17* SIN(2* AQ18 * Deg2Rad)</f>
        <v>-4.7503411565085775E-4</v>
      </c>
      <c r="AR225" s="75">
        <f>0.0024  *AR17* SIN(2* AR18 * Deg2Rad)</f>
        <v>-2.2486692862565805E-3</v>
      </c>
      <c r="AS225" s="75">
        <f>0.0024  *AS17* SIN(2* AS18 * Deg2Rad)</f>
        <v>-2.2486692862565805E-3</v>
      </c>
      <c r="AT225" s="75">
        <f>0.0024  *AT17* SIN(2* AT18 * Deg2Rad)</f>
        <v>-2.2486692862565805E-3</v>
      </c>
      <c r="AU225" s="75">
        <f>0.0024  *AU17* SIN(2* AU18 * Deg2Rad)</f>
        <v>-1.4490854172144389E-3</v>
      </c>
      <c r="AV225" s="75">
        <f>0.0024  *AV17* SIN(2* AV18 * Deg2Rad)</f>
        <v>1.3386148150620937E-3</v>
      </c>
      <c r="AW225" s="75">
        <f>0.0024  *AW17* SIN(2* AW18 * Deg2Rad)</f>
        <v>1.3021706210651412E-3</v>
      </c>
      <c r="AX225" s="75">
        <f>0.0024  *AX17* SIN(2* AX18 * Deg2Rad)</f>
        <v>-2.3580731354957071E-3</v>
      </c>
      <c r="AY225" s="75">
        <f>0.0024  *AY17* SIN(2* AY18 * Deg2Rad)</f>
        <v>-1.8941468748068803E-3</v>
      </c>
      <c r="AZ225" s="75">
        <f>0.0024  *AZ17* SIN(2* AZ18 * Deg2Rad)</f>
        <v>-1.8941468748068803E-3</v>
      </c>
      <c r="BA225" s="75">
        <f>0.0024  *BA17* SIN(2* BA18 * Deg2Rad)</f>
        <v>2.530028980960203E-4</v>
      </c>
      <c r="BB225" s="75">
        <f>0.0024  *BB17* SIN(2* BB18 * Deg2Rad)</f>
        <v>2.530028980960203E-4</v>
      </c>
      <c r="BC225" s="75">
        <f>0.0024  *BC17* SIN(2* BC18 * Deg2Rad)</f>
        <v>2.530028980960203E-4</v>
      </c>
      <c r="BD225" s="75">
        <f>0.0024  *BD17* SIN(2* BD18 * Deg2Rad)</f>
        <v>2.530028980960203E-4</v>
      </c>
      <c r="BE225" s="75">
        <f>0.0024  *BE17* SIN(2* BE18 * Deg2Rad)</f>
        <v>2.530028980960203E-4</v>
      </c>
      <c r="BF225" s="75">
        <f>0.0024  *BF17* SIN(2* BF18 * Deg2Rad)</f>
        <v>2.530028980960203E-4</v>
      </c>
      <c r="BG225" s="75">
        <f>0.0024  *BG17* SIN(2* BG18 * Deg2Rad)</f>
        <v>2.0673881277206356E-3</v>
      </c>
    </row>
    <row r="226" spans="2:59" x14ac:dyDescent="0.25">
      <c r="C226" s="5" t="s">
        <v>1092</v>
      </c>
      <c r="E226" s="75">
        <f>-0.0392 *SIN(E19 * Deg2Rad)</f>
        <v>3.3255974104622534E-2</v>
      </c>
      <c r="F226" s="75">
        <f>-0.0392 *SIN(F19 * Deg2Rad)</f>
        <v>3.2291017015878082E-2</v>
      </c>
      <c r="G226" s="75">
        <f>-0.0392 *SIN(G19 * Deg2Rad)</f>
        <v>-2.218776724245802E-2</v>
      </c>
      <c r="H226" s="75">
        <f>-0.0392 *SIN(H19 * Deg2Rad)</f>
        <v>-3.9030478000630711E-2</v>
      </c>
      <c r="I226" s="75">
        <f>-0.0392 *SIN(I19 * Deg2Rad)</f>
        <v>2.7113885020018776E-2</v>
      </c>
      <c r="J226" s="75">
        <f>-0.0392 *SIN(J19 * Deg2Rad)</f>
        <v>4.8805022207571635E-3</v>
      </c>
      <c r="K226" s="75">
        <f>-0.0392 *SIN(K19 * Deg2Rad)</f>
        <v>-4.3923587794575392E-3</v>
      </c>
      <c r="L226" s="75">
        <f>-0.0392 *SIN(L19 * Deg2Rad)</f>
        <v>3.3005260709943696E-2</v>
      </c>
      <c r="M226" s="75">
        <f>-0.0392 *SIN(M19 * Deg2Rad)</f>
        <v>-2.5751283953290835E-2</v>
      </c>
      <c r="N226" s="75">
        <f>-0.0392 *SIN(N19 * Deg2Rad)</f>
        <v>-3.4525993711912069E-2</v>
      </c>
      <c r="O226" s="75">
        <f>-0.0392 *SIN(O19 * Deg2Rad)</f>
        <v>-3.9109945378033036E-2</v>
      </c>
      <c r="P226" s="75">
        <f>-0.0392 *SIN(P19 * Deg2Rad)</f>
        <v>3.8261854954212658E-2</v>
      </c>
      <c r="Q226" s="75">
        <f>-0.0392 *SIN(Q19 * Deg2Rad)</f>
        <v>4.2879372375418711E-3</v>
      </c>
      <c r="R226" s="75">
        <f>-0.0392 *SIN(R19 * Deg2Rad)</f>
        <v>2.0828803138478947E-2</v>
      </c>
      <c r="S226" s="75">
        <f>-0.0392 *SIN(S19 * Deg2Rad)</f>
        <v>2.5866167663983659E-2</v>
      </c>
      <c r="T226" s="75">
        <f>-0.0392 *SIN(T19 * Deg2Rad)</f>
        <v>-2.3130100062688477E-2</v>
      </c>
      <c r="U226" s="75">
        <f>-0.0392 *SIN(U19 * Deg2Rad)</f>
        <v>3.4831402183584277E-2</v>
      </c>
      <c r="V226" s="75">
        <f>-0.0392 *SIN(V19 * Deg2Rad)</f>
        <v>3.9126807453202468E-2</v>
      </c>
      <c r="W226" s="75">
        <f>-0.0392 *SIN(W19 * Deg2Rad)</f>
        <v>3.3525280371115414E-2</v>
      </c>
      <c r="X226" s="75">
        <f>-0.0392 *SIN(X19 * Deg2Rad)</f>
        <v>-3.8362626447983286E-2</v>
      </c>
      <c r="Y226" s="75">
        <f>-0.0392 *SIN(Y19 * Deg2Rad)</f>
        <v>3.7221634627693713E-2</v>
      </c>
      <c r="Z226" s="75">
        <f>-0.0392 *SIN(Z19 * Deg2Rad)</f>
        <v>-2.4609573397123989E-2</v>
      </c>
      <c r="AA226" s="75">
        <f>-0.0392 *SIN(AA19 * Deg2Rad)</f>
        <v>-2.218776724245802E-2</v>
      </c>
      <c r="AB226" s="75">
        <f>-0.0392 *SIN(AB19 * Deg2Rad)</f>
        <v>3.8548623457110215E-2</v>
      </c>
      <c r="AC226" s="75">
        <f>-0.0392 *SIN(AC19 * Deg2Rad)</f>
        <v>-2.7105761545458712E-2</v>
      </c>
      <c r="AD226" s="75">
        <f>-0.0392 *SIN(AD19 * Deg2Rad)</f>
        <v>3.706817968531595E-2</v>
      </c>
      <c r="AE226" s="75">
        <f>-0.0392 *SIN(AE19 * Deg2Rad)</f>
        <v>3.7221634627693713E-2</v>
      </c>
      <c r="AF226" s="75">
        <f>-0.0392 *SIN(AF19 * Deg2Rad)</f>
        <v>3.0721016879314406E-2</v>
      </c>
      <c r="AG226" s="75">
        <f>-0.0392 *SIN(AG19 * Deg2Rad)</f>
        <v>3.8158909086877607E-2</v>
      </c>
      <c r="AH226" s="75">
        <f>-0.0392 *SIN(AH19 * Deg2Rad)</f>
        <v>-3.8552674498996693E-2</v>
      </c>
      <c r="AI226" s="75">
        <f>-0.0392 *SIN(AI19 * Deg2Rad)</f>
        <v>-3.8043366305353606E-2</v>
      </c>
      <c r="AJ226" s="75">
        <f>-0.0392 *SIN(AJ19 * Deg2Rad)</f>
        <v>-3.8268450684087664E-2</v>
      </c>
      <c r="AK226" s="75">
        <f>-0.0392 *SIN(AK19 * Deg2Rad)</f>
        <v>3.4147212527257824E-2</v>
      </c>
      <c r="AL226" s="75">
        <f>-0.0392 *SIN(AL19 * Deg2Rad)</f>
        <v>3.1903272499547199E-2</v>
      </c>
      <c r="AM226" s="75">
        <f>-0.0392 *SIN(AM19 * Deg2Rad)</f>
        <v>-3.5988720551700305E-2</v>
      </c>
      <c r="AN226" s="75">
        <f>-0.0392 *SIN(AN19 * Deg2Rad)</f>
        <v>-3.6365162413926976E-2</v>
      </c>
      <c r="AO226" s="75">
        <f>-0.0392 *SIN(AO19 * Deg2Rad)</f>
        <v>-1.3891632500784833E-2</v>
      </c>
      <c r="AP226" s="75">
        <f>-0.0392 *SIN(AP19 * Deg2Rad)</f>
        <v>-3.9194407233332007E-2</v>
      </c>
      <c r="AQ226" s="75">
        <f>-0.0392 *SIN(AQ19 * Deg2Rad)</f>
        <v>-3.9194407233332007E-2</v>
      </c>
      <c r="AR226" s="75">
        <f>-0.0392 *SIN(AR19 * Deg2Rad)</f>
        <v>-3.5570779896537501E-2</v>
      </c>
      <c r="AS226" s="75">
        <f>-0.0392 *SIN(AS19 * Deg2Rad)</f>
        <v>-3.5570779896537501E-2</v>
      </c>
      <c r="AT226" s="75">
        <f>-0.0392 *SIN(AT19 * Deg2Rad)</f>
        <v>-3.5570779896537501E-2</v>
      </c>
      <c r="AU226" s="75">
        <f>-0.0392 *SIN(AU19 * Deg2Rad)</f>
        <v>4.8015096173769441E-4</v>
      </c>
      <c r="AV226" s="75">
        <f>-0.0392 *SIN(AV19 * Deg2Rad)</f>
        <v>-3.948916572279226E-3</v>
      </c>
      <c r="AW226" s="75">
        <f>-0.0392 *SIN(AW19 * Deg2Rad)</f>
        <v>-1.4899150258284727E-2</v>
      </c>
      <c r="AX226" s="75">
        <f>-0.0392 *SIN(AX19 * Deg2Rad)</f>
        <v>-3.89187852120002E-2</v>
      </c>
      <c r="AY226" s="75">
        <f>-0.0392 *SIN(AY19 * Deg2Rad)</f>
        <v>-2.4846517586809953E-2</v>
      </c>
      <c r="AZ226" s="75">
        <f>-0.0392 *SIN(AZ19 * Deg2Rad)</f>
        <v>-2.4846517586809953E-2</v>
      </c>
      <c r="BA226" s="75">
        <f>-0.0392 *SIN(BA19 * Deg2Rad)</f>
        <v>-9.1623962978020154E-3</v>
      </c>
      <c r="BB226" s="75">
        <f>-0.0392 *SIN(BB19 * Deg2Rad)</f>
        <v>-9.1623962978020154E-3</v>
      </c>
      <c r="BC226" s="75">
        <f>-0.0392 *SIN(BC19 * Deg2Rad)</f>
        <v>-9.1623962978020154E-3</v>
      </c>
      <c r="BD226" s="75">
        <f>-0.0392 *SIN(BD19 * Deg2Rad)</f>
        <v>-9.1623962978020154E-3</v>
      </c>
      <c r="BE226" s="75">
        <f>-0.0392 *SIN(BE19 * Deg2Rad)</f>
        <v>-9.1623962978020154E-3</v>
      </c>
      <c r="BF226" s="75">
        <f>-0.0392 *SIN(BF19 * Deg2Rad)</f>
        <v>-9.1623962978020154E-3</v>
      </c>
      <c r="BG226" s="75">
        <f>-0.0392 *SIN(BG19 * Deg2Rad)</f>
        <v>3.7221634627693713E-2</v>
      </c>
    </row>
    <row r="227" spans="2:59" x14ac:dyDescent="0.25">
      <c r="C227" t="s">
        <v>1093</v>
      </c>
      <c r="E227" s="75">
        <f>0.0116 *SIN(2 *E19 * Deg2Rad)</f>
        <v>1.0419886066854367E-2</v>
      </c>
      <c r="F227" s="75">
        <f>0.0116 *SIN(2 *F19 * Deg2Rad)</f>
        <v>1.0835036371339059E-2</v>
      </c>
      <c r="G227" s="75">
        <f>0.0116 *SIN(2 *G19 * Deg2Rad)</f>
        <v>1.0825576393304486E-2</v>
      </c>
      <c r="H227" s="75">
        <f>0.0116 *SIN(2 *H19 * Deg2Rad)</f>
        <v>2.1459556673901281E-3</v>
      </c>
      <c r="I227" s="75">
        <f>0.0116 *SIN(2 *I19 * Deg2Rad)</f>
        <v>1.1589193058810654E-2</v>
      </c>
      <c r="J227" s="75">
        <f>0.0116 *SIN(2 *J19 * Deg2Rad)</f>
        <v>-2.8659861972037772E-3</v>
      </c>
      <c r="K227" s="75">
        <f>0.0116 *SIN(2 *K19 * Deg2Rad)</f>
        <v>-2.5831887440202449E-3</v>
      </c>
      <c r="L227" s="75">
        <f>0.0116 *SIN(2 *L19 * Deg2Rad)</f>
        <v>-1.0538892034886265E-2</v>
      </c>
      <c r="M227" s="75">
        <f>0.0116 *SIN(2 *M19 * Deg2Rad)</f>
        <v>-1.1490767064874148E-2</v>
      </c>
      <c r="N227" s="75">
        <f>0.0116 *SIN(2 *N19 * Deg2Rad)</f>
        <v>-9.6764710482800127E-3</v>
      </c>
      <c r="O227" s="75">
        <f>0.0116 *SIN(2 *O19 * Deg2Rad)</f>
        <v>-1.5680666726493873E-3</v>
      </c>
      <c r="P227" s="75">
        <f>0.0116 *SIN(2 *P19 * Deg2Rad)</f>
        <v>-4.9244849321727468E-3</v>
      </c>
      <c r="Q227" s="75">
        <f>0.0116 *SIN(2 *Q19 * Deg2Rad)</f>
        <v>-2.5225305219205431E-3</v>
      </c>
      <c r="R227" s="75">
        <f>0.0116 *SIN(2 *R19 * Deg2Rad)</f>
        <v>-1.0443083099519032E-2</v>
      </c>
      <c r="S227" s="75">
        <f>0.0116 *SIN(2 *S19 * Deg2Rad)</f>
        <v>1.1502786209811242E-2</v>
      </c>
      <c r="T227" s="75">
        <f>0.0116 *SIN(2 *T19 * Deg2Rad)</f>
        <v>-1.1052203192594499E-2</v>
      </c>
      <c r="U227" s="75">
        <f>0.0116 *SIN(2 *U19 * Deg2Rad)</f>
        <v>-9.4572708803264665E-3</v>
      </c>
      <c r="V227" s="75">
        <f>0.0116 *SIN(2 *V19 * Deg2Rad)</f>
        <v>-1.4144216855418138E-3</v>
      </c>
      <c r="W227" s="75">
        <f>0.0116 *SIN(2 *W19 * Deg2Rad)</f>
        <v>-1.0282605547390135E-2</v>
      </c>
      <c r="X227" s="75">
        <f>0.0116 *SIN(2 *X19 * Deg2Rad)</f>
        <v>-4.6677765419998124E-3</v>
      </c>
      <c r="Y227" s="75">
        <f>0.0116 *SIN(2 *Y19 * Deg2Rad)</f>
        <v>-6.9099149975716222E-3</v>
      </c>
      <c r="Z227" s="75">
        <f>0.0116 *SIN(2 *Z19 * Deg2Rad)</f>
        <v>1.1336966200913238E-2</v>
      </c>
      <c r="AA227" s="75">
        <f>0.0116 *SIN(2 *AA19 * Deg2Rad)</f>
        <v>1.0825576393304486E-2</v>
      </c>
      <c r="AB227" s="75">
        <f>0.0116 *SIN(2 *AB19 * Deg2Rad)</f>
        <v>4.1417810515144426E-3</v>
      </c>
      <c r="AC227" s="75">
        <f>0.0116 *SIN(2 *AC19 * Deg2Rad)</f>
        <v>-1.1588903900433075E-2</v>
      </c>
      <c r="AD227" s="75">
        <f>0.0116 *SIN(2 *AD19 * Deg2Rad)</f>
        <v>7.1361521186194847E-3</v>
      </c>
      <c r="AE227" s="75">
        <f>0.0116 *SIN(2 *AE19 * Deg2Rad)</f>
        <v>-6.9099149975716222E-3</v>
      </c>
      <c r="AF227" s="75">
        <f>0.0116 *SIN(2 *AF19 * Deg2Rad)</f>
        <v>-1.1293464499277929E-2</v>
      </c>
      <c r="AG227" s="75">
        <f>0.0116 *SIN(2 *AG19 * Deg2Rad)</f>
        <v>5.170247073234064E-3</v>
      </c>
      <c r="AH227" s="75">
        <f>0.0116 *SIN(2 *AH19 * Deg2Rad)</f>
        <v>-4.1294231560026953E-3</v>
      </c>
      <c r="AI227" s="75">
        <f>0.0116 *SIN(2 *AI19 * Deg2Rad)</f>
        <v>5.4290433054998586E-3</v>
      </c>
      <c r="AJ227" s="75">
        <f>0.0116 *SIN(2 *AJ19 * Deg2Rad)</f>
        <v>4.9081981981472095E-3</v>
      </c>
      <c r="AK227" s="75">
        <f>0.0116 *SIN(2 *AK19 * Deg2Rad)</f>
        <v>9.9249523647337128E-3</v>
      </c>
      <c r="AL227" s="75">
        <f>0.0116 *SIN(2 *AL19 * Deg2Rad)</f>
        <v>-1.0971346790193503E-2</v>
      </c>
      <c r="AM227" s="75">
        <f>0.0116 *SIN(2 *AM19 * Deg2Rad)</f>
        <v>-8.4430168365714885E-3</v>
      </c>
      <c r="AN227" s="75">
        <f>0.0116 *SIN(2 *AN19 * Deg2Rad)</f>
        <v>-8.0357475325352982E-3</v>
      </c>
      <c r="AO227" s="75">
        <f>0.0116 *SIN(2 *AO19 * Deg2Rad)</f>
        <v>7.6880153602831543E-3</v>
      </c>
      <c r="AP227" s="75">
        <f>0.0116 *SIN(2 *AP19 * Deg2Rad)</f>
        <v>3.9182833815766684E-4</v>
      </c>
      <c r="AQ227" s="75">
        <f>0.0116 *SIN(2 *AQ19 * Deg2Rad)</f>
        <v>3.9182833815766684E-4</v>
      </c>
      <c r="AR227" s="75">
        <f>0.0116 *SIN(2 *AR19 * Deg2Rad)</f>
        <v>-8.8467111465818354E-3</v>
      </c>
      <c r="AS227" s="75">
        <f>0.0116 *SIN(2 *AS19 * Deg2Rad)</f>
        <v>-8.8467111465818354E-3</v>
      </c>
      <c r="AT227" s="75">
        <f>0.0116 *SIN(2 *AT19 * Deg2Rad)</f>
        <v>-8.8467111465818354E-3</v>
      </c>
      <c r="AU227" s="75">
        <f>0.0116 *SIN(2 *AU19 * Deg2Rad)</f>
        <v>2.841496592062306E-4</v>
      </c>
      <c r="AV227" s="75">
        <f>0.0116 *SIN(2 *AV19 * Deg2Rad)</f>
        <v>2.3252250439141681E-3</v>
      </c>
      <c r="AW227" s="75">
        <f>0.0116 *SIN(2 *AW19 * Deg2Rad)</f>
        <v>-8.1561142887175298E-3</v>
      </c>
      <c r="AX227" s="75">
        <f>0.0116 *SIN(2 *AX19 * Deg2Rad)</f>
        <v>2.7540507875569867E-3</v>
      </c>
      <c r="AY227" s="75">
        <f>0.0116 *SIN(2 *AY19 * Deg2Rad)</f>
        <v>-1.1373857424437906E-2</v>
      </c>
      <c r="AZ227" s="75">
        <f>0.0116 *SIN(2 *AZ19 * Deg2Rad)</f>
        <v>-1.1373857424437906E-2</v>
      </c>
      <c r="BA227" s="75">
        <f>0.0116 *SIN(2 *BA19 * Deg2Rad)</f>
        <v>-5.2724378658728505E-3</v>
      </c>
      <c r="BB227" s="75">
        <f>0.0116 *SIN(2 *BB19 * Deg2Rad)</f>
        <v>-5.2724378658728505E-3</v>
      </c>
      <c r="BC227" s="75">
        <f>0.0116 *SIN(2 *BC19 * Deg2Rad)</f>
        <v>-5.2724378658728505E-3</v>
      </c>
      <c r="BD227" s="75">
        <f>0.0116 *SIN(2 *BD19 * Deg2Rad)</f>
        <v>-5.2724378658728505E-3</v>
      </c>
      <c r="BE227" s="75">
        <f>0.0116 *SIN(2 *BE19 * Deg2Rad)</f>
        <v>-5.2724378658728505E-3</v>
      </c>
      <c r="BF227" s="75">
        <f>0.0116 *SIN(2 *BF19 * Deg2Rad)</f>
        <v>-5.2724378658728505E-3</v>
      </c>
      <c r="BG227" s="75">
        <f>0.0116 *SIN(2 *BG19 * Deg2Rad)</f>
        <v>-6.9099149975716222E-3</v>
      </c>
    </row>
    <row r="228" spans="2:59" x14ac:dyDescent="0.25">
      <c r="C228" s="5" t="s">
        <v>1094</v>
      </c>
      <c r="E228" s="75">
        <f>-0.0073  *E17* SIN((E19 + E18) * Deg2Rad)</f>
        <v>2.7343440370192684E-4</v>
      </c>
      <c r="F228" s="75">
        <f>-0.0073  *F17* SIN((F19 + F18) * Deg2Rad)</f>
        <v>3.0227643862530957E-3</v>
      </c>
      <c r="G228" s="75">
        <f>-0.0073  *G17* SIN((G19 + G18) * Deg2Rad)</f>
        <v>-5.7192819066820043E-3</v>
      </c>
      <c r="H228" s="75">
        <f>-0.0073  *H17* SIN((H19 + H18) * Deg2Rad)</f>
        <v>-6.7439251476525972E-3</v>
      </c>
      <c r="I228" s="75">
        <f>-0.0073  *I17* SIN((I19 + I18) * Deg2Rad)</f>
        <v>7.2625282908591066E-3</v>
      </c>
      <c r="J228" s="75">
        <f>-0.0073  *J17* SIN((J19 + J18) * Deg2Rad)</f>
        <v>-1.7538402662270895E-4</v>
      </c>
      <c r="K228" s="75">
        <f>-0.0073  *K17* SIN((K19 + K18) * Deg2Rad)</f>
        <v>2.8625501451148552E-3</v>
      </c>
      <c r="L228" s="75">
        <f>-0.0073  *L17* SIN((L19 + L18) * Deg2Rad)</f>
        <v>-6.4657655397698877E-3</v>
      </c>
      <c r="M228" s="75">
        <f>-0.0073  *M17* SIN((M19 + M18) * Deg2Rad)</f>
        <v>-3.3549034125849799E-3</v>
      </c>
      <c r="N228" s="75">
        <f>-0.0073  *N17* SIN((N19 + N18) * Deg2Rad)</f>
        <v>-3.5549665733887624E-3</v>
      </c>
      <c r="O228" s="75">
        <f>-0.0073  *O17* SIN((O19 + O18) * Deg2Rad)</f>
        <v>-4.2116949991755871E-3</v>
      </c>
      <c r="P228" s="75">
        <f>-0.0073  *P17* SIN((P19 + P18) * Deg2Rad)</f>
        <v>-6.1884388108354726E-3</v>
      </c>
      <c r="Q228" s="75">
        <f>-0.0073  *Q17* SIN((Q19 + Q18) * Deg2Rad)</f>
        <v>-6.6873755054626281E-3</v>
      </c>
      <c r="R228" s="75">
        <f>-0.0073  *R17* SIN((R19 + R18) * Deg2Rad)</f>
        <v>-7.7703911151770087E-4</v>
      </c>
      <c r="S228" s="75">
        <f>-0.0073  *S17* SIN((S19 + S18) * Deg2Rad)</f>
        <v>-7.7111180565641148E-3</v>
      </c>
      <c r="T228" s="75">
        <f>-0.0073  *T17* SIN((T19 + T18) * Deg2Rad)</f>
        <v>7.1276403634321249E-3</v>
      </c>
      <c r="U228" s="75">
        <f>-0.0073  *U17* SIN((U19 + U18) * Deg2Rad)</f>
        <v>4.4337331125871553E-3</v>
      </c>
      <c r="V228" s="75">
        <f>-0.0073  *V17* SIN((V19 + V18) * Deg2Rad)</f>
        <v>-1.6154380441596537E-3</v>
      </c>
      <c r="W228" s="75">
        <f>-0.0073  *W17* SIN((W19 + W18) * Deg2Rad)</f>
        <v>-6.8071694926519662E-3</v>
      </c>
      <c r="X228" s="75">
        <f>-0.0073  *X17* SIN((X19 + X18) * Deg2Rad)</f>
        <v>5.9040492813523162E-3</v>
      </c>
      <c r="Y228" s="75">
        <f>-0.0073  *Y17* SIN((Y19 + Y18) * Deg2Rad)</f>
        <v>1.4473789745514829E-3</v>
      </c>
      <c r="Z228" s="75">
        <f>-0.0073  *Z17* SIN((Z19 + Z18) * Deg2Rad)</f>
        <v>-5.5288874119192961E-3</v>
      </c>
      <c r="AA228" s="75">
        <f>-0.0073  *AA17* SIN((AA19 + AA18) * Deg2Rad)</f>
        <v>-5.7192819066820043E-3</v>
      </c>
      <c r="AB228" s="75">
        <f>-0.0073  *AB17* SIN((AB19 + AB18) * Deg2Rad)</f>
        <v>-7.3082200373864375E-3</v>
      </c>
      <c r="AC228" s="75">
        <f>-0.0073  *AC17* SIN((AC19 + AC18) * Deg2Rad)</f>
        <v>-6.5158107135615644E-3</v>
      </c>
      <c r="AD228" s="75">
        <f>-0.0073  *AD17* SIN((AD19 + AD18) * Deg2Rad)</f>
        <v>-9.9690555355382948E-4</v>
      </c>
      <c r="AE228" s="75">
        <f>-0.0073  *AE17* SIN((AE19 + AE18) * Deg2Rad)</f>
        <v>1.4473789745514829E-3</v>
      </c>
      <c r="AF228" s="75">
        <f>-0.0073  *AF17* SIN((AF19 + AF18) * Deg2Rad)</f>
        <v>5.3102227216130088E-3</v>
      </c>
      <c r="AG228" s="75">
        <f>-0.0073  *AG17* SIN((AG19 + AG18) * Deg2Rad)</f>
        <v>2.9107978492423363E-3</v>
      </c>
      <c r="AH228" s="75">
        <f>-0.0073  *AH17* SIN((AH19 + AH18) * Deg2Rad)</f>
        <v>6.4261080229685412E-4</v>
      </c>
      <c r="AI228" s="75">
        <f>-0.0073  *AI17* SIN((AI19 + AI18) * Deg2Rad)</f>
        <v>-1.2247340734308516E-4</v>
      </c>
      <c r="AJ228" s="75">
        <f>-0.0073  *AJ17* SIN((AJ19 + AJ18) * Deg2Rad)</f>
        <v>5.4216721143870864E-3</v>
      </c>
      <c r="AK228" s="75">
        <f>-0.0073  *AK17* SIN((AK19 + AK18) * Deg2Rad)</f>
        <v>7.2533543614456703E-3</v>
      </c>
      <c r="AL228" s="75">
        <f>-0.0073  *AL17* SIN((AL19 + AL18) * Deg2Rad)</f>
        <v>4.241712162088733E-3</v>
      </c>
      <c r="AM228" s="75">
        <f>-0.0073  *AM17* SIN((AM19 + AM18) * Deg2Rad)</f>
        <v>2.2685122384815703E-3</v>
      </c>
      <c r="AN228" s="75">
        <f>-0.0073  *AN17* SIN((AN19 + AN18) * Deg2Rad)</f>
        <v>4.326358878831863E-3</v>
      </c>
      <c r="AO228" s="75">
        <f>-0.0073  *AO17* SIN((AO19 + AO18) * Deg2Rad)</f>
        <v>-7.4502768886238113E-3</v>
      </c>
      <c r="AP228" s="75">
        <f>-0.0073  *AP17* SIN((AP19 + AP18) * Deg2Rad)</f>
        <v>-6.0332230253083306E-4</v>
      </c>
      <c r="AQ228" s="75">
        <f>-0.0073  *AQ17* SIN((AQ19 + AQ18) * Deg2Rad)</f>
        <v>-6.0332230253083306E-4</v>
      </c>
      <c r="AR228" s="75">
        <f>-0.0073  *AR17* SIN((AR19 + AR18) * Deg2Rad)</f>
        <v>-6.2969613414509936E-3</v>
      </c>
      <c r="AS228" s="75">
        <f>-0.0073  *AS17* SIN((AS19 + AS18) * Deg2Rad)</f>
        <v>-6.2969613414509936E-3</v>
      </c>
      <c r="AT228" s="75">
        <f>-0.0073  *AT17* SIN((AT19 + AT18) * Deg2Rad)</f>
        <v>-6.2969613414509936E-3</v>
      </c>
      <c r="AU228" s="75">
        <f>-0.0073  *AU17* SIN((AU19 + AU18) * Deg2Rad)</f>
        <v>2.2396753361002869E-3</v>
      </c>
      <c r="AV228" s="75">
        <f>-0.0073  *AV17* SIN((AV19 + AV18) * Deg2Rad)</f>
        <v>7.1621880842695426E-3</v>
      </c>
      <c r="AW228" s="75">
        <f>-0.0073  *AW17* SIN((AW19 + AW18) * Deg2Rad)</f>
        <v>-7.5660710749747432E-4</v>
      </c>
      <c r="AX228" s="75">
        <f>-0.0073  *AX17* SIN((AX19 + AX18) * Deg2Rad)</f>
        <v>3.9383845322386478E-3</v>
      </c>
      <c r="AY228" s="75">
        <f>-0.0073  *AY17* SIN((AY19 + AY18) * Deg2Rad)</f>
        <v>-6.6342269797685363E-3</v>
      </c>
      <c r="AZ228" s="75">
        <f>-0.0073  *AZ17* SIN((AZ19 + AZ18) * Deg2Rad)</f>
        <v>-6.6342269797685363E-3</v>
      </c>
      <c r="BA228" s="75">
        <f>-0.0073  *BA17* SIN((BA19 + BA18) * Deg2Rad)</f>
        <v>-1.3282546004910602E-3</v>
      </c>
      <c r="BB228" s="75">
        <f>-0.0073  *BB17* SIN((BB19 + BB18) * Deg2Rad)</f>
        <v>-1.3282546004910602E-3</v>
      </c>
      <c r="BC228" s="75">
        <f>-0.0073  *BC17* SIN((BC19 + BC18) * Deg2Rad)</f>
        <v>-1.3282546004910602E-3</v>
      </c>
      <c r="BD228" s="75">
        <f>-0.0073  *BD17* SIN((BD19 + BD18) * Deg2Rad)</f>
        <v>-1.3282546004910602E-3</v>
      </c>
      <c r="BE228" s="75">
        <f>-0.0073  *BE17* SIN((BE19 + BE18) * Deg2Rad)</f>
        <v>-1.3282546004910602E-3</v>
      </c>
      <c r="BF228" s="75">
        <f>-0.0073  *BF17* SIN((BF19 + BF18) * Deg2Rad)</f>
        <v>-1.3282546004910602E-3</v>
      </c>
      <c r="BG228" s="75">
        <f>-0.0073  *BG17* SIN((BG19 + BG18) * Deg2Rad)</f>
        <v>1.4473789745514829E-3</v>
      </c>
    </row>
    <row r="229" spans="2:59" x14ac:dyDescent="0.25">
      <c r="C229" t="s">
        <v>1095</v>
      </c>
      <c r="E229" s="75">
        <f>0.0067  *E17* SIN((E19 - E18) * Deg2Rad)</f>
        <v>-6.1308251736698124E-3</v>
      </c>
      <c r="F229" s="75">
        <f>0.0067  *F17* SIN((F19 - F18) * Deg2Rad)</f>
        <v>4.9787623997680905E-3</v>
      </c>
      <c r="G229" s="75">
        <f>0.0067  *G17* SIN((G19 - G18) * Deg2Rad)</f>
        <v>1.999853925024604E-3</v>
      </c>
      <c r="H229" s="75">
        <f>0.0067  *H17* SIN((H19 - H18) * Deg2Rad)</f>
        <v>5.6082281000720165E-3</v>
      </c>
      <c r="I229" s="75">
        <f>0.0067  *I17* SIN((I19 - I18) * Deg2Rad)</f>
        <v>-4.1082694645753402E-4</v>
      </c>
      <c r="J229" s="75">
        <f>0.0067  *J17* SIN((J19 - J18) * Deg2Rad)</f>
        <v>1.4994179180455975E-3</v>
      </c>
      <c r="K229" s="75">
        <f>0.0067  *K17* SIN((K19 - K18) * Deg2Rad)</f>
        <v>3.9343050771594905E-3</v>
      </c>
      <c r="L229" s="75">
        <f>0.0067  *L17* SIN((L19 - L18) * Deg2Rad)</f>
        <v>5.3090868838796207E-3</v>
      </c>
      <c r="M229" s="75">
        <f>0.0067  *M17* SIN((M19 - M18) * Deg2Rad)</f>
        <v>5.4916588429702986E-3</v>
      </c>
      <c r="N229" s="75">
        <f>0.0067  *N17* SIN((N19 - N18) * Deg2Rad)</f>
        <v>6.7444347996263943E-3</v>
      </c>
      <c r="O229" s="75">
        <f>0.0067  *O17* SIN((O19 - O18) * Deg2Rad)</f>
        <v>4.580774093241498E-3</v>
      </c>
      <c r="P229" s="75">
        <f>0.0067  *P17* SIN((P19 - P18) * Deg2Rad)</f>
        <v>3.4873624094540479E-3</v>
      </c>
      <c r="Q229" s="75">
        <f>0.0067  *Q17* SIN((Q19 - Q18) * Deg2Rad)</f>
        <v>-6.738627180893025E-3</v>
      </c>
      <c r="R229" s="75">
        <f>0.0067  *R17* SIN((R19 - R18) * Deg2Rad)</f>
        <v>-6.6115582712432432E-3</v>
      </c>
      <c r="S229" s="75">
        <f>0.0067  *S17* SIN((S19 - S18) * Deg2Rad)</f>
        <v>-1.9967850680648047E-3</v>
      </c>
      <c r="T229" s="75">
        <f>0.0067  *T17* SIN((T19 - T18) * Deg2Rad)</f>
        <v>-7.88833257733669E-4</v>
      </c>
      <c r="U229" s="75">
        <f>0.0067  *U17* SIN((U19 - U18) * Deg2Rad)</f>
        <v>2.4477238206269693E-3</v>
      </c>
      <c r="V229" s="75">
        <f>0.0067  *V17* SIN((V19 - V18) * Deg2Rad)</f>
        <v>5.6170945467202429E-4</v>
      </c>
      <c r="W229" s="75">
        <f>0.0067  *W17* SIN((W19 - W18) * Deg2Rad)</f>
        <v>7.4138038039626075E-4</v>
      </c>
      <c r="X229" s="75">
        <f>0.0067  *X17* SIN((X19 - X18) * Deg2Rad)</f>
        <v>-3.3742381392704844E-3</v>
      </c>
      <c r="Y229" s="75">
        <f>0.0067  *Y17* SIN((Y19 - Y18) * Deg2Rad)</f>
        <v>-4.9811868179865035E-3</v>
      </c>
      <c r="Z229" s="75">
        <f>0.0067  *Z17* SIN((Z19 - Z18) * Deg2Rad)</f>
        <v>3.1900837426338479E-3</v>
      </c>
      <c r="AA229" s="75">
        <f>0.0067  *AA17* SIN((AA19 - AA18) * Deg2Rad)</f>
        <v>1.999853925024604E-3</v>
      </c>
      <c r="AB229" s="75">
        <f>0.0067  *AB17* SIN((AB19 - AB18) * Deg2Rad)</f>
        <v>6.2515956422023169E-3</v>
      </c>
      <c r="AC229" s="75">
        <f>0.0067  *AC17* SIN((AC19 - AC18) * Deg2Rad)</f>
        <v>2.7644531492855675E-3</v>
      </c>
      <c r="AD229" s="75">
        <f>0.0067  *AD17* SIN((AD19 - AD18) * Deg2Rad)</f>
        <v>4.8056956792207166E-3</v>
      </c>
      <c r="AE229" s="75">
        <f>0.0067  *AE17* SIN((AE19 - AE18) * Deg2Rad)</f>
        <v>-4.9811868179865035E-3</v>
      </c>
      <c r="AF229" s="75">
        <f>0.0067  *AF17* SIN((AF19 - AF18) * Deg2Rad)</f>
        <v>-5.5906369977167586E-3</v>
      </c>
      <c r="AG229" s="75">
        <f>0.0067  *AG17* SIN((AG19 - AG18) * Deg2Rad)</f>
        <v>-5.1306952303361445E-3</v>
      </c>
      <c r="AH229" s="75">
        <f>0.0067  *AH17* SIN((AH19 - AH18) * Deg2Rad)</f>
        <v>1.8252099104456604E-3</v>
      </c>
      <c r="AI229" s="75">
        <f>0.0067  *AI17* SIN((AI19 - AI18) * Deg2Rad)</f>
        <v>-3.0365721946912232E-3</v>
      </c>
      <c r="AJ229" s="75">
        <f>0.0067  *AJ17* SIN((AJ19 - AJ18) * Deg2Rad)</f>
        <v>-6.4077122955794614E-3</v>
      </c>
      <c r="AK229" s="75">
        <f>0.0067  *AK17* SIN((AK19 - AK18) * Deg2Rad)</f>
        <v>-4.2937029863831149E-3</v>
      </c>
      <c r="AL229" s="75">
        <f>0.0067  *AL17* SIN((AL19 - AL18) * Deg2Rad)</f>
        <v>3.8949711230128873E-3</v>
      </c>
      <c r="AM229" s="75">
        <f>0.0067  *AM17* SIN((AM19 - AM18) * Deg2Rad)</f>
        <v>-6.233191205868337E-3</v>
      </c>
      <c r="AN229" s="75">
        <f>0.0067  *AN17* SIN((AN19 - AN18) * Deg2Rad)</f>
        <v>8.7468448320640287E-4</v>
      </c>
      <c r="AO229" s="75">
        <f>0.0067  *AO17* SIN((AO19 - AO18) * Deg2Rad)</f>
        <v>-4.0760754496421709E-3</v>
      </c>
      <c r="AP229" s="75">
        <f>0.0067  *AP17* SIN((AP19 - AP18) * Deg2Rad)</f>
        <v>7.7882845084045608E-4</v>
      </c>
      <c r="AQ229" s="75">
        <f>0.0067  *AQ17* SIN((AQ19 - AQ18) * Deg2Rad)</f>
        <v>7.7882845084045608E-4</v>
      </c>
      <c r="AR229" s="75">
        <f>0.0067  *AR17* SIN((AR19 - AR18) * Deg2Rad)</f>
        <v>1.1590433284557682E-3</v>
      </c>
      <c r="AS229" s="75">
        <f>0.0067  *AS17* SIN((AS19 - AS18) * Deg2Rad)</f>
        <v>1.1590433284557682E-3</v>
      </c>
      <c r="AT229" s="75">
        <f>0.0067  *AT17* SIN((AT19 - AT18) * Deg2Rad)</f>
        <v>1.1590433284557682E-3</v>
      </c>
      <c r="AU229" s="75">
        <f>0.0067  *AU17* SIN((AU19 - AU18) * Deg2Rad)</f>
        <v>2.2112965307573311E-3</v>
      </c>
      <c r="AV229" s="75">
        <f>0.0067  *AV17* SIN((AV19 - AV18) * Deg2Rad)</f>
        <v>6.1799673904160629E-3</v>
      </c>
      <c r="AW229" s="75">
        <f>0.0067  *AW17* SIN((AW19 - AW18) * Deg2Rad)</f>
        <v>4.1994279991973043E-3</v>
      </c>
      <c r="AX229" s="75">
        <f>0.0067  *AX17* SIN((AX19 - AX18) * Deg2Rad)</f>
        <v>-4.8526964380107901E-3</v>
      </c>
      <c r="AY229" s="75">
        <f>0.0067  *AY17* SIN((AY19 - AY18) * Deg2Rad)</f>
        <v>1.535439777383039E-3</v>
      </c>
      <c r="AZ229" s="75">
        <f>0.0067  *AZ17* SIN((AZ19 - AZ18) * Deg2Rad)</f>
        <v>1.535439777383039E-3</v>
      </c>
      <c r="BA229" s="75">
        <f>0.0067  *BA17* SIN((BA19 - BA18) * Deg2Rad)</f>
        <v>1.906778291809441E-3</v>
      </c>
      <c r="BB229" s="75">
        <f>0.0067  *BB17* SIN((BB19 - BB18) * Deg2Rad)</f>
        <v>1.906778291809441E-3</v>
      </c>
      <c r="BC229" s="75">
        <f>0.0067  *BC17* SIN((BC19 - BC18) * Deg2Rad)</f>
        <v>1.906778291809441E-3</v>
      </c>
      <c r="BD229" s="75">
        <f>0.0067  *BD17* SIN((BD19 - BD18) * Deg2Rad)</f>
        <v>1.906778291809441E-3</v>
      </c>
      <c r="BE229" s="75">
        <f>0.0067  *BE17* SIN((BE19 - BE18) * Deg2Rad)</f>
        <v>1.906778291809441E-3</v>
      </c>
      <c r="BF229" s="75">
        <f>0.0067  *BF17* SIN((BF19 - BF18) * Deg2Rad)</f>
        <v>1.906778291809441E-3</v>
      </c>
      <c r="BG229" s="75">
        <f>0.0067  *BG17* SIN((BG19 - BG18) * Deg2Rad)</f>
        <v>-4.9811868179865035E-3</v>
      </c>
    </row>
    <row r="230" spans="2:59" x14ac:dyDescent="0.25">
      <c r="C230" t="s">
        <v>1096</v>
      </c>
      <c r="E230" s="75">
        <f t="shared" ref="E230:AU230" si="313">0.0118 *SIN(2 *E174 * Deg2Rad)</f>
        <v>2.4777318123616089E-3</v>
      </c>
      <c r="F230" s="75">
        <f t="shared" ref="F230:BG230" si="314">0.0118 *SIN(2 *F174 * Deg2Rad)</f>
        <v>1.0701235165756204E-2</v>
      </c>
      <c r="G230" s="75">
        <f t="shared" si="314"/>
        <v>-1.6324707582880903E-3</v>
      </c>
      <c r="H230" s="75">
        <f t="shared" si="314"/>
        <v>-4.8055539928293688E-3</v>
      </c>
      <c r="I230" s="75">
        <f t="shared" si="314"/>
        <v>-1.1521097845471898E-2</v>
      </c>
      <c r="J230" s="75">
        <f t="shared" si="314"/>
        <v>-4.8427743498809942E-3</v>
      </c>
      <c r="K230" s="75">
        <f t="shared" si="314"/>
        <v>-1.1776358882560338E-2</v>
      </c>
      <c r="L230" s="75">
        <f t="shared" si="314"/>
        <v>-7.6383508017759194E-3</v>
      </c>
      <c r="M230" s="75">
        <f t="shared" si="314"/>
        <v>1.1303314781467452E-2</v>
      </c>
      <c r="N230" s="75">
        <f t="shared" si="314"/>
        <v>3.6722327441354868E-3</v>
      </c>
      <c r="O230" s="75">
        <f t="shared" si="314"/>
        <v>1.174425188898575E-2</v>
      </c>
      <c r="P230" s="75">
        <f t="shared" si="314"/>
        <v>-5.3038740189641298E-3</v>
      </c>
      <c r="Q230" s="75">
        <f t="shared" si="314"/>
        <v>3.2428543631540007E-3</v>
      </c>
      <c r="R230" s="75">
        <f t="shared" si="314"/>
        <v>-8.4003263167620988E-3</v>
      </c>
      <c r="S230" s="75">
        <f t="shared" si="314"/>
        <v>-7.4837957693694619E-3</v>
      </c>
      <c r="T230" s="75">
        <f t="shared" si="314"/>
        <v>6.8259566745518608E-3</v>
      </c>
      <c r="U230" s="75">
        <f t="shared" si="314"/>
        <v>-1.1748120081461373E-2</v>
      </c>
      <c r="V230" s="75">
        <f t="shared" si="314"/>
        <v>-2.680275930074489E-3</v>
      </c>
      <c r="W230" s="75">
        <f t="shared" si="314"/>
        <v>1.1671764348588881E-2</v>
      </c>
      <c r="X230" s="75">
        <f t="shared" si="314"/>
        <v>-1.1411153003195529E-2</v>
      </c>
      <c r="Y230" s="75">
        <f t="shared" si="314"/>
        <v>-1.1787748431566526E-2</v>
      </c>
      <c r="Z230" s="75">
        <f t="shared" si="314"/>
        <v>-1.0380321052183278E-2</v>
      </c>
      <c r="AA230" s="75">
        <f t="shared" si="314"/>
        <v>-1.6324707582880903E-3</v>
      </c>
      <c r="AB230" s="75">
        <f t="shared" si="314"/>
        <v>3.4808680854248315E-3</v>
      </c>
      <c r="AC230" s="75">
        <f t="shared" si="314"/>
        <v>-4.2872863276627576E-4</v>
      </c>
      <c r="AD230" s="75">
        <f t="shared" si="314"/>
        <v>1.1694844984074613E-2</v>
      </c>
      <c r="AE230" s="75">
        <f t="shared" si="314"/>
        <v>-1.1787748431566526E-2</v>
      </c>
      <c r="AF230" s="75">
        <f t="shared" si="314"/>
        <v>9.722015726313378E-3</v>
      </c>
      <c r="AG230" s="75">
        <f t="shared" si="314"/>
        <v>-1.0878344114521219E-2</v>
      </c>
      <c r="AH230" s="75">
        <f t="shared" si="314"/>
        <v>6.6034299024930534E-3</v>
      </c>
      <c r="AI230" s="75">
        <f t="shared" si="314"/>
        <v>-8.1089345351669419E-3</v>
      </c>
      <c r="AJ230" s="75">
        <f t="shared" si="314"/>
        <v>4.4893786161994477E-4</v>
      </c>
      <c r="AK230" s="75">
        <f t="shared" si="314"/>
        <v>5.2760724941330753E-3</v>
      </c>
      <c r="AL230" s="75">
        <f t="shared" si="314"/>
        <v>7.9078703294609767E-3</v>
      </c>
      <c r="AM230" s="75">
        <f t="shared" si="314"/>
        <v>9.7432833265880534E-4</v>
      </c>
      <c r="AN230" s="75">
        <f t="shared" si="314"/>
        <v>8.090240685030152E-4</v>
      </c>
      <c r="AO230" s="75">
        <f t="shared" si="314"/>
        <v>1.1443115876911374E-2</v>
      </c>
      <c r="AP230" s="75">
        <f t="shared" si="314"/>
        <v>-9.1862271818083773E-3</v>
      </c>
      <c r="AQ230" s="75">
        <f t="shared" si="314"/>
        <v>-9.1862271818083773E-3</v>
      </c>
      <c r="AR230" s="75">
        <f t="shared" si="314"/>
        <v>2.0934867923796474E-3</v>
      </c>
      <c r="AS230" s="75">
        <f t="shared" si="314"/>
        <v>2.0934867923796474E-3</v>
      </c>
      <c r="AT230" s="75">
        <f t="shared" si="314"/>
        <v>2.0934867923796474E-3</v>
      </c>
      <c r="AU230" s="75">
        <f t="shared" si="314"/>
        <v>-5.7290869043430375E-3</v>
      </c>
      <c r="AV230" s="75">
        <f t="shared" si="314"/>
        <v>2.6931524245329052E-3</v>
      </c>
      <c r="AW230" s="75">
        <f t="shared" si="314"/>
        <v>-1.240042748359891E-3</v>
      </c>
      <c r="AX230" s="75">
        <f t="shared" si="314"/>
        <v>8.3979588520081126E-4</v>
      </c>
      <c r="AY230" s="75">
        <f t="shared" si="314"/>
        <v>1.1194215863239664E-2</v>
      </c>
      <c r="AZ230" s="75">
        <f t="shared" si="314"/>
        <v>1.1194215863239664E-2</v>
      </c>
      <c r="BA230" s="75">
        <f t="shared" si="314"/>
        <v>8.6435343046428661E-3</v>
      </c>
      <c r="BB230" s="75">
        <f t="shared" si="314"/>
        <v>8.6435343046428661E-3</v>
      </c>
      <c r="BC230" s="75">
        <f t="shared" si="314"/>
        <v>8.6435343046428661E-3</v>
      </c>
      <c r="BD230" s="75">
        <f t="shared" si="314"/>
        <v>8.6435343046428661E-3</v>
      </c>
      <c r="BE230" s="75">
        <f t="shared" si="314"/>
        <v>8.6435343046428661E-3</v>
      </c>
      <c r="BF230" s="75">
        <f t="shared" si="314"/>
        <v>8.6435343046428661E-3</v>
      </c>
      <c r="BG230" s="75">
        <f t="shared" si="314"/>
        <v>-1.1787748431566526E-2</v>
      </c>
    </row>
    <row r="231" spans="2:59" x14ac:dyDescent="0.25">
      <c r="C231" t="s">
        <v>1089</v>
      </c>
      <c r="D231" s="7" t="s">
        <v>1097</v>
      </c>
      <c r="E231" s="39">
        <f t="shared" ref="E231:AU231" si="315">SUM(E224:E230)</f>
        <v>-0.13350489621797529</v>
      </c>
      <c r="F231" s="39">
        <f t="shared" ref="F231:BG231" si="316">SUM(F224:F230)</f>
        <v>0.27213629572397674</v>
      </c>
      <c r="G231" s="39">
        <f t="shared" si="316"/>
        <v>4.5522604598551571E-2</v>
      </c>
      <c r="H231" s="39">
        <f t="shared" si="316"/>
        <v>5.5834371598772296E-2</v>
      </c>
      <c r="I231" s="39">
        <f t="shared" si="316"/>
        <v>0.17018982251139692</v>
      </c>
      <c r="J231" s="39">
        <f t="shared" si="316"/>
        <v>-2.1861650198500605E-2</v>
      </c>
      <c r="K231" s="39">
        <f t="shared" si="316"/>
        <v>9.2107380094751889E-2</v>
      </c>
      <c r="L231" s="39">
        <f t="shared" si="316"/>
        <v>3.1159974453501334E-2</v>
      </c>
      <c r="M231" s="39">
        <f t="shared" si="316"/>
        <v>2.6740558220556362E-2</v>
      </c>
      <c r="N231" s="39">
        <f t="shared" si="316"/>
        <v>7.8445296045070959E-2</v>
      </c>
      <c r="O231" s="39">
        <f t="shared" si="316"/>
        <v>0.1368980004555069</v>
      </c>
      <c r="P231" s="39">
        <f t="shared" si="316"/>
        <v>0.17861070637296722</v>
      </c>
      <c r="Q231" s="39">
        <f t="shared" si="316"/>
        <v>0.19350553931193304</v>
      </c>
      <c r="R231" s="39">
        <f t="shared" si="316"/>
        <v>0.13060587961853809</v>
      </c>
      <c r="S231" s="39">
        <f t="shared" si="316"/>
        <v>-0.16404949282852868</v>
      </c>
      <c r="T231" s="39">
        <f t="shared" si="316"/>
        <v>8.6843281067088621E-2</v>
      </c>
      <c r="U231" s="39">
        <f t="shared" si="316"/>
        <v>-0.19958457390823847</v>
      </c>
      <c r="V231" s="39">
        <f t="shared" si="316"/>
        <v>0.26616793914440418</v>
      </c>
      <c r="W231" s="39">
        <f t="shared" si="316"/>
        <v>0.19066141046746157</v>
      </c>
      <c r="X231" s="39">
        <f t="shared" si="316"/>
        <v>9.9325426365927699E-2</v>
      </c>
      <c r="Y231" s="39">
        <f t="shared" si="316"/>
        <v>0.19694985725026626</v>
      </c>
      <c r="Z231" s="39">
        <f t="shared" si="316"/>
        <v>1.2258598598638244E-2</v>
      </c>
      <c r="AA231" s="39">
        <f t="shared" si="316"/>
        <v>4.5522604598551571E-2</v>
      </c>
      <c r="AB231" s="39">
        <f t="shared" si="316"/>
        <v>7.200761503871056E-3</v>
      </c>
      <c r="AC231" s="39">
        <f t="shared" si="316"/>
        <v>-0.11314543560538605</v>
      </c>
      <c r="AD231" s="39">
        <f t="shared" si="316"/>
        <v>0.24254589235427337</v>
      </c>
      <c r="AE231" s="39">
        <f t="shared" si="316"/>
        <v>0.19694985725026626</v>
      </c>
      <c r="AF231" s="39">
        <f t="shared" si="316"/>
        <v>4.7109617895753408E-2</v>
      </c>
      <c r="AG231" s="39">
        <f t="shared" si="316"/>
        <v>-0.13800424057041463</v>
      </c>
      <c r="AH231" s="39">
        <f t="shared" si="316"/>
        <v>0.17297147284891634</v>
      </c>
      <c r="AI231" s="39">
        <f t="shared" si="316"/>
        <v>0.15680642856138097</v>
      </c>
      <c r="AJ231" s="39">
        <f t="shared" si="316"/>
        <v>6.609655008562082E-2</v>
      </c>
      <c r="AK231" s="39">
        <f t="shared" si="316"/>
        <v>0.12826208556987906</v>
      </c>
      <c r="AL231" s="39">
        <f t="shared" si="316"/>
        <v>-0.17007088491111338</v>
      </c>
      <c r="AM231" s="39">
        <f t="shared" si="316"/>
        <v>-0.20673996279115733</v>
      </c>
      <c r="AN231" s="39">
        <f t="shared" si="316"/>
        <v>0.16092670347088894</v>
      </c>
      <c r="AO231" s="39">
        <f t="shared" si="316"/>
        <v>0.17633265849106031</v>
      </c>
      <c r="AP231" s="39">
        <f t="shared" si="316"/>
        <v>-0.25414274996388603</v>
      </c>
      <c r="AQ231" s="39">
        <f t="shared" si="316"/>
        <v>-0.25414274996388603</v>
      </c>
      <c r="AR231" s="39">
        <f t="shared" si="316"/>
        <v>-0.21955637811356987</v>
      </c>
      <c r="AS231" s="39">
        <f t="shared" si="316"/>
        <v>-0.21955637811356987</v>
      </c>
      <c r="AT231" s="39">
        <f t="shared" si="316"/>
        <v>-0.21955637811356987</v>
      </c>
      <c r="AU231" s="39">
        <f t="shared" si="316"/>
        <v>6.3955927048054334E-2</v>
      </c>
      <c r="AV231" s="39">
        <f t="shared" si="316"/>
        <v>-0.18226984425074247</v>
      </c>
      <c r="AW231" s="39">
        <f t="shared" si="316"/>
        <v>3.8987248566900848E-2</v>
      </c>
      <c r="AX231" s="39">
        <f t="shared" si="316"/>
        <v>0.12135133899077005</v>
      </c>
      <c r="AY231" s="39">
        <f t="shared" si="316"/>
        <v>-0.12296252594188607</v>
      </c>
      <c r="AZ231" s="39">
        <f t="shared" si="316"/>
        <v>-0.12296252594188607</v>
      </c>
      <c r="BA231" s="39">
        <f t="shared" si="316"/>
        <v>5.9662249257144088E-3</v>
      </c>
      <c r="BB231" s="39">
        <f t="shared" si="316"/>
        <v>5.9662249257144088E-3</v>
      </c>
      <c r="BC231" s="39">
        <f t="shared" si="316"/>
        <v>5.9662249257144088E-3</v>
      </c>
      <c r="BD231" s="39">
        <f t="shared" si="316"/>
        <v>5.9662249257144088E-3</v>
      </c>
      <c r="BE231" s="39">
        <f t="shared" si="316"/>
        <v>5.9662249257144088E-3</v>
      </c>
      <c r="BF231" s="39">
        <f t="shared" si="316"/>
        <v>5.9662249257144088E-3</v>
      </c>
      <c r="BG231" s="39">
        <f t="shared" si="316"/>
        <v>0.19694985725026626</v>
      </c>
    </row>
    <row r="232" spans="2:59" x14ac:dyDescent="0.25">
      <c r="B232">
        <v>381</v>
      </c>
      <c r="C232" s="6">
        <v>5.2206999999999999</v>
      </c>
      <c r="E232" s="74">
        <f t="shared" ref="E232:BG232" si="317">5.2207</f>
        <v>5.2206999999999999</v>
      </c>
      <c r="F232" s="74">
        <f t="shared" si="317"/>
        <v>5.2206999999999999</v>
      </c>
      <c r="G232" s="74">
        <f t="shared" si="317"/>
        <v>5.2206999999999999</v>
      </c>
      <c r="H232" s="74">
        <f t="shared" si="317"/>
        <v>5.2206999999999999</v>
      </c>
      <c r="I232" s="74">
        <f t="shared" si="317"/>
        <v>5.2206999999999999</v>
      </c>
      <c r="J232" s="74">
        <f t="shared" si="317"/>
        <v>5.2206999999999999</v>
      </c>
      <c r="K232" s="74">
        <f t="shared" si="317"/>
        <v>5.2206999999999999</v>
      </c>
      <c r="L232" s="74">
        <f t="shared" si="317"/>
        <v>5.2206999999999999</v>
      </c>
      <c r="M232" s="74">
        <f t="shared" si="317"/>
        <v>5.2206999999999999</v>
      </c>
      <c r="N232" s="74">
        <f t="shared" si="317"/>
        <v>5.2206999999999999</v>
      </c>
      <c r="O232" s="74">
        <f t="shared" si="317"/>
        <v>5.2206999999999999</v>
      </c>
      <c r="P232" s="74">
        <f t="shared" si="317"/>
        <v>5.2206999999999999</v>
      </c>
      <c r="Q232" s="74">
        <f t="shared" si="317"/>
        <v>5.2206999999999999</v>
      </c>
      <c r="R232" s="74">
        <f t="shared" si="317"/>
        <v>5.2206999999999999</v>
      </c>
      <c r="S232" s="74">
        <f t="shared" si="317"/>
        <v>5.2206999999999999</v>
      </c>
      <c r="T232" s="74">
        <f t="shared" si="317"/>
        <v>5.2206999999999999</v>
      </c>
      <c r="U232" s="74">
        <f t="shared" si="317"/>
        <v>5.2206999999999999</v>
      </c>
      <c r="V232" s="74">
        <f t="shared" si="317"/>
        <v>5.2206999999999999</v>
      </c>
      <c r="W232" s="74">
        <f t="shared" si="317"/>
        <v>5.2206999999999999</v>
      </c>
      <c r="X232" s="74">
        <f t="shared" si="317"/>
        <v>5.2206999999999999</v>
      </c>
      <c r="Y232" s="74">
        <f t="shared" si="317"/>
        <v>5.2206999999999999</v>
      </c>
      <c r="Z232" s="74">
        <f t="shared" si="317"/>
        <v>5.2206999999999999</v>
      </c>
      <c r="AA232" s="74">
        <f t="shared" si="317"/>
        <v>5.2206999999999999</v>
      </c>
      <c r="AB232" s="74">
        <f t="shared" si="317"/>
        <v>5.2206999999999999</v>
      </c>
      <c r="AC232" s="74">
        <f t="shared" si="317"/>
        <v>5.2206999999999999</v>
      </c>
      <c r="AD232" s="74">
        <f t="shared" si="317"/>
        <v>5.2206999999999999</v>
      </c>
      <c r="AE232" s="74">
        <f t="shared" si="317"/>
        <v>5.2206999999999999</v>
      </c>
      <c r="AF232" s="74">
        <f t="shared" si="317"/>
        <v>5.2206999999999999</v>
      </c>
      <c r="AG232" s="74">
        <f t="shared" si="317"/>
        <v>5.2206999999999999</v>
      </c>
      <c r="AH232" s="74">
        <f t="shared" si="317"/>
        <v>5.2206999999999999</v>
      </c>
      <c r="AI232" s="74">
        <f t="shared" si="317"/>
        <v>5.2206999999999999</v>
      </c>
      <c r="AJ232" s="74">
        <f t="shared" si="317"/>
        <v>5.2206999999999999</v>
      </c>
      <c r="AK232" s="74">
        <f t="shared" si="317"/>
        <v>5.2206999999999999</v>
      </c>
      <c r="AL232" s="74">
        <f t="shared" si="317"/>
        <v>5.2206999999999999</v>
      </c>
      <c r="AM232" s="74">
        <f t="shared" si="317"/>
        <v>5.2206999999999999</v>
      </c>
      <c r="AN232" s="74">
        <f t="shared" si="317"/>
        <v>5.2206999999999999</v>
      </c>
      <c r="AO232" s="74">
        <f t="shared" si="317"/>
        <v>5.2206999999999999</v>
      </c>
      <c r="AP232" s="74">
        <f t="shared" si="317"/>
        <v>5.2206999999999999</v>
      </c>
      <c r="AQ232" s="74">
        <f t="shared" si="317"/>
        <v>5.2206999999999999</v>
      </c>
      <c r="AR232" s="74">
        <f t="shared" si="317"/>
        <v>5.2206999999999999</v>
      </c>
      <c r="AS232" s="74">
        <f t="shared" si="317"/>
        <v>5.2206999999999999</v>
      </c>
      <c r="AT232" s="74">
        <f t="shared" si="317"/>
        <v>5.2206999999999999</v>
      </c>
      <c r="AU232" s="74">
        <f t="shared" si="317"/>
        <v>5.2206999999999999</v>
      </c>
      <c r="AV232" s="74">
        <f t="shared" si="317"/>
        <v>5.2206999999999999</v>
      </c>
      <c r="AW232" s="74">
        <f t="shared" si="317"/>
        <v>5.2206999999999999</v>
      </c>
      <c r="AX232" s="74">
        <f t="shared" si="317"/>
        <v>5.2206999999999999</v>
      </c>
      <c r="AY232" s="74">
        <f t="shared" si="317"/>
        <v>5.2206999999999999</v>
      </c>
      <c r="AZ232" s="74">
        <f t="shared" si="317"/>
        <v>5.2206999999999999</v>
      </c>
      <c r="BA232" s="74">
        <f t="shared" si="317"/>
        <v>5.2206999999999999</v>
      </c>
      <c r="BB232" s="74">
        <f t="shared" si="317"/>
        <v>5.2206999999999999</v>
      </c>
      <c r="BC232" s="74">
        <f t="shared" si="317"/>
        <v>5.2206999999999999</v>
      </c>
      <c r="BD232" s="74">
        <f t="shared" si="317"/>
        <v>5.2206999999999999</v>
      </c>
      <c r="BE232" s="74">
        <f t="shared" si="317"/>
        <v>5.2206999999999999</v>
      </c>
      <c r="BF232" s="74">
        <f t="shared" si="317"/>
        <v>5.2206999999999999</v>
      </c>
      <c r="BG232" s="74">
        <f t="shared" si="317"/>
        <v>5.2206999999999999</v>
      </c>
    </row>
    <row r="233" spans="2:59" x14ac:dyDescent="0.25">
      <c r="C233" s="5" t="s">
        <v>1098</v>
      </c>
      <c r="E233" s="74">
        <f>-0.0048  *E17* COS(E18 * Deg2Rad)</f>
        <v>-2.6946045374426999E-3</v>
      </c>
      <c r="F233" s="74">
        <f>-0.0048  *F17* COS(F18 * Deg2Rad)</f>
        <v>9.5860553538566339E-4</v>
      </c>
      <c r="G233" s="74">
        <f>-0.0048  *G17* COS(G18 * Deg2Rad)</f>
        <v>-4.5876520482847939E-3</v>
      </c>
      <c r="H233" s="74">
        <f>-0.0048  *H17* COS(H18 * Deg2Rad)</f>
        <v>-4.2444537120978169E-3</v>
      </c>
      <c r="I233" s="74">
        <f>-0.0048  *I17* COS(I18 * Deg2Rad)</f>
        <v>-3.6647578536389874E-3</v>
      </c>
      <c r="J233" s="74">
        <f>-0.0048  *J17* COS(J18 * Deg2Rad)</f>
        <v>4.7771322937712312E-3</v>
      </c>
      <c r="K233" s="74">
        <f>-0.0048  *K17* COS(K18 * Deg2Rad)</f>
        <v>-4.1784120021903575E-3</v>
      </c>
      <c r="L233" s="74">
        <f>-0.0048  *L17* COS(L18 * Deg2Rad)</f>
        <v>4.7834116686693009E-3</v>
      </c>
      <c r="M233" s="74">
        <f>-0.0048  *M17* COS(M18 * Deg2Rad)</f>
        <v>-4.6735385458812201E-3</v>
      </c>
      <c r="N233" s="74">
        <f>-0.0048  *N17* COS(N18 * Deg2Rad)</f>
        <v>-4.0699533744249445E-3</v>
      </c>
      <c r="O233" s="74">
        <f>-0.0048  *O17* COS(O18 * Deg2Rad)</f>
        <v>-3.0325077669313707E-3</v>
      </c>
      <c r="P233" s="74">
        <f>-0.0048  *P17* COS(P18 * Deg2Rad)</f>
        <v>3.3642743992371511E-3</v>
      </c>
      <c r="Q233" s="74">
        <f>-0.0048  *Q17* COS(Q18 * Deg2Rad)</f>
        <v>-1.9677755083912082E-3</v>
      </c>
      <c r="R233" s="74">
        <f>-0.0048  *R17* COS(R18 * Deg2Rad)</f>
        <v>-3.9764116339370435E-3</v>
      </c>
      <c r="S233" s="74">
        <f>-0.0048  *S17* COS(S18 * Deg2Rad)</f>
        <v>2.7580396365843164E-3</v>
      </c>
      <c r="T233" s="74">
        <f>-0.0048  *T17* COS(T18 * Deg2Rad)</f>
        <v>4.4502754923402979E-3</v>
      </c>
      <c r="U233" s="74">
        <f>-0.0048  *U17* COS(U18 * Deg2Rad)</f>
        <v>-6.5372241245885377E-4</v>
      </c>
      <c r="V233" s="74">
        <f>-0.0048  *V17* COS(V18 * Deg2Rad)</f>
        <v>7.3368217519216745E-4</v>
      </c>
      <c r="W233" s="74">
        <f>-0.0048  *W17* COS(W18 * Deg2Rad)</f>
        <v>2.9273094735560129E-3</v>
      </c>
      <c r="X233" s="74">
        <f>-0.0048  *X17* COS(X18 * Deg2Rad)</f>
        <v>3.2184916518981405E-3</v>
      </c>
      <c r="Y233" s="74">
        <f>-0.0048  *Y17* COS(Y18 * Deg2Rad)</f>
        <v>-2.3802858126128227E-3</v>
      </c>
      <c r="Z233" s="74">
        <f>-0.0048  *Z17* COS(Z18 * Deg2Rad)</f>
        <v>-4.7156027739745556E-3</v>
      </c>
      <c r="AA233" s="74">
        <f>-0.0048  *AA17* COS(AA18 * Deg2Rad)</f>
        <v>-4.5876520482847939E-3</v>
      </c>
      <c r="AB233" s="74">
        <f>-0.0048  *AB17* COS(AB18 * Deg2Rad)</f>
        <v>4.7205197105431871E-3</v>
      </c>
      <c r="AC233" s="74">
        <f>-0.0048  *AC17* COS(AC18 * Deg2Rad)</f>
        <v>-4.530088540823562E-3</v>
      </c>
      <c r="AD233" s="74">
        <f>-0.0048  *AD17* COS(AD18 * Deg2Rad)</f>
        <v>2.1670437086138451E-3</v>
      </c>
      <c r="AE233" s="74">
        <f>-0.0048  *AE17* COS(AE18 * Deg2Rad)</f>
        <v>-2.3802858126128227E-3</v>
      </c>
      <c r="AF233" s="74">
        <f>-0.0048  *AF17* COS(AF18 * Deg2Rad)</f>
        <v>-4.7830109828679813E-3</v>
      </c>
      <c r="AG233" s="74">
        <f>-0.0048  *AG17* COS(AG18 * Deg2Rad)</f>
        <v>-2.8710872157214026E-3</v>
      </c>
      <c r="AH233" s="74">
        <f>-0.0048  *AH17* COS(AH18 * Deg2Rad)</f>
        <v>-4.4996772986753415E-4</v>
      </c>
      <c r="AI233" s="74">
        <f>-0.0048  *AI17* COS(AI18 * Deg2Rad)</f>
        <v>1.0793081482866908E-3</v>
      </c>
      <c r="AJ233" s="74">
        <f>-0.0048  *AJ17* COS(AJ18 * Deg2Rad)</f>
        <v>4.1770304784957517E-3</v>
      </c>
      <c r="AK233" s="74">
        <f>-0.0048  *AK17* COS(AK18 * Deg2Rad)</f>
        <v>-4.5031531158287357E-3</v>
      </c>
      <c r="AL233" s="74">
        <f>-0.0048  *AL17* COS(AL18 * Deg2Rad)</f>
        <v>8.3310655012205168E-7</v>
      </c>
      <c r="AM233" s="74">
        <f>-0.0048  *AM17* COS(AM18 * Deg2Rad)</f>
        <v>3.2443778656846547E-3</v>
      </c>
      <c r="AN233" s="74">
        <f>-0.0048  *AN17* COS(AN18 * Deg2Rad)</f>
        <v>1.1955000675558688E-3</v>
      </c>
      <c r="AO233" s="74">
        <f>-0.0048  *AO17* COS(AO18 * Deg2Rad)</f>
        <v>-2.7917035226547385E-3</v>
      </c>
      <c r="AP233" s="74">
        <f>-0.0048  *AP17* COS(AP18 * Deg2Rad)</f>
        <v>-4.7740397596815942E-4</v>
      </c>
      <c r="AQ233" s="74">
        <f>-0.0048  *AQ17* COS(AQ18 * Deg2Rad)</f>
        <v>-4.7740397596815942E-4</v>
      </c>
      <c r="AR233" s="74">
        <f>-0.0048  *AR17* COS(AR18 * Deg2Rad)</f>
        <v>-2.7389956601501508E-3</v>
      </c>
      <c r="AS233" s="74">
        <f>-0.0048  *AS17* COS(AS18 * Deg2Rad)</f>
        <v>-2.7389956601501508E-3</v>
      </c>
      <c r="AT233" s="74">
        <f>-0.0048  *AT17* COS(AT18 * Deg2Rad)</f>
        <v>-2.7389956601501508E-3</v>
      </c>
      <c r="AU233" s="74">
        <f>-0.0048  *AU17* COS(AU18 * Deg2Rad)</f>
        <v>4.5534937907384127E-3</v>
      </c>
      <c r="AV233" s="74">
        <f>-0.0048  *AV17* COS(AV18 * Deg2Rad)</f>
        <v>1.3994001841246008E-3</v>
      </c>
      <c r="AW233" s="74">
        <f>-0.0048  *AW17* COS(AW18 * Deg2Rad)</f>
        <v>-4.6122357943188677E-3</v>
      </c>
      <c r="AX233" s="74">
        <f>-0.0048  *AX17* COS(AX18 * Deg2Rad)</f>
        <v>3.0550068245643693E-3</v>
      </c>
      <c r="AY233" s="74">
        <f>-0.0048  *AY17* COS(AY18 * Deg2Rad)</f>
        <v>-4.308855771893833E-3</v>
      </c>
      <c r="AZ233" s="74">
        <f>-0.0048  *AZ17* COS(AZ18 * Deg2Rad)</f>
        <v>-4.308855771893833E-3</v>
      </c>
      <c r="BA233" s="74">
        <f>-0.0048  *BA17* COS(BA18 * Deg2Rad)</f>
        <v>-4.7905252643915481E-3</v>
      </c>
      <c r="BB233" s="74">
        <f>-0.0048  *BB17* COS(BB18 * Deg2Rad)</f>
        <v>-4.7905252643915481E-3</v>
      </c>
      <c r="BC233" s="74">
        <f>-0.0048  *BC17* COS(BC18 * Deg2Rad)</f>
        <v>-4.7905252643915481E-3</v>
      </c>
      <c r="BD233" s="74">
        <f>-0.0048  *BD17* COS(BD18 * Deg2Rad)</f>
        <v>-4.7905252643915481E-3</v>
      </c>
      <c r="BE233" s="74">
        <f>-0.0048  *BE17* COS(BE18 * Deg2Rad)</f>
        <v>-4.7905252643915481E-3</v>
      </c>
      <c r="BF233" s="74">
        <f>-0.0048  *BF17* COS(BF18 * Deg2Rad)</f>
        <v>-4.7905252643915481E-3</v>
      </c>
      <c r="BG233" s="74">
        <f>-0.0048  *BG17* COS(BG18 * Deg2Rad)</f>
        <v>-2.3802858126128227E-3</v>
      </c>
    </row>
    <row r="234" spans="2:59" x14ac:dyDescent="0.25">
      <c r="C234" t="s">
        <v>1099</v>
      </c>
      <c r="E234" s="74">
        <f>0.002  *E17* COS(2*E18 * Deg2Rad)</f>
        <v>-7.428814184204718E-4</v>
      </c>
      <c r="F234" s="74">
        <f>0.002  *F17* COS(2*F18 * Deg2Rad)</f>
        <v>-1.9263432446641204E-3</v>
      </c>
      <c r="G234" s="74">
        <f>0.002  *G17* COS(2*G18 * Deg2Rad)</f>
        <v>1.6539209096577451E-3</v>
      </c>
      <c r="H234" s="74">
        <f>0.002  *H17* COS(2*H18 * Deg2Rad)</f>
        <v>1.1275514605541053E-3</v>
      </c>
      <c r="I234" s="74">
        <f>0.002  *I17* COS(2*I18 * Deg2Rad)</f>
        <v>3.3027071416670821E-4</v>
      </c>
      <c r="J234" s="74">
        <f>0.002  *J17* COS(2*J18 * Deg2Rad)</f>
        <v>1.9601052689483043E-3</v>
      </c>
      <c r="K234" s="74">
        <f>0.002  *K17* COS(2*K18 * Deg2Rad)</f>
        <v>1.0295896620374256E-3</v>
      </c>
      <c r="L234" s="74">
        <f>0.002  *L17* COS(2*L18 * Deg2Rad)</f>
        <v>1.9706702338046348E-3</v>
      </c>
      <c r="M234" s="74">
        <f>0.002  *M17* COS(2*M18 * Deg2Rad)</f>
        <v>1.7775054453983922E-3</v>
      </c>
      <c r="N234" s="74">
        <f>0.002  *N17* COS(2*N18 * Deg2Rad)</f>
        <v>8.2758247108871696E-4</v>
      </c>
      <c r="O234" s="74">
        <f>0.002  *O17* COS(2*O18 * Deg2Rad)</f>
        <v>-4.3896927492622728E-4</v>
      </c>
      <c r="P234" s="74">
        <f>0.002  *P17* COS(2*P18 * Deg2Rad)</f>
        <v>-1.4550544309264768E-4</v>
      </c>
      <c r="Q234" s="74">
        <f>0.002  *Q17* COS(2*Q18 * Deg2Rad)</f>
        <v>-1.4599081284268887E-3</v>
      </c>
      <c r="R234" s="74">
        <f>0.002  *R17* COS(2*R18 * Deg2Rad)</f>
        <v>5.1413910621580529E-4</v>
      </c>
      <c r="S234" s="74">
        <f>0.002  *S17* COS(2*S18 * Deg2Rad)</f>
        <v>-9.0201422304525959E-4</v>
      </c>
      <c r="T234" s="74">
        <f>0.002  *T17* COS(2*T18 * Deg2Rad)</f>
        <v>1.0793615494560243E-3</v>
      </c>
      <c r="U234" s="74">
        <f>0.002  *U17* COS(2*U18 * Deg2Rad)</f>
        <v>-2.0682378192772625E-3</v>
      </c>
      <c r="V234" s="74">
        <f>0.002  *V17* COS(2*V18 * Deg2Rad)</f>
        <v>-2.1887716156044706E-3</v>
      </c>
      <c r="W234" s="74">
        <f>0.002  *W17* COS(2*W18 * Deg2Rad)</f>
        <v>-5.1341170519162435E-4</v>
      </c>
      <c r="X234" s="74">
        <f>0.002  *X17* COS(2*X18 * Deg2Rad)</f>
        <v>-2.0234651743447426E-4</v>
      </c>
      <c r="Y234" s="74">
        <f>0.002  *Y17* COS(2*Y18 * Deg2Rad)</f>
        <v>-1.018074121922513E-3</v>
      </c>
      <c r="Z234" s="74">
        <f>0.002  *Z17* COS(2*Z18 * Deg2Rad)</f>
        <v>1.8670790285397311E-3</v>
      </c>
      <c r="AA234" s="74">
        <f>0.002  *AA17* COS(2*AA18 * Deg2Rad)</f>
        <v>1.6539209096577451E-3</v>
      </c>
      <c r="AB234" s="74">
        <f>0.002  *AB17* COS(2*AB18 * Deg2Rad)</f>
        <v>1.861928495135307E-3</v>
      </c>
      <c r="AC234" s="74">
        <f>0.002  *AC17* COS(2*AC18 * Deg2Rad)</f>
        <v>1.5598505677482781E-3</v>
      </c>
      <c r="AD234" s="74">
        <f>0.002  *AD17* COS(2*AD18 * Deg2Rad)</f>
        <v>-1.1855357823143185E-3</v>
      </c>
      <c r="AE234" s="74">
        <f>0.002  *AE17* COS(2*AE18 * Deg2Rad)</f>
        <v>-1.018074121922513E-3</v>
      </c>
      <c r="AF234" s="74">
        <f>0.002  *AF17* COS(2*AF18 * Deg2Rad)</f>
        <v>1.9706846430448326E-3</v>
      </c>
      <c r="AG234" s="74">
        <f>0.002  *AG17* COS(2*AG18 * Deg2Rad)</f>
        <v>-5.6951650638663201E-4</v>
      </c>
      <c r="AH234" s="74">
        <f>0.002  *AH17* COS(2*AH18 * Deg2Rad)</f>
        <v>-1.9652978540237592E-3</v>
      </c>
      <c r="AI234" s="74">
        <f>0.002  *AI17* COS(2*AI18 * Deg2Rad)</f>
        <v>-1.7981870771628663E-3</v>
      </c>
      <c r="AJ234" s="74">
        <f>0.002  *AJ17* COS(2*AJ18 * Deg2Rad)</f>
        <v>1.0282608630805901E-3</v>
      </c>
      <c r="AK234" s="74">
        <f>0.002  *AK17* COS(2*AK18 * Deg2Rad)</f>
        <v>1.4954884749288676E-3</v>
      </c>
      <c r="AL234" s="74">
        <f>0.002  *AL17* COS(2*AL18 * Deg2Rad)</f>
        <v>-2.0004655844455448E-3</v>
      </c>
      <c r="AM234" s="74">
        <f>0.002  *AM17* COS(2*AM18 * Deg2Rad)</f>
        <v>-2.9788445559998395E-4</v>
      </c>
      <c r="AN234" s="74">
        <f>0.002  *AN17* COS(2*AN18 * Deg2Rad)</f>
        <v>-1.7518554501874083E-3</v>
      </c>
      <c r="AO234" s="74">
        <f>0.002  *AO17* COS(2*AO18 * Deg2Rad)</f>
        <v>-8.0276775306650945E-4</v>
      </c>
      <c r="AP234" s="74">
        <f>0.002  *AP17* COS(2*AP18 * Deg2Rad)</f>
        <v>-1.9592627933757581E-3</v>
      </c>
      <c r="AQ234" s="74">
        <f>0.002  *AQ17* COS(2*AQ18 * Deg2Rad)</f>
        <v>-1.9592627933757581E-3</v>
      </c>
      <c r="AR234" s="74">
        <f>0.002  *AR17* COS(2*AR18 * Deg2Rad)</f>
        <v>-6.9565306985765304E-4</v>
      </c>
      <c r="AS234" s="74">
        <f>0.002  *AS17* COS(2*AS18 * Deg2Rad)</f>
        <v>-6.9565306985765304E-4</v>
      </c>
      <c r="AT234" s="74">
        <f>0.002  *AT17* COS(2*AT18 * Deg2Rad)</f>
        <v>-6.9565306985765304E-4</v>
      </c>
      <c r="AU234" s="74">
        <f>0.002  *AU17* COS(2*AU18 * Deg2Rad)</f>
        <v>1.5959684605894833E-3</v>
      </c>
      <c r="AV234" s="74">
        <f>0.002  *AV17* COS(2*AV18 * Deg2Rad)</f>
        <v>-1.6601493865728615E-3</v>
      </c>
      <c r="AW234" s="74">
        <f>0.002  *AW17* COS(2*AW18 * Deg2Rad)</f>
        <v>1.6839025915014953E-3</v>
      </c>
      <c r="AX234" s="74">
        <f>0.002  *AX17* COS(2*AX18 * Deg2Rad)</f>
        <v>-3.8355394248117396E-4</v>
      </c>
      <c r="AY234" s="74">
        <f>0.002  *AY17* COS(2*AY18 * Deg2Rad)</f>
        <v>1.2263205813859406E-3</v>
      </c>
      <c r="AZ234" s="74">
        <f>0.002  *AZ17* COS(2*AZ18 * Deg2Rad)</f>
        <v>1.2263205813859406E-3</v>
      </c>
      <c r="BA234" s="74">
        <f>0.002  *BA17* COS(2*BA18 * Deg2Rad)</f>
        <v>1.9876912883530491E-3</v>
      </c>
      <c r="BB234" s="74">
        <f>0.002  *BB17* COS(2*BB18 * Deg2Rad)</f>
        <v>1.9876912883530491E-3</v>
      </c>
      <c r="BC234" s="74">
        <f>0.002  *BC17* COS(2*BC18 * Deg2Rad)</f>
        <v>1.9876912883530491E-3</v>
      </c>
      <c r="BD234" s="74">
        <f>0.002  *BD17* COS(2*BD18 * Deg2Rad)</f>
        <v>1.9876912883530491E-3</v>
      </c>
      <c r="BE234" s="74">
        <f>0.002  *BE17* COS(2*BE18 * Deg2Rad)</f>
        <v>1.9876912883530491E-3</v>
      </c>
      <c r="BF234" s="74">
        <f>0.002  *BF17* COS(2*BF18 * Deg2Rad)</f>
        <v>1.9876912883530491E-3</v>
      </c>
      <c r="BG234" s="74">
        <f>0.002  *BG17* COS(2*BG18 * Deg2Rad)</f>
        <v>-1.018074121922513E-3</v>
      </c>
    </row>
    <row r="235" spans="2:59" x14ac:dyDescent="0.25">
      <c r="C235" s="5" t="s">
        <v>1100</v>
      </c>
      <c r="E235" s="74">
        <f>-0.3299 *COS(E19 * Deg2Rad)</f>
        <v>0.17465205284921542</v>
      </c>
      <c r="F235" s="74">
        <f>-0.3299 *COS(F19 * Deg2Rad)</f>
        <v>0.18703765450888443</v>
      </c>
      <c r="G235" s="74">
        <f>-0.3299 *COS(G19 * Deg2Rad)</f>
        <v>-0.27196801118183483</v>
      </c>
      <c r="H235" s="74">
        <f>-0.3299 *COS(H19 * Deg2Rad)</f>
        <v>-3.0647656639500354E-2</v>
      </c>
      <c r="I235" s="74">
        <f>-0.3299 *COS(I19 * Deg2Rad)</f>
        <v>0.23825490223495877</v>
      </c>
      <c r="J235" s="74">
        <f>-0.3299 *COS(J19 * Deg2Rad)</f>
        <v>-0.32733314065138669</v>
      </c>
      <c r="K235" s="74">
        <f>-0.3299 *COS(K19 * Deg2Rad)</f>
        <v>0.32782247898057215</v>
      </c>
      <c r="L235" s="74">
        <f>-0.3299 *COS(L19 * Deg2Rad)</f>
        <v>-0.17798859936018699</v>
      </c>
      <c r="M235" s="74">
        <f>-0.3299 *COS(M19 * Deg2Rad)</f>
        <v>0.24873135220179379</v>
      </c>
      <c r="N235" s="74">
        <f>-0.3299 *COS(N19 * Deg2Rad)</f>
        <v>0.15622524417474021</v>
      </c>
      <c r="O235" s="74">
        <f>-0.3299 *COS(O19 * Deg2Rad)</f>
        <v>2.2348980304585007E-2</v>
      </c>
      <c r="P235" s="74">
        <f>-0.3299 *COS(P19 * Deg2Rad)</f>
        <v>-7.1742282474035871E-2</v>
      </c>
      <c r="Q235" s="74">
        <f>-0.3299 *COS(Q19 * Deg2Rad)</f>
        <v>-0.32792037917750211</v>
      </c>
      <c r="R235" s="74">
        <f>-0.3299 *COS(R19 * Deg2Rad)</f>
        <v>-0.27947619141278685</v>
      </c>
      <c r="S235" s="74">
        <f>-0.3299 *COS(S19 * Deg2Rad)</f>
        <v>0.24788563348628134</v>
      </c>
      <c r="T235" s="74">
        <f>-0.3299 *COS(T19 * Deg2Rad)</f>
        <v>0.26634941474885943</v>
      </c>
      <c r="U235" s="74">
        <f>-0.3299 *COS(U19 * Deg2Rad)</f>
        <v>-0.15134750583118761</v>
      </c>
      <c r="V235" s="74">
        <f>-0.3299 *COS(V19 * Deg2Rad)</f>
        <v>-2.015045656471676E-2</v>
      </c>
      <c r="W235" s="74">
        <f>-0.3299 *COS(W19 * Deg2Rad)</f>
        <v>-0.17096655285114634</v>
      </c>
      <c r="X235" s="74">
        <f>-0.3299 *COS(X19 * Deg2Rad)</f>
        <v>6.7823800514403343E-2</v>
      </c>
      <c r="Y235" s="74">
        <f>-0.3299 *COS(Y19 * Deg2Rad)</f>
        <v>-0.10348029565703556</v>
      </c>
      <c r="Z235" s="74">
        <f>-0.3299 *COS(Z19 * Deg2Rad)</f>
        <v>-0.25678707726246325</v>
      </c>
      <c r="AA235" s="74">
        <f>-0.3299 *COS(AA19 * Deg2Rad)</f>
        <v>-0.27196801118183483</v>
      </c>
      <c r="AB235" s="74">
        <f>-0.3299 *COS(AB19 * Deg2Rad)</f>
        <v>5.9890599484076913E-2</v>
      </c>
      <c r="AC235" s="74">
        <f>-0.3299 *COS(AC19 * Deg2Rad)</f>
        <v>0.23832035974918461</v>
      </c>
      <c r="AD235" s="74">
        <f>-0.3299 *COS(AD19 * Deg2Rad)</f>
        <v>0.10731075174969412</v>
      </c>
      <c r="AE235" s="74">
        <f>-0.3299 *COS(AE19 * Deg2Rad)</f>
        <v>-0.10348029565703556</v>
      </c>
      <c r="AF235" s="74">
        <f>-0.3299 *COS(AF19 * Deg2Rad)</f>
        <v>-0.20491417492893765</v>
      </c>
      <c r="AG235" s="74">
        <f>-0.3299 *COS(AG19 * Deg2Rad)</f>
        <v>7.5525871409218695E-2</v>
      </c>
      <c r="AH235" s="74">
        <f>-0.3299 *COS(AH19 * Deg2Rad)</f>
        <v>5.970562857232567E-2</v>
      </c>
      <c r="AI235" s="74">
        <f>-0.3299 *COS(AI19 * Deg2Rad)</f>
        <v>-7.9547175672902523E-2</v>
      </c>
      <c r="AJ235" s="74">
        <f>-0.3299 *COS(AJ19 * Deg2Rad)</f>
        <v>-7.1492685249777699E-2</v>
      </c>
      <c r="AK235" s="74">
        <f>-0.3299 *COS(AK19 * Deg2Rad)</f>
        <v>0.16201438297649537</v>
      </c>
      <c r="AL235" s="74">
        <f>-0.3299 *COS(AL19 * Deg2Rad)</f>
        <v>-0.19169249368045901</v>
      </c>
      <c r="AM235" s="74">
        <f>-0.3299 *COS(AM19 * Deg2Rad)</f>
        <v>0.13077106053825524</v>
      </c>
      <c r="AN235" s="74">
        <f>-0.3299 *COS(AN19 * Deg2Rad)</f>
        <v>0.12317459691286782</v>
      </c>
      <c r="AO235" s="74">
        <f>-0.3299 *COS(AO19 * Deg2Rad)</f>
        <v>-0.30849018742532153</v>
      </c>
      <c r="AP235" s="74">
        <f>-0.3299 *COS(AP19 * Deg2Rad)</f>
        <v>-5.5725264589367917E-3</v>
      </c>
      <c r="AQ235" s="74">
        <f>-0.3299 *COS(AQ19 * Deg2Rad)</f>
        <v>-5.5725264589367917E-3</v>
      </c>
      <c r="AR235" s="74">
        <f>-0.3299 *COS(AR19 * Deg2Rad)</f>
        <v>0.13863371387837525</v>
      </c>
      <c r="AS235" s="74">
        <f>-0.3299 *COS(AS19 * Deg2Rad)</f>
        <v>0.13863371387837525</v>
      </c>
      <c r="AT235" s="74">
        <f>-0.3299 *COS(AT19 * Deg2Rad)</f>
        <v>0.13863371387837525</v>
      </c>
      <c r="AU235" s="74">
        <f>-0.3299 *COS(AU19 * Deg2Rad)</f>
        <v>0.32987525131759776</v>
      </c>
      <c r="AV235" s="74">
        <f>-0.3299 *COS(AV19 * Deg2Rad)</f>
        <v>-0.32822180611848928</v>
      </c>
      <c r="AW235" s="74">
        <f>-0.3299 *COS(AW19 * Deg2Rad)</f>
        <v>0.30514214893988889</v>
      </c>
      <c r="AX235" s="74">
        <f>-0.3299 *COS(AX19 * Deg2Rad)</f>
        <v>-3.9445100463854764E-2</v>
      </c>
      <c r="AY235" s="74">
        <f>-0.3299 *COS(AY19 * Deg2Rad)</f>
        <v>0.255165908349966</v>
      </c>
      <c r="AZ235" s="74">
        <f>-0.3299 *COS(AZ19 * Deg2Rad)</f>
        <v>0.255165908349966</v>
      </c>
      <c r="BA235" s="74">
        <f>-0.3299 *COS(BA19 * Deg2Rad)</f>
        <v>0.32076191369758728</v>
      </c>
      <c r="BB235" s="74">
        <f>-0.3299 *COS(BB19 * Deg2Rad)</f>
        <v>0.32076191369758728</v>
      </c>
      <c r="BC235" s="74">
        <f>-0.3299 *COS(BC19 * Deg2Rad)</f>
        <v>0.32076191369758728</v>
      </c>
      <c r="BD235" s="74">
        <f>-0.3299 *COS(BD19 * Deg2Rad)</f>
        <v>0.32076191369758728</v>
      </c>
      <c r="BE235" s="74">
        <f>-0.3299 *COS(BE19 * Deg2Rad)</f>
        <v>0.32076191369758728</v>
      </c>
      <c r="BF235" s="74">
        <f>-0.3299 *COS(BF19 * Deg2Rad)</f>
        <v>0.32076191369758728</v>
      </c>
      <c r="BG235" s="74">
        <f>-0.3299 *COS(BG19 * Deg2Rad)</f>
        <v>-0.10348029565703556</v>
      </c>
    </row>
    <row r="236" spans="2:59" x14ac:dyDescent="0.25">
      <c r="C236" s="5" t="s">
        <v>1101</v>
      </c>
      <c r="E236" s="74">
        <f>-0.006  *E17* COS((E19 + E18) * Deg2Rad)</f>
        <v>6.0021510716657903E-3</v>
      </c>
      <c r="F236" s="74">
        <f>-0.006  *F17* COS((F19 + F18) * Deg2Rad)</f>
        <v>-5.7232919663851335E-3</v>
      </c>
      <c r="G236" s="74">
        <f>-0.006  *G17* COS((G19 + G18) * Deg2Rad)</f>
        <v>-3.7286187063341322E-3</v>
      </c>
      <c r="H236" s="74">
        <f>-0.006  *H17* COS((H19 + H18) * Deg2Rad)</f>
        <v>2.2972517197602806E-3</v>
      </c>
      <c r="I236" s="74">
        <f>-0.006  *I17* COS((I19 + I18) * Deg2Rad)</f>
        <v>6.2609192584572903E-4</v>
      </c>
      <c r="J236" s="74">
        <f>-0.006  *J17* COS((J19 + J18) * Deg2Rad)</f>
        <v>6.0001536725175558E-3</v>
      </c>
      <c r="K236" s="74">
        <f>-0.006  *K17* COS((K19 + K18) * Deg2Rad)</f>
        <v>5.5214147377140544E-3</v>
      </c>
      <c r="L236" s="74">
        <f>-0.006  *L17* COS((L19 + L18) * Deg2Rad)</f>
        <v>2.7890475864971302E-3</v>
      </c>
      <c r="M236" s="74">
        <f>-0.006  *M17* COS((M19 + M18) * Deg2Rad)</f>
        <v>5.3457681729989119E-3</v>
      </c>
      <c r="N236" s="74">
        <f>-0.006  *N17* COS((N19 + N18) * Deg2Rad)</f>
        <v>5.3086788392220537E-3</v>
      </c>
      <c r="O236" s="74">
        <f>-0.006  *O17* COS((O19 + O18) * Deg2Rad)</f>
        <v>4.9733788447920858E-3</v>
      </c>
      <c r="P236" s="74">
        <f>-0.006  *P17* COS((P19 + P18) * Deg2Rad)</f>
        <v>-3.4916428682462402E-3</v>
      </c>
      <c r="Q236" s="74">
        <f>-0.006  *Q17* COS((Q19 + Q18) * Deg2Rad)</f>
        <v>-3.0794361075198299E-3</v>
      </c>
      <c r="R236" s="74">
        <f>-0.006  *R17* COS((R19 + R18) * Deg2Rad)</f>
        <v>-6.2678854061776201E-3</v>
      </c>
      <c r="S236" s="74">
        <f>-0.006  *S17* COS((S19 + S18) * Deg2Rad)</f>
        <v>9.7754668021323766E-4</v>
      </c>
      <c r="T236" s="74">
        <f>-0.006  *T17* COS((T19 + T18) * Deg2Rad)</f>
        <v>-2.6086286838187065E-3</v>
      </c>
      <c r="U236" s="74">
        <f>-0.006  *U17* COS((U19 + U18) * Deg2Rad)</f>
        <v>5.2769428514548283E-3</v>
      </c>
      <c r="V236" s="74">
        <f>-0.006  *V17* COS((V19 + V18) * Deg2Rad)</f>
        <v>-6.6825820730139771E-3</v>
      </c>
      <c r="W236" s="74">
        <f>-0.006  *W17* COS((W19 + W18) * Deg2Rad)</f>
        <v>-2.1724713856393755E-3</v>
      </c>
      <c r="X236" s="74">
        <f>-0.006  *X17* COS((X19 + X18) * Deg2Rad)</f>
        <v>3.5306787523163999E-3</v>
      </c>
      <c r="Y236" s="74">
        <f>-0.006  *Y17* COS((Y19 + Y18) * Deg2Rad)</f>
        <v>-5.8843987256185278E-3</v>
      </c>
      <c r="Z236" s="74">
        <f>-0.006  *Z17* COS((Z19 + Z18) * Deg2Rad)</f>
        <v>-3.9076350069056753E-3</v>
      </c>
      <c r="AA236" s="74">
        <f>-0.006  *AA17* COS((AA19 + AA18) * Deg2Rad)</f>
        <v>-3.7286187063341322E-3</v>
      </c>
      <c r="AB236" s="74">
        <f>-0.006  *AB17* COS((AB19 + AB18) * Deg2Rad)</f>
        <v>3.4668621320607208E-5</v>
      </c>
      <c r="AC236" s="74">
        <f>-0.006  *AC17* COS((AC19 + AC18) * Deg2Rad)</f>
        <v>2.7124120050470608E-3</v>
      </c>
      <c r="AD236" s="74">
        <f>-0.006  *AD17* COS((AD19 + AD18) * Deg2Rad)</f>
        <v>-5.9455685344706214E-3</v>
      </c>
      <c r="AE236" s="74">
        <f>-0.006  *AE17* COS((AE19 + AE18) * Deg2Rad)</f>
        <v>-5.8843987256185278E-3</v>
      </c>
      <c r="AF236" s="74">
        <f>-0.006  *AF17* COS((AF19 + AF18) * Deg2Rad)</f>
        <v>-4.1186436747605781E-3</v>
      </c>
      <c r="AG236" s="74">
        <f>-0.006  *AG17* COS((AG19 + AG18) * Deg2Rad)</f>
        <v>5.5035631666979857E-3</v>
      </c>
      <c r="AH236" s="74">
        <f>-0.006  *AH17* COS((AH19 + AH18) * Deg2Rad)</f>
        <v>5.9780366197061778E-3</v>
      </c>
      <c r="AI236" s="74">
        <f>-0.006  *AI17* COS((AI19 + AI18) * Deg2Rad)</f>
        <v>6.0003210151383666E-3</v>
      </c>
      <c r="AJ236" s="74">
        <f>-0.006  *AJ17* COS((AJ19 + AJ18) * Deg2Rad)</f>
        <v>4.0192654106248E-3</v>
      </c>
      <c r="AK236" s="74">
        <f>-0.006  *AK17* COS((AK19 + AK18) * Deg2Rad)</f>
        <v>8.872388441616574E-4</v>
      </c>
      <c r="AL236" s="74">
        <f>-0.006  *AL17* COS((AL19 + AL18) * Deg2Rad)</f>
        <v>4.8848960435166284E-3</v>
      </c>
      <c r="AM236" s="74">
        <f>-0.006  *AM17* COS((AM19 + AM18) * Deg2Rad)</f>
        <v>-5.9124825839073853E-3</v>
      </c>
      <c r="AN236" s="74">
        <f>-0.006  *AN17* COS((AN19 + AN18) * Deg2Rad)</f>
        <v>4.8326991881285451E-3</v>
      </c>
      <c r="AO236" s="74">
        <f>-0.006  *AO17* COS((AO19 + AO18) * Deg2Rad)</f>
        <v>-1.4111699334387556E-3</v>
      </c>
      <c r="AP236" s="74">
        <f>-0.006  *AP17* COS((AP19 + AP18) * Deg2Rad)</f>
        <v>-5.9760234899673692E-3</v>
      </c>
      <c r="AQ236" s="74">
        <f>-0.006  *AQ17* COS((AQ19 + AQ18) * Deg2Rad)</f>
        <v>-5.9760234899673692E-3</v>
      </c>
      <c r="AR236" s="74">
        <f>-0.006  *AR17* COS((AR19 + AR18) * Deg2Rad)</f>
        <v>-3.0285197489061384E-3</v>
      </c>
      <c r="AS236" s="74">
        <f>-0.006  *AS17* COS((AS19 + AS18) * Deg2Rad)</f>
        <v>-3.0285197489061384E-3</v>
      </c>
      <c r="AT236" s="74">
        <f>-0.006  *AT17* COS((AT19 + AT18) * Deg2Rad)</f>
        <v>-3.0285197489061384E-3</v>
      </c>
      <c r="AU236" s="74">
        <f>-0.006  *AU17* COS((AU19 + AU18) * Deg2Rad)</f>
        <v>-5.7148438117545757E-3</v>
      </c>
      <c r="AV236" s="74">
        <f>-0.006  *AV17* COS((AV19 + AV18) * Deg2Rad)</f>
        <v>1.1621466002550451E-3</v>
      </c>
      <c r="AW236" s="74">
        <f>-0.006  *AW17* COS((AW19 + AW18) * Deg2Rad)</f>
        <v>5.9775272985874914E-3</v>
      </c>
      <c r="AX236" s="74">
        <f>-0.006  *AX17* COS((AX19 + AX18) * Deg2Rad)</f>
        <v>5.0595306692560833E-3</v>
      </c>
      <c r="AY236" s="74">
        <f>-0.006  *AY17* COS((AY19 + AY18) * Deg2Rad)</f>
        <v>2.4951053640428363E-3</v>
      </c>
      <c r="AZ236" s="74">
        <f>-0.006  *AZ17* COS((AZ19 + AZ18) * Deg2Rad)</f>
        <v>2.4951053640428363E-3</v>
      </c>
      <c r="BA236" s="74">
        <f>-0.006  *BA17* COS((BA19 + BA18) * Deg2Rad)</f>
        <v>5.8963099707032961E-3</v>
      </c>
      <c r="BB236" s="74">
        <f>-0.006  *BB17* COS((BB19 + BB18) * Deg2Rad)</f>
        <v>5.8963099707032961E-3</v>
      </c>
      <c r="BC236" s="74">
        <f>-0.006  *BC17* COS((BC19 + BC18) * Deg2Rad)</f>
        <v>5.8963099707032961E-3</v>
      </c>
      <c r="BD236" s="74">
        <f>-0.006  *BD17* COS((BD19 + BD18) * Deg2Rad)</f>
        <v>5.8963099707032961E-3</v>
      </c>
      <c r="BE236" s="74">
        <f>-0.006  *BE17* COS((BE19 + BE18) * Deg2Rad)</f>
        <v>5.8963099707032961E-3</v>
      </c>
      <c r="BF236" s="74">
        <f>-0.006  *BF17* COS((BF19 + BF18) * Deg2Rad)</f>
        <v>5.8963099707032961E-3</v>
      </c>
      <c r="BG236" s="74">
        <f>-0.006  *BG17* COS((BG19 + BG18) * Deg2Rad)</f>
        <v>-5.8843987256185278E-3</v>
      </c>
    </row>
    <row r="237" spans="2:59" x14ac:dyDescent="0.25">
      <c r="C237" t="s">
        <v>1102</v>
      </c>
      <c r="E237" s="74">
        <f>0.0041  *E17* COS((E19 - E18) * Deg2Rad)</f>
        <v>1.6644502494151539E-3</v>
      </c>
      <c r="F237" s="74">
        <f>0.0041  *F17* COS((F19 - F18) * Deg2Rad)</f>
        <v>-2.9824645542592433E-3</v>
      </c>
      <c r="G237" s="74">
        <f>0.0041  *G17* COS((G19 - G18) * Deg2Rad)</f>
        <v>3.9130935185177082E-3</v>
      </c>
      <c r="H237" s="74">
        <f>0.0041  *H17* COS((H19 - H18) * Deg2Rad)</f>
        <v>2.2433999916815616E-3</v>
      </c>
      <c r="I237" s="74">
        <f>0.0041  *I17* COS((I19 - I18) * Deg2Rad)</f>
        <v>-4.0936173559610262E-3</v>
      </c>
      <c r="J237" s="74">
        <f>0.0041  *J17* COS((J19 - J18) * Deg2Rad)</f>
        <v>-3.9973313850759345E-3</v>
      </c>
      <c r="K237" s="74">
        <f>0.0041  *K17* COS((K19 - K18) * Deg2Rad)</f>
        <v>-3.3202019767139485E-3</v>
      </c>
      <c r="L237" s="74">
        <f>0.0041  *L17* COS((L19 - L18) * Deg2Rad)</f>
        <v>-2.5029492479758924E-3</v>
      </c>
      <c r="M237" s="74">
        <f>0.0041  *M17* COS((M19 - M18) * Deg2Rad)</f>
        <v>-2.3666449117140916E-3</v>
      </c>
      <c r="N237" s="74">
        <f>0.0041  *N17* COS((N19 - N18) * Deg2Rad)</f>
        <v>3.3505807276198351E-4</v>
      </c>
      <c r="O237" s="74">
        <f>0.0041  *O17* COS((O19 - O18) * Deg2Rad)</f>
        <v>3.0475217560986465E-3</v>
      </c>
      <c r="P237" s="74">
        <f>0.0041  *P17* COS((P19 - P18) * Deg2Rad)</f>
        <v>-3.6358030973684613E-3</v>
      </c>
      <c r="Q237" s="74">
        <f>0.0041  *Q17* COS((Q19 - Q18) * Deg2Rad)</f>
        <v>1.2371632042640114E-3</v>
      </c>
      <c r="R237" s="74">
        <f>0.0041  *R17* COS((R19 - R18) * Deg2Rad)</f>
        <v>1.4716948381408434E-3</v>
      </c>
      <c r="S237" s="74">
        <f>0.0041  *S17* COS((S19 - S18) * Deg2Rad)</f>
        <v>4.2083073101763834E-3</v>
      </c>
      <c r="T237" s="74">
        <f>0.0041  *T17* COS((T19 - T18) * Deg2Rad)</f>
        <v>4.3554661641547771E-3</v>
      </c>
      <c r="U237" s="74">
        <f>0.0041  *U17* COS((U19 - U18) * Deg2Rad)</f>
        <v>4.1182517489760199E-3</v>
      </c>
      <c r="V237" s="74">
        <f>0.0041  *V17* COS((V19 - V18) * Deg2Rad)</f>
        <v>-4.6429877750197137E-3</v>
      </c>
      <c r="W237" s="74">
        <f>0.0041  *W17* COS((W19 - W18) * Deg2Rad)</f>
        <v>-4.0761347742655886E-3</v>
      </c>
      <c r="X237" s="74">
        <f>0.0041  *X17* COS((X19 - X18) * Deg2Rad)</f>
        <v>3.5430113747047902E-3</v>
      </c>
      <c r="Y237" s="74">
        <f>0.0041  *Y17* COS((Y19 - Y18) * Deg2Rad)</f>
        <v>-2.7455157653838475E-3</v>
      </c>
      <c r="Z237" s="74">
        <f>0.0041  *Z17* COS((Z19 - Z18) * Deg2Rad)</f>
        <v>3.6002611741291703E-3</v>
      </c>
      <c r="AA237" s="74">
        <f>0.0041  *AA17* COS((AA19 - AA18) * Deg2Rad)</f>
        <v>3.9130935185177082E-3</v>
      </c>
      <c r="AB237" s="74">
        <f>0.0041  *AB17* COS((AB19 - AB18) * Deg2Rad)</f>
        <v>1.4876824657752716E-3</v>
      </c>
      <c r="AC237" s="74">
        <f>0.0041  *AC17* COS((AC19 - AC18) * Deg2Rad)</f>
        <v>-3.7371148005592015E-3</v>
      </c>
      <c r="AD237" s="74">
        <f>0.0041  *AD17* COS((AD19 - AD18) * Deg2Rad)</f>
        <v>-2.8585979979893917E-3</v>
      </c>
      <c r="AE237" s="74">
        <f>0.0041  *AE17* COS((AE19 - AE18) * Deg2Rad)</f>
        <v>-2.7455157653838475E-3</v>
      </c>
      <c r="AF237" s="74">
        <f>0.0041  *AF17* COS((AF19 - AF18) * Deg2Rad)</f>
        <v>2.2609164047527504E-3</v>
      </c>
      <c r="AG237" s="74">
        <f>0.0041  *AG17* COS((AG19 - AG18) * Deg2Rad)</f>
        <v>2.6378905345493362E-3</v>
      </c>
      <c r="AH237" s="74">
        <f>0.0041  *AH17* COS((AH19 - AH18) * Deg2Rad)</f>
        <v>3.9458725312827595E-3</v>
      </c>
      <c r="AI237" s="74">
        <f>0.0041  *AI17* COS((AI19 - AI18) * Deg2Rad)</f>
        <v>3.6556285108503583E-3</v>
      </c>
      <c r="AJ237" s="74">
        <f>0.0041  *AJ17* COS((AJ19 - AJ18) * Deg2Rad)</f>
        <v>1.2001061774574568E-3</v>
      </c>
      <c r="AK237" s="74">
        <f>0.0041  *AK17* COS((AK19 - AK18) * Deg2Rad)</f>
        <v>-3.1717082147365654E-3</v>
      </c>
      <c r="AL237" s="74">
        <f>0.0041  *AL17* COS((AL19 - AL18) * Deg2Rad)</f>
        <v>3.3371853145959321E-3</v>
      </c>
      <c r="AM237" s="74">
        <f>0.0041  *AM17* COS((AM19 - AM18) * Deg2Rad)</f>
        <v>-1.8431796462425242E-3</v>
      </c>
      <c r="AN237" s="74">
        <f>0.0041  *AN17* COS((AN19 - AN18) * Deg2Rad)</f>
        <v>4.0648816782400815E-3</v>
      </c>
      <c r="AO237" s="74">
        <f>0.0041  *AO17* COS((AO19 - AO18) * Deg2Rad)</f>
        <v>3.4953523162887259E-3</v>
      </c>
      <c r="AP237" s="74">
        <f>0.0041  *AP17* COS((AP19 - AP18) * Deg2Rad)</f>
        <v>-4.069839882209862E-3</v>
      </c>
      <c r="AQ237" s="74">
        <f>0.0041  *AQ17* COS((AQ19 - AQ18) * Deg2Rad)</f>
        <v>-4.069839882209862E-3</v>
      </c>
      <c r="AR237" s="74">
        <f>0.0041  *AR17* COS((AR19 - AR18) * Deg2Rad)</f>
        <v>-4.0357917646622575E-3</v>
      </c>
      <c r="AS237" s="74">
        <f>0.0041  *AS17* COS((AS19 - AS18) * Deg2Rad)</f>
        <v>-4.0357917646622575E-3</v>
      </c>
      <c r="AT237" s="74">
        <f>0.0041  *AT17* COS((AT19 - AT18) * Deg2Rad)</f>
        <v>-4.0357917646622575E-3</v>
      </c>
      <c r="AU237" s="74">
        <f>0.0041  *AU17* COS((AU19 - AU18) * Deg2Rad)</f>
        <v>3.873158392309116E-3</v>
      </c>
      <c r="AV237" s="74">
        <f>0.0041  *AV17* COS((AV19 - AV18) * Deg2Rad)</f>
        <v>-1.584347329038715E-3</v>
      </c>
      <c r="AW237" s="74">
        <f>0.0041  *AW17* COS((AW19 - AW18) * Deg2Rad)</f>
        <v>-3.2032831431680676E-3</v>
      </c>
      <c r="AX237" s="74">
        <f>0.0041  *AX17* COS((AX19 - AX18) * Deg2Rad)</f>
        <v>2.8333302081559445E-3</v>
      </c>
      <c r="AY237" s="74">
        <f>0.0041  *AY17* COS((AY19 - AY18) * Deg2Rad)</f>
        <v>-3.9884534099920207E-3</v>
      </c>
      <c r="AZ237" s="74">
        <f>0.0041  *AZ17* COS((AZ19 - AZ18) * Deg2Rad)</f>
        <v>-3.9884534099920207E-3</v>
      </c>
      <c r="BA237" s="74">
        <f>0.0041  *BA17* COS((BA19 - BA18) * Deg2Rad)</f>
        <v>-3.9279807637722947E-3</v>
      </c>
      <c r="BB237" s="74">
        <f>0.0041  *BB17* COS((BB19 - BB18) * Deg2Rad)</f>
        <v>-3.9279807637722947E-3</v>
      </c>
      <c r="BC237" s="74">
        <f>0.0041  *BC17* COS((BC19 - BC18) * Deg2Rad)</f>
        <v>-3.9279807637722947E-3</v>
      </c>
      <c r="BD237" s="74">
        <f>0.0041  *BD17* COS((BD19 - BD18) * Deg2Rad)</f>
        <v>-3.9279807637722947E-3</v>
      </c>
      <c r="BE237" s="74">
        <f>0.0041  *BE17* COS((BE19 - BE18) * Deg2Rad)</f>
        <v>-3.9279807637722947E-3</v>
      </c>
      <c r="BF237" s="74">
        <f>0.0041  *BF17* COS((BF19 - BF18) * Deg2Rad)</f>
        <v>-3.9279807637722947E-3</v>
      </c>
      <c r="BG237" s="74">
        <f>0.0041  *BG17* COS((BG19 - BG18) * Deg2Rad)</f>
        <v>-2.7455157653838475E-3</v>
      </c>
    </row>
    <row r="238" spans="2:59" x14ac:dyDescent="0.25">
      <c r="C238" t="s">
        <v>1089</v>
      </c>
      <c r="D238" s="7" t="s">
        <v>1103</v>
      </c>
      <c r="E238">
        <f t="shared" ref="E238:AU238" si="318">SUM(E232:E237)</f>
        <v>5.3995811682144339</v>
      </c>
      <c r="F238">
        <f t="shared" ref="F238:BG238" si="319">SUM(F232:F237)</f>
        <v>5.3980641602789623</v>
      </c>
      <c r="G238">
        <f t="shared" si="319"/>
        <v>4.9459827324917223</v>
      </c>
      <c r="H238">
        <f t="shared" si="319"/>
        <v>5.1914760928203973</v>
      </c>
      <c r="I238">
        <f t="shared" si="319"/>
        <v>5.4521528896653715</v>
      </c>
      <c r="J238">
        <f t="shared" si="319"/>
        <v>4.9021069191987747</v>
      </c>
      <c r="K238">
        <f t="shared" si="319"/>
        <v>5.5475748694014193</v>
      </c>
      <c r="L238">
        <f t="shared" si="319"/>
        <v>5.049751580880808</v>
      </c>
      <c r="M238">
        <f t="shared" si="319"/>
        <v>5.4695144423625965</v>
      </c>
      <c r="N238">
        <f t="shared" si="319"/>
        <v>5.3793266101833881</v>
      </c>
      <c r="O238">
        <f t="shared" si="319"/>
        <v>5.2475984038636172</v>
      </c>
      <c r="P238">
        <f t="shared" si="319"/>
        <v>5.1450490405164944</v>
      </c>
      <c r="Q238">
        <f t="shared" si="319"/>
        <v>4.8875096642824234</v>
      </c>
      <c r="R238">
        <f t="shared" si="319"/>
        <v>4.9329653454914553</v>
      </c>
      <c r="S238">
        <f t="shared" si="319"/>
        <v>5.4756275128902105</v>
      </c>
      <c r="T238">
        <f t="shared" si="319"/>
        <v>5.4943258892709919</v>
      </c>
      <c r="U238">
        <f t="shared" si="319"/>
        <v>5.0760257285375072</v>
      </c>
      <c r="V238">
        <f t="shared" si="319"/>
        <v>5.1877688841468368</v>
      </c>
      <c r="W238">
        <f t="shared" si="319"/>
        <v>5.0458987387573124</v>
      </c>
      <c r="X238">
        <f t="shared" si="319"/>
        <v>5.2986136357758875</v>
      </c>
      <c r="Y238">
        <f t="shared" si="319"/>
        <v>5.1051914299174257</v>
      </c>
      <c r="Z238">
        <f t="shared" si="319"/>
        <v>4.9607570251593254</v>
      </c>
      <c r="AA238">
        <f t="shared" si="319"/>
        <v>4.9459827324917223</v>
      </c>
      <c r="AB238">
        <f t="shared" si="319"/>
        <v>5.2886953987768504</v>
      </c>
      <c r="AC238">
        <f t="shared" si="319"/>
        <v>5.4550254189805969</v>
      </c>
      <c r="AD238">
        <f t="shared" si="319"/>
        <v>5.3201880931435337</v>
      </c>
      <c r="AE238">
        <f t="shared" si="319"/>
        <v>5.1051914299174257</v>
      </c>
      <c r="AF238">
        <f t="shared" si="319"/>
        <v>5.0111157714612311</v>
      </c>
      <c r="AG238">
        <f t="shared" si="319"/>
        <v>5.3009267213883575</v>
      </c>
      <c r="AH238">
        <f t="shared" si="319"/>
        <v>5.2879142721394237</v>
      </c>
      <c r="AI238">
        <f t="shared" si="319"/>
        <v>5.1500898949242098</v>
      </c>
      <c r="AJ238">
        <f t="shared" si="319"/>
        <v>5.1596319776798802</v>
      </c>
      <c r="AK238">
        <f t="shared" si="319"/>
        <v>5.3774222489650203</v>
      </c>
      <c r="AL238">
        <f t="shared" si="319"/>
        <v>5.0352299551997577</v>
      </c>
      <c r="AM238">
        <f t="shared" si="319"/>
        <v>5.3466618917181901</v>
      </c>
      <c r="AN238">
        <f t="shared" si="319"/>
        <v>5.3522158223966052</v>
      </c>
      <c r="AO238">
        <f t="shared" si="319"/>
        <v>4.9106995236818074</v>
      </c>
      <c r="AP238">
        <f t="shared" si="319"/>
        <v>5.2026449433995419</v>
      </c>
      <c r="AQ238">
        <f t="shared" si="319"/>
        <v>5.2026449433995419</v>
      </c>
      <c r="AR238">
        <f t="shared" si="319"/>
        <v>5.3488347536348</v>
      </c>
      <c r="AS238">
        <f t="shared" si="319"/>
        <v>5.3488347536348</v>
      </c>
      <c r="AT238">
        <f t="shared" si="319"/>
        <v>5.3488347536348</v>
      </c>
      <c r="AU238">
        <f t="shared" si="319"/>
        <v>5.5548830281494803</v>
      </c>
      <c r="AV238">
        <f t="shared" si="319"/>
        <v>4.8917952439502788</v>
      </c>
      <c r="AW238">
        <f t="shared" si="319"/>
        <v>5.5256880598924916</v>
      </c>
      <c r="AX238">
        <f t="shared" si="319"/>
        <v>5.1918192132956404</v>
      </c>
      <c r="AY238">
        <f t="shared" si="319"/>
        <v>5.4712900251135084</v>
      </c>
      <c r="AZ238">
        <f t="shared" si="319"/>
        <v>5.4712900251135084</v>
      </c>
      <c r="BA238">
        <f t="shared" si="319"/>
        <v>5.5406274089284793</v>
      </c>
      <c r="BB238">
        <f t="shared" si="319"/>
        <v>5.5406274089284793</v>
      </c>
      <c r="BC238">
        <f t="shared" si="319"/>
        <v>5.5406274089284793</v>
      </c>
      <c r="BD238">
        <f t="shared" si="319"/>
        <v>5.5406274089284793</v>
      </c>
      <c r="BE238">
        <f t="shared" si="319"/>
        <v>5.5406274089284793</v>
      </c>
      <c r="BF238">
        <f t="shared" si="319"/>
        <v>5.5406274089284793</v>
      </c>
      <c r="BG238">
        <f t="shared" si="319"/>
        <v>5.1051914299174257</v>
      </c>
    </row>
    <row r="239" spans="2:59" x14ac:dyDescent="0.25">
      <c r="B239">
        <v>381</v>
      </c>
      <c r="C239" t="s">
        <v>1104</v>
      </c>
      <c r="D239" s="7" t="s">
        <v>1105</v>
      </c>
      <c r="E239">
        <f t="shared" ref="E239:AU239" si="320">ABS(COS(E174*Deg2Rad))</f>
        <v>0.99441094807781572</v>
      </c>
      <c r="F239">
        <f t="shared" ref="F239:BG239" si="321">ABS(COS(F174*Deg2Rad))</f>
        <v>0.84302421079043666</v>
      </c>
      <c r="G239">
        <f t="shared" si="321"/>
        <v>0.99759312862518013</v>
      </c>
      <c r="H239">
        <f t="shared" si="321"/>
        <v>0.97808909938173871</v>
      </c>
      <c r="I239">
        <f t="shared" si="321"/>
        <v>0.6260464532280211</v>
      </c>
      <c r="J239">
        <f t="shared" si="321"/>
        <v>0.20987670635763842</v>
      </c>
      <c r="K239">
        <f t="shared" si="321"/>
        <v>0.72913267347743371</v>
      </c>
      <c r="L239">
        <f t="shared" si="321"/>
        <v>0.34480417159327703</v>
      </c>
      <c r="M239">
        <f t="shared" si="321"/>
        <v>0.80220796999554267</v>
      </c>
      <c r="N239">
        <f t="shared" si="321"/>
        <v>0.98750757568884029</v>
      </c>
      <c r="O239">
        <f t="shared" si="321"/>
        <v>0.67190392637134067</v>
      </c>
      <c r="P239">
        <f t="shared" si="321"/>
        <v>0.2309870476226627</v>
      </c>
      <c r="Q239">
        <f t="shared" si="321"/>
        <v>0.99032727344719429</v>
      </c>
      <c r="R239">
        <f t="shared" si="321"/>
        <v>0.92257490110278917</v>
      </c>
      <c r="S239">
        <f t="shared" si="321"/>
        <v>0.33678431708157419</v>
      </c>
      <c r="T239">
        <f t="shared" si="321"/>
        <v>0.95281242050686565</v>
      </c>
      <c r="U239">
        <f t="shared" si="321"/>
        <v>0.67317569307229441</v>
      </c>
      <c r="V239">
        <f t="shared" si="321"/>
        <v>0.11432050843308489</v>
      </c>
      <c r="W239">
        <f t="shared" si="321"/>
        <v>0.75730653496150502</v>
      </c>
      <c r="X239">
        <f t="shared" si="321"/>
        <v>0.79202223197424593</v>
      </c>
      <c r="Y239">
        <f t="shared" si="321"/>
        <v>0.72303430279222469</v>
      </c>
      <c r="Z239">
        <f t="shared" si="321"/>
        <v>0.51207867212098312</v>
      </c>
      <c r="AA239">
        <f t="shared" si="321"/>
        <v>0.99759312862518013</v>
      </c>
      <c r="AB239">
        <f t="shared" si="321"/>
        <v>0.98881259704144187</v>
      </c>
      <c r="AC239">
        <f t="shared" si="321"/>
        <v>1.8169466876412358E-2</v>
      </c>
      <c r="AD239">
        <f t="shared" si="321"/>
        <v>0.65832946994702091</v>
      </c>
      <c r="AE239">
        <f t="shared" si="321"/>
        <v>0.72303430279222469</v>
      </c>
      <c r="AF239">
        <f t="shared" si="321"/>
        <v>0.88508071079363559</v>
      </c>
      <c r="AG239">
        <f t="shared" si="321"/>
        <v>0.83289951923195982</v>
      </c>
      <c r="AH239">
        <f t="shared" si="321"/>
        <v>0.29261385895485598</v>
      </c>
      <c r="AI239">
        <f t="shared" si="321"/>
        <v>0.36981730617280673</v>
      </c>
      <c r="AJ239">
        <f t="shared" si="321"/>
        <v>0.99981898481172138</v>
      </c>
      <c r="AK239">
        <f t="shared" si="321"/>
        <v>0.2297046044163287</v>
      </c>
      <c r="AL239">
        <f t="shared" si="321"/>
        <v>0.35901391698273916</v>
      </c>
      <c r="AM239">
        <f t="shared" si="321"/>
        <v>0.99914594804058443</v>
      </c>
      <c r="AN239">
        <f t="shared" si="321"/>
        <v>3.4300865137743636E-2</v>
      </c>
      <c r="AO239">
        <f t="shared" si="321"/>
        <v>0.78869451660660839</v>
      </c>
      <c r="AP239">
        <f t="shared" si="321"/>
        <v>0.90212312325594468</v>
      </c>
      <c r="AQ239">
        <f t="shared" si="321"/>
        <v>0.90212312325594468</v>
      </c>
      <c r="AR239">
        <f t="shared" si="321"/>
        <v>0.99602617526137394</v>
      </c>
      <c r="AS239">
        <f t="shared" si="321"/>
        <v>0.99602617526137394</v>
      </c>
      <c r="AT239">
        <f t="shared" si="321"/>
        <v>0.99602617526137394</v>
      </c>
      <c r="AU239">
        <f t="shared" si="321"/>
        <v>0.96804645307006787</v>
      </c>
      <c r="AV239">
        <f t="shared" si="321"/>
        <v>0.99337970621629745</v>
      </c>
      <c r="AW239">
        <f t="shared" si="321"/>
        <v>0.99861476245737057</v>
      </c>
      <c r="AX239">
        <f t="shared" si="321"/>
        <v>0.99936586432869923</v>
      </c>
      <c r="AY239">
        <f t="shared" si="321"/>
        <v>0.81126153901327536</v>
      </c>
      <c r="AZ239">
        <f t="shared" si="321"/>
        <v>0.81126153901327536</v>
      </c>
      <c r="BA239">
        <f t="shared" si="321"/>
        <v>0.39952227564532528</v>
      </c>
      <c r="BB239">
        <f t="shared" si="321"/>
        <v>0.39952227564532528</v>
      </c>
      <c r="BC239">
        <f t="shared" si="321"/>
        <v>0.39952227564532528</v>
      </c>
      <c r="BD239">
        <f t="shared" si="321"/>
        <v>0.39952227564532528</v>
      </c>
      <c r="BE239">
        <f t="shared" si="321"/>
        <v>0.39952227564532528</v>
      </c>
      <c r="BF239">
        <f t="shared" si="321"/>
        <v>0.39952227564532528</v>
      </c>
      <c r="BG239">
        <f t="shared" si="321"/>
        <v>0.72303430279222469</v>
      </c>
    </row>
    <row r="240" spans="2:59" x14ac:dyDescent="0.25">
      <c r="B240">
        <v>381</v>
      </c>
      <c r="C240" t="s">
        <v>1111</v>
      </c>
    </row>
    <row r="241" spans="2:59" x14ac:dyDescent="0.25">
      <c r="C241" t="s">
        <v>1112</v>
      </c>
    </row>
    <row r="242" spans="2:59" x14ac:dyDescent="0.25">
      <c r="C242" s="5" t="s">
        <v>1113</v>
      </c>
    </row>
    <row r="243" spans="2:59" x14ac:dyDescent="0.25">
      <c r="C243" t="s">
        <v>1106</v>
      </c>
      <c r="D243" s="7" t="s">
        <v>778</v>
      </c>
      <c r="E243">
        <f t="shared" ref="E243:AU243" si="322">(E231*COS(E174*Deg2Rad)+E238*SIN(E174*Deg2Rad))*(1-0.0048*E239)</f>
        <v>-0.43523472958591963</v>
      </c>
      <c r="F243">
        <f t="shared" ref="F243:BG243" si="323">(F231*COS(F174*Deg2Rad)+F238*SIN(F174*Deg2Rad))*(1-0.0048*F239)</f>
        <v>-3.1202272308745691</v>
      </c>
      <c r="G243">
        <f t="shared" si="323"/>
        <v>-0.29611359563328687</v>
      </c>
      <c r="H243">
        <f t="shared" si="323"/>
        <v>-1.0213676667045328</v>
      </c>
      <c r="I243">
        <f t="shared" si="323"/>
        <v>4.1325087605962834</v>
      </c>
      <c r="J243">
        <f t="shared" si="323"/>
        <v>-4.7926817028468616</v>
      </c>
      <c r="K243">
        <f t="shared" si="323"/>
        <v>3.7163960144750443</v>
      </c>
      <c r="L243">
        <f t="shared" si="323"/>
        <v>-4.7215023429642864</v>
      </c>
      <c r="M243">
        <f t="shared" si="323"/>
        <v>-3.2743391926600869</v>
      </c>
      <c r="N243">
        <f t="shared" si="323"/>
        <v>-0.92070908415896302</v>
      </c>
      <c r="O243">
        <f t="shared" si="323"/>
        <v>-3.9657233524807678</v>
      </c>
      <c r="P243">
        <f t="shared" si="323"/>
        <v>-4.9591493210602362</v>
      </c>
      <c r="Q243">
        <f t="shared" si="323"/>
        <v>0.86564700462596877</v>
      </c>
      <c r="R243">
        <f t="shared" si="323"/>
        <v>-1.7748386786875736</v>
      </c>
      <c r="S243">
        <f t="shared" si="323"/>
        <v>5.2025766959164113</v>
      </c>
      <c r="T243">
        <f t="shared" si="323"/>
        <v>1.7425948999948251</v>
      </c>
      <c r="U243">
        <f t="shared" si="323"/>
        <v>3.8754250506515682</v>
      </c>
      <c r="V243">
        <f t="shared" si="323"/>
        <v>5.1205176324478385</v>
      </c>
      <c r="W243">
        <f t="shared" si="323"/>
        <v>-3.4271582163536274</v>
      </c>
      <c r="X243">
        <f t="shared" si="323"/>
        <v>-3.144096054362274</v>
      </c>
      <c r="Y243">
        <f t="shared" si="323"/>
        <v>-3.3725811312930096</v>
      </c>
      <c r="Z243">
        <f t="shared" si="323"/>
        <v>4.2442501044783576</v>
      </c>
      <c r="AA243">
        <f t="shared" si="323"/>
        <v>-0.29611359563328687</v>
      </c>
      <c r="AB243">
        <f t="shared" si="323"/>
        <v>0.79222066602801722</v>
      </c>
      <c r="AC243">
        <f t="shared" si="323"/>
        <v>-5.4557048521244464</v>
      </c>
      <c r="AD243">
        <f t="shared" si="323"/>
        <v>-4.1511805470769314</v>
      </c>
      <c r="AE243">
        <f t="shared" si="323"/>
        <v>-3.3725811312930096</v>
      </c>
      <c r="AF243">
        <f t="shared" si="323"/>
        <v>-2.3639714667812943</v>
      </c>
      <c r="AG243">
        <f t="shared" si="323"/>
        <v>3.0364169426919663</v>
      </c>
      <c r="AH243">
        <f t="shared" si="323"/>
        <v>-5.0999066239979225</v>
      </c>
      <c r="AI243">
        <f t="shared" si="323"/>
        <v>-4.7185909582139605</v>
      </c>
      <c r="AJ243">
        <f t="shared" si="323"/>
        <v>0.16346468354382421</v>
      </c>
      <c r="AK243">
        <f t="shared" si="323"/>
        <v>5.2572914950789302</v>
      </c>
      <c r="AL243">
        <f t="shared" si="323"/>
        <v>4.630491122721617</v>
      </c>
      <c r="AM243">
        <f t="shared" si="323"/>
        <v>-1.4293868634251538E-2</v>
      </c>
      <c r="AN243">
        <f t="shared" si="323"/>
        <v>5.3537046465543918</v>
      </c>
      <c r="AO243">
        <f t="shared" si="323"/>
        <v>-3.1461427385787815</v>
      </c>
      <c r="AP243">
        <f t="shared" si="323"/>
        <v>-2.4633852205359585</v>
      </c>
      <c r="AQ243">
        <f t="shared" si="323"/>
        <v>-2.4633852205359585</v>
      </c>
      <c r="AR243">
        <f t="shared" si="323"/>
        <v>0.25645657666503507</v>
      </c>
      <c r="AS243">
        <f t="shared" si="323"/>
        <v>0.25645657666503507</v>
      </c>
      <c r="AT243">
        <f t="shared" si="323"/>
        <v>0.25645657666503507</v>
      </c>
      <c r="AU243">
        <f t="shared" si="323"/>
        <v>-1.3249058563877589</v>
      </c>
      <c r="AV243">
        <f t="shared" si="323"/>
        <v>-0.37907614559025882</v>
      </c>
      <c r="AW243">
        <f t="shared" si="323"/>
        <v>0.25060525657402039</v>
      </c>
      <c r="AX243">
        <f t="shared" si="323"/>
        <v>0.30467173587512791</v>
      </c>
      <c r="AY243">
        <f t="shared" si="323"/>
        <v>3.0871493337321034</v>
      </c>
      <c r="AZ243">
        <f t="shared" si="323"/>
        <v>3.0871493337321034</v>
      </c>
      <c r="BA243">
        <f t="shared" si="323"/>
        <v>5.0718618844039485</v>
      </c>
      <c r="BB243">
        <f t="shared" si="323"/>
        <v>5.0718618844039485</v>
      </c>
      <c r="BC243">
        <f t="shared" si="323"/>
        <v>5.0718618844039485</v>
      </c>
      <c r="BD243">
        <f t="shared" si="323"/>
        <v>5.0718618844039485</v>
      </c>
      <c r="BE243">
        <f t="shared" si="323"/>
        <v>5.0718618844039485</v>
      </c>
      <c r="BF243">
        <f t="shared" si="323"/>
        <v>5.0718618844039485</v>
      </c>
      <c r="BG243">
        <f t="shared" si="323"/>
        <v>-3.3725811312930096</v>
      </c>
    </row>
    <row r="244" spans="2:59" x14ac:dyDescent="0.25">
      <c r="B244">
        <v>381</v>
      </c>
      <c r="C244" s="6">
        <v>5.8999999999999999E-3</v>
      </c>
      <c r="E244" s="74">
        <f t="shared" ref="E244:BG244" si="324">0.0059</f>
        <v>5.8999999999999999E-3</v>
      </c>
      <c r="F244" s="74">
        <f t="shared" si="324"/>
        <v>5.8999999999999999E-3</v>
      </c>
      <c r="G244" s="74">
        <f t="shared" si="324"/>
        <v>5.8999999999999999E-3</v>
      </c>
      <c r="H244" s="74">
        <f t="shared" si="324"/>
        <v>5.8999999999999999E-3</v>
      </c>
      <c r="I244" s="74">
        <f t="shared" si="324"/>
        <v>5.8999999999999999E-3</v>
      </c>
      <c r="J244" s="74">
        <f t="shared" si="324"/>
        <v>5.8999999999999999E-3</v>
      </c>
      <c r="K244" s="74">
        <f t="shared" si="324"/>
        <v>5.8999999999999999E-3</v>
      </c>
      <c r="L244" s="74">
        <f t="shared" si="324"/>
        <v>5.8999999999999999E-3</v>
      </c>
      <c r="M244" s="74">
        <f t="shared" si="324"/>
        <v>5.8999999999999999E-3</v>
      </c>
      <c r="N244" s="74">
        <f t="shared" si="324"/>
        <v>5.8999999999999999E-3</v>
      </c>
      <c r="O244" s="74">
        <f t="shared" si="324"/>
        <v>5.8999999999999999E-3</v>
      </c>
      <c r="P244" s="74">
        <f t="shared" si="324"/>
        <v>5.8999999999999999E-3</v>
      </c>
      <c r="Q244" s="74">
        <f t="shared" si="324"/>
        <v>5.8999999999999999E-3</v>
      </c>
      <c r="R244" s="74">
        <f t="shared" si="324"/>
        <v>5.8999999999999999E-3</v>
      </c>
      <c r="S244" s="74">
        <f t="shared" si="324"/>
        <v>5.8999999999999999E-3</v>
      </c>
      <c r="T244" s="74">
        <f t="shared" si="324"/>
        <v>5.8999999999999999E-3</v>
      </c>
      <c r="U244" s="74">
        <f t="shared" si="324"/>
        <v>5.8999999999999999E-3</v>
      </c>
      <c r="V244" s="74">
        <f t="shared" si="324"/>
        <v>5.8999999999999999E-3</v>
      </c>
      <c r="W244" s="74">
        <f t="shared" si="324"/>
        <v>5.8999999999999999E-3</v>
      </c>
      <c r="X244" s="74">
        <f t="shared" si="324"/>
        <v>5.8999999999999999E-3</v>
      </c>
      <c r="Y244" s="74">
        <f t="shared" si="324"/>
        <v>5.8999999999999999E-3</v>
      </c>
      <c r="Z244" s="74">
        <f t="shared" si="324"/>
        <v>5.8999999999999999E-3</v>
      </c>
      <c r="AA244" s="74">
        <f t="shared" si="324"/>
        <v>5.8999999999999999E-3</v>
      </c>
      <c r="AB244" s="74">
        <f t="shared" si="324"/>
        <v>5.8999999999999999E-3</v>
      </c>
      <c r="AC244" s="74">
        <f t="shared" si="324"/>
        <v>5.8999999999999999E-3</v>
      </c>
      <c r="AD244" s="74">
        <f t="shared" si="324"/>
        <v>5.8999999999999999E-3</v>
      </c>
      <c r="AE244" s="74">
        <f t="shared" si="324"/>
        <v>5.8999999999999999E-3</v>
      </c>
      <c r="AF244" s="74">
        <f t="shared" si="324"/>
        <v>5.8999999999999999E-3</v>
      </c>
      <c r="AG244" s="74">
        <f t="shared" si="324"/>
        <v>5.8999999999999999E-3</v>
      </c>
      <c r="AH244" s="74">
        <f t="shared" si="324"/>
        <v>5.8999999999999999E-3</v>
      </c>
      <c r="AI244" s="74">
        <f t="shared" si="324"/>
        <v>5.8999999999999999E-3</v>
      </c>
      <c r="AJ244" s="74">
        <f t="shared" si="324"/>
        <v>5.8999999999999999E-3</v>
      </c>
      <c r="AK244" s="74">
        <f t="shared" si="324"/>
        <v>5.8999999999999999E-3</v>
      </c>
      <c r="AL244" s="74">
        <f t="shared" si="324"/>
        <v>5.8999999999999999E-3</v>
      </c>
      <c r="AM244" s="74">
        <f t="shared" si="324"/>
        <v>5.8999999999999999E-3</v>
      </c>
      <c r="AN244" s="74">
        <f t="shared" si="324"/>
        <v>5.8999999999999999E-3</v>
      </c>
      <c r="AO244" s="74">
        <f t="shared" si="324"/>
        <v>5.8999999999999999E-3</v>
      </c>
      <c r="AP244" s="74">
        <f t="shared" si="324"/>
        <v>5.8999999999999999E-3</v>
      </c>
      <c r="AQ244" s="74">
        <f t="shared" si="324"/>
        <v>5.8999999999999999E-3</v>
      </c>
      <c r="AR244" s="74">
        <f t="shared" si="324"/>
        <v>5.8999999999999999E-3</v>
      </c>
      <c r="AS244" s="74">
        <f t="shared" si="324"/>
        <v>5.8999999999999999E-3</v>
      </c>
      <c r="AT244" s="74">
        <f t="shared" si="324"/>
        <v>5.8999999999999999E-3</v>
      </c>
      <c r="AU244" s="74">
        <f t="shared" si="324"/>
        <v>5.8999999999999999E-3</v>
      </c>
      <c r="AV244" s="74">
        <f t="shared" si="324"/>
        <v>5.8999999999999999E-3</v>
      </c>
      <c r="AW244" s="74">
        <f t="shared" si="324"/>
        <v>5.8999999999999999E-3</v>
      </c>
      <c r="AX244" s="74">
        <f t="shared" si="324"/>
        <v>5.8999999999999999E-3</v>
      </c>
      <c r="AY244" s="74">
        <f t="shared" si="324"/>
        <v>5.8999999999999999E-3</v>
      </c>
      <c r="AZ244" s="74">
        <f t="shared" si="324"/>
        <v>5.8999999999999999E-3</v>
      </c>
      <c r="BA244" s="74">
        <f t="shared" si="324"/>
        <v>5.8999999999999999E-3</v>
      </c>
      <c r="BB244" s="74">
        <f t="shared" si="324"/>
        <v>5.8999999999999999E-3</v>
      </c>
      <c r="BC244" s="74">
        <f t="shared" si="324"/>
        <v>5.8999999999999999E-3</v>
      </c>
      <c r="BD244" s="74">
        <f t="shared" si="324"/>
        <v>5.8999999999999999E-3</v>
      </c>
      <c r="BE244" s="74">
        <f t="shared" si="324"/>
        <v>5.8999999999999999E-3</v>
      </c>
      <c r="BF244" s="74">
        <f t="shared" si="324"/>
        <v>5.8999999999999999E-3</v>
      </c>
      <c r="BG244" s="74">
        <f t="shared" si="324"/>
        <v>5.8999999999999999E-3</v>
      </c>
    </row>
    <row r="245" spans="2:59" x14ac:dyDescent="0.25">
      <c r="C245" t="s">
        <v>1108</v>
      </c>
      <c r="E245" s="74">
        <f>0.0046  *E17* COS(E18* Deg2Rad)</f>
        <v>2.5823293483825875E-3</v>
      </c>
      <c r="F245" s="74">
        <f>0.0046  *F17* COS(F18* Deg2Rad)</f>
        <v>-9.1866363807792742E-4</v>
      </c>
      <c r="G245" s="74">
        <f>0.0046  *G17* COS(G18* Deg2Rad)</f>
        <v>4.396499879606261E-3</v>
      </c>
      <c r="H245" s="74">
        <f>0.0046  *H17* COS(H18* Deg2Rad)</f>
        <v>4.0676014740937422E-3</v>
      </c>
      <c r="I245" s="74">
        <f>0.0046  *I17* COS(I18* Deg2Rad)</f>
        <v>3.5120596097373631E-3</v>
      </c>
      <c r="J245" s="74">
        <f>0.0046  *J17* COS(J18* Deg2Rad)</f>
        <v>-4.5780851148640965E-3</v>
      </c>
      <c r="K245" s="74">
        <f>0.0046  *K17* COS(K18* Deg2Rad)</f>
        <v>4.0043115020990923E-3</v>
      </c>
      <c r="L245" s="74">
        <f>0.0046  *L17* COS(L18* Deg2Rad)</f>
        <v>-4.5841028491414131E-3</v>
      </c>
      <c r="M245" s="74">
        <f>0.0046  *M17* COS(M18* Deg2Rad)</f>
        <v>4.4788077731361692E-3</v>
      </c>
      <c r="N245" s="74">
        <f>0.0046  *N17* COS(N18* Deg2Rad)</f>
        <v>3.9003719838239057E-3</v>
      </c>
      <c r="O245" s="74">
        <f>0.0046  *O17* COS(O18* Deg2Rad)</f>
        <v>2.9061532766425638E-3</v>
      </c>
      <c r="P245" s="74">
        <f>0.0046  *P17* COS(P18* Deg2Rad)</f>
        <v>-3.224096299268937E-3</v>
      </c>
      <c r="Q245" s="74">
        <f>0.0046  *Q17* COS(Q18* Deg2Rad)</f>
        <v>1.8857848622082412E-3</v>
      </c>
      <c r="R245" s="74">
        <f>0.0046  *R17* COS(R18* Deg2Rad)</f>
        <v>3.8107278158563333E-3</v>
      </c>
      <c r="S245" s="74">
        <f>0.0046  *S17* COS(S18* Deg2Rad)</f>
        <v>-2.6431213183933035E-3</v>
      </c>
      <c r="T245" s="74">
        <f>0.0046  *T17* COS(T18* Deg2Rad)</f>
        <v>-4.2648473468261186E-3</v>
      </c>
      <c r="U245" s="74">
        <f>0.0046  *U17* COS(U18* Deg2Rad)</f>
        <v>6.2648397860640159E-4</v>
      </c>
      <c r="V245" s="74">
        <f>0.0046  *V17* COS(V18* Deg2Rad)</f>
        <v>-7.0311208455916044E-4</v>
      </c>
      <c r="W245" s="74">
        <f>0.0046  *W17* COS(W18* Deg2Rad)</f>
        <v>-2.8053382454911796E-3</v>
      </c>
      <c r="X245" s="74">
        <f>0.0046  *X17* COS(X18* Deg2Rad)</f>
        <v>-3.0843878330690517E-3</v>
      </c>
      <c r="Y245" s="74">
        <f>0.0046  *Y17* COS(Y18* Deg2Rad)</f>
        <v>2.2811072370872887E-3</v>
      </c>
      <c r="Z245" s="74">
        <f>0.0046  *Z17* COS(Z18* Deg2Rad)</f>
        <v>4.5191193250589496E-3</v>
      </c>
      <c r="AA245" s="74">
        <f>0.0046  *AA17* COS(AA18* Deg2Rad)</f>
        <v>4.396499879606261E-3</v>
      </c>
      <c r="AB245" s="74">
        <f>0.0046  *AB17* COS(AB18* Deg2Rad)</f>
        <v>-4.5238313892705549E-3</v>
      </c>
      <c r="AC245" s="74">
        <f>0.0046  *AC17* COS(AC18* Deg2Rad)</f>
        <v>4.3413348516225803E-3</v>
      </c>
      <c r="AD245" s="74">
        <f>0.0046  *AD17* COS(AD18* Deg2Rad)</f>
        <v>-2.0767502207549352E-3</v>
      </c>
      <c r="AE245" s="74">
        <f>0.0046  *AE17* COS(AE18* Deg2Rad)</f>
        <v>2.2811072370872887E-3</v>
      </c>
      <c r="AF245" s="74">
        <f>0.0046  *AF17* COS(AF18* Deg2Rad)</f>
        <v>4.5837188585818155E-3</v>
      </c>
      <c r="AG245" s="74">
        <f>0.0046  *AG17* COS(AG18* Deg2Rad)</f>
        <v>2.7514585817330112E-3</v>
      </c>
      <c r="AH245" s="74">
        <f>0.0046  *AH17* COS(AH18* Deg2Rad)</f>
        <v>4.3121907445638685E-4</v>
      </c>
      <c r="AI245" s="74">
        <f>0.0046  *AI17* COS(AI18* Deg2Rad)</f>
        <v>-1.0343369754414122E-3</v>
      </c>
      <c r="AJ245" s="74">
        <f>0.0046  *AJ17* COS(AJ18* Deg2Rad)</f>
        <v>-4.0029875418917628E-3</v>
      </c>
      <c r="AK245" s="74">
        <f>0.0046  *AK17* COS(AK18* Deg2Rad)</f>
        <v>4.3155217360025385E-3</v>
      </c>
      <c r="AL245" s="74">
        <f>0.0046  *AL17* COS(AL18* Deg2Rad)</f>
        <v>-7.9839377720029961E-7</v>
      </c>
      <c r="AM245" s="74">
        <f>0.0046  *AM17* COS(AM18* Deg2Rad)</f>
        <v>-3.1091954546144615E-3</v>
      </c>
      <c r="AN245" s="74">
        <f>0.0046  *AN17* COS(AN18* Deg2Rad)</f>
        <v>-1.1456875647410411E-3</v>
      </c>
      <c r="AO245" s="74">
        <f>0.0046  *AO17* COS(AO18* Deg2Rad)</f>
        <v>2.6753825425441247E-3</v>
      </c>
      <c r="AP245" s="74">
        <f>0.0046  *AP17* COS(AP18* Deg2Rad)</f>
        <v>4.5751214363615286E-4</v>
      </c>
      <c r="AQ245" s="74">
        <f>0.0046  *AQ17* COS(AQ18* Deg2Rad)</f>
        <v>4.5751214363615286E-4</v>
      </c>
      <c r="AR245" s="74">
        <f>0.0046  *AR17* COS(AR18* Deg2Rad)</f>
        <v>2.624870840977228E-3</v>
      </c>
      <c r="AS245" s="74">
        <f>0.0046  *AS17* COS(AS18* Deg2Rad)</f>
        <v>2.624870840977228E-3</v>
      </c>
      <c r="AT245" s="74">
        <f>0.0046  *AT17* COS(AT18* Deg2Rad)</f>
        <v>2.624870840977228E-3</v>
      </c>
      <c r="AU245" s="74">
        <f>0.0046  *AU17* COS(AU18* Deg2Rad)</f>
        <v>-4.3637648827909783E-3</v>
      </c>
      <c r="AV245" s="74">
        <f>0.0046  *AV17* COS(AV18* Deg2Rad)</f>
        <v>-1.3410918431194093E-3</v>
      </c>
      <c r="AW245" s="74">
        <f>0.0046  *AW17* COS(AW18* Deg2Rad)</f>
        <v>4.420059302888915E-3</v>
      </c>
      <c r="AX245" s="74">
        <f>0.0046  *AX17* COS(AX18* Deg2Rad)</f>
        <v>-2.9277148735408543E-3</v>
      </c>
      <c r="AY245" s="74">
        <f>0.0046  *AY17* COS(AY18* Deg2Rad)</f>
        <v>4.1293201147315902E-3</v>
      </c>
      <c r="AZ245" s="74">
        <f>0.0046  *AZ17* COS(AZ18* Deg2Rad)</f>
        <v>4.1293201147315902E-3</v>
      </c>
      <c r="BA245" s="74">
        <f>0.0046  *BA17* COS(BA18* Deg2Rad)</f>
        <v>4.5909200450419E-3</v>
      </c>
      <c r="BB245" s="74">
        <f>0.0046  *BB17* COS(BB18* Deg2Rad)</f>
        <v>4.5909200450419E-3</v>
      </c>
      <c r="BC245" s="74">
        <f>0.0046  *BC17* COS(BC18* Deg2Rad)</f>
        <v>4.5909200450419E-3</v>
      </c>
      <c r="BD245" s="74">
        <f>0.0046  *BD17* COS(BD18* Deg2Rad)</f>
        <v>4.5909200450419E-3</v>
      </c>
      <c r="BE245" s="74">
        <f>0.0046  *BE17* COS(BE18* Deg2Rad)</f>
        <v>4.5909200450419E-3</v>
      </c>
      <c r="BF245" s="74">
        <f>0.0046  *BF17* COS(BF18* Deg2Rad)</f>
        <v>4.5909200450419E-3</v>
      </c>
      <c r="BG245" s="74">
        <f>0.0046  *BG17* COS(BG18* Deg2Rad)</f>
        <v>2.2811072370872887E-3</v>
      </c>
    </row>
    <row r="246" spans="2:59" x14ac:dyDescent="0.25">
      <c r="C246" s="5" t="s">
        <v>1109</v>
      </c>
      <c r="E246" s="74">
        <f>-0.0182 *COS(E19* Deg2Rad)</f>
        <v>9.6352451102022455E-3</v>
      </c>
      <c r="F246" s="74">
        <f>-0.0182 *COS(F19* Deg2Rad)</f>
        <v>1.03185368659039E-2</v>
      </c>
      <c r="G246" s="74">
        <f>-0.0182 *COS(G19* Deg2Rad)</f>
        <v>-1.5003994554438902E-2</v>
      </c>
      <c r="H246" s="74">
        <f>-0.0182 *COS(H19* Deg2Rad)</f>
        <v>-1.6907770561955333E-3</v>
      </c>
      <c r="I246" s="74">
        <f>-0.0182 *COS(I19* Deg2Rad)</f>
        <v>1.3144101911719459E-2</v>
      </c>
      <c r="J246" s="74">
        <f>-0.0182 *COS(J19* Deg2Rad)</f>
        <v>-1.8058390905896445E-2</v>
      </c>
      <c r="K246" s="74">
        <f>-0.0182 *COS(K19* Deg2Rad)</f>
        <v>1.8085386836757842E-2</v>
      </c>
      <c r="L246" s="74">
        <f>-0.0182 *COS(L19* Deg2Rad)</f>
        <v>-9.8193164848602698E-3</v>
      </c>
      <c r="M246" s="74">
        <f>-0.0182 *COS(M19* Deg2Rad)</f>
        <v>1.37220691423845E-2</v>
      </c>
      <c r="N246" s="74">
        <f>-0.0182 *COS(N19* Deg2Rad)</f>
        <v>8.6186706395279533E-3</v>
      </c>
      <c r="O246" s="74">
        <f>-0.0182 *COS(O19* Deg2Rad)</f>
        <v>1.2329537482371844E-3</v>
      </c>
      <c r="P246" s="74">
        <f>-0.0182 *COS(P19* Deg2Rad)</f>
        <v>-3.9578949409743948E-3</v>
      </c>
      <c r="Q246" s="74">
        <f>-0.0182 *COS(Q19* Deg2Rad)</f>
        <v>-1.809078781761303E-2</v>
      </c>
      <c r="R246" s="74">
        <f>-0.0182 *COS(R19* Deg2Rad)</f>
        <v>-1.5418207589308034E-2</v>
      </c>
      <c r="S246" s="74">
        <f>-0.0182 *COS(S19* Deg2Rad)</f>
        <v>1.3675412335405639E-2</v>
      </c>
      <c r="T246" s="74">
        <f>-0.0182 *COS(T19* Deg2Rad)</f>
        <v>1.4694026518427529E-2</v>
      </c>
      <c r="U246" s="74">
        <f>-0.0182 *COS(U19* Deg2Rad)</f>
        <v>-8.3495744350640024E-3</v>
      </c>
      <c r="V246" s="74">
        <f>-0.0182 *COS(V19* Deg2Rad)</f>
        <v>-1.1116650787446045E-3</v>
      </c>
      <c r="W246" s="74">
        <f>-0.0182 *COS(W19* Deg2Rad)</f>
        <v>-9.4319225883324146E-3</v>
      </c>
      <c r="X246" s="74">
        <f>-0.0182 *COS(X19* Deg2Rad)</f>
        <v>3.7417192160113396E-3</v>
      </c>
      <c r="Y246" s="74">
        <f>-0.0182 *COS(Y19* Deg2Rad)</f>
        <v>-5.7088250407943235E-3</v>
      </c>
      <c r="Z246" s="74">
        <f>-0.0182 *COS(Z19* Deg2Rad)</f>
        <v>-1.4166489257886727E-2</v>
      </c>
      <c r="AA246" s="74">
        <f>-0.0182 *COS(AA19* Deg2Rad)</f>
        <v>-1.5003994554438902E-2</v>
      </c>
      <c r="AB246" s="74">
        <f>-0.0182 *COS(AB19* Deg2Rad)</f>
        <v>3.3040585347384049E-3</v>
      </c>
      <c r="AC246" s="74">
        <f>-0.0182 *COS(AC19* Deg2Rad)</f>
        <v>1.3147713087102638E-2</v>
      </c>
      <c r="AD246" s="74">
        <f>-0.0182 *COS(AD19* Deg2Rad)</f>
        <v>5.9201445342359294E-3</v>
      </c>
      <c r="AE246" s="74">
        <f>-0.0182 *COS(AE19* Deg2Rad)</f>
        <v>-5.7088250407943235E-3</v>
      </c>
      <c r="AF246" s="74">
        <f>-0.0182 *COS(AF19* Deg2Rad)</f>
        <v>-1.1304752906052333E-2</v>
      </c>
      <c r="AG246" s="74">
        <f>-0.0182 *COS(AG19* Deg2Rad)</f>
        <v>4.1666288561618076E-3</v>
      </c>
      <c r="AH246" s="74">
        <f>-0.0182 *COS(AH19* Deg2Rad)</f>
        <v>3.2938540164180875E-3</v>
      </c>
      <c r="AI246" s="74">
        <f>-0.0182 *COS(AI19* Deg2Rad)</f>
        <v>-4.3884771059315725E-3</v>
      </c>
      <c r="AJ246" s="74">
        <f>-0.0182 *COS(AJ19* Deg2Rad)</f>
        <v>-3.9441251032008304E-3</v>
      </c>
      <c r="AK246" s="74">
        <f>-0.0182 *COS(AK19* Deg2Rad)</f>
        <v>8.9380471966420596E-3</v>
      </c>
      <c r="AL246" s="74">
        <f>-0.0182 *COS(AL19* Deg2Rad)</f>
        <v>-1.0575336116957726E-2</v>
      </c>
      <c r="AM246" s="74">
        <f>-0.0182 *COS(AM19* Deg2Rad)</f>
        <v>7.214408310991953E-3</v>
      </c>
      <c r="AN246" s="74">
        <f>-0.0182 *COS(AN19* Deg2Rad)</f>
        <v>6.7953248372664274E-3</v>
      </c>
      <c r="AO246" s="74">
        <f>-0.0182 *COS(AO19* Deg2Rad)</f>
        <v>-1.7018858475722497E-2</v>
      </c>
      <c r="AP246" s="74">
        <f>-0.0182 *COS(AP19* Deg2Rad)</f>
        <v>-3.0742643695862263E-4</v>
      </c>
      <c r="AQ246" s="74">
        <f>-0.0182 *COS(AQ19* Deg2Rad)</f>
        <v>-3.0742643695862263E-4</v>
      </c>
      <c r="AR246" s="74">
        <f>-0.0182 *COS(AR19* Deg2Rad)</f>
        <v>7.6481770008682316E-3</v>
      </c>
      <c r="AS246" s="74">
        <f>-0.0182 *COS(AS19* Deg2Rad)</f>
        <v>7.6481770008682316E-3</v>
      </c>
      <c r="AT246" s="74">
        <f>-0.0182 *COS(AT19* Deg2Rad)</f>
        <v>7.6481770008682316E-3</v>
      </c>
      <c r="AU246" s="74">
        <f>-0.0182 *COS(AU19* Deg2Rad)</f>
        <v>1.8198634658927793E-2</v>
      </c>
      <c r="AV246" s="74">
        <f>-0.0182 *COS(AV19* Deg2Rad)</f>
        <v>-1.8107417009264944E-2</v>
      </c>
      <c r="AW246" s="74">
        <f>-0.0182 *COS(AW19* Deg2Rad)</f>
        <v>1.6834153109142096E-2</v>
      </c>
      <c r="AX246" s="74">
        <f>-0.0182 *COS(AX19* Deg2Rad)</f>
        <v>-2.1761164851232394E-3</v>
      </c>
      <c r="AY246" s="74">
        <f>-0.0182 *COS(AY19* Deg2Rad)</f>
        <v>1.4077052233917493E-2</v>
      </c>
      <c r="AZ246" s="74">
        <f>-0.0182 *COS(AZ19* Deg2Rad)</f>
        <v>1.4077052233917493E-2</v>
      </c>
      <c r="BA246" s="74">
        <f>-0.0182 *COS(BA19* Deg2Rad)</f>
        <v>1.7695867927541947E-2</v>
      </c>
      <c r="BB246" s="74">
        <f>-0.0182 *COS(BB19* Deg2Rad)</f>
        <v>1.7695867927541947E-2</v>
      </c>
      <c r="BC246" s="74">
        <f>-0.0182 *COS(BC19* Deg2Rad)</f>
        <v>1.7695867927541947E-2</v>
      </c>
      <c r="BD246" s="74">
        <f>-0.0182 *COS(BD19* Deg2Rad)</f>
        <v>1.7695867927541947E-2</v>
      </c>
      <c r="BE246" s="74">
        <f>-0.0182 *COS(BE19* Deg2Rad)</f>
        <v>1.7695867927541947E-2</v>
      </c>
      <c r="BF246" s="74">
        <f>-0.0182 *COS(BF19* Deg2Rad)</f>
        <v>1.7695867927541947E-2</v>
      </c>
      <c r="BG246" s="74">
        <f>-0.0182 *COS(BG19* Deg2Rad)</f>
        <v>-5.7088250407943235E-3</v>
      </c>
    </row>
    <row r="247" spans="2:59" x14ac:dyDescent="0.25">
      <c r="C247" t="s">
        <v>1141</v>
      </c>
      <c r="E247" s="74">
        <f>0.0004* COS(2*E19* Deg2Rad)</f>
        <v>-1.7578082759648288E-4</v>
      </c>
      <c r="F247" s="74">
        <f>0.0004* COS(2*F19* Deg2Rad)</f>
        <v>-1.428518221156434E-4</v>
      </c>
      <c r="G247" s="74">
        <f>0.0004* COS(2*G19* Deg2Rad)</f>
        <v>1.437020953740665E-4</v>
      </c>
      <c r="H247" s="74">
        <f>0.0004* COS(2*H19* Deg2Rad)</f>
        <v>-3.9309569604212719E-4</v>
      </c>
      <c r="I247" s="74">
        <f>0.0004* COS(2*I19* Deg2Rad)</f>
        <v>1.7262202791129394E-5</v>
      </c>
      <c r="J247" s="74">
        <f>0.0004* COS(2*J19* Deg2Rad)</f>
        <v>3.8759928054622262E-4</v>
      </c>
      <c r="K247" s="74">
        <f>0.0004* COS(2*K19* Deg2Rad)</f>
        <v>3.8995584358211279E-4</v>
      </c>
      <c r="L247" s="74">
        <f>0.0004* COS(2*L19* Deg2Rad)</f>
        <v>-1.6713204629912175E-4</v>
      </c>
      <c r="M247" s="74">
        <f>0.0004* COS(2*M19* Deg2Rad)</f>
        <v>5.4764355870983906E-5</v>
      </c>
      <c r="N247" s="74">
        <f>0.0004* COS(2*N19* Deg2Rad)</f>
        <v>-2.2059779352092464E-4</v>
      </c>
      <c r="O247" s="74">
        <f>0.0004* COS(2*O19* Deg2Rad)</f>
        <v>-3.9632852325735513E-4</v>
      </c>
      <c r="P247" s="74">
        <f>0.0004* COS(2*P19* Deg2Rad)</f>
        <v>-3.6216656837630552E-4</v>
      </c>
      <c r="Q247" s="74">
        <f>0.0004* COS(2*Q19* Deg2Rad)</f>
        <v>3.9042773544715841E-4</v>
      </c>
      <c r="R247" s="74">
        <f>0.0004* COS(2*R19* Deg2Rad)</f>
        <v>1.7413627645693959E-4</v>
      </c>
      <c r="S247" s="74">
        <f>0.0004* COS(2*S19* Deg2Rad)</f>
        <v>5.1677098281281788E-5</v>
      </c>
      <c r="T247" s="74">
        <f>0.0004* COS(2*T19* Deg2Rad)</f>
        <v>1.2146942476573222E-4</v>
      </c>
      <c r="U247" s="74">
        <f>0.0004* COS(2*U19* Deg2Rad)</f>
        <v>-2.3162566538660948E-4</v>
      </c>
      <c r="V247" s="74">
        <f>0.0004* COS(2*V19* Deg2Rad)</f>
        <v>-3.9701533812993542E-4</v>
      </c>
      <c r="W247" s="74">
        <f>0.0004* COS(2*W19* Deg2Rad)</f>
        <v>-1.8514391085063342E-4</v>
      </c>
      <c r="X247" s="74">
        <f>0.0004* COS(2*X19* Deg2Rad)</f>
        <v>-3.6618654101806906E-4</v>
      </c>
      <c r="Y247" s="74">
        <f>0.0004* COS(2*Y19* Deg2Rad)</f>
        <v>-3.2128804891583073E-4</v>
      </c>
      <c r="Z247" s="74">
        <f>0.0004* COS(2*Z19* Deg2Rad)</f>
        <v>8.4698509585364026E-5</v>
      </c>
      <c r="AA247" s="74">
        <f>0.0004* COS(2*AA19* Deg2Rad)</f>
        <v>1.437020953740665E-4</v>
      </c>
      <c r="AB247" s="74">
        <f>0.0004* COS(2*AB19* Deg2Rad)</f>
        <v>-3.736340953967451E-4</v>
      </c>
      <c r="AC247" s="74">
        <f>0.0004* COS(2*AC19* Deg2Rad)</f>
        <v>1.7491509288177632E-5</v>
      </c>
      <c r="AD247" s="74">
        <f>0.0004* COS(2*AD19* Deg2Rad)</f>
        <v>-3.1535294938716694E-4</v>
      </c>
      <c r="AE247" s="74">
        <f>0.0004* COS(2*AE19* Deg2Rad)</f>
        <v>-3.2128804891583073E-4</v>
      </c>
      <c r="AF247" s="74">
        <f>0.0004* COS(2*AF19* Deg2Rad)</f>
        <v>-9.1347812421449862E-5</v>
      </c>
      <c r="AG247" s="74">
        <f>0.0004* COS(2*AG19* Deg2Rad)</f>
        <v>-3.5807077400072397E-4</v>
      </c>
      <c r="AH247" s="74">
        <f>0.0004* COS(2*AH19* Deg2Rad)</f>
        <v>-3.7379670503206482E-4</v>
      </c>
      <c r="AI247" s="74">
        <f>0.0004* COS(2*AI19* Deg2Rad)</f>
        <v>-3.5348694285886837E-4</v>
      </c>
      <c r="AJ247" s="74">
        <f>0.0004* COS(2*AJ19* Deg2Rad)</f>
        <v>-3.6242936159956778E-4</v>
      </c>
      <c r="AK247" s="74">
        <f>0.0004* COS(2*AK19* Deg2Rad)</f>
        <v>-2.0705545782055072E-4</v>
      </c>
      <c r="AL247" s="74">
        <f>0.0004* COS(2*AL19* Deg2Rad)</f>
        <v>-1.2989316752413837E-4</v>
      </c>
      <c r="AM247" s="74">
        <f>0.0004* COS(2*AM19* Deg2Rad)</f>
        <v>-2.7429613023134946E-4</v>
      </c>
      <c r="AN247" s="74">
        <f>0.0004* COS(2*AN19* Deg2Rad)</f>
        <v>-2.8847617523494756E-4</v>
      </c>
      <c r="AO247" s="74">
        <f>0.0004* COS(2*AO19* Deg2Rad)</f>
        <v>2.9953277096165062E-4</v>
      </c>
      <c r="AP247" s="74">
        <f>0.0004* COS(2*AP19* Deg2Rad)</f>
        <v>-3.9977174009385083E-4</v>
      </c>
      <c r="AQ247" s="74">
        <f>0.0004* COS(2*AQ19* Deg2Rad)</f>
        <v>-3.9977174009385083E-4</v>
      </c>
      <c r="AR247" s="74">
        <f>0.0004* COS(2*AR19* Deg2Rad)</f>
        <v>-2.5872573013739939E-4</v>
      </c>
      <c r="AS247" s="74">
        <f>0.0004* COS(2*AS19* Deg2Rad)</f>
        <v>-2.5872573013739939E-4</v>
      </c>
      <c r="AT247" s="74">
        <f>0.0004* COS(2*AT19* Deg2Rad)</f>
        <v>-2.5872573013739939E-4</v>
      </c>
      <c r="AU247" s="74">
        <f>0.0004* COS(2*AU19* Deg2Rad)</f>
        <v>3.9987997451787922E-4</v>
      </c>
      <c r="AV247" s="74">
        <f>0.0004* COS(2*AV19* Deg2Rad)</f>
        <v>3.91881537851509E-4</v>
      </c>
      <c r="AW247" s="74">
        <f>0.0004* COS(2*AW19* Deg2Rad)</f>
        <v>2.8443113368443052E-4</v>
      </c>
      <c r="AX247" s="74">
        <f>0.0004* COS(2*AX19* Deg2Rad)</f>
        <v>-3.8856301664817023E-4</v>
      </c>
      <c r="AY247" s="74">
        <f>0.0004* COS(2*AY19* Deg2Rad)</f>
        <v>7.8597752919795758E-5</v>
      </c>
      <c r="AZ247" s="74">
        <f>0.0004* COS(2*AZ19* Deg2Rad)</f>
        <v>7.8597752919795758E-5</v>
      </c>
      <c r="BA247" s="74">
        <f>0.0004* COS(2*BA19* Deg2Rad)</f>
        <v>3.5629450962204498E-4</v>
      </c>
      <c r="BB247" s="74">
        <f>0.0004* COS(2*BB19* Deg2Rad)</f>
        <v>3.5629450962204498E-4</v>
      </c>
      <c r="BC247" s="74">
        <f>0.0004* COS(2*BC19* Deg2Rad)</f>
        <v>3.5629450962204498E-4</v>
      </c>
      <c r="BD247" s="74">
        <f>0.0004* COS(2*BD19* Deg2Rad)</f>
        <v>3.5629450962204498E-4</v>
      </c>
      <c r="BE247" s="74">
        <f>0.0004* COS(2*BE19* Deg2Rad)</f>
        <v>3.5629450962204498E-4</v>
      </c>
      <c r="BF247" s="74">
        <f>0.0004* COS(2*BF19* Deg2Rad)</f>
        <v>3.5629450962204498E-4</v>
      </c>
      <c r="BG247" s="74">
        <f>0.0004* COS(2*BG19* Deg2Rad)</f>
        <v>-3.2128804891583073E-4</v>
      </c>
    </row>
    <row r="248" spans="2:59" x14ac:dyDescent="0.25">
      <c r="C248" s="5" t="s">
        <v>1110</v>
      </c>
      <c r="E248" s="74">
        <f>-0.0005 *COS((E18 + E19)* Deg2Rad)</f>
        <v>4.9964986712509093E-4</v>
      </c>
      <c r="F248" s="74">
        <f>-0.0005 *COS((F18 + F19)* Deg2Rad)</f>
        <v>-4.5864993499527629E-4</v>
      </c>
      <c r="G248" s="74">
        <f>-0.0005 *COS((G18 + G19)* Deg2Rad)</f>
        <v>-3.107185415600148E-4</v>
      </c>
      <c r="H248" s="74">
        <f>-0.0005 *COS((H18 + H19)* Deg2Rad)</f>
        <v>1.9143316518283876E-4</v>
      </c>
      <c r="I248" s="74">
        <f>-0.0005 *COS((I18 + I19)* Deg2Rad)</f>
        <v>5.215741084662855E-5</v>
      </c>
      <c r="J248" s="74">
        <f>-0.0005 *COS((J18 + J19)* Deg2Rad)</f>
        <v>4.9985576715646108E-4</v>
      </c>
      <c r="K248" s="74">
        <f>-0.0005 *COS((K18 + K19)* Deg2Rad)</f>
        <v>4.5997992878495591E-4</v>
      </c>
      <c r="L248" s="74">
        <f>-0.0005 *COS((L18 + L19)* Deg2Rad)</f>
        <v>2.3235330197362631E-4</v>
      </c>
      <c r="M248" s="74">
        <f>-0.0005 *COS((M18 + M19)* Deg2Rad)</f>
        <v>4.4436625840205775E-4</v>
      </c>
      <c r="N248" s="74">
        <f>-0.0005 *COS((N18 + N19)* Deg2Rad)</f>
        <v>4.3803417366743884E-4</v>
      </c>
      <c r="O248" s="74">
        <f>-0.0005 *COS((O18 + O19)* Deg2Rad)</f>
        <v>4.1037811147408802E-4</v>
      </c>
      <c r="P248" s="74">
        <f>-0.0005 *COS((P18 + P19)* Deg2Rad)</f>
        <v>-2.829754814223772E-4</v>
      </c>
      <c r="Q248" s="74">
        <f>-0.0005 *COS((Q18 + Q19)* Deg2Rad)</f>
        <v>-2.4438693827449621E-4</v>
      </c>
      <c r="R248" s="74">
        <f>-0.0005 *COS((R18 + R19)* Deg2Rad)</f>
        <v>-4.9742442231400766E-4</v>
      </c>
      <c r="S248" s="74">
        <f>-0.0005 *COS((S18 + S19)* Deg2Rad)</f>
        <v>7.6217807621606573E-5</v>
      </c>
      <c r="T248" s="74">
        <f>-0.0005 *COS((T18 + T19)* Deg2Rad)</f>
        <v>-2.0338980049088888E-4</v>
      </c>
      <c r="U248" s="74">
        <f>-0.0005 *COS((U18 + U19)* Deg2Rad)</f>
        <v>4.1142800538713082E-4</v>
      </c>
      <c r="V248" s="74">
        <f>-0.0005 *COS((V18 + V19)* Deg2Rad)</f>
        <v>-4.9041356440428501E-4</v>
      </c>
      <c r="W248" s="74">
        <f>-0.0005 *COS((W18 + W19)* Deg2Rad)</f>
        <v>-1.8098168764806358E-4</v>
      </c>
      <c r="X248" s="74">
        <f>-0.0005 *COS((X18 + X19)* Deg2Rad)</f>
        <v>2.9416669385063624E-4</v>
      </c>
      <c r="Y248" s="74">
        <f>-0.0005 *COS((Y18 + Y19)* Deg2Rad)</f>
        <v>-4.9008511664361428E-4</v>
      </c>
      <c r="Z248" s="74">
        <f>-0.0005 *COS((Z18 + Z19)* Deg2Rad)</f>
        <v>-3.2599780036826452E-4</v>
      </c>
      <c r="AA248" s="74">
        <f>-0.0005 *COS((AA18 + AA19)* Deg2Rad)</f>
        <v>-3.107185415600148E-4</v>
      </c>
      <c r="AB248" s="74">
        <f>-0.0005 *COS((AB18 + AB19)* Deg2Rad)</f>
        <v>2.8857542056358725E-6</v>
      </c>
      <c r="AC248" s="74">
        <f>-0.0005 *COS((AC18 + AC19)* Deg2Rad)</f>
        <v>2.2591469367269583E-4</v>
      </c>
      <c r="AD248" s="74">
        <f>-0.0005 *COS((AD18 + AD19)* Deg2Rad)</f>
        <v>-4.9531849972247685E-4</v>
      </c>
      <c r="AE248" s="74">
        <f>-0.0005 *COS((AE18 + AE19)* Deg2Rad)</f>
        <v>-4.9008511664361428E-4</v>
      </c>
      <c r="AF248" s="74">
        <f>-0.0005 *COS((AF18 + AF19)* Deg2Rad)</f>
        <v>-3.431599368175562E-4</v>
      </c>
      <c r="AG248" s="74">
        <f>-0.0005 *COS((AG18 + AG19)* Deg2Rad)</f>
        <v>4.5854773043841116E-4</v>
      </c>
      <c r="AH248" s="74">
        <f>-0.0005 *COS((AH18 + AH19)* Deg2Rad)</f>
        <v>4.9805981955134619E-4</v>
      </c>
      <c r="AI248" s="74">
        <f>-0.0005 *COS((AI18 + AI19)* Deg2Rad)</f>
        <v>4.9992965394312337E-4</v>
      </c>
      <c r="AJ248" s="74">
        <f>-0.0005 *COS((AJ18 + AJ19)* Deg2Rad)</f>
        <v>3.3488327559046881E-4</v>
      </c>
      <c r="AK248" s="74">
        <f>-0.0005 *COS((AK18 + AK19)* Deg2Rad)</f>
        <v>7.3601428655897347E-5</v>
      </c>
      <c r="AL248" s="74">
        <f>-0.0005 *COS((AL18 + AL19)* Deg2Rad)</f>
        <v>4.0697990402221643E-4</v>
      </c>
      <c r="AM248" s="74">
        <f>-0.0005 *COS((AM18 + AM19)* Deg2Rad)</f>
        <v>-4.768507954139069E-4</v>
      </c>
      <c r="AN248" s="74">
        <f>-0.0005 *COS((AN18 + AN19)* Deg2Rad)</f>
        <v>4.0272779966871712E-4</v>
      </c>
      <c r="AO248" s="74">
        <f>-0.0005 *COS((AO18 + AO19)* Deg2Rad)</f>
        <v>-1.1228251533345387E-4</v>
      </c>
      <c r="AP248" s="74">
        <f>-0.0005 *COS((AP18 + AP19)* Deg2Rad)</f>
        <v>-4.9828748148227216E-4</v>
      </c>
      <c r="AQ248" s="74">
        <f>-0.0005 *COS((AQ18 + AQ19)* Deg2Rad)</f>
        <v>-4.9828748148227216E-4</v>
      </c>
      <c r="AR248" s="74">
        <f>-0.0005 *COS((AR18 + AR19)* Deg2Rad)</f>
        <v>-2.5252185780023483E-4</v>
      </c>
      <c r="AS248" s="74">
        <f>-0.0005 *COS((AS18 + AS19)* Deg2Rad)</f>
        <v>-2.5252185780023483E-4</v>
      </c>
      <c r="AT248" s="74">
        <f>-0.0005 *COS((AT18 + AT19)* Deg2Rad)</f>
        <v>-2.5252185780023483E-4</v>
      </c>
      <c r="AU248" s="74">
        <f>-0.0005 *COS((AU18 + AU19)* Deg2Rad)</f>
        <v>-4.7591920704708786E-4</v>
      </c>
      <c r="AV248" s="74">
        <f>-0.0005 *COS((AV18 + AV19)* Deg2Rad)</f>
        <v>9.6839936136099532E-5</v>
      </c>
      <c r="AW248" s="74">
        <f>-0.0005 *COS((AW18 + AW19)* Deg2Rad)</f>
        <v>4.9731597521215378E-4</v>
      </c>
      <c r="AX248" s="74">
        <f>-0.0005 *COS((AX18 + AX19)* Deg2Rad)</f>
        <v>4.2117618361709001E-4</v>
      </c>
      <c r="AY248" s="74">
        <f>-0.0005 *COS((AY18 + AY19)* Deg2Rad)</f>
        <v>2.0804550682379074E-4</v>
      </c>
      <c r="AZ248" s="74">
        <f>-0.0005 *COS((AZ18 + AZ19)* Deg2Rad)</f>
        <v>2.0804550682379074E-4</v>
      </c>
      <c r="BA248" s="74">
        <f>-0.0005 *COS((BA18 + BA19)* Deg2Rad)</f>
        <v>4.9164388570361716E-4</v>
      </c>
      <c r="BB248" s="74">
        <f>-0.0005 *COS((BB18 + BB19)* Deg2Rad)</f>
        <v>4.9164388570361716E-4</v>
      </c>
      <c r="BC248" s="74">
        <f>-0.0005 *COS((BC18 + BC19)* Deg2Rad)</f>
        <v>4.9164388570361716E-4</v>
      </c>
      <c r="BD248" s="74">
        <f>-0.0005 *COS((BD18 + BD19)* Deg2Rad)</f>
        <v>4.9164388570361716E-4</v>
      </c>
      <c r="BE248" s="74">
        <f>-0.0005 *COS((BE18 + BE19)* Deg2Rad)</f>
        <v>4.9164388570361716E-4</v>
      </c>
      <c r="BF248" s="74">
        <f>-0.0005 *COS((BF18 + BF19)* Deg2Rad)</f>
        <v>4.9164388570361716E-4</v>
      </c>
      <c r="BG248" s="74">
        <f>-0.0005 *COS((BG18 + BG19)* Deg2Rad)</f>
        <v>-4.9008511664361428E-4</v>
      </c>
    </row>
    <row r="249" spans="2:59" x14ac:dyDescent="0.25">
      <c r="C249" t="s">
        <v>1089</v>
      </c>
      <c r="D249" s="7" t="s">
        <v>1107</v>
      </c>
      <c r="E249" s="11">
        <f t="shared" ref="E249:AU249" si="325">SUM(E244:E248)</f>
        <v>1.8441443498113445E-2</v>
      </c>
      <c r="F249" s="11">
        <f t="shared" ref="F249:BG249" si="326">SUM(F244:F248)</f>
        <v>1.4698371470715052E-2</v>
      </c>
      <c r="G249" s="11">
        <f t="shared" si="326"/>
        <v>-4.8745111210185908E-3</v>
      </c>
      <c r="H249" s="11">
        <f t="shared" si="326"/>
        <v>8.0751618870389206E-3</v>
      </c>
      <c r="I249" s="11">
        <f t="shared" si="326"/>
        <v>2.2625581135094577E-2</v>
      </c>
      <c r="J249" s="11">
        <f t="shared" si="326"/>
        <v>-1.5849020973057858E-2</v>
      </c>
      <c r="K249" s="11">
        <f t="shared" si="326"/>
        <v>2.8839634111224002E-2</v>
      </c>
      <c r="L249" s="11">
        <f t="shared" si="326"/>
        <v>-8.4381980783271773E-3</v>
      </c>
      <c r="M249" s="11">
        <f t="shared" si="326"/>
        <v>2.4600007529793712E-2</v>
      </c>
      <c r="N249" s="11">
        <f t="shared" si="326"/>
        <v>1.8636479003498373E-2</v>
      </c>
      <c r="O249" s="11">
        <f t="shared" si="326"/>
        <v>1.005315661309648E-2</v>
      </c>
      <c r="P249" s="11">
        <f t="shared" si="326"/>
        <v>-1.9271332900420146E-3</v>
      </c>
      <c r="Q249" s="11">
        <f t="shared" si="326"/>
        <v>-1.0158962158232126E-2</v>
      </c>
      <c r="R249" s="11">
        <f t="shared" si="326"/>
        <v>-6.0307679193087691E-3</v>
      </c>
      <c r="S249" s="11">
        <f t="shared" si="326"/>
        <v>1.7060185922915222E-2</v>
      </c>
      <c r="T249" s="11">
        <f t="shared" si="326"/>
        <v>1.6247258795876251E-2</v>
      </c>
      <c r="U249" s="11">
        <f t="shared" si="326"/>
        <v>-1.64328811645708E-3</v>
      </c>
      <c r="V249" s="11">
        <f t="shared" si="326"/>
        <v>3.1977939341620142E-3</v>
      </c>
      <c r="W249" s="11">
        <f t="shared" si="326"/>
        <v>-6.7033864323222912E-3</v>
      </c>
      <c r="X249" s="11">
        <f t="shared" si="326"/>
        <v>6.4853115357748547E-3</v>
      </c>
      <c r="Y249" s="11">
        <f t="shared" si="326"/>
        <v>1.6609090307335202E-3</v>
      </c>
      <c r="Z249" s="11">
        <f t="shared" si="326"/>
        <v>-3.988669223610678E-3</v>
      </c>
      <c r="AA249" s="11">
        <f t="shared" si="326"/>
        <v>-4.8745111210185908E-3</v>
      </c>
      <c r="AB249" s="11">
        <f t="shared" si="326"/>
        <v>4.3094788042767401E-3</v>
      </c>
      <c r="AC249" s="11">
        <f t="shared" si="326"/>
        <v>2.3632454141686094E-2</v>
      </c>
      <c r="AD249" s="11">
        <f t="shared" si="326"/>
        <v>8.9327228643713494E-3</v>
      </c>
      <c r="AE249" s="11">
        <f t="shared" si="326"/>
        <v>1.6609090307335202E-3</v>
      </c>
      <c r="AF249" s="11">
        <f t="shared" si="326"/>
        <v>-1.2555417967095232E-3</v>
      </c>
      <c r="AG249" s="11">
        <f t="shared" si="326"/>
        <v>1.2918564394332508E-2</v>
      </c>
      <c r="AH249" s="11">
        <f t="shared" si="326"/>
        <v>9.7493362053937549E-3</v>
      </c>
      <c r="AI249" s="11">
        <f t="shared" si="326"/>
        <v>6.2362862971127031E-4</v>
      </c>
      <c r="AJ249" s="11">
        <f t="shared" si="326"/>
        <v>-2.0746587311016923E-3</v>
      </c>
      <c r="AK249" s="11">
        <f t="shared" si="326"/>
        <v>1.9020114903479945E-2</v>
      </c>
      <c r="AL249" s="11">
        <f t="shared" si="326"/>
        <v>-4.3990477742368488E-3</v>
      </c>
      <c r="AM249" s="11">
        <f t="shared" si="326"/>
        <v>9.2540659307322332E-3</v>
      </c>
      <c r="AN249" s="11">
        <f t="shared" si="326"/>
        <v>1.1663888896959155E-2</v>
      </c>
      <c r="AO249" s="11">
        <f t="shared" si="326"/>
        <v>-8.2562256775501781E-3</v>
      </c>
      <c r="AP249" s="11">
        <f t="shared" si="326"/>
        <v>5.1520264851014066E-3</v>
      </c>
      <c r="AQ249" s="11">
        <f t="shared" si="326"/>
        <v>5.1520264851014066E-3</v>
      </c>
      <c r="AR249" s="11">
        <f t="shared" si="326"/>
        <v>1.5661800253907822E-2</v>
      </c>
      <c r="AS249" s="11">
        <f t="shared" si="326"/>
        <v>1.5661800253907822E-2</v>
      </c>
      <c r="AT249" s="11">
        <f t="shared" si="326"/>
        <v>1.5661800253907822E-2</v>
      </c>
      <c r="AU249" s="11">
        <f t="shared" si="326"/>
        <v>1.9658830543607602E-2</v>
      </c>
      <c r="AV249" s="11">
        <f t="shared" si="326"/>
        <v>-1.3059787378396746E-2</v>
      </c>
      <c r="AW249" s="11">
        <f t="shared" si="326"/>
        <v>2.7935959520927593E-2</v>
      </c>
      <c r="AX249" s="11">
        <f t="shared" si="326"/>
        <v>8.2878180830482586E-4</v>
      </c>
      <c r="AY249" s="11">
        <f t="shared" si="326"/>
        <v>2.439301560839267E-2</v>
      </c>
      <c r="AZ249" s="11">
        <f t="shared" si="326"/>
        <v>2.439301560839267E-2</v>
      </c>
      <c r="BA249" s="11">
        <f t="shared" si="326"/>
        <v>2.9034726367909509E-2</v>
      </c>
      <c r="BB249" s="11">
        <f t="shared" si="326"/>
        <v>2.9034726367909509E-2</v>
      </c>
      <c r="BC249" s="11">
        <f t="shared" si="326"/>
        <v>2.9034726367909509E-2</v>
      </c>
      <c r="BD249" s="11">
        <f t="shared" si="326"/>
        <v>2.9034726367909509E-2</v>
      </c>
      <c r="BE249" s="11">
        <f t="shared" si="326"/>
        <v>2.9034726367909509E-2</v>
      </c>
      <c r="BF249" s="11">
        <f t="shared" si="326"/>
        <v>2.9034726367909509E-2</v>
      </c>
      <c r="BG249" s="11">
        <f t="shared" si="326"/>
        <v>1.6609090307335202E-3</v>
      </c>
    </row>
    <row r="250" spans="2:59" x14ac:dyDescent="0.25">
      <c r="C250" t="s">
        <v>1198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</row>
    <row r="251" spans="2:59" x14ac:dyDescent="0.25">
      <c r="B251">
        <v>382</v>
      </c>
      <c r="C251" t="s">
        <v>1200</v>
      </c>
      <c r="D251" s="7" t="s">
        <v>1199</v>
      </c>
      <c r="E251">
        <f>0.00464*SQRT(ABS(1 -E243^2))</f>
        <v>4.1774709564641665E-3</v>
      </c>
      <c r="F251">
        <f t="shared" ref="F251:BG251" si="327">0.00464*SQRT(ABS(1 -F243^2))</f>
        <v>1.3714177577100285E-2</v>
      </c>
      <c r="G251">
        <f t="shared" si="327"/>
        <v>4.4319086692759429E-3</v>
      </c>
      <c r="H251">
        <f t="shared" si="327"/>
        <v>9.643155905754466E-4</v>
      </c>
      <c r="I251">
        <f t="shared" si="327"/>
        <v>1.8604970140286108E-2</v>
      </c>
      <c r="J251">
        <f t="shared" si="327"/>
        <v>2.1748585263672869E-2</v>
      </c>
      <c r="K251">
        <f t="shared" si="327"/>
        <v>1.6608088664054225E-2</v>
      </c>
      <c r="L251">
        <f t="shared" si="327"/>
        <v>2.1410764221572277E-2</v>
      </c>
      <c r="M251">
        <f t="shared" si="327"/>
        <v>1.4467053573215292E-2</v>
      </c>
      <c r="N251">
        <f t="shared" si="327"/>
        <v>1.8107583345166446E-3</v>
      </c>
      <c r="O251">
        <f t="shared" si="327"/>
        <v>1.7806335804915394E-2</v>
      </c>
      <c r="P251">
        <f t="shared" si="327"/>
        <v>2.2537775851870653E-2</v>
      </c>
      <c r="Q251">
        <f t="shared" si="327"/>
        <v>2.3230384324222884E-3</v>
      </c>
      <c r="R251">
        <f t="shared" si="327"/>
        <v>6.8036583364748738E-3</v>
      </c>
      <c r="S251">
        <f t="shared" si="327"/>
        <v>2.3689826283866778E-2</v>
      </c>
      <c r="T251">
        <f t="shared" si="327"/>
        <v>6.6217807002921731E-3</v>
      </c>
      <c r="U251">
        <f t="shared" si="327"/>
        <v>1.7373017166317079E-2</v>
      </c>
      <c r="V251">
        <f t="shared" si="327"/>
        <v>2.3301718195551477E-2</v>
      </c>
      <c r="W251">
        <f t="shared" si="327"/>
        <v>1.5210011610649922E-2</v>
      </c>
      <c r="X251">
        <f t="shared" si="327"/>
        <v>1.3831045370603232E-2</v>
      </c>
      <c r="Y251">
        <f t="shared" si="327"/>
        <v>1.4945052838883607E-2</v>
      </c>
      <c r="Z251">
        <f t="shared" si="327"/>
        <v>1.9138894213518165E-2</v>
      </c>
      <c r="AA251">
        <f t="shared" si="327"/>
        <v>4.4319086692759429E-3</v>
      </c>
      <c r="AB251">
        <f t="shared" si="327"/>
        <v>2.8314891115387856E-3</v>
      </c>
      <c r="AC251">
        <f t="shared" si="327"/>
        <v>2.488559457591796E-2</v>
      </c>
      <c r="AD251">
        <f t="shared" si="327"/>
        <v>1.8694248438177522E-2</v>
      </c>
      <c r="AE251">
        <f t="shared" si="327"/>
        <v>1.4945052838883607E-2</v>
      </c>
      <c r="AF251">
        <f t="shared" si="327"/>
        <v>9.9390934721025042E-3</v>
      </c>
      <c r="AG251">
        <f t="shared" si="327"/>
        <v>1.3302992357980698E-2</v>
      </c>
      <c r="AH251">
        <f t="shared" si="327"/>
        <v>2.3204197694347894E-2</v>
      </c>
      <c r="AI251">
        <f t="shared" si="327"/>
        <v>2.1396941616592183E-2</v>
      </c>
      <c r="AJ251">
        <f t="shared" si="327"/>
        <v>4.5775882250075036E-3</v>
      </c>
      <c r="AK251">
        <f t="shared" si="327"/>
        <v>2.3948475230195974E-2</v>
      </c>
      <c r="AL251">
        <f t="shared" si="327"/>
        <v>2.0978469907750489E-2</v>
      </c>
      <c r="AM251">
        <f t="shared" si="327"/>
        <v>4.6395259657268859E-3</v>
      </c>
      <c r="AN251">
        <f t="shared" si="327"/>
        <v>2.4403997597862281E-2</v>
      </c>
      <c r="AO251">
        <f t="shared" si="327"/>
        <v>1.3841061771620004E-2</v>
      </c>
      <c r="AP251">
        <f t="shared" si="327"/>
        <v>1.0445944462224422E-2</v>
      </c>
      <c r="AQ251">
        <f t="shared" si="327"/>
        <v>1.0445944462224422E-2</v>
      </c>
      <c r="AR251">
        <f t="shared" si="327"/>
        <v>4.484818695427023E-3</v>
      </c>
      <c r="AS251">
        <f t="shared" si="327"/>
        <v>4.484818695427023E-3</v>
      </c>
      <c r="AT251">
        <f t="shared" si="327"/>
        <v>4.484818695427023E-3</v>
      </c>
      <c r="AU251">
        <f t="shared" si="327"/>
        <v>4.0327326930860285E-3</v>
      </c>
      <c r="AV251">
        <f t="shared" si="327"/>
        <v>4.29369583790239E-3</v>
      </c>
      <c r="AW251">
        <f t="shared" si="327"/>
        <v>4.4919346218500068E-3</v>
      </c>
      <c r="AX251">
        <f t="shared" si="327"/>
        <v>4.4194024201426154E-3</v>
      </c>
      <c r="AY251">
        <f t="shared" si="327"/>
        <v>1.3552050000728844E-2</v>
      </c>
      <c r="AZ251">
        <f t="shared" si="327"/>
        <v>1.3552050000728844E-2</v>
      </c>
      <c r="BA251">
        <f t="shared" si="327"/>
        <v>2.3071479318135194E-2</v>
      </c>
      <c r="BB251">
        <f t="shared" si="327"/>
        <v>2.3071479318135194E-2</v>
      </c>
      <c r="BC251">
        <f t="shared" si="327"/>
        <v>2.3071479318135194E-2</v>
      </c>
      <c r="BD251">
        <f t="shared" si="327"/>
        <v>2.3071479318135194E-2</v>
      </c>
      <c r="BE251">
        <f t="shared" si="327"/>
        <v>2.3071479318135194E-2</v>
      </c>
      <c r="BF251">
        <f t="shared" si="327"/>
        <v>2.3071479318135194E-2</v>
      </c>
      <c r="BG251">
        <f t="shared" si="327"/>
        <v>1.4945052838883607E-2</v>
      </c>
    </row>
    <row r="252" spans="2:59" x14ac:dyDescent="0.25">
      <c r="C252" t="s">
        <v>1114</v>
      </c>
    </row>
    <row r="253" spans="2:59" x14ac:dyDescent="0.25">
      <c r="B253">
        <v>382</v>
      </c>
      <c r="C253" t="s">
        <v>1115</v>
      </c>
    </row>
    <row r="254" spans="2:59" x14ac:dyDescent="0.25">
      <c r="C254" t="s">
        <v>1117</v>
      </c>
      <c r="D254" s="7" t="s">
        <v>1119</v>
      </c>
      <c r="E254" s="11">
        <f t="shared" ref="E254:AU254" si="328">1.2848 + E249</f>
        <v>1.3032414434981134</v>
      </c>
      <c r="F254" s="11">
        <f t="shared" ref="F254:BG254" si="329">1.2848 + F249</f>
        <v>1.2994983714707149</v>
      </c>
      <c r="G254" s="11">
        <f t="shared" si="329"/>
        <v>1.2799254888789813</v>
      </c>
      <c r="H254" s="11">
        <f t="shared" si="329"/>
        <v>1.2928751618870389</v>
      </c>
      <c r="I254" s="11">
        <f t="shared" si="329"/>
        <v>1.3074255811350945</v>
      </c>
      <c r="J254" s="11">
        <f t="shared" si="329"/>
        <v>1.268950979026942</v>
      </c>
      <c r="K254" s="11">
        <f t="shared" si="329"/>
        <v>1.313639634111224</v>
      </c>
      <c r="L254" s="11">
        <f t="shared" si="329"/>
        <v>1.2763618019216727</v>
      </c>
      <c r="M254" s="11">
        <f t="shared" si="329"/>
        <v>1.3094000075297936</v>
      </c>
      <c r="N254" s="11">
        <f t="shared" si="329"/>
        <v>1.3034364790034982</v>
      </c>
      <c r="O254" s="11">
        <f t="shared" si="329"/>
        <v>1.2948531566130965</v>
      </c>
      <c r="P254" s="11">
        <f t="shared" si="329"/>
        <v>1.282872866709958</v>
      </c>
      <c r="Q254" s="11">
        <f t="shared" si="329"/>
        <v>1.2746410378417679</v>
      </c>
      <c r="R254" s="11">
        <f t="shared" si="329"/>
        <v>1.2787692320806912</v>
      </c>
      <c r="S254" s="11">
        <f t="shared" si="329"/>
        <v>1.3018601859229151</v>
      </c>
      <c r="T254" s="11">
        <f t="shared" si="329"/>
        <v>1.3010472587958761</v>
      </c>
      <c r="U254" s="11">
        <f t="shared" si="329"/>
        <v>1.283156711883543</v>
      </c>
      <c r="V254" s="11">
        <f t="shared" si="329"/>
        <v>1.287997793934162</v>
      </c>
      <c r="W254" s="11">
        <f t="shared" si="329"/>
        <v>1.2780966135676777</v>
      </c>
      <c r="X254" s="11">
        <f t="shared" si="329"/>
        <v>1.2912853115357747</v>
      </c>
      <c r="Y254" s="11">
        <f t="shared" si="329"/>
        <v>1.2864609090307335</v>
      </c>
      <c r="Z254" s="11">
        <f t="shared" si="329"/>
        <v>1.2808113307763893</v>
      </c>
      <c r="AA254" s="11">
        <f t="shared" si="329"/>
        <v>1.2799254888789813</v>
      </c>
      <c r="AB254" s="11">
        <f t="shared" si="329"/>
        <v>1.2891094788042767</v>
      </c>
      <c r="AC254" s="11">
        <f t="shared" si="329"/>
        <v>1.3084324541416861</v>
      </c>
      <c r="AD254" s="11">
        <f t="shared" si="329"/>
        <v>1.2937327228643714</v>
      </c>
      <c r="AE254" s="11">
        <f t="shared" si="329"/>
        <v>1.2864609090307335</v>
      </c>
      <c r="AF254" s="11">
        <f t="shared" si="329"/>
        <v>1.2835444582032904</v>
      </c>
      <c r="AG254" s="11">
        <f t="shared" si="329"/>
        <v>1.2977185643943325</v>
      </c>
      <c r="AH254" s="11">
        <f t="shared" si="329"/>
        <v>1.2945493362053937</v>
      </c>
      <c r="AI254" s="11">
        <f t="shared" si="329"/>
        <v>1.2854236286297112</v>
      </c>
      <c r="AJ254" s="11">
        <f t="shared" si="329"/>
        <v>1.2827253412688981</v>
      </c>
      <c r="AK254" s="11">
        <f t="shared" si="329"/>
        <v>1.3038201149034798</v>
      </c>
      <c r="AL254" s="11">
        <f t="shared" si="329"/>
        <v>1.2804009522257631</v>
      </c>
      <c r="AM254" s="11">
        <f t="shared" si="329"/>
        <v>1.2940540659307322</v>
      </c>
      <c r="AN254" s="11">
        <f t="shared" si="329"/>
        <v>1.2964638888969591</v>
      </c>
      <c r="AO254" s="11">
        <f t="shared" si="329"/>
        <v>1.2765437743224497</v>
      </c>
      <c r="AP254" s="11">
        <f t="shared" si="329"/>
        <v>1.2899520264851014</v>
      </c>
      <c r="AQ254" s="11">
        <f t="shared" si="329"/>
        <v>1.2899520264851014</v>
      </c>
      <c r="AR254" s="11">
        <f t="shared" si="329"/>
        <v>1.3004618002539077</v>
      </c>
      <c r="AS254" s="11">
        <f t="shared" si="329"/>
        <v>1.3004618002539077</v>
      </c>
      <c r="AT254" s="11">
        <f t="shared" si="329"/>
        <v>1.3004618002539077</v>
      </c>
      <c r="AU254" s="11">
        <f t="shared" si="329"/>
        <v>1.3044588305436076</v>
      </c>
      <c r="AV254" s="11">
        <f t="shared" si="329"/>
        <v>1.2717402126216033</v>
      </c>
      <c r="AW254" s="11">
        <f t="shared" si="329"/>
        <v>1.3127359595209276</v>
      </c>
      <c r="AX254" s="11">
        <f t="shared" si="329"/>
        <v>1.2856287818083048</v>
      </c>
      <c r="AY254" s="11">
        <f t="shared" si="329"/>
        <v>1.3091930156083926</v>
      </c>
      <c r="AZ254" s="11">
        <f t="shared" si="329"/>
        <v>1.3091930156083926</v>
      </c>
      <c r="BA254" s="11">
        <f t="shared" si="329"/>
        <v>1.3138347263679095</v>
      </c>
      <c r="BB254" s="11">
        <f t="shared" si="329"/>
        <v>1.3138347263679095</v>
      </c>
      <c r="BC254" s="11">
        <f t="shared" si="329"/>
        <v>1.3138347263679095</v>
      </c>
      <c r="BD254" s="11">
        <f t="shared" si="329"/>
        <v>1.3138347263679095</v>
      </c>
      <c r="BE254" s="11">
        <f t="shared" si="329"/>
        <v>1.3138347263679095</v>
      </c>
      <c r="BF254" s="11">
        <f t="shared" si="329"/>
        <v>1.3138347263679095</v>
      </c>
      <c r="BG254" s="11">
        <f t="shared" si="329"/>
        <v>1.2864609090307335</v>
      </c>
    </row>
    <row r="255" spans="2:59" x14ac:dyDescent="0.25">
      <c r="B255">
        <v>382</v>
      </c>
      <c r="C255" t="s">
        <v>1116</v>
      </c>
    </row>
    <row r="256" spans="2:59" x14ac:dyDescent="0.25">
      <c r="C256" t="s">
        <v>1118</v>
      </c>
      <c r="D256" s="7" t="s">
        <v>281</v>
      </c>
      <c r="E256" s="11">
        <f t="shared" ref="E256:AU256" si="330">0.7403 - E249</f>
        <v>0.72185855650188646</v>
      </c>
      <c r="F256" s="11">
        <f t="shared" ref="F256:BG256" si="331">0.7403 - F249</f>
        <v>0.72560162852928489</v>
      </c>
      <c r="G256" s="11">
        <f t="shared" si="331"/>
        <v>0.74517451112101851</v>
      </c>
      <c r="H256" s="11">
        <f t="shared" si="331"/>
        <v>0.73222483811296102</v>
      </c>
      <c r="I256" s="11">
        <f t="shared" si="331"/>
        <v>0.71767441886490535</v>
      </c>
      <c r="J256" s="11">
        <f t="shared" si="331"/>
        <v>0.75614902097305781</v>
      </c>
      <c r="K256" s="11">
        <f t="shared" si="331"/>
        <v>0.71146036588877593</v>
      </c>
      <c r="L256" s="11">
        <f t="shared" si="331"/>
        <v>0.74873819807832709</v>
      </c>
      <c r="M256" s="11">
        <f t="shared" si="331"/>
        <v>0.71569999247020621</v>
      </c>
      <c r="N256" s="11">
        <f t="shared" si="331"/>
        <v>0.72166352099650155</v>
      </c>
      <c r="O256" s="11">
        <f t="shared" si="331"/>
        <v>0.73024684338690349</v>
      </c>
      <c r="P256" s="11">
        <f t="shared" si="331"/>
        <v>0.74222713329004197</v>
      </c>
      <c r="Q256" s="11">
        <f t="shared" si="331"/>
        <v>0.75045896215823205</v>
      </c>
      <c r="R256" s="11">
        <f t="shared" si="331"/>
        <v>0.74633076791930875</v>
      </c>
      <c r="S256" s="11">
        <f t="shared" si="331"/>
        <v>0.72323981407708471</v>
      </c>
      <c r="T256" s="11">
        <f t="shared" si="331"/>
        <v>0.72405274120412366</v>
      </c>
      <c r="U256" s="11">
        <f t="shared" si="331"/>
        <v>0.74194328811645704</v>
      </c>
      <c r="V256" s="11">
        <f t="shared" si="331"/>
        <v>0.73710220606583798</v>
      </c>
      <c r="W256" s="11">
        <f t="shared" si="331"/>
        <v>0.74700338643232223</v>
      </c>
      <c r="X256" s="11">
        <f t="shared" si="331"/>
        <v>0.73381468846422515</v>
      </c>
      <c r="Y256" s="11">
        <f t="shared" si="331"/>
        <v>0.73863909096926639</v>
      </c>
      <c r="Z256" s="11">
        <f t="shared" si="331"/>
        <v>0.74428866922361059</v>
      </c>
      <c r="AA256" s="11">
        <f t="shared" si="331"/>
        <v>0.74517451112101851</v>
      </c>
      <c r="AB256" s="11">
        <f t="shared" si="331"/>
        <v>0.73599052119572317</v>
      </c>
      <c r="AC256" s="11">
        <f t="shared" si="331"/>
        <v>0.71666754585831383</v>
      </c>
      <c r="AD256" s="11">
        <f t="shared" si="331"/>
        <v>0.73136727713562866</v>
      </c>
      <c r="AE256" s="11">
        <f t="shared" si="331"/>
        <v>0.73863909096926639</v>
      </c>
      <c r="AF256" s="11">
        <f t="shared" si="331"/>
        <v>0.74155554179670946</v>
      </c>
      <c r="AG256" s="11">
        <f t="shared" si="331"/>
        <v>0.72738143560566748</v>
      </c>
      <c r="AH256" s="11">
        <f t="shared" si="331"/>
        <v>0.7305506637946062</v>
      </c>
      <c r="AI256" s="11">
        <f t="shared" si="331"/>
        <v>0.73967637137028874</v>
      </c>
      <c r="AJ256" s="11">
        <f t="shared" si="331"/>
        <v>0.74237465873110164</v>
      </c>
      <c r="AK256" s="11">
        <f t="shared" si="331"/>
        <v>0.72127988509651997</v>
      </c>
      <c r="AL256" s="11">
        <f t="shared" si="331"/>
        <v>0.74469904777423679</v>
      </c>
      <c r="AM256" s="11">
        <f t="shared" si="331"/>
        <v>0.73104593406926777</v>
      </c>
      <c r="AN256" s="11">
        <f t="shared" si="331"/>
        <v>0.72863611110304083</v>
      </c>
      <c r="AO256" s="11">
        <f t="shared" si="331"/>
        <v>0.74855622567755009</v>
      </c>
      <c r="AP256" s="11">
        <f t="shared" si="331"/>
        <v>0.73514797351489858</v>
      </c>
      <c r="AQ256" s="11">
        <f t="shared" si="331"/>
        <v>0.73514797351489858</v>
      </c>
      <c r="AR256" s="11">
        <f t="shared" si="331"/>
        <v>0.72463819974609212</v>
      </c>
      <c r="AS256" s="11">
        <f t="shared" si="331"/>
        <v>0.72463819974609212</v>
      </c>
      <c r="AT256" s="11">
        <f t="shared" si="331"/>
        <v>0.72463819974609212</v>
      </c>
      <c r="AU256" s="11">
        <f t="shared" si="331"/>
        <v>0.72064116945639234</v>
      </c>
      <c r="AV256" s="11">
        <f t="shared" si="331"/>
        <v>0.75335978737839671</v>
      </c>
      <c r="AW256" s="11">
        <f t="shared" si="331"/>
        <v>0.71236404047907231</v>
      </c>
      <c r="AX256" s="11">
        <f t="shared" si="331"/>
        <v>0.73947121819169515</v>
      </c>
      <c r="AY256" s="11">
        <f t="shared" si="331"/>
        <v>0.71590698439160727</v>
      </c>
      <c r="AZ256" s="11">
        <f t="shared" si="331"/>
        <v>0.71590698439160727</v>
      </c>
      <c r="BA256" s="11">
        <f t="shared" si="331"/>
        <v>0.71126527363209047</v>
      </c>
      <c r="BB256" s="11">
        <f t="shared" si="331"/>
        <v>0.71126527363209047</v>
      </c>
      <c r="BC256" s="11">
        <f t="shared" si="331"/>
        <v>0.71126527363209047</v>
      </c>
      <c r="BD256" s="11">
        <f t="shared" si="331"/>
        <v>0.71126527363209047</v>
      </c>
      <c r="BE256" s="11">
        <f t="shared" si="331"/>
        <v>0.71126527363209047</v>
      </c>
      <c r="BF256" s="11">
        <f t="shared" si="331"/>
        <v>0.71126527363209047</v>
      </c>
      <c r="BG256" s="11">
        <f t="shared" si="331"/>
        <v>0.73863909096926639</v>
      </c>
    </row>
    <row r="257" spans="1:59" x14ac:dyDescent="0.25">
      <c r="C257" t="s">
        <v>1120</v>
      </c>
    </row>
    <row r="258" spans="1:59" x14ac:dyDescent="0.25">
      <c r="A258">
        <v>54.3</v>
      </c>
      <c r="B258">
        <v>382</v>
      </c>
      <c r="C258" t="s">
        <v>1121</v>
      </c>
      <c r="D258" s="7" t="s">
        <v>1122</v>
      </c>
      <c r="E258">
        <f t="shared" ref="E258:AU258" si="332">(1.5573 + E249 - ABS(E243) ) / 0.545</f>
        <v>2.0926728695636583</v>
      </c>
      <c r="F258">
        <f t="shared" ref="F258:BG258" si="333">(1.5573 + F249 - ABS(F243) ) / 0.545</f>
        <v>-2.840786897988723</v>
      </c>
      <c r="G258">
        <f t="shared" si="333"/>
        <v>2.3051594371480633</v>
      </c>
      <c r="H258">
        <f t="shared" si="333"/>
        <v>0.99817889024313022</v>
      </c>
      <c r="I258">
        <f t="shared" si="333"/>
        <v>-4.6836388613966768</v>
      </c>
      <c r="J258">
        <f t="shared" si="333"/>
        <v>-5.9655609611374665</v>
      </c>
      <c r="K258">
        <f t="shared" si="333"/>
        <v>-3.908727303419854</v>
      </c>
      <c r="L258">
        <f t="shared" si="333"/>
        <v>-5.8213587909038775</v>
      </c>
      <c r="M258">
        <f t="shared" si="333"/>
        <v>-3.1053930002390699</v>
      </c>
      <c r="N258">
        <f t="shared" si="333"/>
        <v>1.2022521006321745</v>
      </c>
      <c r="O258">
        <f t="shared" si="333"/>
        <v>-4.400679258472791</v>
      </c>
      <c r="P258">
        <f t="shared" si="333"/>
        <v>-6.2454613841289497</v>
      </c>
      <c r="Q258">
        <f t="shared" si="333"/>
        <v>1.2504477673684384</v>
      </c>
      <c r="R258">
        <f t="shared" si="333"/>
        <v>-0.41021916808602288</v>
      </c>
      <c r="S258">
        <f t="shared" si="333"/>
        <v>-6.6572779999880662</v>
      </c>
      <c r="T258">
        <f t="shared" si="333"/>
        <v>-0.31017915816320912</v>
      </c>
      <c r="U258">
        <f t="shared" si="333"/>
        <v>-4.256455667464266</v>
      </c>
      <c r="V258">
        <f t="shared" si="333"/>
        <v>-6.5321464926856452</v>
      </c>
      <c r="W258">
        <f t="shared" si="333"/>
        <v>-3.4432322986898156</v>
      </c>
      <c r="X258">
        <f t="shared" si="333"/>
        <v>-2.899652739131191</v>
      </c>
      <c r="Y258">
        <f t="shared" si="333"/>
        <v>-3.3277435270867448</v>
      </c>
      <c r="Z258">
        <f t="shared" si="333"/>
        <v>-4.9375023370678317</v>
      </c>
      <c r="AA258">
        <f t="shared" si="333"/>
        <v>2.3051594371480633</v>
      </c>
      <c r="AB258">
        <f t="shared" si="333"/>
        <v>1.4117225922500174</v>
      </c>
      <c r="AC258">
        <f t="shared" si="333"/>
        <v>-7.1096741247390094</v>
      </c>
      <c r="AD258">
        <f t="shared" si="333"/>
        <v>-4.7430235306652477</v>
      </c>
      <c r="AE258">
        <f t="shared" si="333"/>
        <v>-3.3277435270867448</v>
      </c>
      <c r="AF258">
        <f t="shared" si="333"/>
        <v>-1.4824348781247778</v>
      </c>
      <c r="AG258">
        <f t="shared" si="333"/>
        <v>-2.6902722537571262</v>
      </c>
      <c r="AH258">
        <f t="shared" si="333"/>
        <v>-6.4823069500780344</v>
      </c>
      <c r="AI258">
        <f t="shared" si="333"/>
        <v>-5.7993895955674297</v>
      </c>
      <c r="AJ258">
        <f t="shared" si="333"/>
        <v>2.5536892802294933</v>
      </c>
      <c r="AK258">
        <f t="shared" si="333"/>
        <v>-6.754075926927432</v>
      </c>
      <c r="AL258">
        <f t="shared" si="333"/>
        <v>-5.6469544412767956</v>
      </c>
      <c r="AM258">
        <f t="shared" si="333"/>
        <v>2.8481838482504229</v>
      </c>
      <c r="AN258">
        <f t="shared" si="333"/>
        <v>-6.9444784544173075</v>
      </c>
      <c r="AO258">
        <f t="shared" si="333"/>
        <v>-2.9304568151492325</v>
      </c>
      <c r="AP258">
        <f t="shared" si="333"/>
        <v>-1.6530884294511139</v>
      </c>
      <c r="AQ258">
        <f t="shared" si="333"/>
        <v>-1.6530884294511139</v>
      </c>
      <c r="AR258">
        <f t="shared" si="333"/>
        <v>2.4156059148419677</v>
      </c>
      <c r="AS258">
        <f t="shared" si="333"/>
        <v>2.4156059148419677</v>
      </c>
      <c r="AT258">
        <f t="shared" si="333"/>
        <v>2.4156059148419677</v>
      </c>
      <c r="AU258">
        <f t="shared" si="333"/>
        <v>0.46248252138687812</v>
      </c>
      <c r="AV258">
        <f t="shared" si="333"/>
        <v>2.1379157193235674</v>
      </c>
      <c r="AW258">
        <f t="shared" si="333"/>
        <v>2.4488636751319395</v>
      </c>
      <c r="AX258">
        <f t="shared" si="333"/>
        <v>2.2999211851984893</v>
      </c>
      <c r="AY258">
        <f t="shared" si="333"/>
        <v>-2.7623051708691939</v>
      </c>
      <c r="AZ258">
        <f t="shared" si="333"/>
        <v>-2.7623051708691939</v>
      </c>
      <c r="BA258">
        <f t="shared" si="333"/>
        <v>-6.3954626752954837</v>
      </c>
      <c r="BB258">
        <f t="shared" si="333"/>
        <v>-6.3954626752954837</v>
      </c>
      <c r="BC258">
        <f t="shared" si="333"/>
        <v>-6.3954626752954837</v>
      </c>
      <c r="BD258">
        <f t="shared" si="333"/>
        <v>-6.3954626752954837</v>
      </c>
      <c r="BE258">
        <f t="shared" si="333"/>
        <v>-6.3954626752954837</v>
      </c>
      <c r="BF258">
        <f t="shared" si="333"/>
        <v>-6.3954626752954837</v>
      </c>
      <c r="BG258">
        <f t="shared" si="333"/>
        <v>-3.3277435270867448</v>
      </c>
    </row>
    <row r="259" spans="1:59" x14ac:dyDescent="0.25">
      <c r="C259" t="s">
        <v>1123</v>
      </c>
    </row>
    <row r="260" spans="1:59" x14ac:dyDescent="0.25">
      <c r="A260">
        <v>54.4</v>
      </c>
      <c r="B260">
        <v>382</v>
      </c>
      <c r="C260" t="s">
        <v>1124</v>
      </c>
      <c r="D260" s="7" t="s">
        <v>1125</v>
      </c>
      <c r="E260">
        <f t="shared" ref="E260:AU260" si="334">(1.0128 -E249 - ABS(E243) ) / 0.545</f>
        <v>1.0259152787448933</v>
      </c>
      <c r="F260">
        <f t="shared" ref="F260:BG260" si="335">(1.0128 -F249 - ABS(F243) ) / 0.545</f>
        <v>-3.8938084446702463</v>
      </c>
      <c r="G260">
        <f t="shared" si="335"/>
        <v>1.3239649825462967</v>
      </c>
      <c r="H260">
        <f t="shared" si="335"/>
        <v>-3.0537300168021732E-2</v>
      </c>
      <c r="I260">
        <f t="shared" si="335"/>
        <v>-5.7657510857456478</v>
      </c>
      <c r="J260">
        <f t="shared" si="335"/>
        <v>-6.906481985089548</v>
      </c>
      <c r="K260">
        <f t="shared" si="335"/>
        <v>-5.0136433919014092</v>
      </c>
      <c r="L260">
        <f t="shared" si="335"/>
        <v>-6.7894754952035941</v>
      </c>
      <c r="M260">
        <f t="shared" si="335"/>
        <v>-4.1947508260364774</v>
      </c>
      <c r="N260">
        <f t="shared" si="335"/>
        <v>0.13477878318814401</v>
      </c>
      <c r="O260">
        <f t="shared" si="335"/>
        <v>-5.4366541451263561</v>
      </c>
      <c r="P260">
        <f t="shared" si="335"/>
        <v>-7.2374719041654938</v>
      </c>
      <c r="Q260">
        <f t="shared" si="335"/>
        <v>0.28864579363718024</v>
      </c>
      <c r="R260">
        <f t="shared" si="335"/>
        <v>-1.3871704784738805</v>
      </c>
      <c r="S260">
        <f t="shared" si="335"/>
        <v>-7.7189667556684896</v>
      </c>
      <c r="T260">
        <f t="shared" si="335"/>
        <v>-1.3688846950288098</v>
      </c>
      <c r="U260">
        <f t="shared" si="335"/>
        <v>-5.2495078211653414</v>
      </c>
      <c r="V260">
        <f t="shared" si="335"/>
        <v>-7.5429640851045869</v>
      </c>
      <c r="W260">
        <f t="shared" si="335"/>
        <v>-4.4177152842592751</v>
      </c>
      <c r="X260">
        <f t="shared" si="335"/>
        <v>-3.9225346163266952</v>
      </c>
      <c r="Y260">
        <f t="shared" si="335"/>
        <v>-4.3329211749059509</v>
      </c>
      <c r="Z260">
        <f t="shared" si="335"/>
        <v>-5.9219475876233885</v>
      </c>
      <c r="AA260">
        <f t="shared" si="335"/>
        <v>1.3239649825462967</v>
      </c>
      <c r="AB260">
        <f t="shared" si="335"/>
        <v>0.39682542232606588</v>
      </c>
      <c r="AC260">
        <f t="shared" si="335"/>
        <v>-8.1954812959011605</v>
      </c>
      <c r="AD260">
        <f t="shared" si="335"/>
        <v>-5.7748867338372518</v>
      </c>
      <c r="AE260">
        <f t="shared" si="335"/>
        <v>-4.3329211749059509</v>
      </c>
      <c r="AF260">
        <f t="shared" si="335"/>
        <v>-2.4769099541001558</v>
      </c>
      <c r="AG260">
        <f t="shared" si="335"/>
        <v>-3.7367623983234841</v>
      </c>
      <c r="AH260">
        <f t="shared" si="335"/>
        <v>-7.517166899455626</v>
      </c>
      <c r="AI260">
        <f t="shared" si="335"/>
        <v>-6.8007607098049023</v>
      </c>
      <c r="AJ260">
        <f t="shared" si="335"/>
        <v>1.5622201379583072</v>
      </c>
      <c r="AK260">
        <f t="shared" si="335"/>
        <v>-7.8229570825365329</v>
      </c>
      <c r="AL260">
        <f t="shared" si="335"/>
        <v>-6.6298937154997795</v>
      </c>
      <c r="AM260">
        <f t="shared" si="335"/>
        <v>1.8151414044679193</v>
      </c>
      <c r="AN260">
        <f t="shared" si="335"/>
        <v>-7.9863642852318355</v>
      </c>
      <c r="AO260">
        <f t="shared" si="335"/>
        <v>-3.8992413080756534</v>
      </c>
      <c r="AP260">
        <f t="shared" si="335"/>
        <v>-2.6710775174698349</v>
      </c>
      <c r="AQ260">
        <f t="shared" si="335"/>
        <v>-2.6710775174698349</v>
      </c>
      <c r="AR260">
        <f t="shared" si="335"/>
        <v>1.3590488496900128</v>
      </c>
      <c r="AS260">
        <f t="shared" si="335"/>
        <v>1.3590488496900128</v>
      </c>
      <c r="AT260">
        <f t="shared" si="335"/>
        <v>1.3590488496900128</v>
      </c>
      <c r="AU260">
        <f t="shared" si="335"/>
        <v>-0.60874254482819556</v>
      </c>
      <c r="AV260">
        <f t="shared" si="335"/>
        <v>1.1867589757580508</v>
      </c>
      <c r="AW260">
        <f t="shared" si="335"/>
        <v>1.347263823678994</v>
      </c>
      <c r="AX260">
        <f t="shared" si="335"/>
        <v>1.2977972152597563</v>
      </c>
      <c r="AY260">
        <f t="shared" si="335"/>
        <v>-3.8509033932853138</v>
      </c>
      <c r="AZ260">
        <f t="shared" si="335"/>
        <v>-3.8509033932853138</v>
      </c>
      <c r="BA260">
        <f t="shared" si="335"/>
        <v>-7.5010946986639597</v>
      </c>
      <c r="BB260">
        <f t="shared" si="335"/>
        <v>-7.5010946986639597</v>
      </c>
      <c r="BC260">
        <f t="shared" si="335"/>
        <v>-7.5010946986639597</v>
      </c>
      <c r="BD260">
        <f t="shared" si="335"/>
        <v>-7.5010946986639597</v>
      </c>
      <c r="BE260">
        <f t="shared" si="335"/>
        <v>-7.5010946986639597</v>
      </c>
      <c r="BF260">
        <f t="shared" si="335"/>
        <v>-7.5010946986639597</v>
      </c>
      <c r="BG260">
        <f t="shared" si="335"/>
        <v>-4.3329211749059509</v>
      </c>
    </row>
    <row r="261" spans="1:59" x14ac:dyDescent="0.25">
      <c r="C261" t="s">
        <v>1126</v>
      </c>
    </row>
    <row r="262" spans="1:59" x14ac:dyDescent="0.25">
      <c r="C262" t="s">
        <v>1127</v>
      </c>
    </row>
    <row r="263" spans="1:59" x14ac:dyDescent="0.25">
      <c r="B263">
        <v>383</v>
      </c>
      <c r="C263" t="s">
        <v>1129</v>
      </c>
      <c r="D263" s="7" t="s">
        <v>1128</v>
      </c>
      <c r="E263" s="11">
        <f t="shared" ref="E263:AU263" si="336">1.0128 - E249</f>
        <v>0.99435855650188643</v>
      </c>
      <c r="F263" s="11">
        <f t="shared" ref="F263:BG263" si="337">1.0128 - F249</f>
        <v>0.99810162852928486</v>
      </c>
      <c r="G263" s="11">
        <f t="shared" si="337"/>
        <v>1.0176745111210186</v>
      </c>
      <c r="H263" s="11">
        <f t="shared" si="337"/>
        <v>1.004724838112961</v>
      </c>
      <c r="I263" s="11">
        <f t="shared" si="337"/>
        <v>0.99017441886490531</v>
      </c>
      <c r="J263" s="11">
        <f t="shared" si="337"/>
        <v>1.0286490209730579</v>
      </c>
      <c r="K263" s="11">
        <f t="shared" si="337"/>
        <v>0.98396036588877589</v>
      </c>
      <c r="L263" s="11">
        <f t="shared" si="337"/>
        <v>1.0212381980783272</v>
      </c>
      <c r="M263" s="11">
        <f t="shared" si="337"/>
        <v>0.98819999247020618</v>
      </c>
      <c r="N263" s="11">
        <f t="shared" si="337"/>
        <v>0.99416352099650152</v>
      </c>
      <c r="O263" s="11">
        <f t="shared" si="337"/>
        <v>1.0027468433869033</v>
      </c>
      <c r="P263" s="11">
        <f t="shared" si="337"/>
        <v>1.0147271332900418</v>
      </c>
      <c r="Q263" s="11">
        <f t="shared" si="337"/>
        <v>1.022958962158232</v>
      </c>
      <c r="R263" s="11">
        <f t="shared" si="337"/>
        <v>1.0188307679193087</v>
      </c>
      <c r="S263" s="11">
        <f t="shared" si="337"/>
        <v>0.99573981407708467</v>
      </c>
      <c r="T263" s="11">
        <f t="shared" si="337"/>
        <v>0.99655274120412363</v>
      </c>
      <c r="U263" s="11">
        <f t="shared" si="337"/>
        <v>1.0144432881164569</v>
      </c>
      <c r="V263" s="11">
        <f t="shared" si="337"/>
        <v>1.0096022060658378</v>
      </c>
      <c r="W263" s="11">
        <f t="shared" si="337"/>
        <v>1.0195033864323222</v>
      </c>
      <c r="X263" s="11">
        <f t="shared" si="337"/>
        <v>1.0063146884642251</v>
      </c>
      <c r="Y263" s="11">
        <f t="shared" si="337"/>
        <v>1.0111390909692664</v>
      </c>
      <c r="Z263" s="11">
        <f t="shared" si="337"/>
        <v>1.0167886692236106</v>
      </c>
      <c r="AA263" s="11">
        <f t="shared" si="337"/>
        <v>1.0176745111210186</v>
      </c>
      <c r="AB263" s="11">
        <f t="shared" si="337"/>
        <v>1.0084905211957231</v>
      </c>
      <c r="AC263" s="11">
        <f t="shared" si="337"/>
        <v>0.98916754585831379</v>
      </c>
      <c r="AD263" s="11">
        <f t="shared" si="337"/>
        <v>1.0038672771356285</v>
      </c>
      <c r="AE263" s="11">
        <f t="shared" si="337"/>
        <v>1.0111390909692664</v>
      </c>
      <c r="AF263" s="11">
        <f t="shared" si="337"/>
        <v>1.0140555417967094</v>
      </c>
      <c r="AG263" s="11">
        <f t="shared" si="337"/>
        <v>0.99988143560566745</v>
      </c>
      <c r="AH263" s="11">
        <f t="shared" si="337"/>
        <v>1.0030506637946062</v>
      </c>
      <c r="AI263" s="11">
        <f t="shared" si="337"/>
        <v>1.0121763713702887</v>
      </c>
      <c r="AJ263" s="11">
        <f t="shared" si="337"/>
        <v>1.0148746587311017</v>
      </c>
      <c r="AK263" s="11">
        <f t="shared" si="337"/>
        <v>0.99377988509651993</v>
      </c>
      <c r="AL263" s="11">
        <f t="shared" si="337"/>
        <v>1.0171990477742368</v>
      </c>
      <c r="AM263" s="11">
        <f t="shared" si="337"/>
        <v>1.0035459340692676</v>
      </c>
      <c r="AN263" s="11">
        <f t="shared" si="337"/>
        <v>1.0011361111030408</v>
      </c>
      <c r="AO263" s="11">
        <f t="shared" si="337"/>
        <v>1.0210562256775502</v>
      </c>
      <c r="AP263" s="11">
        <f t="shared" si="337"/>
        <v>1.0076479735148984</v>
      </c>
      <c r="AQ263" s="11">
        <f t="shared" si="337"/>
        <v>1.0076479735148984</v>
      </c>
      <c r="AR263" s="11">
        <f t="shared" si="337"/>
        <v>0.99713819974609208</v>
      </c>
      <c r="AS263" s="11">
        <f t="shared" si="337"/>
        <v>0.99713819974609208</v>
      </c>
      <c r="AT263" s="11">
        <f t="shared" si="337"/>
        <v>0.99713819974609208</v>
      </c>
      <c r="AU263" s="11">
        <f t="shared" si="337"/>
        <v>0.9931411694563923</v>
      </c>
      <c r="AV263" s="11">
        <f t="shared" si="337"/>
        <v>1.0258597873783966</v>
      </c>
      <c r="AW263" s="11">
        <f t="shared" si="337"/>
        <v>0.98486404047907228</v>
      </c>
      <c r="AX263" s="11">
        <f t="shared" si="337"/>
        <v>1.0119712181916951</v>
      </c>
      <c r="AY263" s="11">
        <f t="shared" si="337"/>
        <v>0.98840698439160724</v>
      </c>
      <c r="AZ263" s="11">
        <f t="shared" si="337"/>
        <v>0.98840698439160724</v>
      </c>
      <c r="BA263" s="11">
        <f t="shared" si="337"/>
        <v>0.98376527363209043</v>
      </c>
      <c r="BB263" s="11">
        <f t="shared" si="337"/>
        <v>0.98376527363209043</v>
      </c>
      <c r="BC263" s="11">
        <f t="shared" si="337"/>
        <v>0.98376527363209043</v>
      </c>
      <c r="BD263" s="11">
        <f t="shared" si="337"/>
        <v>0.98376527363209043</v>
      </c>
      <c r="BE263" s="11">
        <f t="shared" si="337"/>
        <v>0.98376527363209043</v>
      </c>
      <c r="BF263" s="11">
        <f t="shared" si="337"/>
        <v>0.98376527363209043</v>
      </c>
      <c r="BG263" s="11">
        <f t="shared" si="337"/>
        <v>1.0111390909692664</v>
      </c>
    </row>
    <row r="264" spans="1:59" x14ac:dyDescent="0.25">
      <c r="B264">
        <v>383</v>
      </c>
      <c r="C264" t="s">
        <v>1130</v>
      </c>
      <c r="D264" s="7" t="s">
        <v>1131</v>
      </c>
      <c r="E264" s="11">
        <f t="shared" ref="E264:AU264" si="338">0.4678 - E249</f>
        <v>0.44935855650188655</v>
      </c>
      <c r="F264" s="11">
        <f t="shared" ref="F264:BG264" si="339">0.4678 - F249</f>
        <v>0.45310162852928493</v>
      </c>
      <c r="G264" s="11">
        <f t="shared" si="339"/>
        <v>0.4726745111210186</v>
      </c>
      <c r="H264" s="11">
        <f t="shared" si="339"/>
        <v>0.45972483811296105</v>
      </c>
      <c r="I264" s="11">
        <f t="shared" si="339"/>
        <v>0.44517441886490544</v>
      </c>
      <c r="J264" s="11">
        <f t="shared" si="339"/>
        <v>0.48364902097305784</v>
      </c>
      <c r="K264" s="11">
        <f t="shared" si="339"/>
        <v>0.43896036588877602</v>
      </c>
      <c r="L264" s="11">
        <f t="shared" si="339"/>
        <v>0.47623819807832718</v>
      </c>
      <c r="M264" s="11">
        <f t="shared" si="339"/>
        <v>0.44319999247020631</v>
      </c>
      <c r="N264" s="11">
        <f t="shared" si="339"/>
        <v>0.44916352099650164</v>
      </c>
      <c r="O264" s="11">
        <f t="shared" si="339"/>
        <v>0.45774684338690352</v>
      </c>
      <c r="P264" s="11">
        <f t="shared" si="339"/>
        <v>0.46972713329004201</v>
      </c>
      <c r="Q264" s="11">
        <f t="shared" si="339"/>
        <v>0.47795896215823214</v>
      </c>
      <c r="R264" s="11">
        <f t="shared" si="339"/>
        <v>0.47383076791930878</v>
      </c>
      <c r="S264" s="11">
        <f t="shared" si="339"/>
        <v>0.45073981407708474</v>
      </c>
      <c r="T264" s="11">
        <f t="shared" si="339"/>
        <v>0.45155274120412375</v>
      </c>
      <c r="U264" s="11">
        <f t="shared" si="339"/>
        <v>0.46944328811645708</v>
      </c>
      <c r="V264" s="11">
        <f t="shared" si="339"/>
        <v>0.46460220606583796</v>
      </c>
      <c r="W264" s="11">
        <f t="shared" si="339"/>
        <v>0.47450338643232226</v>
      </c>
      <c r="X264" s="11">
        <f t="shared" si="339"/>
        <v>0.46131468846422513</v>
      </c>
      <c r="Y264" s="11">
        <f t="shared" si="339"/>
        <v>0.46613909096926648</v>
      </c>
      <c r="Z264" s="11">
        <f t="shared" si="339"/>
        <v>0.47178866922361068</v>
      </c>
      <c r="AA264" s="11">
        <f t="shared" si="339"/>
        <v>0.4726745111210186</v>
      </c>
      <c r="AB264" s="11">
        <f t="shared" si="339"/>
        <v>0.46349052119572326</v>
      </c>
      <c r="AC264" s="11">
        <f t="shared" si="339"/>
        <v>0.44416754585831392</v>
      </c>
      <c r="AD264" s="11">
        <f t="shared" si="339"/>
        <v>0.45886727713562864</v>
      </c>
      <c r="AE264" s="11">
        <f t="shared" si="339"/>
        <v>0.46613909096926648</v>
      </c>
      <c r="AF264" s="11">
        <f t="shared" si="339"/>
        <v>0.4690555417967095</v>
      </c>
      <c r="AG264" s="11">
        <f t="shared" si="339"/>
        <v>0.45488143560566746</v>
      </c>
      <c r="AH264" s="11">
        <f t="shared" si="339"/>
        <v>0.45805066379460624</v>
      </c>
      <c r="AI264" s="11">
        <f t="shared" si="339"/>
        <v>0.46717637137028872</v>
      </c>
      <c r="AJ264" s="11">
        <f t="shared" si="339"/>
        <v>0.46987465873110168</v>
      </c>
      <c r="AK264" s="11">
        <f t="shared" si="339"/>
        <v>0.44877988509652006</v>
      </c>
      <c r="AL264" s="11">
        <f t="shared" si="339"/>
        <v>0.47219904777423682</v>
      </c>
      <c r="AM264" s="11">
        <f t="shared" si="339"/>
        <v>0.45854593406926775</v>
      </c>
      <c r="AN264" s="11">
        <f t="shared" si="339"/>
        <v>0.45613611110304086</v>
      </c>
      <c r="AO264" s="11">
        <f t="shared" si="339"/>
        <v>0.47605622567755018</v>
      </c>
      <c r="AP264" s="11">
        <f t="shared" si="339"/>
        <v>0.46264797351489861</v>
      </c>
      <c r="AQ264" s="11">
        <f t="shared" si="339"/>
        <v>0.46264797351489861</v>
      </c>
      <c r="AR264" s="11">
        <f t="shared" si="339"/>
        <v>0.45213819974609215</v>
      </c>
      <c r="AS264" s="11">
        <f t="shared" si="339"/>
        <v>0.45213819974609215</v>
      </c>
      <c r="AT264" s="11">
        <f t="shared" si="339"/>
        <v>0.45213819974609215</v>
      </c>
      <c r="AU264" s="11">
        <f t="shared" si="339"/>
        <v>0.44814116945639237</v>
      </c>
      <c r="AV264" s="11">
        <f t="shared" si="339"/>
        <v>0.48085978737839674</v>
      </c>
      <c r="AW264" s="11">
        <f t="shared" si="339"/>
        <v>0.4398640404790724</v>
      </c>
      <c r="AX264" s="11">
        <f t="shared" si="339"/>
        <v>0.46697121819169518</v>
      </c>
      <c r="AY264" s="11">
        <f t="shared" si="339"/>
        <v>0.44340698439160731</v>
      </c>
      <c r="AZ264" s="11">
        <f t="shared" si="339"/>
        <v>0.44340698439160731</v>
      </c>
      <c r="BA264" s="11">
        <f t="shared" si="339"/>
        <v>0.4387652736320905</v>
      </c>
      <c r="BB264" s="11">
        <f t="shared" si="339"/>
        <v>0.4387652736320905</v>
      </c>
      <c r="BC264" s="11">
        <f t="shared" si="339"/>
        <v>0.4387652736320905</v>
      </c>
      <c r="BD264" s="11">
        <f t="shared" si="339"/>
        <v>0.4387652736320905</v>
      </c>
      <c r="BE264" s="11">
        <f t="shared" si="339"/>
        <v>0.4387652736320905</v>
      </c>
      <c r="BF264" s="11">
        <f t="shared" si="339"/>
        <v>0.4387652736320905</v>
      </c>
      <c r="BG264" s="11">
        <f t="shared" si="339"/>
        <v>0.46613909096926648</v>
      </c>
    </row>
    <row r="265" spans="1:59" x14ac:dyDescent="0.25">
      <c r="B265">
        <v>383</v>
      </c>
      <c r="C265" t="s">
        <v>1142</v>
      </c>
      <c r="D265" s="7" t="s">
        <v>1132</v>
      </c>
      <c r="E265">
        <f>0.5458 + 0.04* COS(E19*Deg2Rad)</f>
        <v>0.52462363712043458</v>
      </c>
      <c r="F265">
        <f>0.5458 + 0.04* COS(F19*Deg2Rad)</f>
        <v>0.52312189699801337</v>
      </c>
      <c r="G265">
        <f>0.5458 + 0.04* COS(G19*Deg2Rad)</f>
        <v>0.57877581220755803</v>
      </c>
      <c r="H265">
        <f>0.5458 + 0.04* COS(H19*Deg2Rad)</f>
        <v>0.54951599353010006</v>
      </c>
      <c r="I265">
        <f>0.5458 + 0.04* COS(I19*Deg2Rad)</f>
        <v>0.51691186393028687</v>
      </c>
      <c r="J265">
        <f>0.5458 + 0.04* COS(J19*Deg2Rad)</f>
        <v>0.58548877122175036</v>
      </c>
      <c r="K265">
        <f>0.5458 + 0.04* COS(K19*Deg2Rad)</f>
        <v>0.50605189706207065</v>
      </c>
      <c r="L265">
        <f>0.5458 + 0.04* COS(L19*Deg2Rad)</f>
        <v>0.56738091535134116</v>
      </c>
      <c r="M265">
        <f>0.5458 + 0.04* COS(M19*Deg2Rad)</f>
        <v>0.51564160628047362</v>
      </c>
      <c r="N265">
        <f>0.5458 + 0.04* COS(N19*Deg2Rad)</f>
        <v>0.52685786672631219</v>
      </c>
      <c r="O265">
        <f>0.5458 + 0.04* COS(O19*Deg2Rad)</f>
        <v>0.54309021154233583</v>
      </c>
      <c r="P265">
        <f>0.5458 + 0.04* COS(P19*Deg2Rad)</f>
        <v>0.5544986701999437</v>
      </c>
      <c r="Q265">
        <f>0.5458 + 0.04* COS(Q19*Deg2Rad)</f>
        <v>0.58555997322552311</v>
      </c>
      <c r="R265">
        <f>0.5458 + 0.04* COS(R19*Deg2Rad)</f>
        <v>0.57968617052595173</v>
      </c>
      <c r="S265">
        <f>0.5458 + 0.04* COS(S19*Deg2Rad)</f>
        <v>0.51574414871339413</v>
      </c>
      <c r="T265">
        <f>0.5458 + 0.04* COS(T19*Deg2Rad)</f>
        <v>0.51350543622323619</v>
      </c>
      <c r="U265">
        <f>0.5458 + 0.04* COS(U19*Deg2Rad)</f>
        <v>0.5641507130440967</v>
      </c>
      <c r="V265">
        <f>0.5458 + 0.04* COS(V19*Deg2Rad)</f>
        <v>0.54824321995328484</v>
      </c>
      <c r="W265">
        <f>0.5458 + 0.04* COS(W19*Deg2Rad)</f>
        <v>0.56652950019413717</v>
      </c>
      <c r="X265">
        <f>0.5458 + 0.04* COS(X19*Deg2Rad)</f>
        <v>0.53757644128349147</v>
      </c>
      <c r="Y265">
        <f>0.5458 + 0.04* COS(Y19*Deg2Rad)</f>
        <v>0.5583468682215259</v>
      </c>
      <c r="Z265">
        <f>0.5458 + 0.04* COS(Z19*Deg2Rad)</f>
        <v>0.57693514122612466</v>
      </c>
      <c r="AA265">
        <f>0.5458 + 0.04* COS(AA19*Deg2Rad)</f>
        <v>0.57877581220755803</v>
      </c>
      <c r="AB265">
        <f>0.5458 + 0.04* COS(AB19*Deg2Rad)</f>
        <v>0.53853833289068476</v>
      </c>
      <c r="AC265">
        <f>0.5458 + 0.04* COS(AC19*Deg2Rad)</f>
        <v>0.51690392728109302</v>
      </c>
      <c r="AD265">
        <f>0.5458 + 0.04* COS(AD19*Deg2Rad)</f>
        <v>0.53278869333134959</v>
      </c>
      <c r="AE265">
        <f>0.5458 + 0.04* COS(AE19*Deg2Rad)</f>
        <v>0.5583468682215259</v>
      </c>
      <c r="AF265">
        <f>0.5458 + 0.04* COS(AF19*Deg2Rad)</f>
        <v>0.57064561078253251</v>
      </c>
      <c r="AG265">
        <f>0.5458 + 0.04* COS(AG19*Deg2Rad)</f>
        <v>0.53664257394250148</v>
      </c>
      <c r="AH265">
        <f>0.5458 + 0.04* COS(AH19*Deg2Rad)</f>
        <v>0.53856076040347667</v>
      </c>
      <c r="AI265">
        <f>0.5458 + 0.04* COS(AI19*Deg2Rad)</f>
        <v>0.55544500462842095</v>
      </c>
      <c r="AJ265">
        <f>0.5458 + 0.04* COS(AJ19*Deg2Rad)</f>
        <v>0.55446840682022158</v>
      </c>
      <c r="AK265">
        <f>0.5458 + 0.04* COS(AK19*Deg2Rad)</f>
        <v>0.52615594022716028</v>
      </c>
      <c r="AL265">
        <f>0.5458 + 0.04* COS(AL19*Deg2Rad)</f>
        <v>0.56904249696034659</v>
      </c>
      <c r="AM265">
        <f>0.5458 + 0.04* COS(AM19*Deg2Rad)</f>
        <v>0.52994415755825941</v>
      </c>
      <c r="AN265">
        <f>0.5458 + 0.04* COS(AN19*Deg2Rad)</f>
        <v>0.53086522013787596</v>
      </c>
      <c r="AO265">
        <f>0.5458 + 0.04* COS(AO19*Deg2Rad)</f>
        <v>0.58320408456202744</v>
      </c>
      <c r="AP265">
        <f>0.5458 + 0.04* COS(AP19*Deg2Rad)</f>
        <v>0.54647566249881008</v>
      </c>
      <c r="AQ265">
        <f>0.5458 + 0.04* COS(AQ19*Deg2Rad)</f>
        <v>0.54647566249881008</v>
      </c>
      <c r="AR265">
        <f>0.5458 + 0.04* COS(AR19*Deg2Rad)</f>
        <v>0.52899081977831153</v>
      </c>
      <c r="AS265">
        <f>0.5458 + 0.04* COS(AS19*Deg2Rad)</f>
        <v>0.52899081977831153</v>
      </c>
      <c r="AT265">
        <f>0.5458 + 0.04* COS(AT19*Deg2Rad)</f>
        <v>0.52899081977831153</v>
      </c>
      <c r="AU265">
        <f>0.5458 + 0.04* COS(AU19*Deg2Rad)</f>
        <v>0.50580300074960916</v>
      </c>
      <c r="AV265">
        <f>0.5458 + 0.04* COS(AV19*Deg2Rad)</f>
        <v>0.58559652089948333</v>
      </c>
      <c r="AW265">
        <f>0.5458 + 0.04* COS(AW19*Deg2Rad)</f>
        <v>0.50880186129858873</v>
      </c>
      <c r="AX265">
        <f>0.5458 + 0.04* COS(AX19*Deg2Rad)</f>
        <v>0.55058267359367741</v>
      </c>
      <c r="AY265">
        <f>0.5458 + 0.04* COS(AY19*Deg2Rad)</f>
        <v>0.51486142366171972</v>
      </c>
      <c r="AZ265">
        <f>0.5458 + 0.04* COS(AZ19*Deg2Rad)</f>
        <v>0.51486142366171972</v>
      </c>
      <c r="BA265">
        <f>0.5458 + 0.04* COS(BA19*Deg2Rad)</f>
        <v>0.50690798257683078</v>
      </c>
      <c r="BB265">
        <f>0.5458 + 0.04* COS(BB19*Deg2Rad)</f>
        <v>0.50690798257683078</v>
      </c>
      <c r="BC265">
        <f>0.5458 + 0.04* COS(BC19*Deg2Rad)</f>
        <v>0.50690798257683078</v>
      </c>
      <c r="BD265">
        <f>0.5458 + 0.04* COS(BD19*Deg2Rad)</f>
        <v>0.50690798257683078</v>
      </c>
      <c r="BE265">
        <f>0.5458 + 0.04* COS(BE19*Deg2Rad)</f>
        <v>0.50690798257683078</v>
      </c>
      <c r="BF265">
        <f>0.5458 + 0.04* COS(BF19*Deg2Rad)</f>
        <v>0.50690798257683078</v>
      </c>
      <c r="BG265">
        <f>0.5458 + 0.04* COS(BG19*Deg2Rad)</f>
        <v>0.5583468682215259</v>
      </c>
    </row>
    <row r="266" spans="1:59" x14ac:dyDescent="0.25">
      <c r="B266">
        <v>383</v>
      </c>
      <c r="C266" t="s">
        <v>1133</v>
      </c>
      <c r="D266" s="7" t="s">
        <v>724</v>
      </c>
      <c r="E266" s="39">
        <f t="shared" ref="E266:AU266" si="340">1.5573 + E249</f>
        <v>1.5757414434981134</v>
      </c>
      <c r="F266" s="39">
        <f t="shared" ref="F266:BG266" si="341">1.5573 + F249</f>
        <v>1.5719983714707149</v>
      </c>
      <c r="G266" s="39">
        <f t="shared" si="341"/>
        <v>1.5524254888789812</v>
      </c>
      <c r="H266" s="39">
        <f t="shared" si="341"/>
        <v>1.5653751618870388</v>
      </c>
      <c r="I266" s="39">
        <f t="shared" si="341"/>
        <v>1.5799255811350945</v>
      </c>
      <c r="J266" s="39">
        <f t="shared" si="341"/>
        <v>1.5414509790269419</v>
      </c>
      <c r="K266" s="39">
        <f t="shared" si="341"/>
        <v>1.5861396341112239</v>
      </c>
      <c r="L266" s="39">
        <f t="shared" si="341"/>
        <v>1.5488618019216727</v>
      </c>
      <c r="M266" s="39">
        <f t="shared" si="341"/>
        <v>1.5819000075297935</v>
      </c>
      <c r="N266" s="39">
        <f t="shared" si="341"/>
        <v>1.5759364790034982</v>
      </c>
      <c r="O266" s="39">
        <f t="shared" si="341"/>
        <v>1.5673531566130965</v>
      </c>
      <c r="P266" s="39">
        <f t="shared" si="341"/>
        <v>1.555372866709958</v>
      </c>
      <c r="Q266" s="39">
        <f t="shared" si="341"/>
        <v>1.5471410378417678</v>
      </c>
      <c r="R266" s="39">
        <f t="shared" si="341"/>
        <v>1.5512692320806911</v>
      </c>
      <c r="S266" s="39">
        <f t="shared" si="341"/>
        <v>1.574360185922915</v>
      </c>
      <c r="T266" s="39">
        <f t="shared" si="341"/>
        <v>1.5735472587958761</v>
      </c>
      <c r="U266" s="39">
        <f t="shared" si="341"/>
        <v>1.5556567118835429</v>
      </c>
      <c r="V266" s="39">
        <f t="shared" si="341"/>
        <v>1.560497793934162</v>
      </c>
      <c r="W266" s="39">
        <f t="shared" si="341"/>
        <v>1.5505966135676776</v>
      </c>
      <c r="X266" s="39">
        <f t="shared" si="341"/>
        <v>1.5637853115357747</v>
      </c>
      <c r="Y266" s="39">
        <f t="shared" si="341"/>
        <v>1.5589609090307335</v>
      </c>
      <c r="Z266" s="39">
        <f t="shared" si="341"/>
        <v>1.5533113307763893</v>
      </c>
      <c r="AA266" s="39">
        <f t="shared" si="341"/>
        <v>1.5524254888789812</v>
      </c>
      <c r="AB266" s="39">
        <f t="shared" si="341"/>
        <v>1.5616094788042767</v>
      </c>
      <c r="AC266" s="39">
        <f t="shared" si="341"/>
        <v>1.580932454141686</v>
      </c>
      <c r="AD266" s="39">
        <f t="shared" si="341"/>
        <v>1.5662327228643713</v>
      </c>
      <c r="AE266" s="39">
        <f t="shared" si="341"/>
        <v>1.5589609090307335</v>
      </c>
      <c r="AF266" s="39">
        <f t="shared" si="341"/>
        <v>1.5560444582032904</v>
      </c>
      <c r="AG266" s="39">
        <f t="shared" si="341"/>
        <v>1.5702185643943325</v>
      </c>
      <c r="AH266" s="39">
        <f t="shared" si="341"/>
        <v>1.5670493362053937</v>
      </c>
      <c r="AI266" s="39">
        <f t="shared" si="341"/>
        <v>1.5579236286297111</v>
      </c>
      <c r="AJ266" s="39">
        <f t="shared" si="341"/>
        <v>1.5552253412688981</v>
      </c>
      <c r="AK266" s="39">
        <f t="shared" si="341"/>
        <v>1.5763201149034798</v>
      </c>
      <c r="AL266" s="39">
        <f t="shared" si="341"/>
        <v>1.5529009522257631</v>
      </c>
      <c r="AM266" s="39">
        <f t="shared" si="341"/>
        <v>1.5665540659307322</v>
      </c>
      <c r="AN266" s="39">
        <f t="shared" si="341"/>
        <v>1.568963888896959</v>
      </c>
      <c r="AO266" s="39">
        <f t="shared" si="341"/>
        <v>1.5490437743224497</v>
      </c>
      <c r="AP266" s="39">
        <f t="shared" si="341"/>
        <v>1.5624520264851014</v>
      </c>
      <c r="AQ266" s="39">
        <f t="shared" si="341"/>
        <v>1.5624520264851014</v>
      </c>
      <c r="AR266" s="39">
        <f t="shared" si="341"/>
        <v>1.5729618002539076</v>
      </c>
      <c r="AS266" s="39">
        <f t="shared" si="341"/>
        <v>1.5729618002539076</v>
      </c>
      <c r="AT266" s="39">
        <f t="shared" si="341"/>
        <v>1.5729618002539076</v>
      </c>
      <c r="AU266" s="39">
        <f t="shared" si="341"/>
        <v>1.5769588305436075</v>
      </c>
      <c r="AV266" s="39">
        <f t="shared" si="341"/>
        <v>1.5442402126216033</v>
      </c>
      <c r="AW266" s="39">
        <f t="shared" si="341"/>
        <v>1.5852359595209276</v>
      </c>
      <c r="AX266" s="39">
        <f t="shared" si="341"/>
        <v>1.5581287818083047</v>
      </c>
      <c r="AY266" s="39">
        <f t="shared" si="341"/>
        <v>1.5816930156083926</v>
      </c>
      <c r="AZ266" s="39">
        <f t="shared" si="341"/>
        <v>1.5816930156083926</v>
      </c>
      <c r="BA266" s="39">
        <f t="shared" si="341"/>
        <v>1.5863347263679095</v>
      </c>
      <c r="BB266" s="39">
        <f t="shared" si="341"/>
        <v>1.5863347263679095</v>
      </c>
      <c r="BC266" s="39">
        <f t="shared" si="341"/>
        <v>1.5863347263679095</v>
      </c>
      <c r="BD266" s="39">
        <f t="shared" si="341"/>
        <v>1.5863347263679095</v>
      </c>
      <c r="BE266" s="39">
        <f t="shared" si="341"/>
        <v>1.5863347263679095</v>
      </c>
      <c r="BF266" s="39">
        <f t="shared" si="341"/>
        <v>1.5863347263679095</v>
      </c>
      <c r="BG266" s="39">
        <f t="shared" si="341"/>
        <v>1.5589609090307335</v>
      </c>
    </row>
    <row r="267" spans="1:59" x14ac:dyDescent="0.25">
      <c r="C267" s="8" t="s">
        <v>1172</v>
      </c>
    </row>
    <row r="268" spans="1:59" x14ac:dyDescent="0.25">
      <c r="B268">
        <v>383</v>
      </c>
      <c r="C268" t="s">
        <v>1173</v>
      </c>
      <c r="D268" s="7" t="s">
        <v>1174</v>
      </c>
      <c r="E268" s="38">
        <f t="shared" ref="E268:AU268" si="342">(60/E265)*SQRT(ABS(E264^2 - E243^2))</f>
        <v>12.783548079200211</v>
      </c>
      <c r="F268" s="38">
        <f t="shared" ref="F268:BG268" si="343">(60/F265)*SQRT(ABS(F264^2 - F243^2))</f>
        <v>354.08422503249056</v>
      </c>
      <c r="G268" s="38">
        <f t="shared" si="343"/>
        <v>38.193678791304677</v>
      </c>
      <c r="H268" s="38">
        <f t="shared" si="343"/>
        <v>99.584584214807833</v>
      </c>
      <c r="I268" s="38">
        <f t="shared" si="343"/>
        <v>476.88523403778271</v>
      </c>
      <c r="J268" s="38">
        <f t="shared" si="343"/>
        <v>488.63950878866336</v>
      </c>
      <c r="K268" s="38">
        <f t="shared" si="343"/>
        <v>437.54972782250059</v>
      </c>
      <c r="L268" s="38">
        <f t="shared" si="343"/>
        <v>496.74806492584935</v>
      </c>
      <c r="M268" s="38">
        <f t="shared" si="343"/>
        <v>377.49541992607823</v>
      </c>
      <c r="N268" s="38">
        <f t="shared" si="343"/>
        <v>91.529207719306626</v>
      </c>
      <c r="O268" s="38">
        <f t="shared" si="343"/>
        <v>435.20027994781532</v>
      </c>
      <c r="P268" s="38">
        <f t="shared" si="343"/>
        <v>534.19638526973949</v>
      </c>
      <c r="Q268" s="38">
        <f t="shared" si="343"/>
        <v>73.953210592928883</v>
      </c>
      <c r="R268" s="38">
        <f t="shared" si="343"/>
        <v>177.03579637622082</v>
      </c>
      <c r="S268" s="38">
        <f t="shared" si="343"/>
        <v>602.97506547134208</v>
      </c>
      <c r="T268" s="38">
        <f t="shared" si="343"/>
        <v>196.65696869280779</v>
      </c>
      <c r="U268" s="38">
        <f t="shared" si="343"/>
        <v>409.13400615535073</v>
      </c>
      <c r="V268" s="38">
        <f t="shared" si="343"/>
        <v>558.08040018378745</v>
      </c>
      <c r="W268" s="38">
        <f t="shared" si="343"/>
        <v>359.46769018296925</v>
      </c>
      <c r="X268" s="38">
        <f t="shared" si="343"/>
        <v>347.1211190557292</v>
      </c>
      <c r="Y268" s="38">
        <f t="shared" si="343"/>
        <v>358.93948018168658</v>
      </c>
      <c r="Z268" s="38">
        <f t="shared" si="343"/>
        <v>438.65728429146196</v>
      </c>
      <c r="AA268" s="38">
        <f t="shared" si="343"/>
        <v>38.193678791304677</v>
      </c>
      <c r="AB268" s="38">
        <f t="shared" si="343"/>
        <v>71.581249666455051</v>
      </c>
      <c r="AC268" s="38">
        <f t="shared" si="343"/>
        <v>631.17270822381386</v>
      </c>
      <c r="AD268" s="38">
        <f t="shared" si="343"/>
        <v>464.62035949882295</v>
      </c>
      <c r="AE268" s="38">
        <f t="shared" si="343"/>
        <v>358.93948018168658</v>
      </c>
      <c r="AF268" s="38">
        <f t="shared" si="343"/>
        <v>243.61560249122238</v>
      </c>
      <c r="AG268" s="38">
        <f t="shared" si="343"/>
        <v>335.65928193508609</v>
      </c>
      <c r="AH268" s="38">
        <f t="shared" si="343"/>
        <v>565.87430658136941</v>
      </c>
      <c r="AI268" s="38">
        <f t="shared" si="343"/>
        <v>507.20488523975541</v>
      </c>
      <c r="AJ268" s="38">
        <f t="shared" si="343"/>
        <v>47.669887625421623</v>
      </c>
      <c r="AK268" s="38">
        <f t="shared" si="343"/>
        <v>597.32502104202456</v>
      </c>
      <c r="AL268" s="38">
        <f t="shared" si="343"/>
        <v>485.69501260614038</v>
      </c>
      <c r="AM268" s="38">
        <f t="shared" si="343"/>
        <v>51.891100749066908</v>
      </c>
      <c r="AN268" s="38">
        <f t="shared" si="343"/>
        <v>602.89176615305587</v>
      </c>
      <c r="AO268" s="38">
        <f t="shared" si="343"/>
        <v>319.94808195528799</v>
      </c>
      <c r="AP268" s="38">
        <f t="shared" si="343"/>
        <v>265.65321615791737</v>
      </c>
      <c r="AQ268" s="38">
        <f t="shared" si="343"/>
        <v>265.65321615791737</v>
      </c>
      <c r="AR268" s="38">
        <f t="shared" si="343"/>
        <v>42.235448404528007</v>
      </c>
      <c r="AS268" s="38">
        <f t="shared" si="343"/>
        <v>42.235448404528007</v>
      </c>
      <c r="AT268" s="38">
        <f t="shared" si="343"/>
        <v>42.235448404528007</v>
      </c>
      <c r="AU268" s="38">
        <f t="shared" si="343"/>
        <v>147.90113296983867</v>
      </c>
      <c r="AV268" s="38">
        <f t="shared" si="343"/>
        <v>30.312712724607287</v>
      </c>
      <c r="AW268" s="38">
        <f t="shared" si="343"/>
        <v>42.628766625737498</v>
      </c>
      <c r="AX268" s="38">
        <f t="shared" si="343"/>
        <v>38.56518994959854</v>
      </c>
      <c r="AY268" s="38">
        <f t="shared" si="343"/>
        <v>356.03445855214272</v>
      </c>
      <c r="AZ268" s="38">
        <f t="shared" si="343"/>
        <v>356.03445855214272</v>
      </c>
      <c r="BA268" s="38">
        <f t="shared" si="343"/>
        <v>598.07866775857872</v>
      </c>
      <c r="BB268" s="38">
        <f t="shared" si="343"/>
        <v>598.07866775857872</v>
      </c>
      <c r="BC268" s="38">
        <f t="shared" si="343"/>
        <v>598.07866775857872</v>
      </c>
      <c r="BD268" s="38">
        <f t="shared" si="343"/>
        <v>598.07866775857872</v>
      </c>
      <c r="BE268" s="38">
        <f t="shared" si="343"/>
        <v>598.07866775857872</v>
      </c>
      <c r="BF268" s="38">
        <f t="shared" si="343"/>
        <v>598.07866775857872</v>
      </c>
      <c r="BG268" s="38">
        <f t="shared" si="343"/>
        <v>358.93948018168658</v>
      </c>
    </row>
    <row r="269" spans="1:59" x14ac:dyDescent="0.25">
      <c r="B269">
        <v>383</v>
      </c>
      <c r="C269" t="s">
        <v>1176</v>
      </c>
      <c r="D269" s="7" t="s">
        <v>1177</v>
      </c>
      <c r="E269" s="38">
        <f t="shared" ref="E269:AU269" si="344">(60/E265)*SQRT(ABS(E263^2 - E243^2))</f>
        <v>102.25007761225949</v>
      </c>
      <c r="F269" s="38">
        <f t="shared" ref="F269:BG269" si="345">(60/F265)*SQRT(ABS(F263^2 - F243^2))</f>
        <v>339.07393412009935</v>
      </c>
      <c r="G269" s="38">
        <f t="shared" si="345"/>
        <v>100.93459407183535</v>
      </c>
      <c r="H269" s="38">
        <f t="shared" si="345"/>
        <v>20.049988069445785</v>
      </c>
      <c r="I269" s="38">
        <f t="shared" si="345"/>
        <v>465.70370682762046</v>
      </c>
      <c r="J269" s="38">
        <f t="shared" si="345"/>
        <v>479.70087368689599</v>
      </c>
      <c r="K269" s="38">
        <f t="shared" si="345"/>
        <v>424.90961458553653</v>
      </c>
      <c r="L269" s="38">
        <f t="shared" si="345"/>
        <v>487.4751572963275</v>
      </c>
      <c r="M269" s="38">
        <f t="shared" si="345"/>
        <v>363.23595042966701</v>
      </c>
      <c r="N269" s="38">
        <f t="shared" si="345"/>
        <v>42.710705090777871</v>
      </c>
      <c r="O269" s="38">
        <f t="shared" si="345"/>
        <v>423.89151531925802</v>
      </c>
      <c r="P269" s="38">
        <f t="shared" si="345"/>
        <v>525.25543673103107</v>
      </c>
      <c r="Q269" s="38">
        <f t="shared" si="345"/>
        <v>55.851059288909653</v>
      </c>
      <c r="R269" s="38">
        <f t="shared" si="345"/>
        <v>150.42117949798956</v>
      </c>
      <c r="S269" s="38">
        <f t="shared" si="345"/>
        <v>594.061834360072</v>
      </c>
      <c r="T269" s="38">
        <f t="shared" si="345"/>
        <v>167.03043440072986</v>
      </c>
      <c r="U269" s="38">
        <f t="shared" si="345"/>
        <v>397.79767141014196</v>
      </c>
      <c r="V269" s="38">
        <f t="shared" si="345"/>
        <v>549.39124497213186</v>
      </c>
      <c r="W269" s="38">
        <f t="shared" si="345"/>
        <v>346.53162391499842</v>
      </c>
      <c r="X269" s="38">
        <f t="shared" si="345"/>
        <v>332.45908500246043</v>
      </c>
      <c r="Y269" s="38">
        <f t="shared" si="345"/>
        <v>345.74604874058684</v>
      </c>
      <c r="Z269" s="38">
        <f t="shared" si="345"/>
        <v>428.53918540485773</v>
      </c>
      <c r="AA269" s="38">
        <f t="shared" si="345"/>
        <v>100.93459407183535</v>
      </c>
      <c r="AB269" s="38">
        <f t="shared" si="345"/>
        <v>69.527186394187055</v>
      </c>
      <c r="AC269" s="38">
        <f t="shared" si="345"/>
        <v>622.77914800896667</v>
      </c>
      <c r="AD269" s="38">
        <f t="shared" si="345"/>
        <v>453.60996466072277</v>
      </c>
      <c r="AE269" s="38">
        <f t="shared" si="345"/>
        <v>345.74604874058684</v>
      </c>
      <c r="AF269" s="38">
        <f t="shared" si="345"/>
        <v>224.52757633645712</v>
      </c>
      <c r="AG269" s="38">
        <f t="shared" si="345"/>
        <v>320.55588274894001</v>
      </c>
      <c r="AH269" s="38">
        <f t="shared" si="345"/>
        <v>557.07293062695885</v>
      </c>
      <c r="AI269" s="38">
        <f t="shared" si="345"/>
        <v>497.84433708544913</v>
      </c>
      <c r="AJ269" s="38">
        <f t="shared" si="345"/>
        <v>108.38745054156659</v>
      </c>
      <c r="AK269" s="38">
        <f t="shared" si="345"/>
        <v>588.70500288522965</v>
      </c>
      <c r="AL269" s="38">
        <f t="shared" si="345"/>
        <v>476.31418466618732</v>
      </c>
      <c r="AM269" s="38">
        <f t="shared" si="345"/>
        <v>113.60941920584844</v>
      </c>
      <c r="AN269" s="38">
        <f t="shared" si="345"/>
        <v>594.41823298628958</v>
      </c>
      <c r="AO269" s="38">
        <f t="shared" si="345"/>
        <v>306.154832647989</v>
      </c>
      <c r="AP269" s="38">
        <f t="shared" si="345"/>
        <v>246.8034951143373</v>
      </c>
      <c r="AQ269" s="38">
        <f t="shared" si="345"/>
        <v>246.8034951143373</v>
      </c>
      <c r="AR269" s="38">
        <f t="shared" si="345"/>
        <v>109.29429344105317</v>
      </c>
      <c r="AS269" s="38">
        <f t="shared" si="345"/>
        <v>109.29429344105317</v>
      </c>
      <c r="AT269" s="38">
        <f t="shared" si="345"/>
        <v>109.29429344105317</v>
      </c>
      <c r="AU269" s="38">
        <f t="shared" si="345"/>
        <v>104.02699392697522</v>
      </c>
      <c r="AV269" s="38">
        <f t="shared" si="345"/>
        <v>97.669853507410167</v>
      </c>
      <c r="AW269" s="38">
        <f t="shared" si="345"/>
        <v>112.31638397344196</v>
      </c>
      <c r="AX269" s="38">
        <f t="shared" si="345"/>
        <v>105.16334458139426</v>
      </c>
      <c r="AY269" s="38">
        <f t="shared" si="345"/>
        <v>340.82693539943722</v>
      </c>
      <c r="AZ269" s="38">
        <f t="shared" si="345"/>
        <v>340.82693539943722</v>
      </c>
      <c r="BA269" s="38">
        <f t="shared" si="345"/>
        <v>588.92807649200097</v>
      </c>
      <c r="BB269" s="38">
        <f t="shared" si="345"/>
        <v>588.92807649200097</v>
      </c>
      <c r="BC269" s="38">
        <f t="shared" si="345"/>
        <v>588.92807649200097</v>
      </c>
      <c r="BD269" s="38">
        <f t="shared" si="345"/>
        <v>588.92807649200097</v>
      </c>
      <c r="BE269" s="38">
        <f t="shared" si="345"/>
        <v>588.92807649200097</v>
      </c>
      <c r="BF269" s="38">
        <f t="shared" si="345"/>
        <v>588.92807649200097</v>
      </c>
      <c r="BG269" s="38">
        <f t="shared" si="345"/>
        <v>345.74604874058684</v>
      </c>
    </row>
    <row r="270" spans="1:59" x14ac:dyDescent="0.25">
      <c r="B270">
        <v>383</v>
      </c>
      <c r="C270" t="s">
        <v>1179</v>
      </c>
      <c r="D270" s="7" t="s">
        <v>1180</v>
      </c>
      <c r="E270" s="91">
        <f t="shared" ref="E270:AU270" si="346">(60/E265)*SQRT(ABS(E266^2 - E243^2))</f>
        <v>173.20314832415846</v>
      </c>
      <c r="F270" s="91">
        <f t="shared" ref="F270:BG270" si="347">(60/F265)*SQRT(ABS(F266^2 - F243^2))</f>
        <v>309.14012118994373</v>
      </c>
      <c r="G270" s="91">
        <f t="shared" si="347"/>
        <v>157.98066282352715</v>
      </c>
      <c r="H270" s="91">
        <f t="shared" si="347"/>
        <v>129.52392065846178</v>
      </c>
      <c r="I270" s="91">
        <f t="shared" si="347"/>
        <v>443.23629155358788</v>
      </c>
      <c r="J270" s="91">
        <f t="shared" si="347"/>
        <v>465.05054036490793</v>
      </c>
      <c r="K270" s="91">
        <f t="shared" si="347"/>
        <v>398.4867900278573</v>
      </c>
      <c r="L270" s="91">
        <f t="shared" si="347"/>
        <v>471.66466590673576</v>
      </c>
      <c r="M270" s="91">
        <f t="shared" si="347"/>
        <v>333.58757704637111</v>
      </c>
      <c r="N270" s="91">
        <f t="shared" si="347"/>
        <v>145.6572984669456</v>
      </c>
      <c r="O270" s="91">
        <f t="shared" si="347"/>
        <v>402.45814595195117</v>
      </c>
      <c r="P270" s="91">
        <f t="shared" si="347"/>
        <v>509.53326240641297</v>
      </c>
      <c r="Q270" s="91">
        <f t="shared" si="347"/>
        <v>131.39247183940483</v>
      </c>
      <c r="R270" s="91">
        <f t="shared" si="347"/>
        <v>89.255030817125828</v>
      </c>
      <c r="S270" s="91">
        <f t="shared" si="347"/>
        <v>576.87306142178602</v>
      </c>
      <c r="T270" s="91">
        <f t="shared" si="347"/>
        <v>87.483738216979802</v>
      </c>
      <c r="U270" s="91">
        <f t="shared" si="347"/>
        <v>377.50402614339674</v>
      </c>
      <c r="V270" s="91">
        <f t="shared" si="347"/>
        <v>533.73468578211578</v>
      </c>
      <c r="W270" s="91">
        <f t="shared" si="347"/>
        <v>323.68821316131397</v>
      </c>
      <c r="X270" s="91">
        <f t="shared" si="347"/>
        <v>304.43531077674675</v>
      </c>
      <c r="Y270" s="91">
        <f t="shared" si="347"/>
        <v>321.37471946919965</v>
      </c>
      <c r="Z270" s="91">
        <f t="shared" si="347"/>
        <v>410.77012070176022</v>
      </c>
      <c r="AA270" s="91">
        <f t="shared" si="347"/>
        <v>157.98066282352715</v>
      </c>
      <c r="AB270" s="91">
        <f t="shared" si="347"/>
        <v>149.93227216340404</v>
      </c>
      <c r="AC270" s="91">
        <f t="shared" si="347"/>
        <v>606.10393069367854</v>
      </c>
      <c r="AD270" s="91">
        <f t="shared" si="347"/>
        <v>432.93423924879829</v>
      </c>
      <c r="AE270" s="91">
        <f t="shared" si="347"/>
        <v>321.37471946919965</v>
      </c>
      <c r="AF270" s="91">
        <f t="shared" si="347"/>
        <v>187.11764725844392</v>
      </c>
      <c r="AG270" s="91">
        <f t="shared" si="347"/>
        <v>290.57243927138069</v>
      </c>
      <c r="AH270" s="91">
        <f t="shared" si="347"/>
        <v>540.6838320324706</v>
      </c>
      <c r="AI270" s="91">
        <f t="shared" si="347"/>
        <v>481.12602572286227</v>
      </c>
      <c r="AJ270" s="91">
        <f t="shared" si="347"/>
        <v>167.36147740081051</v>
      </c>
      <c r="AK270" s="91">
        <f t="shared" si="347"/>
        <v>571.93034403355477</v>
      </c>
      <c r="AL270" s="91">
        <f t="shared" si="347"/>
        <v>459.96558074407221</v>
      </c>
      <c r="AM270" s="91">
        <f t="shared" si="347"/>
        <v>177.35704761322549</v>
      </c>
      <c r="AN270" s="91">
        <f t="shared" si="347"/>
        <v>578.52457833820699</v>
      </c>
      <c r="AO270" s="91">
        <f t="shared" si="347"/>
        <v>281.72347190955418</v>
      </c>
      <c r="AP270" s="91">
        <f t="shared" si="347"/>
        <v>209.10038196682447</v>
      </c>
      <c r="AQ270" s="91">
        <f t="shared" si="347"/>
        <v>209.10038196682447</v>
      </c>
      <c r="AR270" s="91">
        <f t="shared" si="347"/>
        <v>176.02361145530955</v>
      </c>
      <c r="AS270" s="91">
        <f t="shared" si="347"/>
        <v>176.02361145530955</v>
      </c>
      <c r="AT270" s="91">
        <f t="shared" si="347"/>
        <v>176.02361145530955</v>
      </c>
      <c r="AU270" s="91">
        <f t="shared" si="347"/>
        <v>101.45053480839488</v>
      </c>
      <c r="AV270" s="91">
        <f t="shared" si="347"/>
        <v>153.38103591272852</v>
      </c>
      <c r="AW270" s="91">
        <f t="shared" si="347"/>
        <v>184.5868134993932</v>
      </c>
      <c r="AX270" s="91">
        <f t="shared" si="347"/>
        <v>166.5200808072066</v>
      </c>
      <c r="AY270" s="91">
        <f t="shared" si="347"/>
        <v>308.95809686597858</v>
      </c>
      <c r="AZ270" s="91">
        <f t="shared" si="347"/>
        <v>308.95809686597858</v>
      </c>
      <c r="BA270" s="91">
        <f t="shared" si="347"/>
        <v>570.20978170240051</v>
      </c>
      <c r="BB270" s="91">
        <f t="shared" si="347"/>
        <v>570.20978170240051</v>
      </c>
      <c r="BC270" s="91">
        <f t="shared" si="347"/>
        <v>570.20978170240051</v>
      </c>
      <c r="BD270" s="91">
        <f t="shared" si="347"/>
        <v>570.20978170240051</v>
      </c>
      <c r="BE270" s="91">
        <f t="shared" si="347"/>
        <v>570.20978170240051</v>
      </c>
      <c r="BF270" s="91">
        <f t="shared" si="347"/>
        <v>570.20978170240051</v>
      </c>
      <c r="BG270" s="91">
        <f t="shared" si="347"/>
        <v>321.37471946919965</v>
      </c>
    </row>
    <row r="271" spans="1:59" x14ac:dyDescent="0.25">
      <c r="C271" s="71" t="s">
        <v>1181</v>
      </c>
      <c r="D271" s="7" t="s">
        <v>1185</v>
      </c>
      <c r="E271" s="22">
        <f t="shared" ref="E271:AU271" si="348">E222-(E270/60/24)</f>
        <v>21131.481955730302</v>
      </c>
      <c r="F271" s="22" t="e">
        <f t="shared" ref="F271" si="349">F222-(F270/60/24)</f>
        <v>#VALUE!</v>
      </c>
      <c r="G271" s="22">
        <f t="shared" ref="G271" si="350">G222-(G270/60/24)</f>
        <v>36546.087494041603</v>
      </c>
      <c r="H271" s="22">
        <f t="shared" ref="H271" si="351">H222-(H270/60/24)</f>
        <v>36191.589231167651</v>
      </c>
      <c r="I271" s="22">
        <f t="shared" ref="I271" si="352">I222-(I270/60/24)</f>
        <v>31821.587966591174</v>
      </c>
      <c r="J271" s="22">
        <f t="shared" ref="J271" si="353">J222-(J270/60/24)</f>
        <v>31968.831463627244</v>
      </c>
      <c r="K271" s="22">
        <f t="shared" ref="K271" si="354">K222-(K270/60/24)</f>
        <v>32175.615563498679</v>
      </c>
      <c r="L271" s="22">
        <f t="shared" ref="L271" si="355">L222-(L270/60/24)</f>
        <v>32323.508582552193</v>
      </c>
      <c r="M271" s="22">
        <f t="shared" ref="M271" si="356">M222-(M270/60/24)</f>
        <v>15.543388873803384</v>
      </c>
      <c r="N271" s="22" t="e">
        <f t="shared" ref="N271" si="357">N222-(N270/60/24)</f>
        <v>#VALUE!</v>
      </c>
      <c r="O271" s="22" t="e">
        <f t="shared" ref="O271" si="358">O222-(O270/60/24)</f>
        <v>#VALUE!</v>
      </c>
      <c r="P271" s="22" t="e">
        <f t="shared" ref="P271" si="359">P222-(P270/60/24)</f>
        <v>#VALUE!</v>
      </c>
      <c r="Q271" s="22" t="e">
        <f t="shared" ref="Q271" si="360">Q222-(Q270/60/24)</f>
        <v>#VALUE!</v>
      </c>
      <c r="R271" s="22" t="e">
        <f t="shared" ref="R271" si="361">R222-(R270/60/24)</f>
        <v>#VALUE!</v>
      </c>
      <c r="S271" s="22" t="e">
        <f t="shared" ref="S271" si="362">S222-(S270/60/24)</f>
        <v>#VALUE!</v>
      </c>
      <c r="T271" s="22" t="e">
        <f t="shared" ref="T271" si="363">T222-(T270/60/24)</f>
        <v>#VALUE!</v>
      </c>
      <c r="U271" s="22" t="e">
        <f t="shared" ref="U271" si="364">U222-(U270/60/24)</f>
        <v>#VALUE!</v>
      </c>
      <c r="V271" s="22" t="e">
        <f t="shared" ref="V271" si="365">V222-(V270/60/24)</f>
        <v>#VALUE!</v>
      </c>
      <c r="W271" s="22">
        <f t="shared" ref="W271" si="366">W222-(W270/60/24)</f>
        <v>31910.291472345794</v>
      </c>
      <c r="X271" s="22">
        <f t="shared" ref="X271" si="367">X222-(X270/60/24)</f>
        <v>33740.47652734234</v>
      </c>
      <c r="Y271" s="22">
        <f t="shared" ref="Y271" si="368">Y222-(Y270/60/24)</f>
        <v>28189.513986557857</v>
      </c>
      <c r="Z271" s="22">
        <f t="shared" ref="Z271" si="369">Z222-(Z270/60/24)</f>
        <v>52610.51538832175</v>
      </c>
      <c r="AA271" s="22">
        <f t="shared" ref="AA271" si="370">AA222-(AA270/60/24)</f>
        <v>36546.087494041603</v>
      </c>
      <c r="AB271" s="22">
        <f t="shared" ref="AB271" si="371">AB222-(AB270/60/24)</f>
        <v>19920.910383766393</v>
      </c>
      <c r="AC271" s="22">
        <f t="shared" ref="AC271" si="372">AC222-(AC270/60/24)</f>
        <v>28838.100519316478</v>
      </c>
      <c r="AD271" s="22">
        <f t="shared" ref="AD271" si="373">AD222-(AD270/60/24)</f>
        <v>32264.665663866817</v>
      </c>
      <c r="AE271" s="22">
        <f t="shared" ref="AE271" si="374">AE222-(AE270/60/24)</f>
        <v>28189.513986557857</v>
      </c>
      <c r="AF271" s="22">
        <f t="shared" ref="AF271" si="375">AF222-(AF270/60/24)</f>
        <v>33977.380650426756</v>
      </c>
      <c r="AG271" s="22">
        <f t="shared" ref="AG271" si="376">AG222-(AG270/60/24)</f>
        <v>33918.207513189365</v>
      </c>
      <c r="AH271" s="22">
        <f t="shared" ref="AH271" si="377">AH222-(AH270/60/24)</f>
        <v>33326.916902270059</v>
      </c>
      <c r="AI271" s="22">
        <f t="shared" ref="AI271" si="378">AI222-(AI270/60/24)</f>
        <v>33710.875346743996</v>
      </c>
      <c r="AJ271" s="22">
        <f t="shared" ref="AJ271" si="379">AJ222-(AJ270/60/24)</f>
        <v>34124.425862736527</v>
      </c>
      <c r="AK271" s="22" t="e">
        <f t="shared" ref="AK271" si="380">AK222-(AK270/60/24)</f>
        <v>#VALUE!</v>
      </c>
      <c r="AL271" s="22">
        <f t="shared" ref="AL271" si="381">AL222-(AL270/60/24)</f>
        <v>33150.169254155284</v>
      </c>
      <c r="AM271" s="22" t="e">
        <f t="shared" ref="AM271" si="382">AM222-(AM270/60/24)</f>
        <v>#VALUE!</v>
      </c>
      <c r="AN271" s="22">
        <f t="shared" ref="AN271" si="383">AN222-(AN270/60/24)</f>
        <v>36634.3341078999</v>
      </c>
      <c r="AO271" s="22" t="e">
        <f t="shared" ref="AO271" si="384">AO222-(AO270/60/24)</f>
        <v>#VALUE!</v>
      </c>
      <c r="AP271" s="22">
        <f t="shared" ref="AP271" si="385">AP222-(AP270/60/24)</f>
        <v>44843.742521092288</v>
      </c>
      <c r="AQ271" s="22">
        <f t="shared" ref="AQ271" si="386">AQ222-(AQ270/60/24)</f>
        <v>44843.742521092288</v>
      </c>
      <c r="AR271" s="22">
        <f t="shared" ref="AR271" si="387">AR222-(AR270/60/24)</f>
        <v>44873.335298860169</v>
      </c>
      <c r="AS271" s="22">
        <f t="shared" ref="AS271" si="388">AS222-(AS270/60/24)</f>
        <v>44873.335298860169</v>
      </c>
      <c r="AT271" s="22">
        <f t="shared" ref="AT271" si="389">AT222-(AT270/60/24)</f>
        <v>44873.335298860169</v>
      </c>
      <c r="AU271" s="22">
        <f t="shared" ref="AU271" si="390">AU222-(AU270/60/24)</f>
        <v>26830.79770268119</v>
      </c>
      <c r="AV271" s="22">
        <f t="shared" ref="AV271" si="391">AV222-(AV270/60/24)</f>
        <v>35689.676261372617</v>
      </c>
      <c r="AW271" s="22">
        <f t="shared" ref="AW271" si="392">AW222-(AW270/60/24)</f>
        <v>12803.529666417244</v>
      </c>
      <c r="AX271" s="22">
        <f t="shared" ref="AX271" si="393">AX222-(AX270/60/24)</f>
        <v>20953.822550545694</v>
      </c>
      <c r="AY271" s="22">
        <f t="shared" ref="AY271" si="394">AY222-(AY270/60/24)</f>
        <v>44902.937028994325</v>
      </c>
      <c r="AZ271" s="22">
        <f t="shared" ref="AZ271" si="395">AZ222-(AZ270/60/24)</f>
        <v>44902.937028994325</v>
      </c>
      <c r="BA271" s="22">
        <f t="shared" ref="BA271" si="396">BA222-(BA270/60/24)</f>
        <v>44932.551114704082</v>
      </c>
      <c r="BB271" s="22">
        <f t="shared" ref="BB271" si="397">BB222-(BB270/60/24)</f>
        <v>44932.551114704082</v>
      </c>
      <c r="BC271" s="22">
        <f t="shared" ref="BC271" si="398">BC222-(BC270/60/24)</f>
        <v>44932.551114704082</v>
      </c>
      <c r="BD271" s="22">
        <f t="shared" ref="BD271" si="399">BD222-(BD270/60/24)</f>
        <v>44932.551114704082</v>
      </c>
      <c r="BE271" s="22">
        <f t="shared" ref="BE271" si="400">BE222-(BE270/60/24)</f>
        <v>44932.551114704082</v>
      </c>
      <c r="BF271" s="22">
        <f t="shared" ref="BF271" si="401">BF222-(BF270/60/24)</f>
        <v>44932.551114704082</v>
      </c>
      <c r="BG271" s="22">
        <f t="shared" ref="BG271" si="402">BG222-(BG270/60/24)</f>
        <v>28189.513986557857</v>
      </c>
    </row>
    <row r="272" spans="1:59" x14ac:dyDescent="0.25">
      <c r="C272" s="71" t="s">
        <v>1178</v>
      </c>
      <c r="D272" s="7" t="s">
        <v>1186</v>
      </c>
      <c r="E272" s="22">
        <f t="shared" ref="E272:AU272" si="403">E222-(E269/60/24)</f>
        <v>21131.531228696073</v>
      </c>
      <c r="F272" s="22" t="e">
        <f t="shared" ref="F272:BG272" si="404">F222-(F269/60/24)</f>
        <v>#VALUE!</v>
      </c>
      <c r="G272" s="22">
        <f t="shared" si="404"/>
        <v>36546.127109367124</v>
      </c>
      <c r="H272" s="22">
        <f t="shared" si="404"/>
        <v>36191.665254731946</v>
      </c>
      <c r="I272" s="22">
        <f t="shared" si="404"/>
        <v>31821.572364219457</v>
      </c>
      <c r="J272" s="22">
        <f t="shared" si="404"/>
        <v>31968.821289784657</v>
      </c>
      <c r="K272" s="22">
        <f t="shared" si="404"/>
        <v>32175.597214314956</v>
      </c>
      <c r="L272" s="22">
        <f t="shared" si="404"/>
        <v>32323.497603044281</v>
      </c>
      <c r="M272" s="22">
        <f t="shared" si="404"/>
        <v>15.522799725620539</v>
      </c>
      <c r="N272" s="22" t="e">
        <f t="shared" si="404"/>
        <v>#VALUE!</v>
      </c>
      <c r="O272" s="22" t="e">
        <f t="shared" si="404"/>
        <v>#VALUE!</v>
      </c>
      <c r="P272" s="22" t="e">
        <f t="shared" si="404"/>
        <v>#VALUE!</v>
      </c>
      <c r="Q272" s="22" t="e">
        <f t="shared" si="404"/>
        <v>#VALUE!</v>
      </c>
      <c r="R272" s="22" t="e">
        <f t="shared" si="404"/>
        <v>#VALUE!</v>
      </c>
      <c r="S272" s="22" t="e">
        <f t="shared" si="404"/>
        <v>#VALUE!</v>
      </c>
      <c r="T272" s="22" t="e">
        <f t="shared" si="404"/>
        <v>#VALUE!</v>
      </c>
      <c r="U272" s="22" t="e">
        <f t="shared" si="404"/>
        <v>#VALUE!</v>
      </c>
      <c r="V272" s="22" t="e">
        <f t="shared" si="404"/>
        <v>#VALUE!</v>
      </c>
      <c r="W272" s="22">
        <f t="shared" si="404"/>
        <v>31910.275608866104</v>
      </c>
      <c r="X272" s="22">
        <f t="shared" si="404"/>
        <v>33740.457066388015</v>
      </c>
      <c r="Y272" s="22">
        <f t="shared" si="404"/>
        <v>28189.497062023642</v>
      </c>
      <c r="Z272" s="22">
        <f t="shared" si="404"/>
        <v>52610.503048693485</v>
      </c>
      <c r="AA272" s="22">
        <f t="shared" si="404"/>
        <v>36546.127109367124</v>
      </c>
      <c r="AB272" s="22">
        <f t="shared" si="404"/>
        <v>19920.966220631512</v>
      </c>
      <c r="AC272" s="22">
        <f t="shared" si="404"/>
        <v>28838.088939304456</v>
      </c>
      <c r="AD272" s="22">
        <f t="shared" si="404"/>
        <v>32264.651305724168</v>
      </c>
      <c r="AE272" s="22">
        <f t="shared" si="404"/>
        <v>28189.497062023642</v>
      </c>
      <c r="AF272" s="22">
        <f t="shared" si="404"/>
        <v>33977.354671309346</v>
      </c>
      <c r="AG272" s="22">
        <f t="shared" si="404"/>
        <v>33918.186691353614</v>
      </c>
      <c r="AH272" s="22">
        <f t="shared" si="404"/>
        <v>33326.905520951586</v>
      </c>
      <c r="AI272" s="22">
        <f t="shared" si="404"/>
        <v>33710.86373680555</v>
      </c>
      <c r="AJ272" s="22">
        <f t="shared" si="404"/>
        <v>34124.466816921842</v>
      </c>
      <c r="AK272" s="22" t="e">
        <f t="shared" si="404"/>
        <v>#VALUE!</v>
      </c>
      <c r="AL272" s="22">
        <f t="shared" si="404"/>
        <v>33150.157900958118</v>
      </c>
      <c r="AM272" s="22" t="e">
        <f t="shared" si="404"/>
        <v>#VALUE!</v>
      </c>
      <c r="AN272" s="22">
        <f t="shared" si="404"/>
        <v>36634.32307063973</v>
      </c>
      <c r="AO272" s="22" t="e">
        <f t="shared" si="404"/>
        <v>#VALUE!</v>
      </c>
      <c r="AP272" s="22">
        <f t="shared" si="404"/>
        <v>44843.716338374827</v>
      </c>
      <c r="AQ272" s="22">
        <f t="shared" si="404"/>
        <v>44843.716338374827</v>
      </c>
      <c r="AR272" s="22">
        <f t="shared" si="404"/>
        <v>44873.381638664345</v>
      </c>
      <c r="AS272" s="22">
        <f t="shared" si="404"/>
        <v>44873.381638664345</v>
      </c>
      <c r="AT272" s="22">
        <f t="shared" si="404"/>
        <v>44873.381638664345</v>
      </c>
      <c r="AU272" s="22">
        <f t="shared" si="404"/>
        <v>26830.795913473466</v>
      </c>
      <c r="AV272" s="22">
        <f t="shared" si="404"/>
        <v>35689.714949693727</v>
      </c>
      <c r="AW272" s="22">
        <f t="shared" si="404"/>
        <v>12803.579854215526</v>
      </c>
      <c r="AX272" s="22">
        <f t="shared" si="404"/>
        <v>20953.865159390294</v>
      </c>
      <c r="AY272" s="22">
        <f t="shared" si="404"/>
        <v>44902.914897856455</v>
      </c>
      <c r="AZ272" s="22">
        <f t="shared" si="404"/>
        <v>44902.914897856455</v>
      </c>
      <c r="BA272" s="22">
        <f t="shared" si="404"/>
        <v>44932.538115888252</v>
      </c>
      <c r="BB272" s="22">
        <f t="shared" si="404"/>
        <v>44932.538115888252</v>
      </c>
      <c r="BC272" s="22">
        <f t="shared" si="404"/>
        <v>44932.538115888252</v>
      </c>
      <c r="BD272" s="22">
        <f t="shared" si="404"/>
        <v>44932.538115888252</v>
      </c>
      <c r="BE272" s="22">
        <f t="shared" si="404"/>
        <v>44932.538115888252</v>
      </c>
      <c r="BF272" s="22">
        <f t="shared" si="404"/>
        <v>44932.538115888252</v>
      </c>
      <c r="BG272" s="22">
        <f t="shared" si="404"/>
        <v>28189.497062023642</v>
      </c>
    </row>
    <row r="273" spans="3:59" x14ac:dyDescent="0.25">
      <c r="C273" s="71" t="s">
        <v>1175</v>
      </c>
      <c r="D273" s="7" t="s">
        <v>1188</v>
      </c>
      <c r="E273" s="22">
        <f t="shared" ref="E273:AU273" si="405">E222-(E268/60/24)</f>
        <v>21131.593358230471</v>
      </c>
      <c r="F273" s="22" t="e">
        <f t="shared" ref="F273:BG273" si="406">F222-(F268/60/24)</f>
        <v>#VALUE!</v>
      </c>
      <c r="G273" s="22">
        <f t="shared" si="406"/>
        <v>36546.170679447183</v>
      </c>
      <c r="H273" s="22">
        <f t="shared" si="406"/>
        <v>36191.610022373512</v>
      </c>
      <c r="I273" s="22">
        <f t="shared" si="406"/>
        <v>31821.564599270005</v>
      </c>
      <c r="J273" s="22">
        <f t="shared" si="406"/>
        <v>31968.815082399171</v>
      </c>
      <c r="K273" s="22">
        <f t="shared" si="406"/>
        <v>32175.588436458544</v>
      </c>
      <c r="L273" s="22">
        <f t="shared" si="406"/>
        <v>32323.491163525094</v>
      </c>
      <c r="M273" s="22">
        <f t="shared" si="406"/>
        <v>15.512897316248031</v>
      </c>
      <c r="N273" s="22" t="e">
        <f t="shared" si="406"/>
        <v>#VALUE!</v>
      </c>
      <c r="O273" s="22" t="e">
        <f t="shared" si="406"/>
        <v>#VALUE!</v>
      </c>
      <c r="P273" s="22" t="e">
        <f t="shared" si="406"/>
        <v>#VALUE!</v>
      </c>
      <c r="Q273" s="22" t="e">
        <f t="shared" si="406"/>
        <v>#VALUE!</v>
      </c>
      <c r="R273" s="22" t="e">
        <f t="shared" si="406"/>
        <v>#VALUE!</v>
      </c>
      <c r="S273" s="22" t="e">
        <f t="shared" si="406"/>
        <v>#VALUE!</v>
      </c>
      <c r="T273" s="22" t="e">
        <f t="shared" si="406"/>
        <v>#VALUE!</v>
      </c>
      <c r="U273" s="22" t="e">
        <f t="shared" si="406"/>
        <v>#VALUE!</v>
      </c>
      <c r="V273" s="22" t="e">
        <f t="shared" si="406"/>
        <v>#VALUE!</v>
      </c>
      <c r="W273" s="22">
        <f t="shared" si="406"/>
        <v>31910.266625486751</v>
      </c>
      <c r="X273" s="22">
        <f t="shared" si="406"/>
        <v>33740.446884419922</v>
      </c>
      <c r="Y273" s="22">
        <f t="shared" si="406"/>
        <v>28189.487899918473</v>
      </c>
      <c r="Z273" s="22">
        <f t="shared" si="406"/>
        <v>52610.496022235922</v>
      </c>
      <c r="AA273" s="22">
        <f t="shared" si="406"/>
        <v>36546.170679447183</v>
      </c>
      <c r="AB273" s="22">
        <f t="shared" si="406"/>
        <v>19920.964794198684</v>
      </c>
      <c r="AC273" s="22">
        <f t="shared" si="406"/>
        <v>28838.083110443196</v>
      </c>
      <c r="AD273" s="22">
        <f t="shared" si="406"/>
        <v>32264.643659616642</v>
      </c>
      <c r="AE273" s="22">
        <f t="shared" si="406"/>
        <v>28189.487899918473</v>
      </c>
      <c r="AF273" s="22">
        <f t="shared" si="406"/>
        <v>33977.341415735624</v>
      </c>
      <c r="AG273" s="22">
        <f t="shared" si="406"/>
        <v>33918.176202881958</v>
      </c>
      <c r="AH273" s="22">
        <f t="shared" si="406"/>
        <v>33326.89940888495</v>
      </c>
      <c r="AI273" s="22">
        <f t="shared" si="406"/>
        <v>33710.85723642489</v>
      </c>
      <c r="AJ273" s="22">
        <f t="shared" si="406"/>
        <v>34124.508981896091</v>
      </c>
      <c r="AK273" s="22" t="e">
        <f t="shared" si="406"/>
        <v>#VALUE!</v>
      </c>
      <c r="AL273" s="22">
        <f t="shared" si="406"/>
        <v>33150.151386494268</v>
      </c>
      <c r="AM273" s="22" t="e">
        <f t="shared" si="406"/>
        <v>#VALUE!</v>
      </c>
      <c r="AN273" s="22">
        <f t="shared" si="406"/>
        <v>36634.317186241693</v>
      </c>
      <c r="AO273" s="22" t="e">
        <f t="shared" si="406"/>
        <v>#VALUE!</v>
      </c>
      <c r="AP273" s="22">
        <f t="shared" si="406"/>
        <v>44843.703248290767</v>
      </c>
      <c r="AQ273" s="22">
        <f t="shared" si="406"/>
        <v>44843.703248290767</v>
      </c>
      <c r="AR273" s="22">
        <f t="shared" si="406"/>
        <v>44873.42820730673</v>
      </c>
      <c r="AS273" s="22">
        <f t="shared" si="406"/>
        <v>44873.42820730673</v>
      </c>
      <c r="AT273" s="22">
        <f t="shared" si="406"/>
        <v>44873.42820730673</v>
      </c>
      <c r="AU273" s="22">
        <f t="shared" si="406"/>
        <v>26830.765445321354</v>
      </c>
      <c r="AV273" s="22">
        <f t="shared" si="406"/>
        <v>35689.761725485936</v>
      </c>
      <c r="AW273" s="22">
        <f t="shared" si="406"/>
        <v>12803.62824839424</v>
      </c>
      <c r="AX273" s="22">
        <f t="shared" si="406"/>
        <v>20953.91140810879</v>
      </c>
      <c r="AY273" s="22">
        <f t="shared" si="406"/>
        <v>44902.904337076485</v>
      </c>
      <c r="AZ273" s="22">
        <f t="shared" si="406"/>
        <v>44902.904337076485</v>
      </c>
      <c r="BA273" s="22">
        <f t="shared" si="406"/>
        <v>44932.531761310987</v>
      </c>
      <c r="BB273" s="22">
        <f t="shared" si="406"/>
        <v>44932.531761310987</v>
      </c>
      <c r="BC273" s="22">
        <f t="shared" si="406"/>
        <v>44932.531761310987</v>
      </c>
      <c r="BD273" s="22">
        <f t="shared" si="406"/>
        <v>44932.531761310987</v>
      </c>
      <c r="BE273" s="22">
        <f t="shared" si="406"/>
        <v>44932.531761310987</v>
      </c>
      <c r="BF273" s="22">
        <f t="shared" si="406"/>
        <v>44932.531761310987</v>
      </c>
      <c r="BG273" s="22">
        <f t="shared" si="406"/>
        <v>28189.487899918473</v>
      </c>
    </row>
    <row r="274" spans="3:59" x14ac:dyDescent="0.25">
      <c r="C274" s="71" t="s">
        <v>1192</v>
      </c>
      <c r="D274" s="7" t="s">
        <v>1187</v>
      </c>
      <c r="E274" s="22">
        <f t="shared" ref="E274:AU274" si="407">E222</f>
        <v>21131.602235694416</v>
      </c>
      <c r="F274" s="22" t="str">
        <f t="shared" ref="F274:BG274" si="408">F222</f>
        <v>333-3-18.2457386758178</v>
      </c>
      <c r="G274" s="22">
        <f t="shared" si="408"/>
        <v>36546.197202835232</v>
      </c>
      <c r="H274" s="22">
        <f t="shared" si="408"/>
        <v>36191.679178334773</v>
      </c>
      <c r="I274" s="22">
        <f t="shared" si="408"/>
        <v>31821.89576957142</v>
      </c>
      <c r="J274" s="22">
        <f t="shared" si="408"/>
        <v>31969.154415391386</v>
      </c>
      <c r="K274" s="22">
        <f t="shared" si="408"/>
        <v>32175.892290436197</v>
      </c>
      <c r="L274" s="22">
        <f t="shared" si="408"/>
        <v>32323.836127459072</v>
      </c>
      <c r="M274" s="22">
        <f t="shared" si="408"/>
        <v>15.775046913418919</v>
      </c>
      <c r="N274" s="22" t="str">
        <f t="shared" si="408"/>
        <v>1600-1-30.266514418181</v>
      </c>
      <c r="O274" s="22" t="str">
        <f t="shared" si="408"/>
        <v>1601-2-17.1616947399452</v>
      </c>
      <c r="P274" s="22" t="str">
        <f t="shared" si="408"/>
        <v>837-4-24.4786146585829</v>
      </c>
      <c r="Q274" s="22" t="str">
        <f t="shared" si="408"/>
        <v>-122-2-7.21746401907876</v>
      </c>
      <c r="R274" s="22" t="str">
        <f t="shared" si="408"/>
        <v>-122-1-8.8033329101745</v>
      </c>
      <c r="S274" s="22" t="str">
        <f t="shared" si="408"/>
        <v>-1000-7-21.0907294512726</v>
      </c>
      <c r="T274" s="22" t="str">
        <f t="shared" si="408"/>
        <v>-1000-4-23.1998750537168</v>
      </c>
      <c r="U274" s="22" t="str">
        <f t="shared" si="408"/>
        <v>-1001-8-31.3026659195311</v>
      </c>
      <c r="V274" s="22" t="str">
        <f t="shared" si="408"/>
        <v>-4712-1-25.5792048682162</v>
      </c>
      <c r="W274" s="22">
        <f t="shared" si="408"/>
        <v>31910.516255827155</v>
      </c>
      <c r="X274" s="22">
        <f t="shared" si="408"/>
        <v>33740.687940752599</v>
      </c>
      <c r="Y274" s="22">
        <f t="shared" si="408"/>
        <v>28189.737163446378</v>
      </c>
      <c r="Z274" s="22">
        <f t="shared" si="408"/>
        <v>52610.800645350013</v>
      </c>
      <c r="AA274" s="22">
        <f t="shared" si="408"/>
        <v>36546.197202835232</v>
      </c>
      <c r="AB274" s="22">
        <f t="shared" si="408"/>
        <v>19921.014503399841</v>
      </c>
      <c r="AC274" s="22">
        <f t="shared" si="408"/>
        <v>28838.521424823906</v>
      </c>
      <c r="AD274" s="22">
        <f t="shared" si="408"/>
        <v>32264.966312644072</v>
      </c>
      <c r="AE274" s="22">
        <f t="shared" si="408"/>
        <v>28189.737163446378</v>
      </c>
      <c r="AF274" s="22">
        <f t="shared" si="408"/>
        <v>33977.510593237355</v>
      </c>
      <c r="AG274" s="22">
        <f t="shared" si="408"/>
        <v>33918.409299605526</v>
      </c>
      <c r="AH274" s="22">
        <f t="shared" si="408"/>
        <v>33327.292377153412</v>
      </c>
      <c r="AI274" s="22">
        <f t="shared" si="408"/>
        <v>33711.209462039638</v>
      </c>
      <c r="AJ274" s="22">
        <f t="shared" si="408"/>
        <v>34124.542085984722</v>
      </c>
      <c r="AK274" s="22" t="str">
        <f t="shared" si="408"/>
        <v>1818-1-22.4339720685966</v>
      </c>
      <c r="AL274" s="22">
        <f t="shared" si="408"/>
        <v>33150.488674697466</v>
      </c>
      <c r="AM274" s="22" t="str">
        <f t="shared" si="408"/>
        <v>622-7-28.1855187304317</v>
      </c>
      <c r="AN274" s="22">
        <f t="shared" si="408"/>
        <v>36634.735861079302</v>
      </c>
      <c r="AO274" s="22" t="str">
        <f t="shared" si="408"/>
        <v>1-1-28.0560126551426</v>
      </c>
      <c r="AP274" s="22">
        <f t="shared" si="408"/>
        <v>44843.887729690876</v>
      </c>
      <c r="AQ274" s="22">
        <f t="shared" si="408"/>
        <v>44843.887729690876</v>
      </c>
      <c r="AR274" s="22">
        <f t="shared" si="408"/>
        <v>44873.457537479233</v>
      </c>
      <c r="AS274" s="22">
        <f t="shared" si="408"/>
        <v>44873.457537479233</v>
      </c>
      <c r="AT274" s="22">
        <f t="shared" si="408"/>
        <v>44873.457537479233</v>
      </c>
      <c r="AU274" s="22">
        <f t="shared" si="408"/>
        <v>26830.868154441472</v>
      </c>
      <c r="AV274" s="22">
        <f t="shared" si="408"/>
        <v>35689.782775980886</v>
      </c>
      <c r="AW274" s="22">
        <f t="shared" si="408"/>
        <v>12803.657851704396</v>
      </c>
      <c r="AX274" s="22">
        <f t="shared" si="408"/>
        <v>20953.938189490698</v>
      </c>
      <c r="AY274" s="22">
        <f t="shared" si="408"/>
        <v>44903.15158322826</v>
      </c>
      <c r="AZ274" s="22">
        <f t="shared" si="408"/>
        <v>44903.15158322826</v>
      </c>
      <c r="BA274" s="22">
        <f t="shared" si="408"/>
        <v>44932.947093719151</v>
      </c>
      <c r="BB274" s="22">
        <f t="shared" si="408"/>
        <v>44932.947093719151</v>
      </c>
      <c r="BC274" s="22">
        <f t="shared" si="408"/>
        <v>44932.947093719151</v>
      </c>
      <c r="BD274" s="22">
        <f t="shared" si="408"/>
        <v>44932.947093719151</v>
      </c>
      <c r="BE274" s="22">
        <f t="shared" si="408"/>
        <v>44932.947093719151</v>
      </c>
      <c r="BF274" s="22">
        <f t="shared" si="408"/>
        <v>44932.947093719151</v>
      </c>
      <c r="BG274" s="22">
        <f t="shared" si="408"/>
        <v>28189.737163446378</v>
      </c>
    </row>
    <row r="275" spans="3:59" x14ac:dyDescent="0.25">
      <c r="C275" s="71" t="s">
        <v>1182</v>
      </c>
      <c r="D275" s="7" t="s">
        <v>1189</v>
      </c>
      <c r="E275" s="22">
        <f t="shared" ref="E275:AU275" si="409">E222+(E268/60/24)</f>
        <v>21131.61111315836</v>
      </c>
      <c r="F275" s="22" t="e">
        <f t="shared" ref="F275:BG275" si="410">F222+(F268/60/24)</f>
        <v>#VALUE!</v>
      </c>
      <c r="G275" s="22">
        <f t="shared" si="410"/>
        <v>36546.223726223281</v>
      </c>
      <c r="H275" s="22">
        <f t="shared" si="410"/>
        <v>36191.748334296033</v>
      </c>
      <c r="I275" s="22">
        <f t="shared" si="410"/>
        <v>31822.226939872835</v>
      </c>
      <c r="J275" s="22">
        <f t="shared" si="410"/>
        <v>31969.4937483836</v>
      </c>
      <c r="K275" s="22">
        <f t="shared" si="410"/>
        <v>32176.196144413851</v>
      </c>
      <c r="L275" s="22">
        <f t="shared" si="410"/>
        <v>32324.181091393049</v>
      </c>
      <c r="M275" s="22">
        <f t="shared" si="410"/>
        <v>16.037196510589805</v>
      </c>
      <c r="N275" s="22" t="e">
        <f t="shared" si="410"/>
        <v>#VALUE!</v>
      </c>
      <c r="O275" s="22" t="e">
        <f t="shared" si="410"/>
        <v>#VALUE!</v>
      </c>
      <c r="P275" s="22" t="e">
        <f t="shared" si="410"/>
        <v>#VALUE!</v>
      </c>
      <c r="Q275" s="22" t="e">
        <f t="shared" si="410"/>
        <v>#VALUE!</v>
      </c>
      <c r="R275" s="22" t="e">
        <f t="shared" si="410"/>
        <v>#VALUE!</v>
      </c>
      <c r="S275" s="22" t="e">
        <f t="shared" si="410"/>
        <v>#VALUE!</v>
      </c>
      <c r="T275" s="22" t="e">
        <f t="shared" si="410"/>
        <v>#VALUE!</v>
      </c>
      <c r="U275" s="22" t="e">
        <f t="shared" si="410"/>
        <v>#VALUE!</v>
      </c>
      <c r="V275" s="22" t="e">
        <f t="shared" si="410"/>
        <v>#VALUE!</v>
      </c>
      <c r="W275" s="22">
        <f t="shared" si="410"/>
        <v>31910.765886167559</v>
      </c>
      <c r="X275" s="22">
        <f t="shared" si="410"/>
        <v>33740.928997085277</v>
      </c>
      <c r="Y275" s="22">
        <f t="shared" si="410"/>
        <v>28189.986426974283</v>
      </c>
      <c r="Z275" s="22">
        <f t="shared" si="410"/>
        <v>52611.105268464104</v>
      </c>
      <c r="AA275" s="22">
        <f t="shared" si="410"/>
        <v>36546.223726223281</v>
      </c>
      <c r="AB275" s="22">
        <f t="shared" si="410"/>
        <v>19921.064212600999</v>
      </c>
      <c r="AC275" s="22">
        <f t="shared" si="410"/>
        <v>28838.959739204616</v>
      </c>
      <c r="AD275" s="22">
        <f t="shared" si="410"/>
        <v>32265.288965671502</v>
      </c>
      <c r="AE275" s="22">
        <f t="shared" si="410"/>
        <v>28189.986426974283</v>
      </c>
      <c r="AF275" s="22">
        <f t="shared" si="410"/>
        <v>33977.679770739087</v>
      </c>
      <c r="AG275" s="22">
        <f t="shared" si="410"/>
        <v>33918.642396329094</v>
      </c>
      <c r="AH275" s="22">
        <f t="shared" si="410"/>
        <v>33327.685345421873</v>
      </c>
      <c r="AI275" s="22">
        <f t="shared" si="410"/>
        <v>33711.561687654386</v>
      </c>
      <c r="AJ275" s="22">
        <f t="shared" si="410"/>
        <v>34124.575190073352</v>
      </c>
      <c r="AK275" s="22" t="e">
        <f t="shared" si="410"/>
        <v>#VALUE!</v>
      </c>
      <c r="AL275" s="22">
        <f t="shared" si="410"/>
        <v>33150.825962900664</v>
      </c>
      <c r="AM275" s="22" t="e">
        <f t="shared" si="410"/>
        <v>#VALUE!</v>
      </c>
      <c r="AN275" s="22">
        <f t="shared" si="410"/>
        <v>36635.15453591691</v>
      </c>
      <c r="AO275" s="22" t="e">
        <f t="shared" si="410"/>
        <v>#VALUE!</v>
      </c>
      <c r="AP275" s="22">
        <f t="shared" si="410"/>
        <v>44844.072211090985</v>
      </c>
      <c r="AQ275" s="22">
        <f t="shared" si="410"/>
        <v>44844.072211090985</v>
      </c>
      <c r="AR275" s="22">
        <f t="shared" si="410"/>
        <v>44873.486867651736</v>
      </c>
      <c r="AS275" s="22">
        <f t="shared" si="410"/>
        <v>44873.486867651736</v>
      </c>
      <c r="AT275" s="22">
        <f t="shared" si="410"/>
        <v>44873.486867651736</v>
      </c>
      <c r="AU275" s="22">
        <f t="shared" si="410"/>
        <v>26830.97086356159</v>
      </c>
      <c r="AV275" s="22">
        <f t="shared" si="410"/>
        <v>35689.803826475836</v>
      </c>
      <c r="AW275" s="22">
        <f t="shared" si="410"/>
        <v>12803.687455014553</v>
      </c>
      <c r="AX275" s="22">
        <f t="shared" si="410"/>
        <v>20953.964970872607</v>
      </c>
      <c r="AY275" s="22">
        <f t="shared" si="410"/>
        <v>44903.398829380036</v>
      </c>
      <c r="AZ275" s="22">
        <f t="shared" si="410"/>
        <v>44903.398829380036</v>
      </c>
      <c r="BA275" s="22">
        <f t="shared" si="410"/>
        <v>44933.362426127314</v>
      </c>
      <c r="BB275" s="22">
        <f t="shared" si="410"/>
        <v>44933.362426127314</v>
      </c>
      <c r="BC275" s="22">
        <f t="shared" si="410"/>
        <v>44933.362426127314</v>
      </c>
      <c r="BD275" s="22">
        <f t="shared" si="410"/>
        <v>44933.362426127314</v>
      </c>
      <c r="BE275" s="22">
        <f t="shared" si="410"/>
        <v>44933.362426127314</v>
      </c>
      <c r="BF275" s="22">
        <f t="shared" si="410"/>
        <v>44933.362426127314</v>
      </c>
      <c r="BG275" s="22">
        <f t="shared" si="410"/>
        <v>28189.986426974283</v>
      </c>
    </row>
    <row r="276" spans="3:59" x14ac:dyDescent="0.25">
      <c r="C276" s="71" t="s">
        <v>1184</v>
      </c>
      <c r="D276" s="7" t="s">
        <v>1190</v>
      </c>
      <c r="E276" s="22">
        <f t="shared" ref="E276:AU276" si="411">E222+(E269/60/24)</f>
        <v>21131.673242692759</v>
      </c>
      <c r="F276" s="22" t="e">
        <f t="shared" ref="F276:BG276" si="412">F222+(F269/60/24)</f>
        <v>#VALUE!</v>
      </c>
      <c r="G276" s="22">
        <f t="shared" si="412"/>
        <v>36546.26729630334</v>
      </c>
      <c r="H276" s="22">
        <f t="shared" si="412"/>
        <v>36191.693101937599</v>
      </c>
      <c r="I276" s="22">
        <f t="shared" si="412"/>
        <v>31822.219174923383</v>
      </c>
      <c r="J276" s="22">
        <f t="shared" si="412"/>
        <v>31969.487540998114</v>
      </c>
      <c r="K276" s="22">
        <f t="shared" si="412"/>
        <v>32176.187366557439</v>
      </c>
      <c r="L276" s="22">
        <f t="shared" si="412"/>
        <v>32324.174651873862</v>
      </c>
      <c r="M276" s="22">
        <f t="shared" si="412"/>
        <v>16.027294101217297</v>
      </c>
      <c r="N276" s="22" t="e">
        <f t="shared" si="412"/>
        <v>#VALUE!</v>
      </c>
      <c r="O276" s="22" t="e">
        <f t="shared" si="412"/>
        <v>#VALUE!</v>
      </c>
      <c r="P276" s="22" t="e">
        <f t="shared" si="412"/>
        <v>#VALUE!</v>
      </c>
      <c r="Q276" s="22" t="e">
        <f t="shared" si="412"/>
        <v>#VALUE!</v>
      </c>
      <c r="R276" s="22" t="e">
        <f t="shared" si="412"/>
        <v>#VALUE!</v>
      </c>
      <c r="S276" s="22" t="e">
        <f t="shared" si="412"/>
        <v>#VALUE!</v>
      </c>
      <c r="T276" s="22" t="e">
        <f t="shared" si="412"/>
        <v>#VALUE!</v>
      </c>
      <c r="U276" s="22" t="e">
        <f t="shared" si="412"/>
        <v>#VALUE!</v>
      </c>
      <c r="V276" s="22" t="e">
        <f t="shared" si="412"/>
        <v>#VALUE!</v>
      </c>
      <c r="W276" s="22">
        <f t="shared" si="412"/>
        <v>31910.756902788205</v>
      </c>
      <c r="X276" s="22">
        <f t="shared" si="412"/>
        <v>33740.918815117184</v>
      </c>
      <c r="Y276" s="22">
        <f t="shared" si="412"/>
        <v>28189.977264869114</v>
      </c>
      <c r="Z276" s="22">
        <f t="shared" si="412"/>
        <v>52611.098242006541</v>
      </c>
      <c r="AA276" s="22">
        <f t="shared" si="412"/>
        <v>36546.26729630334</v>
      </c>
      <c r="AB276" s="22">
        <f t="shared" si="412"/>
        <v>19921.062786168171</v>
      </c>
      <c r="AC276" s="22">
        <f t="shared" si="412"/>
        <v>28838.953910343356</v>
      </c>
      <c r="AD276" s="22">
        <f t="shared" si="412"/>
        <v>32265.281319563976</v>
      </c>
      <c r="AE276" s="22">
        <f t="shared" si="412"/>
        <v>28189.977264869114</v>
      </c>
      <c r="AF276" s="22">
        <f t="shared" si="412"/>
        <v>33977.666515165365</v>
      </c>
      <c r="AG276" s="22">
        <f t="shared" si="412"/>
        <v>33918.631907857438</v>
      </c>
      <c r="AH276" s="22">
        <f t="shared" si="412"/>
        <v>33327.679233355237</v>
      </c>
      <c r="AI276" s="22">
        <f t="shared" si="412"/>
        <v>33711.555187273727</v>
      </c>
      <c r="AJ276" s="22">
        <f t="shared" si="412"/>
        <v>34124.617355047601</v>
      </c>
      <c r="AK276" s="22" t="e">
        <f t="shared" si="412"/>
        <v>#VALUE!</v>
      </c>
      <c r="AL276" s="22">
        <f t="shared" si="412"/>
        <v>33150.819448436814</v>
      </c>
      <c r="AM276" s="22" t="e">
        <f t="shared" si="412"/>
        <v>#VALUE!</v>
      </c>
      <c r="AN276" s="22">
        <f t="shared" si="412"/>
        <v>36635.148651518874</v>
      </c>
      <c r="AO276" s="22" t="e">
        <f t="shared" si="412"/>
        <v>#VALUE!</v>
      </c>
      <c r="AP276" s="22">
        <f t="shared" si="412"/>
        <v>44844.059121006925</v>
      </c>
      <c r="AQ276" s="22">
        <f t="shared" si="412"/>
        <v>44844.059121006925</v>
      </c>
      <c r="AR276" s="22">
        <f t="shared" si="412"/>
        <v>44873.533436294121</v>
      </c>
      <c r="AS276" s="22">
        <f t="shared" si="412"/>
        <v>44873.533436294121</v>
      </c>
      <c r="AT276" s="22">
        <f t="shared" si="412"/>
        <v>44873.533436294121</v>
      </c>
      <c r="AU276" s="22">
        <f t="shared" si="412"/>
        <v>26830.940395409478</v>
      </c>
      <c r="AV276" s="22">
        <f t="shared" si="412"/>
        <v>35689.850602268045</v>
      </c>
      <c r="AW276" s="22">
        <f t="shared" si="412"/>
        <v>12803.735849193266</v>
      </c>
      <c r="AX276" s="22">
        <f t="shared" si="412"/>
        <v>20954.011219591102</v>
      </c>
      <c r="AY276" s="22">
        <f t="shared" si="412"/>
        <v>44903.388268600065</v>
      </c>
      <c r="AZ276" s="22">
        <f t="shared" si="412"/>
        <v>44903.388268600065</v>
      </c>
      <c r="BA276" s="22">
        <f t="shared" si="412"/>
        <v>44933.35607155005</v>
      </c>
      <c r="BB276" s="22">
        <f t="shared" si="412"/>
        <v>44933.35607155005</v>
      </c>
      <c r="BC276" s="22">
        <f t="shared" si="412"/>
        <v>44933.35607155005</v>
      </c>
      <c r="BD276" s="22">
        <f t="shared" si="412"/>
        <v>44933.35607155005</v>
      </c>
      <c r="BE276" s="22">
        <f t="shared" si="412"/>
        <v>44933.35607155005</v>
      </c>
      <c r="BF276" s="22">
        <f t="shared" si="412"/>
        <v>44933.35607155005</v>
      </c>
      <c r="BG276" s="22">
        <f t="shared" si="412"/>
        <v>28189.977264869114</v>
      </c>
    </row>
    <row r="277" spans="3:59" x14ac:dyDescent="0.25">
      <c r="C277" s="71" t="s">
        <v>1183</v>
      </c>
      <c r="D277" s="7" t="s">
        <v>1191</v>
      </c>
      <c r="E277" s="22">
        <f t="shared" ref="E277:AU277" si="413">E222+(E270/60/24)</f>
        <v>21131.72251565853</v>
      </c>
      <c r="F277" s="22" t="e">
        <f t="shared" ref="F277:BG277" si="414">F222+(F270/60/24)</f>
        <v>#VALUE!</v>
      </c>
      <c r="G277" s="22">
        <f t="shared" si="414"/>
        <v>36546.306911628861</v>
      </c>
      <c r="H277" s="22">
        <f t="shared" si="414"/>
        <v>36191.769125501894</v>
      </c>
      <c r="I277" s="22">
        <f t="shared" si="414"/>
        <v>31822.203572551665</v>
      </c>
      <c r="J277" s="22">
        <f t="shared" si="414"/>
        <v>31969.477367155527</v>
      </c>
      <c r="K277" s="22">
        <f t="shared" si="414"/>
        <v>32176.169017373715</v>
      </c>
      <c r="L277" s="22">
        <f t="shared" si="414"/>
        <v>32324.16367236595</v>
      </c>
      <c r="M277" s="22">
        <f t="shared" si="414"/>
        <v>16.006704953034454</v>
      </c>
      <c r="N277" s="22" t="e">
        <f t="shared" si="414"/>
        <v>#VALUE!</v>
      </c>
      <c r="O277" s="22" t="e">
        <f t="shared" si="414"/>
        <v>#VALUE!</v>
      </c>
      <c r="P277" s="22" t="e">
        <f t="shared" si="414"/>
        <v>#VALUE!</v>
      </c>
      <c r="Q277" s="22" t="e">
        <f t="shared" si="414"/>
        <v>#VALUE!</v>
      </c>
      <c r="R277" s="22" t="e">
        <f t="shared" si="414"/>
        <v>#VALUE!</v>
      </c>
      <c r="S277" s="22" t="e">
        <f t="shared" si="414"/>
        <v>#VALUE!</v>
      </c>
      <c r="T277" s="22" t="e">
        <f t="shared" si="414"/>
        <v>#VALUE!</v>
      </c>
      <c r="U277" s="22" t="e">
        <f t="shared" si="414"/>
        <v>#VALUE!</v>
      </c>
      <c r="V277" s="22" t="e">
        <f t="shared" si="414"/>
        <v>#VALUE!</v>
      </c>
      <c r="W277" s="22">
        <f t="shared" si="414"/>
        <v>31910.741039308516</v>
      </c>
      <c r="X277" s="22">
        <f t="shared" si="414"/>
        <v>33740.899354162859</v>
      </c>
      <c r="Y277" s="22">
        <f t="shared" si="414"/>
        <v>28189.960340334899</v>
      </c>
      <c r="Z277" s="22">
        <f t="shared" si="414"/>
        <v>52611.085902378276</v>
      </c>
      <c r="AA277" s="22">
        <f t="shared" si="414"/>
        <v>36546.306911628861</v>
      </c>
      <c r="AB277" s="22">
        <f t="shared" si="414"/>
        <v>19921.11862303329</v>
      </c>
      <c r="AC277" s="22">
        <f t="shared" si="414"/>
        <v>28838.942330331334</v>
      </c>
      <c r="AD277" s="22">
        <f t="shared" si="414"/>
        <v>32265.266961421326</v>
      </c>
      <c r="AE277" s="22">
        <f t="shared" si="414"/>
        <v>28189.960340334899</v>
      </c>
      <c r="AF277" s="22">
        <f t="shared" si="414"/>
        <v>33977.640536047955</v>
      </c>
      <c r="AG277" s="22">
        <f t="shared" si="414"/>
        <v>33918.611086021687</v>
      </c>
      <c r="AH277" s="22">
        <f t="shared" si="414"/>
        <v>33327.667852036764</v>
      </c>
      <c r="AI277" s="22">
        <f t="shared" si="414"/>
        <v>33711.54357733528</v>
      </c>
      <c r="AJ277" s="22">
        <f t="shared" si="414"/>
        <v>34124.658309232917</v>
      </c>
      <c r="AK277" s="22" t="e">
        <f t="shared" si="414"/>
        <v>#VALUE!</v>
      </c>
      <c r="AL277" s="22">
        <f t="shared" si="414"/>
        <v>33150.808095239649</v>
      </c>
      <c r="AM277" s="22" t="e">
        <f t="shared" si="414"/>
        <v>#VALUE!</v>
      </c>
      <c r="AN277" s="22">
        <f t="shared" si="414"/>
        <v>36635.137614258703</v>
      </c>
      <c r="AO277" s="22" t="e">
        <f t="shared" si="414"/>
        <v>#VALUE!</v>
      </c>
      <c r="AP277" s="22">
        <f t="shared" si="414"/>
        <v>44844.032938289463</v>
      </c>
      <c r="AQ277" s="22">
        <f t="shared" si="414"/>
        <v>44844.032938289463</v>
      </c>
      <c r="AR277" s="22">
        <f t="shared" si="414"/>
        <v>44873.579776098297</v>
      </c>
      <c r="AS277" s="22">
        <f t="shared" si="414"/>
        <v>44873.579776098297</v>
      </c>
      <c r="AT277" s="22">
        <f t="shared" si="414"/>
        <v>44873.579776098297</v>
      </c>
      <c r="AU277" s="22">
        <f t="shared" si="414"/>
        <v>26830.938606201755</v>
      </c>
      <c r="AV277" s="22">
        <f t="shared" si="414"/>
        <v>35689.889290589155</v>
      </c>
      <c r="AW277" s="22">
        <f t="shared" si="414"/>
        <v>12803.786036991549</v>
      </c>
      <c r="AX277" s="22">
        <f t="shared" si="414"/>
        <v>20954.053828435703</v>
      </c>
      <c r="AY277" s="22">
        <f t="shared" si="414"/>
        <v>44903.366137462195</v>
      </c>
      <c r="AZ277" s="22">
        <f t="shared" si="414"/>
        <v>44903.366137462195</v>
      </c>
      <c r="BA277" s="22">
        <f t="shared" si="414"/>
        <v>44933.34307273422</v>
      </c>
      <c r="BB277" s="22">
        <f t="shared" si="414"/>
        <v>44933.34307273422</v>
      </c>
      <c r="BC277" s="22">
        <f t="shared" si="414"/>
        <v>44933.34307273422</v>
      </c>
      <c r="BD277" s="22">
        <f t="shared" si="414"/>
        <v>44933.34307273422</v>
      </c>
      <c r="BE277" s="22">
        <f t="shared" si="414"/>
        <v>44933.34307273422</v>
      </c>
      <c r="BF277" s="22">
        <f t="shared" si="414"/>
        <v>44933.34307273422</v>
      </c>
      <c r="BG277" s="22">
        <f t="shared" si="414"/>
        <v>28189.960340334899</v>
      </c>
    </row>
    <row r="278" spans="3:59" x14ac:dyDescent="0.25">
      <c r="E278" s="309"/>
      <c r="F278" s="309"/>
      <c r="G278" s="309"/>
      <c r="H278" s="309"/>
      <c r="I278" s="309"/>
      <c r="J278" s="309"/>
      <c r="K278" s="309"/>
      <c r="L278" s="309"/>
      <c r="M278" s="309"/>
      <c r="N278" s="309"/>
      <c r="O278" s="309"/>
      <c r="P278" s="309"/>
      <c r="Q278" s="309"/>
      <c r="R278" s="309"/>
      <c r="S278" s="309"/>
      <c r="T278" s="309"/>
      <c r="U278" s="309"/>
      <c r="V278" s="309"/>
      <c r="W278" s="309"/>
      <c r="X278" s="309"/>
      <c r="Y278" s="309"/>
      <c r="Z278" s="309"/>
      <c r="AA278" s="309"/>
      <c r="AB278" s="309"/>
      <c r="AC278" s="309"/>
      <c r="AD278" s="309"/>
      <c r="AE278" s="309"/>
      <c r="AF278" s="309"/>
      <c r="AG278" s="309"/>
      <c r="AH278" s="309"/>
      <c r="AI278" s="309"/>
      <c r="AJ278" s="309"/>
      <c r="AK278" s="309"/>
      <c r="AL278" s="309"/>
      <c r="AM278" s="309"/>
      <c r="AN278" s="309"/>
      <c r="AO278" s="309"/>
      <c r="AP278" s="309"/>
      <c r="AQ278" s="309"/>
      <c r="AR278" s="309"/>
      <c r="AS278" s="309"/>
      <c r="AT278" s="309"/>
      <c r="AU278" s="309"/>
      <c r="AX278" s="309"/>
      <c r="AY278" s="309"/>
      <c r="AZ278" s="309"/>
      <c r="BA278" s="309"/>
      <c r="BB278" s="309"/>
      <c r="BC278" s="309"/>
      <c r="BD278" s="309"/>
      <c r="BE278" s="309"/>
      <c r="BF278" s="309"/>
      <c r="BG278" s="309"/>
    </row>
    <row r="279" spans="3:59" x14ac:dyDescent="0.25">
      <c r="AW279" s="39">
        <f t="shared" ref="AW279:BG279" si="415">1.5573 + AW249</f>
        <v>1.5852359595209276</v>
      </c>
      <c r="AX279" s="39">
        <f t="shared" si="415"/>
        <v>1.5581287818083047</v>
      </c>
      <c r="AY279" s="39">
        <f t="shared" si="415"/>
        <v>1.5816930156083926</v>
      </c>
      <c r="AZ279" s="39">
        <f t="shared" si="415"/>
        <v>1.5816930156083926</v>
      </c>
      <c r="BA279" s="39">
        <f t="shared" si="415"/>
        <v>1.5863347263679095</v>
      </c>
      <c r="BB279" s="39">
        <f t="shared" si="415"/>
        <v>1.5863347263679095</v>
      </c>
      <c r="BC279" s="39">
        <f t="shared" si="415"/>
        <v>1.5863347263679095</v>
      </c>
      <c r="BD279" s="39">
        <f t="shared" si="415"/>
        <v>1.5863347263679095</v>
      </c>
      <c r="BE279" s="39">
        <f t="shared" si="415"/>
        <v>1.5863347263679095</v>
      </c>
      <c r="BF279" s="39">
        <f t="shared" si="415"/>
        <v>1.5863347263679095</v>
      </c>
      <c r="BG279" s="39">
        <f t="shared" si="415"/>
        <v>1.5589609090307335</v>
      </c>
    </row>
    <row r="281" spans="3:59" x14ac:dyDescent="0.25">
      <c r="AW281" s="91">
        <f t="shared" ref="AW281:BG281" si="416">(60/AW265)*SQRT(ABS(AW279^2 - AW243^2))</f>
        <v>184.5868134993932</v>
      </c>
      <c r="AX281" s="91">
        <f t="shared" si="416"/>
        <v>166.5200808072066</v>
      </c>
      <c r="AY281" s="91">
        <f t="shared" si="416"/>
        <v>308.95809686597858</v>
      </c>
      <c r="AZ281" s="91">
        <f t="shared" si="416"/>
        <v>308.95809686597858</v>
      </c>
      <c r="BA281" s="91">
        <f t="shared" si="416"/>
        <v>570.20978170240051</v>
      </c>
      <c r="BB281" s="91">
        <f t="shared" si="416"/>
        <v>570.20978170240051</v>
      </c>
      <c r="BC281" s="91">
        <f t="shared" si="416"/>
        <v>570.20978170240051</v>
      </c>
      <c r="BD281" s="91">
        <f t="shared" si="416"/>
        <v>570.20978170240051</v>
      </c>
      <c r="BE281" s="91">
        <f t="shared" si="416"/>
        <v>570.20978170240051</v>
      </c>
      <c r="BF281" s="91">
        <f t="shared" si="416"/>
        <v>570.20978170240051</v>
      </c>
      <c r="BG281" s="91">
        <f t="shared" si="416"/>
        <v>321.37471946919965</v>
      </c>
    </row>
    <row r="285" spans="3:59" x14ac:dyDescent="0.25">
      <c r="AU285" s="318">
        <v>26830.868750000001</v>
      </c>
    </row>
    <row r="286" spans="3:59" x14ac:dyDescent="0.25">
      <c r="AU286" s="319" t="s">
        <v>1140</v>
      </c>
    </row>
    <row r="287" spans="3:59" x14ac:dyDescent="0.25">
      <c r="AT287" t="s">
        <v>298</v>
      </c>
      <c r="AU287" s="316">
        <v>2441849.3687</v>
      </c>
      <c r="AV287" s="316">
        <v>2450708.2834999999</v>
      </c>
    </row>
    <row r="288" spans="3:59" x14ac:dyDescent="0.25">
      <c r="AT288" s="71" t="s">
        <v>1122</v>
      </c>
      <c r="AU288" s="320">
        <v>0.46200000000000002</v>
      </c>
    </row>
    <row r="289" spans="46:49" x14ac:dyDescent="0.25">
      <c r="AT289" s="71" t="s">
        <v>1107</v>
      </c>
      <c r="AV289" s="316">
        <v>-1.3100000000000001E-2</v>
      </c>
      <c r="AW289" s="142">
        <v>-4.64E-3</v>
      </c>
    </row>
    <row r="290" spans="46:49" x14ac:dyDescent="0.25">
      <c r="AT290" s="71" t="s">
        <v>778</v>
      </c>
      <c r="AV290" s="323">
        <v>-0.37909999999999999</v>
      </c>
      <c r="AW290" s="142">
        <v>-1.5395000000000001</v>
      </c>
    </row>
    <row r="291" spans="46:49" x14ac:dyDescent="0.25">
      <c r="AT291" s="71" t="s">
        <v>1125</v>
      </c>
      <c r="AU291" s="320">
        <v>-0.60899999999999999</v>
      </c>
      <c r="AV291" s="323">
        <v>1.1870000000000001</v>
      </c>
    </row>
    <row r="292" spans="46:49" x14ac:dyDescent="0.25">
      <c r="AT292" s="71" t="s">
        <v>1128</v>
      </c>
      <c r="AV292" s="208">
        <v>1.0259</v>
      </c>
    </row>
    <row r="293" spans="46:49" x14ac:dyDescent="0.25">
      <c r="AT293" s="71" t="s">
        <v>724</v>
      </c>
      <c r="AV293" s="320">
        <v>1.5442</v>
      </c>
    </row>
    <row r="294" spans="46:49" x14ac:dyDescent="0.25">
      <c r="AT294" s="71" t="s">
        <v>1131</v>
      </c>
      <c r="AV294" s="320">
        <v>0.48089999999999999</v>
      </c>
    </row>
    <row r="295" spans="46:49" x14ac:dyDescent="0.25">
      <c r="AT295" s="71" t="s">
        <v>1132</v>
      </c>
      <c r="AV295" s="316">
        <v>0.58560000000000001</v>
      </c>
    </row>
    <row r="296" spans="46:49" x14ac:dyDescent="0.25">
      <c r="AT296" s="71" t="s">
        <v>1174</v>
      </c>
      <c r="AV296" s="324" t="s">
        <v>1144</v>
      </c>
    </row>
    <row r="297" spans="46:49" x14ac:dyDescent="0.25">
      <c r="AT297" s="71" t="s">
        <v>1177</v>
      </c>
      <c r="AV297" s="206" t="s">
        <v>1143</v>
      </c>
    </row>
    <row r="298" spans="46:49" x14ac:dyDescent="0.25">
      <c r="AT298" s="71" t="s">
        <v>1180</v>
      </c>
      <c r="AV298" s="206" t="s">
        <v>1145</v>
      </c>
    </row>
    <row r="300" spans="46:49" x14ac:dyDescent="0.25">
      <c r="AT300" s="71" t="s">
        <v>1193</v>
      </c>
      <c r="AV300" s="337">
        <v>35689.782777777778</v>
      </c>
    </row>
    <row r="301" spans="46:49" x14ac:dyDescent="0.25">
      <c r="AT301" s="71" t="s">
        <v>1185</v>
      </c>
      <c r="AV301" s="337">
        <v>35689.676388888889</v>
      </c>
    </row>
    <row r="302" spans="46:49" x14ac:dyDescent="0.25">
      <c r="AT302" s="71" t="s">
        <v>1186</v>
      </c>
      <c r="AV302" s="337">
        <v>35689.714583333334</v>
      </c>
    </row>
    <row r="303" spans="46:49" x14ac:dyDescent="0.25">
      <c r="AT303" s="71" t="s">
        <v>1188</v>
      </c>
      <c r="AV303" s="337">
        <v>35689.761805555558</v>
      </c>
    </row>
    <row r="304" spans="46:49" x14ac:dyDescent="0.25">
      <c r="AT304" s="71" t="s">
        <v>1187</v>
      </c>
      <c r="AV304" s="337">
        <v>35689.782638888886</v>
      </c>
    </row>
    <row r="305" spans="46:48" x14ac:dyDescent="0.25">
      <c r="AT305" s="71" t="s">
        <v>1189</v>
      </c>
      <c r="AV305" s="337">
        <v>35689.803472222222</v>
      </c>
    </row>
    <row r="306" spans="46:48" x14ac:dyDescent="0.25">
      <c r="AT306" s="71" t="s">
        <v>1190</v>
      </c>
      <c r="AV306" s="337">
        <v>35689.850694444445</v>
      </c>
    </row>
    <row r="307" spans="46:48" x14ac:dyDescent="0.25">
      <c r="AT307" s="71" t="s">
        <v>1191</v>
      </c>
      <c r="AV307" s="337">
        <v>35689.888888888891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F5EF9-2518-4AE9-8EF7-7C3A3CEA3C25}">
  <dimension ref="A1:D198"/>
  <sheetViews>
    <sheetView workbookViewId="0">
      <selection activeCell="C198" sqref="C198"/>
    </sheetView>
  </sheetViews>
  <sheetFormatPr defaultRowHeight="15" x14ac:dyDescent="0.25"/>
  <cols>
    <col min="2" max="2" width="9.140625" style="77"/>
  </cols>
  <sheetData>
    <row r="1" spans="1:4" x14ac:dyDescent="0.25">
      <c r="A1" s="342" t="s">
        <v>617</v>
      </c>
      <c r="B1" s="342"/>
      <c r="C1" s="342"/>
      <c r="D1" s="342"/>
    </row>
    <row r="2" spans="1:4" x14ac:dyDescent="0.25">
      <c r="A2" s="339" t="s">
        <v>619</v>
      </c>
      <c r="B2" s="339"/>
      <c r="C2" s="339"/>
      <c r="D2" s="339"/>
    </row>
    <row r="3" spans="1:4" x14ac:dyDescent="0.25">
      <c r="A3" s="19" t="s">
        <v>165</v>
      </c>
      <c r="B3" s="167" t="s">
        <v>618</v>
      </c>
      <c r="D3" t="s">
        <v>620</v>
      </c>
    </row>
    <row r="4" spans="1:4" x14ac:dyDescent="0.25">
      <c r="A4">
        <v>1620</v>
      </c>
      <c r="B4" s="77">
        <v>121</v>
      </c>
    </row>
    <row r="5" spans="1:4" x14ac:dyDescent="0.25">
      <c r="A5">
        <f>A4+2</f>
        <v>1622</v>
      </c>
      <c r="B5" s="77">
        <v>112</v>
      </c>
    </row>
    <row r="6" spans="1:4" x14ac:dyDescent="0.25">
      <c r="A6">
        <f t="shared" ref="A6:A69" si="0">A5+2</f>
        <v>1624</v>
      </c>
      <c r="B6" s="77">
        <v>103</v>
      </c>
    </row>
    <row r="7" spans="1:4" x14ac:dyDescent="0.25">
      <c r="A7">
        <f t="shared" si="0"/>
        <v>1626</v>
      </c>
      <c r="B7" s="77">
        <v>95</v>
      </c>
    </row>
    <row r="8" spans="1:4" x14ac:dyDescent="0.25">
      <c r="A8">
        <f t="shared" si="0"/>
        <v>1628</v>
      </c>
      <c r="B8" s="77">
        <v>88</v>
      </c>
    </row>
    <row r="9" spans="1:4" x14ac:dyDescent="0.25">
      <c r="A9">
        <f t="shared" si="0"/>
        <v>1630</v>
      </c>
      <c r="B9" s="77">
        <v>82</v>
      </c>
    </row>
    <row r="10" spans="1:4" x14ac:dyDescent="0.25">
      <c r="A10">
        <f t="shared" si="0"/>
        <v>1632</v>
      </c>
      <c r="B10" s="77">
        <v>77</v>
      </c>
    </row>
    <row r="11" spans="1:4" x14ac:dyDescent="0.25">
      <c r="A11">
        <f t="shared" si="0"/>
        <v>1634</v>
      </c>
      <c r="B11" s="77">
        <v>72</v>
      </c>
    </row>
    <row r="12" spans="1:4" x14ac:dyDescent="0.25">
      <c r="A12">
        <f t="shared" si="0"/>
        <v>1636</v>
      </c>
      <c r="B12" s="77">
        <v>68</v>
      </c>
    </row>
    <row r="13" spans="1:4" x14ac:dyDescent="0.25">
      <c r="A13">
        <f t="shared" si="0"/>
        <v>1638</v>
      </c>
      <c r="B13" s="77">
        <v>63</v>
      </c>
    </row>
    <row r="14" spans="1:4" x14ac:dyDescent="0.25">
      <c r="A14">
        <f t="shared" si="0"/>
        <v>1640</v>
      </c>
      <c r="B14" s="77">
        <v>60</v>
      </c>
    </row>
    <row r="15" spans="1:4" x14ac:dyDescent="0.25">
      <c r="A15">
        <f t="shared" si="0"/>
        <v>1642</v>
      </c>
      <c r="B15" s="77">
        <v>56</v>
      </c>
    </row>
    <row r="16" spans="1:4" x14ac:dyDescent="0.25">
      <c r="A16">
        <f t="shared" si="0"/>
        <v>1644</v>
      </c>
      <c r="B16" s="77">
        <v>53</v>
      </c>
    </row>
    <row r="17" spans="1:2" x14ac:dyDescent="0.25">
      <c r="A17">
        <f t="shared" si="0"/>
        <v>1646</v>
      </c>
      <c r="B17" s="77">
        <v>51</v>
      </c>
    </row>
    <row r="18" spans="1:2" x14ac:dyDescent="0.25">
      <c r="A18">
        <f t="shared" si="0"/>
        <v>1648</v>
      </c>
      <c r="B18" s="77">
        <v>48</v>
      </c>
    </row>
    <row r="19" spans="1:2" x14ac:dyDescent="0.25">
      <c r="A19">
        <f t="shared" si="0"/>
        <v>1650</v>
      </c>
      <c r="B19" s="77">
        <v>46</v>
      </c>
    </row>
    <row r="20" spans="1:2" x14ac:dyDescent="0.25">
      <c r="A20">
        <f t="shared" si="0"/>
        <v>1652</v>
      </c>
      <c r="B20" s="77">
        <v>44</v>
      </c>
    </row>
    <row r="21" spans="1:2" x14ac:dyDescent="0.25">
      <c r="A21">
        <f t="shared" si="0"/>
        <v>1654</v>
      </c>
      <c r="B21" s="77">
        <v>42</v>
      </c>
    </row>
    <row r="22" spans="1:2" x14ac:dyDescent="0.25">
      <c r="A22">
        <f t="shared" si="0"/>
        <v>1656</v>
      </c>
      <c r="B22" s="77">
        <v>40</v>
      </c>
    </row>
    <row r="23" spans="1:2" x14ac:dyDescent="0.25">
      <c r="A23">
        <f t="shared" si="0"/>
        <v>1658</v>
      </c>
      <c r="B23" s="77">
        <v>38</v>
      </c>
    </row>
    <row r="24" spans="1:2" x14ac:dyDescent="0.25">
      <c r="A24">
        <f t="shared" si="0"/>
        <v>1660</v>
      </c>
      <c r="B24" s="77">
        <v>35</v>
      </c>
    </row>
    <row r="25" spans="1:2" x14ac:dyDescent="0.25">
      <c r="A25">
        <f t="shared" si="0"/>
        <v>1662</v>
      </c>
      <c r="B25" s="77">
        <v>33</v>
      </c>
    </row>
    <row r="26" spans="1:2" x14ac:dyDescent="0.25">
      <c r="A26">
        <f t="shared" si="0"/>
        <v>1664</v>
      </c>
      <c r="B26" s="77">
        <v>31</v>
      </c>
    </row>
    <row r="27" spans="1:2" x14ac:dyDescent="0.25">
      <c r="A27">
        <f t="shared" si="0"/>
        <v>1666</v>
      </c>
      <c r="B27" s="77">
        <v>29</v>
      </c>
    </row>
    <row r="28" spans="1:2" x14ac:dyDescent="0.25">
      <c r="A28">
        <f t="shared" si="0"/>
        <v>1668</v>
      </c>
      <c r="B28" s="77">
        <v>26</v>
      </c>
    </row>
    <row r="29" spans="1:2" x14ac:dyDescent="0.25">
      <c r="A29">
        <f t="shared" si="0"/>
        <v>1670</v>
      </c>
      <c r="B29" s="77">
        <v>24</v>
      </c>
    </row>
    <row r="30" spans="1:2" x14ac:dyDescent="0.25">
      <c r="A30">
        <f t="shared" si="0"/>
        <v>1672</v>
      </c>
      <c r="B30" s="77">
        <v>22</v>
      </c>
    </row>
    <row r="31" spans="1:2" x14ac:dyDescent="0.25">
      <c r="A31">
        <f t="shared" si="0"/>
        <v>1674</v>
      </c>
      <c r="B31" s="77">
        <v>20</v>
      </c>
    </row>
    <row r="32" spans="1:2" x14ac:dyDescent="0.25">
      <c r="A32">
        <f t="shared" si="0"/>
        <v>1676</v>
      </c>
      <c r="B32" s="77">
        <v>18</v>
      </c>
    </row>
    <row r="33" spans="1:2" x14ac:dyDescent="0.25">
      <c r="A33">
        <f t="shared" si="0"/>
        <v>1678</v>
      </c>
      <c r="B33" s="77">
        <v>16</v>
      </c>
    </row>
    <row r="34" spans="1:2" x14ac:dyDescent="0.25">
      <c r="A34">
        <f t="shared" si="0"/>
        <v>1680</v>
      </c>
      <c r="B34" s="77">
        <v>14</v>
      </c>
    </row>
    <row r="35" spans="1:2" x14ac:dyDescent="0.25">
      <c r="A35">
        <f t="shared" si="0"/>
        <v>1682</v>
      </c>
      <c r="B35" s="77">
        <v>12</v>
      </c>
    </row>
    <row r="36" spans="1:2" x14ac:dyDescent="0.25">
      <c r="A36">
        <f t="shared" si="0"/>
        <v>1684</v>
      </c>
      <c r="B36" s="77">
        <v>11</v>
      </c>
    </row>
    <row r="37" spans="1:2" x14ac:dyDescent="0.25">
      <c r="A37">
        <f t="shared" si="0"/>
        <v>1686</v>
      </c>
      <c r="B37" s="77">
        <v>10</v>
      </c>
    </row>
    <row r="38" spans="1:2" x14ac:dyDescent="0.25">
      <c r="A38">
        <f t="shared" si="0"/>
        <v>1688</v>
      </c>
      <c r="B38" s="77">
        <v>9</v>
      </c>
    </row>
    <row r="39" spans="1:2" x14ac:dyDescent="0.25">
      <c r="A39">
        <f t="shared" si="0"/>
        <v>1690</v>
      </c>
      <c r="B39" s="77">
        <v>8</v>
      </c>
    </row>
    <row r="40" spans="1:2" x14ac:dyDescent="0.25">
      <c r="A40">
        <f t="shared" si="0"/>
        <v>1692</v>
      </c>
      <c r="B40" s="77">
        <v>7</v>
      </c>
    </row>
    <row r="41" spans="1:2" x14ac:dyDescent="0.25">
      <c r="A41">
        <f t="shared" si="0"/>
        <v>1694</v>
      </c>
      <c r="B41" s="77">
        <v>7</v>
      </c>
    </row>
    <row r="42" spans="1:2" x14ac:dyDescent="0.25">
      <c r="A42">
        <f t="shared" si="0"/>
        <v>1696</v>
      </c>
      <c r="B42" s="77">
        <v>7</v>
      </c>
    </row>
    <row r="43" spans="1:2" x14ac:dyDescent="0.25">
      <c r="A43">
        <f t="shared" si="0"/>
        <v>1698</v>
      </c>
      <c r="B43" s="77">
        <v>7</v>
      </c>
    </row>
    <row r="45" spans="1:2" x14ac:dyDescent="0.25">
      <c r="A45">
        <f>A43+2</f>
        <v>1700</v>
      </c>
      <c r="B45" s="77">
        <v>7</v>
      </c>
    </row>
    <row r="46" spans="1:2" x14ac:dyDescent="0.25">
      <c r="A46">
        <f t="shared" si="0"/>
        <v>1702</v>
      </c>
      <c r="B46" s="77">
        <v>7</v>
      </c>
    </row>
    <row r="47" spans="1:2" x14ac:dyDescent="0.25">
      <c r="A47">
        <f t="shared" si="0"/>
        <v>1704</v>
      </c>
      <c r="B47" s="77">
        <v>8</v>
      </c>
    </row>
    <row r="48" spans="1:2" x14ac:dyDescent="0.25">
      <c r="A48">
        <f t="shared" si="0"/>
        <v>1706</v>
      </c>
      <c r="B48" s="77">
        <v>8</v>
      </c>
    </row>
    <row r="49" spans="1:2" x14ac:dyDescent="0.25">
      <c r="A49">
        <f t="shared" si="0"/>
        <v>1708</v>
      </c>
      <c r="B49" s="77">
        <v>9</v>
      </c>
    </row>
    <row r="50" spans="1:2" x14ac:dyDescent="0.25">
      <c r="A50">
        <f t="shared" si="0"/>
        <v>1710</v>
      </c>
      <c r="B50" s="77">
        <v>9</v>
      </c>
    </row>
    <row r="51" spans="1:2" x14ac:dyDescent="0.25">
      <c r="A51">
        <f t="shared" si="0"/>
        <v>1712</v>
      </c>
      <c r="B51" s="77">
        <v>9</v>
      </c>
    </row>
    <row r="52" spans="1:2" x14ac:dyDescent="0.25">
      <c r="A52">
        <f t="shared" si="0"/>
        <v>1714</v>
      </c>
      <c r="B52" s="77">
        <v>9</v>
      </c>
    </row>
    <row r="53" spans="1:2" x14ac:dyDescent="0.25">
      <c r="A53">
        <f t="shared" si="0"/>
        <v>1716</v>
      </c>
      <c r="B53" s="77">
        <v>9</v>
      </c>
    </row>
    <row r="54" spans="1:2" x14ac:dyDescent="0.25">
      <c r="A54">
        <f t="shared" si="0"/>
        <v>1718</v>
      </c>
      <c r="B54" s="77">
        <v>10</v>
      </c>
    </row>
    <row r="55" spans="1:2" x14ac:dyDescent="0.25">
      <c r="A55">
        <f t="shared" si="0"/>
        <v>1720</v>
      </c>
      <c r="B55" s="77">
        <v>10</v>
      </c>
    </row>
    <row r="56" spans="1:2" x14ac:dyDescent="0.25">
      <c r="A56">
        <f t="shared" si="0"/>
        <v>1722</v>
      </c>
      <c r="B56" s="77">
        <v>10</v>
      </c>
    </row>
    <row r="57" spans="1:2" x14ac:dyDescent="0.25">
      <c r="A57">
        <f t="shared" si="0"/>
        <v>1724</v>
      </c>
      <c r="B57" s="77">
        <v>10</v>
      </c>
    </row>
    <row r="58" spans="1:2" x14ac:dyDescent="0.25">
      <c r="A58">
        <f t="shared" si="0"/>
        <v>1726</v>
      </c>
      <c r="B58" s="77">
        <v>10</v>
      </c>
    </row>
    <row r="59" spans="1:2" x14ac:dyDescent="0.25">
      <c r="A59">
        <f t="shared" si="0"/>
        <v>1728</v>
      </c>
      <c r="B59" s="77">
        <v>10</v>
      </c>
    </row>
    <row r="60" spans="1:2" x14ac:dyDescent="0.25">
      <c r="A60">
        <f t="shared" si="0"/>
        <v>1730</v>
      </c>
      <c r="B60" s="77">
        <v>10</v>
      </c>
    </row>
    <row r="61" spans="1:2" x14ac:dyDescent="0.25">
      <c r="A61">
        <f t="shared" si="0"/>
        <v>1732</v>
      </c>
      <c r="B61" s="77">
        <v>10</v>
      </c>
    </row>
    <row r="62" spans="1:2" x14ac:dyDescent="0.25">
      <c r="A62">
        <f t="shared" si="0"/>
        <v>1734</v>
      </c>
      <c r="B62" s="77">
        <v>11</v>
      </c>
    </row>
    <row r="63" spans="1:2" x14ac:dyDescent="0.25">
      <c r="A63">
        <f t="shared" si="0"/>
        <v>1736</v>
      </c>
      <c r="B63" s="77">
        <v>11</v>
      </c>
    </row>
    <row r="64" spans="1:2" x14ac:dyDescent="0.25">
      <c r="A64">
        <f t="shared" si="0"/>
        <v>1738</v>
      </c>
      <c r="B64" s="77">
        <v>11</v>
      </c>
    </row>
    <row r="65" spans="1:2" x14ac:dyDescent="0.25">
      <c r="A65">
        <f t="shared" si="0"/>
        <v>1740</v>
      </c>
      <c r="B65" s="77">
        <v>11</v>
      </c>
    </row>
    <row r="66" spans="1:2" x14ac:dyDescent="0.25">
      <c r="A66">
        <f t="shared" si="0"/>
        <v>1742</v>
      </c>
      <c r="B66" s="77">
        <v>11</v>
      </c>
    </row>
    <row r="67" spans="1:2" x14ac:dyDescent="0.25">
      <c r="A67">
        <f t="shared" si="0"/>
        <v>1744</v>
      </c>
      <c r="B67" s="77">
        <v>12</v>
      </c>
    </row>
    <row r="68" spans="1:2" x14ac:dyDescent="0.25">
      <c r="A68">
        <f t="shared" si="0"/>
        <v>1746</v>
      </c>
      <c r="B68" s="77">
        <v>12</v>
      </c>
    </row>
    <row r="69" spans="1:2" x14ac:dyDescent="0.25">
      <c r="A69">
        <f t="shared" si="0"/>
        <v>1748</v>
      </c>
      <c r="B69" s="77">
        <v>12</v>
      </c>
    </row>
    <row r="70" spans="1:2" x14ac:dyDescent="0.25">
      <c r="A70">
        <f t="shared" ref="A70:A134" si="1">A69+2</f>
        <v>1750</v>
      </c>
      <c r="B70" s="77">
        <v>12</v>
      </c>
    </row>
    <row r="71" spans="1:2" x14ac:dyDescent="0.25">
      <c r="A71">
        <f t="shared" si="1"/>
        <v>1752</v>
      </c>
      <c r="B71" s="77">
        <v>13</v>
      </c>
    </row>
    <row r="72" spans="1:2" x14ac:dyDescent="0.25">
      <c r="A72">
        <f t="shared" si="1"/>
        <v>1754</v>
      </c>
      <c r="B72" s="77">
        <v>13</v>
      </c>
    </row>
    <row r="73" spans="1:2" x14ac:dyDescent="0.25">
      <c r="A73">
        <f t="shared" si="1"/>
        <v>1756</v>
      </c>
      <c r="B73" s="77">
        <v>13</v>
      </c>
    </row>
    <row r="74" spans="1:2" x14ac:dyDescent="0.25">
      <c r="A74">
        <f t="shared" si="1"/>
        <v>1758</v>
      </c>
      <c r="B74" s="77">
        <v>14</v>
      </c>
    </row>
    <row r="75" spans="1:2" x14ac:dyDescent="0.25">
      <c r="A75">
        <f t="shared" si="1"/>
        <v>1760</v>
      </c>
      <c r="B75" s="77">
        <v>14</v>
      </c>
    </row>
    <row r="76" spans="1:2" x14ac:dyDescent="0.25">
      <c r="A76">
        <f t="shared" si="1"/>
        <v>1762</v>
      </c>
      <c r="B76" s="77">
        <v>14</v>
      </c>
    </row>
    <row r="77" spans="1:2" x14ac:dyDescent="0.25">
      <c r="A77">
        <f t="shared" si="1"/>
        <v>1764</v>
      </c>
      <c r="B77" s="77">
        <v>14</v>
      </c>
    </row>
    <row r="78" spans="1:2" x14ac:dyDescent="0.25">
      <c r="A78">
        <f t="shared" si="1"/>
        <v>1766</v>
      </c>
      <c r="B78" s="77">
        <v>15</v>
      </c>
    </row>
    <row r="79" spans="1:2" x14ac:dyDescent="0.25">
      <c r="A79">
        <f t="shared" si="1"/>
        <v>1768</v>
      </c>
      <c r="B79" s="77">
        <v>15</v>
      </c>
    </row>
    <row r="80" spans="1:2" x14ac:dyDescent="0.25">
      <c r="A80">
        <f t="shared" si="1"/>
        <v>1770</v>
      </c>
      <c r="B80" s="77">
        <v>15</v>
      </c>
    </row>
    <row r="81" spans="1:2" x14ac:dyDescent="0.25">
      <c r="A81">
        <f t="shared" si="1"/>
        <v>1772</v>
      </c>
      <c r="B81" s="77">
        <v>15</v>
      </c>
    </row>
    <row r="82" spans="1:2" x14ac:dyDescent="0.25">
      <c r="A82">
        <f t="shared" si="1"/>
        <v>1774</v>
      </c>
      <c r="B82" s="77">
        <v>15</v>
      </c>
    </row>
    <row r="83" spans="1:2" x14ac:dyDescent="0.25">
      <c r="A83">
        <f t="shared" si="1"/>
        <v>1776</v>
      </c>
      <c r="B83" s="77">
        <v>16</v>
      </c>
    </row>
    <row r="84" spans="1:2" x14ac:dyDescent="0.25">
      <c r="A84">
        <f t="shared" si="1"/>
        <v>1778</v>
      </c>
      <c r="B84" s="77">
        <v>16</v>
      </c>
    </row>
    <row r="86" spans="1:2" x14ac:dyDescent="0.25">
      <c r="A86">
        <f>A84+2</f>
        <v>1780</v>
      </c>
      <c r="B86" s="77">
        <v>16</v>
      </c>
    </row>
    <row r="87" spans="1:2" x14ac:dyDescent="0.25">
      <c r="A87">
        <f t="shared" si="1"/>
        <v>1782</v>
      </c>
      <c r="B87" s="77">
        <v>16</v>
      </c>
    </row>
    <row r="88" spans="1:2" x14ac:dyDescent="0.25">
      <c r="A88">
        <f t="shared" si="1"/>
        <v>1784</v>
      </c>
      <c r="B88" s="77">
        <v>16</v>
      </c>
    </row>
    <row r="89" spans="1:2" x14ac:dyDescent="0.25">
      <c r="A89">
        <f t="shared" si="1"/>
        <v>1786</v>
      </c>
      <c r="B89" s="77">
        <v>16</v>
      </c>
    </row>
    <row r="90" spans="1:2" x14ac:dyDescent="0.25">
      <c r="A90">
        <f t="shared" si="1"/>
        <v>1788</v>
      </c>
      <c r="B90" s="77">
        <v>16</v>
      </c>
    </row>
    <row r="91" spans="1:2" x14ac:dyDescent="0.25">
      <c r="A91">
        <f t="shared" si="1"/>
        <v>1790</v>
      </c>
      <c r="B91" s="77">
        <v>16</v>
      </c>
    </row>
    <row r="92" spans="1:2" x14ac:dyDescent="0.25">
      <c r="A92">
        <f t="shared" si="1"/>
        <v>1792</v>
      </c>
      <c r="B92" s="77">
        <v>15</v>
      </c>
    </row>
    <row r="93" spans="1:2" x14ac:dyDescent="0.25">
      <c r="A93">
        <f t="shared" si="1"/>
        <v>1794</v>
      </c>
      <c r="B93" s="77">
        <v>15</v>
      </c>
    </row>
    <row r="94" spans="1:2" x14ac:dyDescent="0.25">
      <c r="A94">
        <f t="shared" si="1"/>
        <v>1796</v>
      </c>
      <c r="B94" s="77">
        <v>14</v>
      </c>
    </row>
    <row r="95" spans="1:2" x14ac:dyDescent="0.25">
      <c r="A95">
        <f t="shared" si="1"/>
        <v>1798</v>
      </c>
      <c r="B95" s="77">
        <v>13</v>
      </c>
    </row>
    <row r="96" spans="1:2" x14ac:dyDescent="0.25">
      <c r="A96">
        <f t="shared" si="1"/>
        <v>1800</v>
      </c>
      <c r="B96" s="77">
        <v>13.1</v>
      </c>
    </row>
    <row r="97" spans="1:2" x14ac:dyDescent="0.25">
      <c r="A97">
        <f t="shared" si="1"/>
        <v>1802</v>
      </c>
      <c r="B97" s="77">
        <v>12.5</v>
      </c>
    </row>
    <row r="98" spans="1:2" x14ac:dyDescent="0.25">
      <c r="A98">
        <f t="shared" si="1"/>
        <v>1804</v>
      </c>
      <c r="B98" s="77">
        <v>12.2</v>
      </c>
    </row>
    <row r="99" spans="1:2" x14ac:dyDescent="0.25">
      <c r="A99">
        <f t="shared" si="1"/>
        <v>1806</v>
      </c>
      <c r="B99" s="77">
        <v>12</v>
      </c>
    </row>
    <row r="100" spans="1:2" x14ac:dyDescent="0.25">
      <c r="A100">
        <f t="shared" si="1"/>
        <v>1808</v>
      </c>
      <c r="B100" s="77">
        <v>12</v>
      </c>
    </row>
    <row r="101" spans="1:2" x14ac:dyDescent="0.25">
      <c r="A101">
        <f t="shared" si="1"/>
        <v>1810</v>
      </c>
      <c r="B101" s="77">
        <v>12</v>
      </c>
    </row>
    <row r="102" spans="1:2" x14ac:dyDescent="0.25">
      <c r="A102">
        <f t="shared" si="1"/>
        <v>1812</v>
      </c>
      <c r="B102" s="77">
        <v>12</v>
      </c>
    </row>
    <row r="103" spans="1:2" x14ac:dyDescent="0.25">
      <c r="A103">
        <f t="shared" si="1"/>
        <v>1814</v>
      </c>
      <c r="B103" s="77">
        <v>12</v>
      </c>
    </row>
    <row r="104" spans="1:2" x14ac:dyDescent="0.25">
      <c r="A104">
        <f t="shared" si="1"/>
        <v>1816</v>
      </c>
      <c r="B104" s="77">
        <v>12</v>
      </c>
    </row>
    <row r="105" spans="1:2" x14ac:dyDescent="0.25">
      <c r="A105">
        <f t="shared" si="1"/>
        <v>1818</v>
      </c>
      <c r="B105" s="77">
        <v>11.9</v>
      </c>
    </row>
    <row r="106" spans="1:2" x14ac:dyDescent="0.25">
      <c r="A106">
        <f t="shared" si="1"/>
        <v>1820</v>
      </c>
      <c r="B106" s="77">
        <v>11.6</v>
      </c>
    </row>
    <row r="107" spans="1:2" x14ac:dyDescent="0.25">
      <c r="A107">
        <f t="shared" si="1"/>
        <v>1822</v>
      </c>
      <c r="B107" s="77">
        <v>11</v>
      </c>
    </row>
    <row r="108" spans="1:2" x14ac:dyDescent="0.25">
      <c r="A108">
        <f t="shared" si="1"/>
        <v>1824</v>
      </c>
      <c r="B108" s="77">
        <v>10.199999999999999</v>
      </c>
    </row>
    <row r="109" spans="1:2" x14ac:dyDescent="0.25">
      <c r="A109">
        <f t="shared" si="1"/>
        <v>1826</v>
      </c>
      <c r="B109" s="77">
        <v>9.1999999999999993</v>
      </c>
    </row>
    <row r="110" spans="1:2" x14ac:dyDescent="0.25">
      <c r="A110">
        <f t="shared" si="1"/>
        <v>1828</v>
      </c>
      <c r="B110" s="77">
        <v>8.1999999999999993</v>
      </c>
    </row>
    <row r="111" spans="1:2" x14ac:dyDescent="0.25">
      <c r="A111">
        <f t="shared" si="1"/>
        <v>1830</v>
      </c>
      <c r="B111" s="77">
        <v>7.1</v>
      </c>
    </row>
    <row r="112" spans="1:2" x14ac:dyDescent="0.25">
      <c r="A112">
        <f t="shared" si="1"/>
        <v>1832</v>
      </c>
      <c r="B112" s="77">
        <v>6.2</v>
      </c>
    </row>
    <row r="113" spans="1:2" x14ac:dyDescent="0.25">
      <c r="A113">
        <f t="shared" si="1"/>
        <v>1834</v>
      </c>
      <c r="B113" s="77">
        <v>5.6</v>
      </c>
    </row>
    <row r="114" spans="1:2" x14ac:dyDescent="0.25">
      <c r="A114">
        <f t="shared" si="1"/>
        <v>1836</v>
      </c>
      <c r="B114" s="77">
        <v>5.4</v>
      </c>
    </row>
    <row r="115" spans="1:2" x14ac:dyDescent="0.25">
      <c r="A115">
        <f t="shared" si="1"/>
        <v>1838</v>
      </c>
      <c r="B115" s="77">
        <v>5.3</v>
      </c>
    </row>
    <row r="116" spans="1:2" x14ac:dyDescent="0.25">
      <c r="A116">
        <f t="shared" si="1"/>
        <v>1840</v>
      </c>
      <c r="B116" s="77">
        <v>5.4</v>
      </c>
    </row>
    <row r="117" spans="1:2" x14ac:dyDescent="0.25">
      <c r="A117">
        <f t="shared" si="1"/>
        <v>1842</v>
      </c>
      <c r="B117" s="77">
        <v>5.6</v>
      </c>
    </row>
    <row r="118" spans="1:2" x14ac:dyDescent="0.25">
      <c r="A118">
        <f t="shared" si="1"/>
        <v>1844</v>
      </c>
      <c r="B118" s="77">
        <v>5.9</v>
      </c>
    </row>
    <row r="119" spans="1:2" x14ac:dyDescent="0.25">
      <c r="A119">
        <f t="shared" si="1"/>
        <v>1846</v>
      </c>
      <c r="B119" s="77">
        <v>6.2</v>
      </c>
    </row>
    <row r="120" spans="1:2" x14ac:dyDescent="0.25">
      <c r="A120">
        <f t="shared" si="1"/>
        <v>1848</v>
      </c>
      <c r="B120" s="77">
        <v>6.5</v>
      </c>
    </row>
    <row r="121" spans="1:2" x14ac:dyDescent="0.25">
      <c r="A121">
        <f t="shared" si="1"/>
        <v>1850</v>
      </c>
      <c r="B121" s="77">
        <v>6.8</v>
      </c>
    </row>
    <row r="122" spans="1:2" x14ac:dyDescent="0.25">
      <c r="A122">
        <f t="shared" si="1"/>
        <v>1852</v>
      </c>
      <c r="B122" s="77">
        <v>7.1</v>
      </c>
    </row>
    <row r="123" spans="1:2" x14ac:dyDescent="0.25">
      <c r="A123">
        <f t="shared" si="1"/>
        <v>1854</v>
      </c>
      <c r="B123" s="77">
        <v>7.3</v>
      </c>
    </row>
    <row r="124" spans="1:2" x14ac:dyDescent="0.25">
      <c r="A124">
        <f t="shared" si="1"/>
        <v>1856</v>
      </c>
      <c r="B124" s="77">
        <v>7.5</v>
      </c>
    </row>
    <row r="125" spans="1:2" x14ac:dyDescent="0.25">
      <c r="A125">
        <f t="shared" si="1"/>
        <v>1858</v>
      </c>
      <c r="B125" s="77">
        <v>7.6</v>
      </c>
    </row>
    <row r="127" spans="1:2" x14ac:dyDescent="0.25">
      <c r="A127">
        <f>A125+2</f>
        <v>1860</v>
      </c>
      <c r="B127" s="77">
        <v>7.7</v>
      </c>
    </row>
    <row r="128" spans="1:2" x14ac:dyDescent="0.25">
      <c r="A128">
        <f t="shared" si="1"/>
        <v>1862</v>
      </c>
      <c r="B128" s="77">
        <v>7.3</v>
      </c>
    </row>
    <row r="129" spans="1:2" x14ac:dyDescent="0.25">
      <c r="A129">
        <f t="shared" si="1"/>
        <v>1864</v>
      </c>
      <c r="B129" s="77">
        <v>6.2</v>
      </c>
    </row>
    <row r="130" spans="1:2" x14ac:dyDescent="0.25">
      <c r="A130">
        <f t="shared" si="1"/>
        <v>1866</v>
      </c>
      <c r="B130" s="77">
        <v>5.2</v>
      </c>
    </row>
    <row r="131" spans="1:2" x14ac:dyDescent="0.25">
      <c r="A131">
        <f t="shared" si="1"/>
        <v>1868</v>
      </c>
      <c r="B131" s="77">
        <v>2.7</v>
      </c>
    </row>
    <row r="132" spans="1:2" x14ac:dyDescent="0.25">
      <c r="A132">
        <f t="shared" si="1"/>
        <v>1870</v>
      </c>
      <c r="B132" s="77">
        <v>1.4</v>
      </c>
    </row>
    <row r="133" spans="1:2" x14ac:dyDescent="0.25">
      <c r="A133">
        <f t="shared" si="1"/>
        <v>1872</v>
      </c>
      <c r="B133" s="77">
        <v>-1.2</v>
      </c>
    </row>
    <row r="134" spans="1:2" x14ac:dyDescent="0.25">
      <c r="A134">
        <f t="shared" si="1"/>
        <v>1874</v>
      </c>
      <c r="B134" s="77">
        <v>-2.8</v>
      </c>
    </row>
    <row r="135" spans="1:2" x14ac:dyDescent="0.25">
      <c r="A135">
        <f t="shared" ref="A135:A197" si="2">A134+2</f>
        <v>1876</v>
      </c>
      <c r="B135" s="77">
        <v>-3.8</v>
      </c>
    </row>
    <row r="136" spans="1:2" x14ac:dyDescent="0.25">
      <c r="A136">
        <f t="shared" si="2"/>
        <v>1878</v>
      </c>
      <c r="B136" s="77">
        <v>-4.8</v>
      </c>
    </row>
    <row r="137" spans="1:2" x14ac:dyDescent="0.25">
      <c r="A137">
        <f t="shared" si="2"/>
        <v>1880</v>
      </c>
      <c r="B137" s="77">
        <v>-5.5</v>
      </c>
    </row>
    <row r="138" spans="1:2" x14ac:dyDescent="0.25">
      <c r="A138">
        <f t="shared" si="2"/>
        <v>1882</v>
      </c>
      <c r="B138" s="77">
        <v>-5.3</v>
      </c>
    </row>
    <row r="139" spans="1:2" x14ac:dyDescent="0.25">
      <c r="A139">
        <f t="shared" si="2"/>
        <v>1884</v>
      </c>
      <c r="B139" s="77">
        <v>-5.6</v>
      </c>
    </row>
    <row r="140" spans="1:2" x14ac:dyDescent="0.25">
      <c r="A140">
        <f t="shared" si="2"/>
        <v>1886</v>
      </c>
      <c r="B140" s="77">
        <v>-5.7</v>
      </c>
    </row>
    <row r="141" spans="1:2" x14ac:dyDescent="0.25">
      <c r="A141">
        <f t="shared" si="2"/>
        <v>1888</v>
      </c>
      <c r="B141" s="77">
        <v>-5.9</v>
      </c>
    </row>
    <row r="142" spans="1:2" x14ac:dyDescent="0.25">
      <c r="A142">
        <f t="shared" si="2"/>
        <v>1890</v>
      </c>
      <c r="B142" s="77">
        <v>-6</v>
      </c>
    </row>
    <row r="143" spans="1:2" x14ac:dyDescent="0.25">
      <c r="A143">
        <f t="shared" si="2"/>
        <v>1892</v>
      </c>
      <c r="B143" s="77">
        <v>-6.3</v>
      </c>
    </row>
    <row r="144" spans="1:2" x14ac:dyDescent="0.25">
      <c r="A144">
        <f t="shared" si="2"/>
        <v>1894</v>
      </c>
      <c r="B144" s="77">
        <v>-6.5</v>
      </c>
    </row>
    <row r="145" spans="1:2" x14ac:dyDescent="0.25">
      <c r="A145">
        <f t="shared" si="2"/>
        <v>1896</v>
      </c>
      <c r="B145" s="77">
        <v>-6.2</v>
      </c>
    </row>
    <row r="146" spans="1:2" x14ac:dyDescent="0.25">
      <c r="A146">
        <f t="shared" si="2"/>
        <v>1898</v>
      </c>
      <c r="B146" s="77">
        <v>-4.7</v>
      </c>
    </row>
    <row r="147" spans="1:2" x14ac:dyDescent="0.25">
      <c r="A147">
        <f t="shared" si="2"/>
        <v>1900</v>
      </c>
      <c r="B147" s="77">
        <v>-2.8</v>
      </c>
    </row>
    <row r="148" spans="1:2" x14ac:dyDescent="0.25">
      <c r="A148">
        <f t="shared" si="2"/>
        <v>1902</v>
      </c>
      <c r="B148" s="77">
        <v>-0.1</v>
      </c>
    </row>
    <row r="149" spans="1:2" x14ac:dyDescent="0.25">
      <c r="A149">
        <f t="shared" si="2"/>
        <v>1904</v>
      </c>
      <c r="B149" s="77">
        <v>2.6</v>
      </c>
    </row>
    <row r="150" spans="1:2" x14ac:dyDescent="0.25">
      <c r="A150">
        <f t="shared" si="2"/>
        <v>1906</v>
      </c>
      <c r="B150" s="77">
        <v>5.3</v>
      </c>
    </row>
    <row r="151" spans="1:2" x14ac:dyDescent="0.25">
      <c r="A151">
        <f t="shared" si="2"/>
        <v>1908</v>
      </c>
      <c r="B151" s="77">
        <v>7.7</v>
      </c>
    </row>
    <row r="152" spans="1:2" x14ac:dyDescent="0.25">
      <c r="A152">
        <f t="shared" si="2"/>
        <v>1910</v>
      </c>
      <c r="B152" s="77">
        <v>10.4</v>
      </c>
    </row>
    <row r="153" spans="1:2" x14ac:dyDescent="0.25">
      <c r="A153">
        <f t="shared" si="2"/>
        <v>1912</v>
      </c>
      <c r="B153" s="77">
        <v>13.3</v>
      </c>
    </row>
    <row r="154" spans="1:2" x14ac:dyDescent="0.25">
      <c r="A154">
        <f t="shared" si="2"/>
        <v>1914</v>
      </c>
      <c r="B154" s="77">
        <v>16</v>
      </c>
    </row>
    <row r="155" spans="1:2" x14ac:dyDescent="0.25">
      <c r="A155">
        <f t="shared" si="2"/>
        <v>1916</v>
      </c>
      <c r="B155" s="77">
        <v>18.2</v>
      </c>
    </row>
    <row r="156" spans="1:2" x14ac:dyDescent="0.25">
      <c r="A156">
        <f t="shared" si="2"/>
        <v>1918</v>
      </c>
      <c r="B156" s="77">
        <v>20.2</v>
      </c>
    </row>
    <row r="157" spans="1:2" x14ac:dyDescent="0.25">
      <c r="A157">
        <f t="shared" si="2"/>
        <v>1920</v>
      </c>
      <c r="B157" s="77">
        <v>21.1</v>
      </c>
    </row>
    <row r="158" spans="1:2" x14ac:dyDescent="0.25">
      <c r="A158">
        <f t="shared" si="2"/>
        <v>1922</v>
      </c>
      <c r="B158" s="77">
        <v>22.4</v>
      </c>
    </row>
    <row r="159" spans="1:2" x14ac:dyDescent="0.25">
      <c r="A159">
        <f t="shared" si="2"/>
        <v>1924</v>
      </c>
      <c r="B159" s="77">
        <v>23.5</v>
      </c>
    </row>
    <row r="160" spans="1:2" x14ac:dyDescent="0.25">
      <c r="A160">
        <f t="shared" si="2"/>
        <v>1926</v>
      </c>
      <c r="B160" s="77">
        <v>23.8</v>
      </c>
    </row>
    <row r="161" spans="1:2" x14ac:dyDescent="0.25">
      <c r="A161">
        <f t="shared" si="2"/>
        <v>1928</v>
      </c>
      <c r="B161" s="77">
        <v>24.3</v>
      </c>
    </row>
    <row r="162" spans="1:2" x14ac:dyDescent="0.25">
      <c r="A162">
        <f t="shared" si="2"/>
        <v>1930</v>
      </c>
      <c r="B162" s="77">
        <v>24</v>
      </c>
    </row>
    <row r="163" spans="1:2" x14ac:dyDescent="0.25">
      <c r="A163">
        <f t="shared" si="2"/>
        <v>1932</v>
      </c>
      <c r="B163" s="77">
        <v>23.9</v>
      </c>
    </row>
    <row r="164" spans="1:2" x14ac:dyDescent="0.25">
      <c r="A164">
        <f t="shared" si="2"/>
        <v>1934</v>
      </c>
      <c r="B164" s="77">
        <v>23.9</v>
      </c>
    </row>
    <row r="165" spans="1:2" x14ac:dyDescent="0.25">
      <c r="A165">
        <f t="shared" si="2"/>
        <v>1936</v>
      </c>
      <c r="B165" s="77">
        <v>23.7</v>
      </c>
    </row>
    <row r="166" spans="1:2" x14ac:dyDescent="0.25">
      <c r="A166">
        <f t="shared" si="2"/>
        <v>1938</v>
      </c>
      <c r="B166" s="77">
        <v>24</v>
      </c>
    </row>
    <row r="168" spans="1:2" x14ac:dyDescent="0.25">
      <c r="A168">
        <f>A166+2</f>
        <v>1940</v>
      </c>
      <c r="B168" s="77">
        <v>24.3</v>
      </c>
    </row>
    <row r="169" spans="1:2" x14ac:dyDescent="0.25">
      <c r="A169">
        <f t="shared" si="2"/>
        <v>1942</v>
      </c>
      <c r="B169" s="77">
        <v>25.3</v>
      </c>
    </row>
    <row r="170" spans="1:2" x14ac:dyDescent="0.25">
      <c r="A170">
        <f t="shared" si="2"/>
        <v>1944</v>
      </c>
      <c r="B170" s="77">
        <v>26.2</v>
      </c>
    </row>
    <row r="171" spans="1:2" x14ac:dyDescent="0.25">
      <c r="A171">
        <f t="shared" si="2"/>
        <v>1946</v>
      </c>
      <c r="B171" s="77">
        <v>27.3</v>
      </c>
    </row>
    <row r="172" spans="1:2" x14ac:dyDescent="0.25">
      <c r="A172">
        <f t="shared" si="2"/>
        <v>1948</v>
      </c>
      <c r="B172" s="77">
        <v>28.2</v>
      </c>
    </row>
    <row r="173" spans="1:2" x14ac:dyDescent="0.25">
      <c r="A173">
        <f t="shared" si="2"/>
        <v>1950</v>
      </c>
      <c r="B173" s="77">
        <v>29.1</v>
      </c>
    </row>
    <row r="174" spans="1:2" x14ac:dyDescent="0.25">
      <c r="A174">
        <f t="shared" si="2"/>
        <v>1952</v>
      </c>
      <c r="B174" s="77">
        <v>30</v>
      </c>
    </row>
    <row r="175" spans="1:2" x14ac:dyDescent="0.25">
      <c r="A175">
        <f t="shared" si="2"/>
        <v>1954</v>
      </c>
      <c r="B175" s="77">
        <v>30.7</v>
      </c>
    </row>
    <row r="176" spans="1:2" x14ac:dyDescent="0.25">
      <c r="A176">
        <f t="shared" si="2"/>
        <v>1956</v>
      </c>
      <c r="B176" s="77">
        <v>31.4</v>
      </c>
    </row>
    <row r="177" spans="1:2" x14ac:dyDescent="0.25">
      <c r="A177">
        <f t="shared" si="2"/>
        <v>1958</v>
      </c>
      <c r="B177" s="77">
        <v>32.200000000000003</v>
      </c>
    </row>
    <row r="178" spans="1:2" x14ac:dyDescent="0.25">
      <c r="A178">
        <f t="shared" si="2"/>
        <v>1960</v>
      </c>
      <c r="B178" s="77">
        <v>33.1</v>
      </c>
    </row>
    <row r="179" spans="1:2" x14ac:dyDescent="0.25">
      <c r="A179">
        <f t="shared" si="2"/>
        <v>1962</v>
      </c>
      <c r="B179" s="77">
        <v>34</v>
      </c>
    </row>
    <row r="180" spans="1:2" x14ac:dyDescent="0.25">
      <c r="A180">
        <f t="shared" si="2"/>
        <v>1964</v>
      </c>
      <c r="B180" s="77">
        <v>35</v>
      </c>
    </row>
    <row r="181" spans="1:2" x14ac:dyDescent="0.25">
      <c r="A181">
        <f t="shared" si="2"/>
        <v>1966</v>
      </c>
      <c r="B181" s="77">
        <v>36.5</v>
      </c>
    </row>
    <row r="182" spans="1:2" x14ac:dyDescent="0.25">
      <c r="A182">
        <f t="shared" si="2"/>
        <v>1968</v>
      </c>
      <c r="B182" s="77">
        <v>38.299999999999997</v>
      </c>
    </row>
    <row r="183" spans="1:2" x14ac:dyDescent="0.25">
      <c r="A183">
        <f t="shared" si="2"/>
        <v>1970</v>
      </c>
      <c r="B183" s="77">
        <v>40.200000000000003</v>
      </c>
    </row>
    <row r="184" spans="1:2" x14ac:dyDescent="0.25">
      <c r="A184">
        <f t="shared" si="2"/>
        <v>1972</v>
      </c>
      <c r="B184" s="77">
        <v>42.2</v>
      </c>
    </row>
    <row r="185" spans="1:2" x14ac:dyDescent="0.25">
      <c r="A185">
        <f t="shared" si="2"/>
        <v>1974</v>
      </c>
      <c r="B185" s="77">
        <v>44.5</v>
      </c>
    </row>
    <row r="186" spans="1:2" x14ac:dyDescent="0.25">
      <c r="A186">
        <f t="shared" si="2"/>
        <v>1976</v>
      </c>
      <c r="B186" s="77">
        <v>46.5</v>
      </c>
    </row>
    <row r="187" spans="1:2" x14ac:dyDescent="0.25">
      <c r="A187">
        <f t="shared" si="2"/>
        <v>1978</v>
      </c>
      <c r="B187" s="77">
        <v>48.5</v>
      </c>
    </row>
    <row r="188" spans="1:2" x14ac:dyDescent="0.25">
      <c r="A188">
        <f t="shared" si="2"/>
        <v>1980</v>
      </c>
      <c r="B188" s="77">
        <v>50.5</v>
      </c>
    </row>
    <row r="189" spans="1:2" x14ac:dyDescent="0.25">
      <c r="A189">
        <f t="shared" si="2"/>
        <v>1982</v>
      </c>
      <c r="B189" s="77">
        <v>52.2</v>
      </c>
    </row>
    <row r="190" spans="1:2" x14ac:dyDescent="0.25">
      <c r="A190">
        <f t="shared" si="2"/>
        <v>1984</v>
      </c>
      <c r="B190" s="77">
        <v>53.8</v>
      </c>
    </row>
    <row r="191" spans="1:2" x14ac:dyDescent="0.25">
      <c r="A191">
        <f t="shared" si="2"/>
        <v>1986</v>
      </c>
      <c r="B191" s="77">
        <v>54.9</v>
      </c>
    </row>
    <row r="192" spans="1:2" x14ac:dyDescent="0.25">
      <c r="A192">
        <f t="shared" si="2"/>
        <v>1988</v>
      </c>
      <c r="B192" s="77">
        <v>55.8</v>
      </c>
    </row>
    <row r="193" spans="1:2" x14ac:dyDescent="0.25">
      <c r="A193">
        <f t="shared" si="2"/>
        <v>1990</v>
      </c>
      <c r="B193" s="77">
        <v>56.9</v>
      </c>
    </row>
    <row r="194" spans="1:2" x14ac:dyDescent="0.25">
      <c r="A194">
        <f t="shared" si="2"/>
        <v>1992</v>
      </c>
      <c r="B194" s="77">
        <v>58.3</v>
      </c>
    </row>
    <row r="195" spans="1:2" x14ac:dyDescent="0.25">
      <c r="A195">
        <f t="shared" si="2"/>
        <v>1994</v>
      </c>
      <c r="B195" s="77">
        <v>60</v>
      </c>
    </row>
    <row r="196" spans="1:2" x14ac:dyDescent="0.25">
      <c r="A196">
        <f t="shared" si="2"/>
        <v>1996</v>
      </c>
      <c r="B196" s="77">
        <v>61.6</v>
      </c>
    </row>
    <row r="197" spans="1:2" x14ac:dyDescent="0.25">
      <c r="A197">
        <f t="shared" si="2"/>
        <v>1998</v>
      </c>
      <c r="B197" s="77">
        <v>63</v>
      </c>
    </row>
    <row r="198" spans="1:2" x14ac:dyDescent="0.25">
      <c r="A198">
        <v>1977</v>
      </c>
      <c r="B198" s="77">
        <v>48</v>
      </c>
    </row>
  </sheetData>
  <mergeCells count="2">
    <mergeCell ref="A1:D1"/>
    <mergeCell ref="A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F02A-BAEA-4A3E-BF14-1712076E7299}">
  <dimension ref="A1:BM138"/>
  <sheetViews>
    <sheetView workbookViewId="0">
      <selection activeCell="K28" sqref="K28"/>
    </sheetView>
  </sheetViews>
  <sheetFormatPr defaultRowHeight="15" x14ac:dyDescent="0.25"/>
  <cols>
    <col min="1" max="1" width="2.7109375" style="7" bestFit="1" customWidth="1"/>
    <col min="2" max="2" width="2.85546875" style="7" bestFit="1" customWidth="1"/>
    <col min="3" max="3" width="3.42578125" style="7" bestFit="1" customWidth="1"/>
    <col min="4" max="4" width="2.7109375" style="7" bestFit="1" customWidth="1"/>
    <col min="5" max="5" width="2.42578125" style="7" bestFit="1" customWidth="1"/>
    <col min="6" max="6" width="7.7109375" bestFit="1" customWidth="1"/>
    <col min="7" max="7" width="6.7109375" bestFit="1" customWidth="1"/>
    <col min="8" max="8" width="2" customWidth="1"/>
    <col min="9" max="9" width="6.42578125" bestFit="1" customWidth="1"/>
    <col min="10" max="10" width="4.42578125" bestFit="1" customWidth="1"/>
    <col min="11" max="11" width="12.5703125" bestFit="1" customWidth="1"/>
    <col min="12" max="14" width="13.42578125" bestFit="1" customWidth="1"/>
    <col min="15" max="15" width="12.28515625" bestFit="1" customWidth="1"/>
    <col min="16" max="16" width="12.7109375" bestFit="1" customWidth="1"/>
    <col min="17" max="18" width="12.28515625" bestFit="1" customWidth="1"/>
    <col min="19" max="19" width="12.5703125" bestFit="1" customWidth="1"/>
    <col min="20" max="22" width="13.42578125" bestFit="1" customWidth="1"/>
    <col min="23" max="28" width="14.42578125" bestFit="1" customWidth="1"/>
    <col min="29" max="29" width="12.7109375" bestFit="1" customWidth="1"/>
    <col min="30" max="30" width="12.5703125" bestFit="1" customWidth="1"/>
    <col min="31" max="31" width="12.28515625" bestFit="1" customWidth="1"/>
    <col min="32" max="32" width="12" bestFit="1" customWidth="1"/>
    <col min="33" max="33" width="13.42578125" bestFit="1" customWidth="1"/>
    <col min="34" max="34" width="12.5703125" bestFit="1" customWidth="1"/>
    <col min="35" max="35" width="12.7109375" bestFit="1" customWidth="1"/>
    <col min="36" max="37" width="12.28515625" bestFit="1" customWidth="1"/>
    <col min="38" max="42" width="12.5703125" bestFit="1" customWidth="1"/>
    <col min="43" max="43" width="13.42578125" bestFit="1" customWidth="1"/>
    <col min="44" max="44" width="12.5703125" bestFit="1" customWidth="1"/>
    <col min="45" max="45" width="17.28515625" bestFit="1" customWidth="1"/>
    <col min="46" max="46" width="13.42578125" bestFit="1" customWidth="1"/>
    <col min="47" max="47" width="15.7109375" bestFit="1" customWidth="1"/>
    <col min="48" max="64" width="13.42578125" bestFit="1" customWidth="1"/>
    <col min="65" max="65" width="12.28515625" bestFit="1" customWidth="1"/>
  </cols>
  <sheetData>
    <row r="1" spans="1:65" ht="18.75" customHeight="1" x14ac:dyDescent="0.25">
      <c r="A1" s="338" t="s">
        <v>655</v>
      </c>
      <c r="B1" s="338"/>
      <c r="C1" s="338"/>
      <c r="D1" s="338"/>
      <c r="E1" s="338"/>
      <c r="F1" s="338"/>
      <c r="G1" s="338"/>
      <c r="H1" s="338"/>
      <c r="I1" s="338"/>
    </row>
    <row r="2" spans="1:65" x14ac:dyDescent="0.25">
      <c r="A2" s="90"/>
      <c r="B2" s="47"/>
      <c r="C2" s="47"/>
      <c r="D2" s="47"/>
      <c r="E2" s="47"/>
      <c r="F2" s="4"/>
      <c r="G2" s="4"/>
      <c r="H2" s="4"/>
      <c r="J2" s="19"/>
      <c r="K2" s="19" t="str">
        <f>Examples!E2</f>
        <v>7.a</v>
      </c>
      <c r="L2" s="19" t="str">
        <f>Examples!F2</f>
        <v>7.b</v>
      </c>
      <c r="M2" s="19" t="str">
        <f>Examples!G2</f>
        <v>7.c.1/8</v>
      </c>
      <c r="N2" s="19" t="str">
        <f>Examples!H2</f>
        <v>7.c.2</v>
      </c>
      <c r="O2" s="19" t="str">
        <f>Examples!I2</f>
        <v>7.c.3</v>
      </c>
      <c r="P2" s="19" t="str">
        <f>Examples!J2</f>
        <v>7.c.4</v>
      </c>
      <c r="Q2" s="19" t="str">
        <f>Examples!K2</f>
        <v>7.c.5</v>
      </c>
      <c r="R2" s="19" t="str">
        <f>Examples!L2</f>
        <v>7.c.6</v>
      </c>
      <c r="S2" s="19" t="str">
        <f>Examples!M2</f>
        <v>7.c.7</v>
      </c>
      <c r="T2" s="19" t="str">
        <f>Examples!N2</f>
        <v>7.c.8</v>
      </c>
      <c r="U2" s="19" t="str">
        <f>Examples!O2</f>
        <v>7.c.9</v>
      </c>
      <c r="V2" s="19" t="str">
        <f>Examples!P2</f>
        <v>7.c.10</v>
      </c>
      <c r="W2" s="19" t="str">
        <f>Examples!Q2</f>
        <v>7.c.11</v>
      </c>
      <c r="X2" s="19" t="str">
        <f>Examples!R2</f>
        <v>7.c.12</v>
      </c>
      <c r="Y2" s="19" t="str">
        <f>Examples!S2</f>
        <v>7.c.13</v>
      </c>
      <c r="Z2" s="19" t="str">
        <f>Examples!T2</f>
        <v>7.c.14</v>
      </c>
      <c r="AA2" s="19" t="str">
        <f>Examples!U2</f>
        <v>7.c.15</v>
      </c>
      <c r="AB2" s="19" t="str">
        <f>Examples!V2</f>
        <v>7.c.16</v>
      </c>
      <c r="AC2" s="19" t="str">
        <f>Examples!W2</f>
        <v>22.a</v>
      </c>
      <c r="AD2" s="19" t="str">
        <f>Examples!X2</f>
        <v>47.a/48.a</v>
      </c>
      <c r="AE2" s="19" t="str">
        <f>Examples!Y2</f>
        <v>49.a</v>
      </c>
      <c r="AF2" s="19" t="str">
        <f>Examples!Z2</f>
        <v>49.b</v>
      </c>
      <c r="AG2" s="19" t="str">
        <f>Examples!AA2</f>
        <v>1/1/2000/8</v>
      </c>
      <c r="AH2" s="19" t="str">
        <f>Examples!AB2</f>
        <v>7.e/8</v>
      </c>
      <c r="AI2" s="19" t="str">
        <f>Examples!AC2</f>
        <v>7.f</v>
      </c>
      <c r="AJ2" s="19" t="str">
        <f>Examples!AD2</f>
        <v>7.g</v>
      </c>
      <c r="AK2" s="19" t="str">
        <f>Examples!AE2</f>
        <v>10.a</v>
      </c>
      <c r="AL2" s="19" t="str">
        <f>Examples!AF2</f>
        <v>32.a</v>
      </c>
      <c r="AM2" s="19" t="str">
        <f>Examples!AG2</f>
        <v>25.a</v>
      </c>
      <c r="AN2" s="19" t="str">
        <f>Examples!AH2</f>
        <v>8.a</v>
      </c>
      <c r="AO2" s="19" t="str">
        <f>Examples!AI2</f>
        <v>8.b</v>
      </c>
      <c r="AP2" s="19" t="str">
        <f>Examples!AJ2</f>
        <v>8.c</v>
      </c>
      <c r="AQ2" s="19" t="str">
        <f>Examples!AK2</f>
        <v>8.d</v>
      </c>
      <c r="AR2" s="19" t="str">
        <f>Examples!AL2</f>
        <v>9.a</v>
      </c>
      <c r="AS2" s="19" t="str">
        <f>Examples!AM2</f>
        <v>Muslim date 1-1-1</v>
      </c>
      <c r="AT2" s="19" t="str">
        <f>Examples!AN2</f>
        <v>9.b</v>
      </c>
      <c r="AU2" s="19" t="str">
        <f>Examples!AO2</f>
        <v>Gregorian Epoch</v>
      </c>
      <c r="AV2" s="19" t="str">
        <f>Examples!AP2</f>
        <v>New Moon</v>
      </c>
      <c r="AW2" s="19" t="str">
        <f>Examples!AQ2</f>
        <v>1st Qtr Moon</v>
      </c>
      <c r="AX2" s="19" t="str">
        <f>Examples!AR2</f>
        <v>Full Moon</v>
      </c>
      <c r="AY2" s="19" t="str">
        <f>Examples!AS2</f>
        <v>3rd Qtr Moon</v>
      </c>
      <c r="AZ2" s="19" t="str">
        <f>Examples!AT2</f>
        <v>Eclipse</v>
      </c>
      <c r="BA2" s="19" t="str">
        <f>Examples!AU2</f>
        <v>54.c lunar eclipse</v>
      </c>
      <c r="BB2" s="19" t="str">
        <f>Examples!AV2</f>
        <v>54.d lunar eclipse</v>
      </c>
      <c r="BC2" s="19" t="str">
        <f>Examples!AW2</f>
        <v>p 387 eclipse</v>
      </c>
      <c r="BD2" s="19" t="str">
        <f>Examples!AX2</f>
        <v>p 387</v>
      </c>
      <c r="BE2" s="19" t="str">
        <f>Examples!AY2</f>
        <v>new+16</v>
      </c>
      <c r="BF2" s="19" t="str">
        <f>Examples!AZ2</f>
        <v>new+17</v>
      </c>
      <c r="BG2" s="19" t="str">
        <f>Examples!BA2</f>
        <v>new+18</v>
      </c>
      <c r="BH2" s="19" t="str">
        <f>Examples!BB2</f>
        <v>new+19</v>
      </c>
      <c r="BI2" s="19" t="str">
        <f>Examples!BC2</f>
        <v>new+20</v>
      </c>
      <c r="BJ2" s="19" t="str">
        <f>Examples!BD2</f>
        <v>new+21</v>
      </c>
      <c r="BK2" s="19" t="str">
        <f>Examples!BE2</f>
        <v>new+22 3rd</v>
      </c>
      <c r="BL2" s="19" t="str">
        <f>Examples!BF2</f>
        <v>new+23</v>
      </c>
      <c r="BM2" s="19" t="str">
        <f>Examples!BG2</f>
        <v>z</v>
      </c>
    </row>
    <row r="3" spans="1:65" x14ac:dyDescent="0.25">
      <c r="A3" s="47"/>
      <c r="B3" s="90"/>
      <c r="C3" s="90"/>
      <c r="D3" s="90"/>
      <c r="E3" s="90"/>
      <c r="F3" s="90"/>
      <c r="G3" s="90"/>
      <c r="H3" s="90"/>
      <c r="I3" s="90" t="s">
        <v>656</v>
      </c>
      <c r="J3" s="192" t="s">
        <v>3</v>
      </c>
      <c r="K3" s="181">
        <f>Examples!E4</f>
        <v>2436116.31</v>
      </c>
      <c r="L3" s="181">
        <f>Examples!F4</f>
        <v>1842713</v>
      </c>
      <c r="M3" s="181">
        <f>Examples!G4</f>
        <v>2451545</v>
      </c>
      <c r="N3" s="181">
        <f>Examples!H4</f>
        <v>2451179.5</v>
      </c>
      <c r="O3" s="181">
        <f>Examples!I4</f>
        <v>2446822.5</v>
      </c>
      <c r="P3" s="181">
        <f>Examples!J4</f>
        <v>2446966</v>
      </c>
      <c r="Q3" s="181">
        <f>Examples!K4</f>
        <v>2447187.5</v>
      </c>
      <c r="R3" s="181">
        <f>Examples!L4</f>
        <v>2447332</v>
      </c>
      <c r="S3" s="181">
        <f>Examples!M4</f>
        <v>2415020.500011574</v>
      </c>
      <c r="T3" s="181">
        <f>Examples!N4</f>
        <v>2305447.5</v>
      </c>
      <c r="U3" s="181">
        <f>Examples!O4</f>
        <v>2305812.5</v>
      </c>
      <c r="V3" s="181">
        <f>Examples!P4</f>
        <v>2026871.8</v>
      </c>
      <c r="W3" s="181">
        <f>Examples!Q4</f>
        <v>1676496.5</v>
      </c>
      <c r="X3" s="181">
        <f>Examples!R4</f>
        <v>1676497.5</v>
      </c>
      <c r="Y3" s="181">
        <f>Examples!S4</f>
        <v>1356001</v>
      </c>
      <c r="Z3" s="181">
        <f>Examples!T4</f>
        <v>1355866.5</v>
      </c>
      <c r="AA3" s="181">
        <f>Examples!U4</f>
        <v>1355671.4</v>
      </c>
      <c r="AB3" s="181">
        <f>Examples!V4</f>
        <v>0</v>
      </c>
      <c r="AC3" s="181">
        <f>Examples!W4</f>
        <v>2446895.5</v>
      </c>
      <c r="AD3" s="181">
        <f>Examples!X4</f>
        <v>2448724.5</v>
      </c>
      <c r="AE3" s="181">
        <f>Examples!Y4</f>
        <v>2443189.5</v>
      </c>
      <c r="AF3" s="181">
        <f>Examples!Z4</f>
        <v>2467615.5</v>
      </c>
      <c r="AG3" s="181">
        <f>Examples!AA4</f>
        <v>2451544.5</v>
      </c>
      <c r="AH3" s="181">
        <f>Examples!AB4</f>
        <v>2434923.5</v>
      </c>
      <c r="AI3" s="181">
        <f>Examples!AC4</f>
        <v>2443826.5</v>
      </c>
      <c r="AJ3" s="181">
        <f>Examples!AD4</f>
        <v>2447273.5</v>
      </c>
      <c r="AK3" s="181">
        <f>Examples!AE4</f>
        <v>2443192.6511574076</v>
      </c>
      <c r="AL3" s="181">
        <f>Examples!AF4</f>
        <v>2448976.5</v>
      </c>
      <c r="AM3" s="181">
        <f>Examples!AG4</f>
        <v>2448908.5</v>
      </c>
      <c r="AN3" s="181">
        <f>Examples!AH4</f>
        <v>2448316.5</v>
      </c>
      <c r="AO3" s="181">
        <f>Examples!AI4</f>
        <v>2448713.5</v>
      </c>
      <c r="AP3" s="181">
        <f>Examples!AJ4</f>
        <v>2449108.5</v>
      </c>
      <c r="AQ3" s="181">
        <f>Examples!AK4</f>
        <v>2385070.5</v>
      </c>
      <c r="AR3" s="181">
        <f>Examples!AL4</f>
        <v>2448154.5</v>
      </c>
      <c r="AS3" s="181">
        <f>Examples!AM4</f>
        <v>1948439.5</v>
      </c>
      <c r="AT3" s="181">
        <f>Examples!AN4</f>
        <v>2451640.5</v>
      </c>
      <c r="AU3" s="181">
        <f>Examples!AO4</f>
        <v>1721425.5</v>
      </c>
      <c r="AV3" s="181">
        <f>Examples!AP4</f>
        <v>2459848.0791666666</v>
      </c>
      <c r="AW3" s="181">
        <f>Examples!AQ4</f>
        <v>2459855.1347222221</v>
      </c>
      <c r="AX3" s="181">
        <f>Examples!AR4</f>
        <v>2459862.0375000001</v>
      </c>
      <c r="AY3" s="181">
        <f>Examples!AS4</f>
        <v>2459869.84375</v>
      </c>
      <c r="AZ3" s="181">
        <f>Examples!AT4</f>
        <v>2459884.5</v>
      </c>
      <c r="BA3" s="181">
        <f>Examples!AU4</f>
        <v>2441834.5</v>
      </c>
      <c r="BB3" s="181">
        <f>Examples!AV4</f>
        <v>2450692.5</v>
      </c>
      <c r="BC3" s="181">
        <f>Examples!AW4</f>
        <v>2427807.5</v>
      </c>
      <c r="BD3" s="181">
        <f>Examples!AX4</f>
        <v>2435943.5</v>
      </c>
      <c r="BE3" s="181">
        <f>Examples!AY4</f>
        <v>2459914.5</v>
      </c>
      <c r="BF3" s="181">
        <f>Examples!AZ4</f>
        <v>2459915.5</v>
      </c>
      <c r="BG3" s="181">
        <f>Examples!BA4</f>
        <v>2459916.5</v>
      </c>
      <c r="BH3" s="181">
        <f>Examples!BB4</f>
        <v>2459917.5</v>
      </c>
      <c r="BI3" s="181">
        <f>Examples!BC4</f>
        <v>2459918.5</v>
      </c>
      <c r="BJ3" s="181">
        <f>Examples!BD4</f>
        <v>2459919.5</v>
      </c>
      <c r="BK3" s="181">
        <f>Examples!BE4</f>
        <v>2459920.5</v>
      </c>
      <c r="BL3" s="181">
        <f>Examples!BF4</f>
        <v>2459921.5</v>
      </c>
      <c r="BM3" s="181">
        <f>Examples!BG4</f>
        <v>2443192.5</v>
      </c>
    </row>
    <row r="4" spans="1:65" x14ac:dyDescent="0.25">
      <c r="A4" s="47"/>
      <c r="B4" s="47"/>
      <c r="C4" s="47"/>
      <c r="D4" s="47"/>
      <c r="E4" s="47"/>
      <c r="G4" s="47"/>
      <c r="H4" s="47"/>
      <c r="I4" s="7"/>
      <c r="J4" s="192" t="s">
        <v>2</v>
      </c>
      <c r="K4" s="182">
        <f>'22Nutation'!E5</f>
        <v>-0.42241451060917029</v>
      </c>
      <c r="L4" s="182">
        <f>'22Nutation'!F5</f>
        <v>-16.668911704312116</v>
      </c>
      <c r="M4" s="182">
        <f>'22Nutation'!G5</f>
        <v>0</v>
      </c>
      <c r="N4" s="182">
        <f>'22Nutation'!H5</f>
        <v>-1.0006844626967831E-2</v>
      </c>
      <c r="O4" s="182">
        <f>'22Nutation'!I5</f>
        <v>-0.12929500342231348</v>
      </c>
      <c r="P4" s="182">
        <f>'22Nutation'!J5</f>
        <v>-0.12536618754277892</v>
      </c>
      <c r="Q4" s="182">
        <f>'22Nutation'!K5</f>
        <v>-0.11930184804928132</v>
      </c>
      <c r="R4" s="182">
        <f>'22Nutation'!L5</f>
        <v>-0.11534565366187542</v>
      </c>
      <c r="S4" s="182">
        <f>'22Nutation'!M5</f>
        <v>-0.99998631042918518</v>
      </c>
      <c r="T4" s="182">
        <f>'22Nutation'!N5</f>
        <v>-3.9999315537303217</v>
      </c>
      <c r="U4" s="182">
        <f>'22Nutation'!O5</f>
        <v>-3.9899383983572894</v>
      </c>
      <c r="V4" s="182">
        <f>'22Nutation'!P5</f>
        <v>-11.626918548939081</v>
      </c>
      <c r="W4" s="182">
        <f>'22Nutation'!Q5</f>
        <v>-21.219671457905545</v>
      </c>
      <c r="X4" s="182">
        <f>'22Nutation'!R5</f>
        <v>-21.219644079397671</v>
      </c>
      <c r="Y4" s="182">
        <f>'22Nutation'!S5</f>
        <v>-29.994360027378509</v>
      </c>
      <c r="Z4" s="182">
        <f>'22Nutation'!T5</f>
        <v>-29.9980424366872</v>
      </c>
      <c r="AA4" s="182">
        <f>'22Nutation'!U5</f>
        <v>-30.003383983572899</v>
      </c>
      <c r="AB4" s="182">
        <f>'22Nutation'!V5</f>
        <v>-67.119644079397673</v>
      </c>
      <c r="AC4" s="182">
        <f>'22Nutation'!W5</f>
        <v>-0.12729637234770705</v>
      </c>
      <c r="AD4" s="182">
        <f>'22Nutation'!X5</f>
        <v>-7.7221081451060922E-2</v>
      </c>
      <c r="AE4" s="182">
        <f>'22Nutation'!Y5</f>
        <v>-0.22876112251882272</v>
      </c>
      <c r="AF4" s="182">
        <f>'22Nutation'!Z5</f>
        <v>0.43998631074606431</v>
      </c>
      <c r="AG4" s="182">
        <f>'22Nutation'!AA5</f>
        <v>-1.3689253935660506E-5</v>
      </c>
      <c r="AH4" s="182">
        <f>'22Nutation'!AB5</f>
        <v>-0.45507186858316223</v>
      </c>
      <c r="AI4" s="182">
        <f>'22Nutation'!AC5</f>
        <v>-0.21132101300479125</v>
      </c>
      <c r="AJ4" s="182">
        <f>'22Nutation'!AD5</f>
        <v>-0.1169472963723477</v>
      </c>
      <c r="AK4" s="182">
        <f>'22Nutation'!AE5</f>
        <v>-0.2286748485309362</v>
      </c>
      <c r="AL4" s="182">
        <f>'22Nutation'!AF5</f>
        <v>-7.0321697467488023E-2</v>
      </c>
      <c r="AM4" s="182">
        <f>'22Nutation'!AG5</f>
        <v>-7.2183436002737855E-2</v>
      </c>
      <c r="AN4" s="182">
        <f>'22Nutation'!AH5</f>
        <v>-8.8391512662559887E-2</v>
      </c>
      <c r="AO4" s="182">
        <f>'22Nutation'!AI5</f>
        <v>-7.7522245037645446E-2</v>
      </c>
      <c r="AP4" s="182">
        <f>'22Nutation'!AJ5</f>
        <v>-6.670773442847365E-2</v>
      </c>
      <c r="AQ4" s="182">
        <f>'22Nutation'!AK5</f>
        <v>-1.8199726214921286</v>
      </c>
      <c r="AR4" s="182">
        <f>'22Nutation'!AL5</f>
        <v>-9.2826830937713892E-2</v>
      </c>
      <c r="AS4" s="182">
        <f>'22Nutation'!AM5</f>
        <v>-13.774277891854894</v>
      </c>
      <c r="AT4" s="182">
        <f>'22Nutation'!AN5</f>
        <v>2.6146475017111569E-3</v>
      </c>
      <c r="AU4" s="182">
        <f>'22Nutation'!AO5</f>
        <v>-19.989582477754961</v>
      </c>
      <c r="AV4" s="182">
        <f>'22Nutation'!AP5</f>
        <v>0.22732591832078314</v>
      </c>
      <c r="AW4" s="182">
        <f>'22Nutation'!AQ5</f>
        <v>0.22751908890409606</v>
      </c>
      <c r="AX4" s="182">
        <f>'22Nutation'!AR5</f>
        <v>0.22770807665982459</v>
      </c>
      <c r="AY4" s="182">
        <f>'22Nutation'!AS5</f>
        <v>0.22792180013689253</v>
      </c>
      <c r="AZ4" s="182">
        <f>'22Nutation'!AT5</f>
        <v>0.22832306639288158</v>
      </c>
      <c r="BA4" s="182">
        <f>'22Nutation'!AU5</f>
        <v>-0.26585900068446272</v>
      </c>
      <c r="BB4" s="182">
        <f>'22Nutation'!AV5</f>
        <v>-2.3340177960301165E-2</v>
      </c>
      <c r="BC4" s="182">
        <f>'22Nutation'!AW5</f>
        <v>-0.64989733059548249</v>
      </c>
      <c r="BD4" s="182">
        <f>'22Nutation'!AX5</f>
        <v>-0.42714579055441476</v>
      </c>
      <c r="BE4" s="182">
        <f>'22Nutation'!AY5</f>
        <v>0.22914442162902121</v>
      </c>
      <c r="BF4" s="182">
        <f>'22Nutation'!AZ5</f>
        <v>0.22917180013689253</v>
      </c>
      <c r="BG4" s="182">
        <f>'22Nutation'!BA5</f>
        <v>0.22919917864476386</v>
      </c>
      <c r="BH4" s="182">
        <f>'22Nutation'!BB5</f>
        <v>0.22922655715263518</v>
      </c>
      <c r="BI4" s="182">
        <f>'22Nutation'!BC5</f>
        <v>0.2292539356605065</v>
      </c>
      <c r="BJ4" s="182">
        <f>'22Nutation'!BD5</f>
        <v>0.22928131416837783</v>
      </c>
      <c r="BK4" s="182">
        <f>'22Nutation'!BE5</f>
        <v>0.22930869267624915</v>
      </c>
      <c r="BL4" s="182">
        <f>'22Nutation'!BF5</f>
        <v>0.22933607118412047</v>
      </c>
      <c r="BM4" s="182">
        <f>'22Nutation'!BG5</f>
        <v>-0.22867898699520875</v>
      </c>
    </row>
    <row r="5" spans="1:65" x14ac:dyDescent="0.25">
      <c r="A5" s="47"/>
      <c r="B5" s="47"/>
      <c r="C5" s="47"/>
      <c r="D5" s="186"/>
      <c r="E5" s="186"/>
      <c r="F5" s="47"/>
      <c r="G5" s="186"/>
      <c r="H5" s="186"/>
      <c r="I5" s="89"/>
      <c r="J5" s="192" t="s">
        <v>162</v>
      </c>
      <c r="K5" s="183">
        <f>'22Nutation'!E7</f>
        <v>-187789.43896813926</v>
      </c>
      <c r="L5" s="183">
        <f>'22Nutation'!F7</f>
        <v>-7421820.8720436916</v>
      </c>
      <c r="M5" s="183">
        <f>'22Nutation'!G7</f>
        <v>297.85036000000002</v>
      </c>
      <c r="N5" s="183">
        <f>'22Nutation'!H7</f>
        <v>-4157.868442270812</v>
      </c>
      <c r="O5" s="183">
        <f>'22Nutation'!I7</f>
        <v>-57272.962374661714</v>
      </c>
      <c r="P5" s="183">
        <f>'22Nutation'!J7</f>
        <v>-55523.589874528399</v>
      </c>
      <c r="Q5" s="183">
        <f>'22Nutation'!K7</f>
        <v>-52823.338942383016</v>
      </c>
      <c r="R5" s="183">
        <f>'22Nutation'!L7</f>
        <v>-51061.775693271557</v>
      </c>
      <c r="S5" s="183">
        <f>'22Nutation'!M7</f>
        <v>-444963.16752377106</v>
      </c>
      <c r="T5" s="183">
        <f>'22Nutation'!N7</f>
        <v>-1780740.1496511206</v>
      </c>
      <c r="U5" s="183">
        <f>'22Nutation'!O7</f>
        <v>-1776290.5260682369</v>
      </c>
      <c r="V5" s="183">
        <f>'22Nutation'!P7</f>
        <v>-5176786.8544064471</v>
      </c>
      <c r="W5" s="183">
        <f>'22Nutation'!Q7</f>
        <v>-9448124.8785989396</v>
      </c>
      <c r="X5" s="183">
        <f>'22Nutation'!R7</f>
        <v>-9448112.6878474038</v>
      </c>
      <c r="Y5" s="183">
        <f>'22Nutation'!S7</f>
        <v>-13355206.064273711</v>
      </c>
      <c r="Z5" s="183">
        <f>'22Nutation'!T7</f>
        <v>-13356845.720505217</v>
      </c>
      <c r="AA5" s="183">
        <f>'22Nutation'!U7</f>
        <v>-13359224.136347469</v>
      </c>
      <c r="AB5" s="183">
        <f>'22Nutation'!V7</f>
        <v>-29885882.411875948</v>
      </c>
      <c r="AC5" s="183">
        <f>'22Nutation'!W7</f>
        <v>-56383.037688175355</v>
      </c>
      <c r="AD5" s="183">
        <f>'22Nutation'!X7</f>
        <v>-34086.157534492697</v>
      </c>
      <c r="AE5" s="183">
        <f>'22Nutation'!Y7</f>
        <v>-101561.95398311502</v>
      </c>
      <c r="AF5" s="183">
        <f>'22Nutation'!Z7</f>
        <v>196209.28366652524</v>
      </c>
      <c r="AG5" s="183">
        <f>'22Nutation'!AA7</f>
        <v>291.7549854417519</v>
      </c>
      <c r="AH5" s="183">
        <f>'22Nutation'!AB7</f>
        <v>-202330.68647674064</v>
      </c>
      <c r="AI5" s="183">
        <f>'22Nutation'!AC7</f>
        <v>-93796.446781202336</v>
      </c>
      <c r="AJ5" s="183">
        <f>'22Nutation'!AD7</f>
        <v>-51774.934517299072</v>
      </c>
      <c r="AK5" s="183">
        <f>'22Nutation'!AE7</f>
        <v>-101523.53901365731</v>
      </c>
      <c r="AL5" s="183">
        <f>'22Nutation'!AF7</f>
        <v>-31014.088755186647</v>
      </c>
      <c r="AM5" s="183">
        <f>'22Nutation'!AG7</f>
        <v>-31843.05969561635</v>
      </c>
      <c r="AN5" s="183">
        <f>'22Nutation'!AH7</f>
        <v>-39059.983177565293</v>
      </c>
      <c r="AO5" s="183">
        <f>'22Nutation'!AI7</f>
        <v>-34220.255774863377</v>
      </c>
      <c r="AP5" s="183">
        <f>'22Nutation'!AJ7</f>
        <v>-29404.909870861018</v>
      </c>
      <c r="AQ5" s="183">
        <f>'22Nutation'!AK7</f>
        <v>-810076.10815670469</v>
      </c>
      <c r="AR5" s="183">
        <f>'22Nutation'!AL7</f>
        <v>-41034.884535976707</v>
      </c>
      <c r="AS5" s="183">
        <f>'22Nutation'!AM7</f>
        <v>-6132935.4562445609</v>
      </c>
      <c r="AT5" s="183">
        <f>'22Nutation'!AN7</f>
        <v>1462.0669006122389</v>
      </c>
      <c r="AU5" s="183">
        <f>'22Nutation'!AO7</f>
        <v>-8900406.606239941</v>
      </c>
      <c r="AV5" s="183">
        <f>'22Nutation'!AP7</f>
        <v>101518.60527637528</v>
      </c>
      <c r="AW5" s="183">
        <f>'22Nutation'!AQ7</f>
        <v>101604.61778386189</v>
      </c>
      <c r="AX5" s="183">
        <f>'22Nutation'!AR7</f>
        <v>101688.76781579568</v>
      </c>
      <c r="AY5" s="183">
        <f>'22Nutation'!AS7</f>
        <v>101783.93185089897</v>
      </c>
      <c r="AZ5" s="183">
        <f>'22Nutation'!AT7</f>
        <v>101962.60251728751</v>
      </c>
      <c r="BA5" s="183">
        <f>'22Nutation'!AU7</f>
        <v>-118080.41907112682</v>
      </c>
      <c r="BB5" s="183">
        <f>'22Nutation'!AV7</f>
        <v>-10094.763262855313</v>
      </c>
      <c r="BC5" s="183">
        <f>'22Nutation'!AW7</f>
        <v>-289080.0576027559</v>
      </c>
      <c r="BD5" s="183">
        <f>'22Nutation'!AX7</f>
        <v>-189896.1223306692</v>
      </c>
      <c r="BE5" s="183">
        <f>'22Nutation'!AY7</f>
        <v>102328.3249900638</v>
      </c>
      <c r="BF5" s="183">
        <f>'22Nutation'!AZ7</f>
        <v>102340.5157391563</v>
      </c>
      <c r="BG5" s="183">
        <f>'22Nutation'!BA7</f>
        <v>102352.7064882488</v>
      </c>
      <c r="BH5" s="183">
        <f>'22Nutation'!BB7</f>
        <v>102364.89723734128</v>
      </c>
      <c r="BI5" s="183">
        <f>'22Nutation'!BC7</f>
        <v>102377.08798643378</v>
      </c>
      <c r="BJ5" s="183">
        <f>'22Nutation'!BD7</f>
        <v>102389.27873552627</v>
      </c>
      <c r="BK5" s="183">
        <f>'22Nutation'!BE7</f>
        <v>102401.46948461875</v>
      </c>
      <c r="BL5" s="183">
        <f>'22Nutation'!BF7</f>
        <v>102413.66023371124</v>
      </c>
      <c r="BM5" s="183">
        <f>'22Nutation'!BG7</f>
        <v>-101525.38173569353</v>
      </c>
    </row>
    <row r="6" spans="1:65" x14ac:dyDescent="0.25">
      <c r="A6" s="90"/>
      <c r="B6" s="47"/>
      <c r="D6" s="47"/>
      <c r="E6" s="47"/>
      <c r="F6" s="48"/>
      <c r="G6" s="48"/>
      <c r="H6" s="48"/>
      <c r="I6" s="6"/>
      <c r="J6" s="192" t="s">
        <v>5</v>
      </c>
      <c r="K6" s="183">
        <f>'22Nutation'!E9</f>
        <v>-14848.993540117715</v>
      </c>
      <c r="L6" s="183">
        <f>'22Nutation'!F9</f>
        <v>-599707.49293798581</v>
      </c>
      <c r="M6" s="183">
        <f>'22Nutation'!G9</f>
        <v>357.52771999999999</v>
      </c>
      <c r="N6" s="183">
        <f>'22Nutation'!H9</f>
        <v>-2.7091834868221074</v>
      </c>
      <c r="O6" s="183">
        <f>'22Nutation'!I9</f>
        <v>-4296.9696195828974</v>
      </c>
      <c r="P6" s="183">
        <f>'22Nutation'!J9</f>
        <v>-4155.5359787991956</v>
      </c>
      <c r="Q6" s="183">
        <f>'22Nutation'!K9</f>
        <v>-3937.2255158569878</v>
      </c>
      <c r="R6" s="183">
        <f>'22Nutation'!L9</f>
        <v>-3794.8062748016741</v>
      </c>
      <c r="S6" s="183">
        <f>'22Nutation'!M9</f>
        <v>-35641.029965413523</v>
      </c>
      <c r="T6" s="183">
        <f>'22Nutation'!N9</f>
        <v>-143636.21199068212</v>
      </c>
      <c r="U6" s="183">
        <f>'22Nutation'!O9</f>
        <v>-143276.46787614873</v>
      </c>
      <c r="V6" s="183">
        <f>'22Nutation'!P9</f>
        <v>-418200.51485323854</v>
      </c>
      <c r="W6" s="183">
        <f>'22Nutation'!Q9</f>
        <v>-763530.53362147824</v>
      </c>
      <c r="X6" s="183">
        <f>'22Nutation'!R9</f>
        <v>-763529.54802113213</v>
      </c>
      <c r="Y6" s="183">
        <f>'22Nutation'!S9</f>
        <v>-1079411.003088193</v>
      </c>
      <c r="Z6" s="183">
        <f>'22Nutation'!T9</f>
        <v>-1079543.5663285484</v>
      </c>
      <c r="AA6" s="183">
        <f>'22Nutation'!U9</f>
        <v>-1079735.8569470805</v>
      </c>
      <c r="AB6" s="183">
        <f>'22Nutation'!V9</f>
        <v>-2415885.6325323409</v>
      </c>
      <c r="AC6" s="183">
        <f>'22Nutation'!W9</f>
        <v>-4225.020798835174</v>
      </c>
      <c r="AD6" s="183">
        <f>'22Nutation'!X9</f>
        <v>-2422.3578794203322</v>
      </c>
      <c r="AE6" s="183">
        <f>'22Nutation'!Y9</f>
        <v>-7877.6554537388647</v>
      </c>
      <c r="AF6" s="183">
        <f>'22Nutation'!Z9</f>
        <v>16196.617038142384</v>
      </c>
      <c r="AG6" s="183">
        <f>'22Nutation'!AA9</f>
        <v>357.03491985845307</v>
      </c>
      <c r="AH6" s="183">
        <f>'22Nutation'!AB9</f>
        <v>-16024.627418325577</v>
      </c>
      <c r="AI6" s="183">
        <f>'22Nutation'!AC9</f>
        <v>-7249.8280721862666</v>
      </c>
      <c r="AJ6" s="183">
        <f>'22Nutation'!AD9</f>
        <v>-3852.4638914220827</v>
      </c>
      <c r="AK6" s="183">
        <f>'22Nutation'!AE9</f>
        <v>-7874.5496720996243</v>
      </c>
      <c r="AL6" s="183">
        <f>'22Nutation'!AF9</f>
        <v>-2173.9866079178987</v>
      </c>
      <c r="AM6" s="183">
        <f>'22Nutation'!AG9</f>
        <v>-2241.0074272107095</v>
      </c>
      <c r="AN6" s="183">
        <f>'22Nutation'!AH9</f>
        <v>-2824.4827952183723</v>
      </c>
      <c r="AO6" s="183">
        <f>'22Nutation'!AI9</f>
        <v>-2433.1994825418151</v>
      </c>
      <c r="AP6" s="183">
        <f>'22Nutation'!AJ9</f>
        <v>-2043.8873704703071</v>
      </c>
      <c r="AQ6" s="183">
        <f>'22Nutation'!AK9</f>
        <v>-65159.758809384337</v>
      </c>
      <c r="AR6" s="183">
        <f>'22Nutation'!AL9</f>
        <v>-2984.1500412080422</v>
      </c>
      <c r="AS6" s="183">
        <f>'22Nutation'!AM9</f>
        <v>-495503.41720852355</v>
      </c>
      <c r="AT6" s="183">
        <f>'22Nutation'!AN9</f>
        <v>451.65254703435926</v>
      </c>
      <c r="AU6" s="183">
        <f>'22Nutation'!AO9</f>
        <v>-719248.49560048466</v>
      </c>
      <c r="AV6" s="183">
        <f>'22Nutation'!AP9</f>
        <v>8541.0448888936062</v>
      </c>
      <c r="AW6" s="183">
        <f>'22Nutation'!AQ9</f>
        <v>8547.9988464323123</v>
      </c>
      <c r="AX6" s="183">
        <f>'22Nutation'!AR9</f>
        <v>8554.8022261505394</v>
      </c>
      <c r="AY6" s="183">
        <f>'22Nutation'!AS9</f>
        <v>8562.4960683446261</v>
      </c>
      <c r="AZ6" s="183">
        <f>'22Nutation'!AT9</f>
        <v>8576.9412724641643</v>
      </c>
      <c r="BA6" s="183">
        <f>'22Nutation'!AU9</f>
        <v>-9213.1438402495969</v>
      </c>
      <c r="BB6" s="183">
        <f>'22Nutation'!AV9</f>
        <v>-482.69652142472341</v>
      </c>
      <c r="BC6" s="183">
        <f>'22Nutation'!AW9</f>
        <v>-23038.159066728771</v>
      </c>
      <c r="BD6" s="183">
        <f>'22Nutation'!AX9</f>
        <v>-15019.315125674993</v>
      </c>
      <c r="BE6" s="183">
        <f>'22Nutation'!AY9</f>
        <v>8606.5092808963163</v>
      </c>
      <c r="BF6" s="183">
        <f>'22Nutation'!AZ9</f>
        <v>8607.4948811773829</v>
      </c>
      <c r="BG6" s="183">
        <f>'22Nutation'!BA9</f>
        <v>8608.4804814584513</v>
      </c>
      <c r="BH6" s="183">
        <f>'22Nutation'!BB9</f>
        <v>8609.4660817395179</v>
      </c>
      <c r="BI6" s="183">
        <f>'22Nutation'!BC9</f>
        <v>8610.4516820205863</v>
      </c>
      <c r="BJ6" s="183">
        <f>'22Nutation'!BD9</f>
        <v>8611.4372823016529</v>
      </c>
      <c r="BK6" s="183">
        <f>'22Nutation'!BE9</f>
        <v>8612.4228825827195</v>
      </c>
      <c r="BL6" s="183">
        <f>'22Nutation'!BF9</f>
        <v>8613.408482863786</v>
      </c>
      <c r="BM6" s="183">
        <f>'22Nutation'!BG9</f>
        <v>-7874.6986528836042</v>
      </c>
    </row>
    <row r="7" spans="1:65" x14ac:dyDescent="0.25">
      <c r="A7" s="90"/>
      <c r="B7" s="47"/>
      <c r="C7" s="48"/>
      <c r="D7" s="48"/>
      <c r="E7" s="47"/>
      <c r="F7" s="48"/>
      <c r="G7" s="48"/>
      <c r="H7" s="48"/>
      <c r="I7" s="6"/>
      <c r="J7" s="192" t="s">
        <v>6</v>
      </c>
      <c r="K7" s="183">
        <f>'22Nutation'!E11</f>
        <v>-201440.76150464013</v>
      </c>
      <c r="L7" s="183">
        <f>'22Nutation'!F11</f>
        <v>-7954248.4888730133</v>
      </c>
      <c r="M7" s="183">
        <f>'22Nutation'!G11</f>
        <v>134.96297999999999</v>
      </c>
      <c r="N7" s="183">
        <f>'22Nutation'!H11</f>
        <v>-4640.2919413459176</v>
      </c>
      <c r="O7" s="183">
        <f>'22Nutation'!I11</f>
        <v>-61564.466067994137</v>
      </c>
      <c r="P7" s="183">
        <f>'22Nutation'!J11</f>
        <v>-59689.639588763268</v>
      </c>
      <c r="Q7" s="183">
        <f>'22Nutation'!K11</f>
        <v>-56795.74366384888</v>
      </c>
      <c r="R7" s="183">
        <f>'22Nutation'!L11</f>
        <v>-54907.852191043268</v>
      </c>
      <c r="S7" s="183">
        <f>'22Nutation'!M11</f>
        <v>-477057.36309112713</v>
      </c>
      <c r="T7" s="183">
        <f>'22Nutation'!N11</f>
        <v>-1908627.7061169134</v>
      </c>
      <c r="U7" s="183">
        <f>'22Nutation'!O11</f>
        <v>-1903858.9843770836</v>
      </c>
      <c r="V7" s="183">
        <f>'22Nutation'!P11</f>
        <v>-5548216.2521123942</v>
      </c>
      <c r="W7" s="183">
        <f>'22Nutation'!Q11</f>
        <v>-10125864.477024093</v>
      </c>
      <c r="X7" s="183">
        <f>'22Nutation'!R11</f>
        <v>-10125851.412040593</v>
      </c>
      <c r="Y7" s="183">
        <f>'22Nutation'!S11</f>
        <v>-14313132.325605042</v>
      </c>
      <c r="Z7" s="183">
        <f>'22Nutation'!T11</f>
        <v>-14314889.565411801</v>
      </c>
      <c r="AA7" s="183">
        <f>'22Nutation'!U11</f>
        <v>-14317438.543004759</v>
      </c>
      <c r="AB7" s="183">
        <f>'22Nutation'!V11</f>
        <v>-32029249.366167314</v>
      </c>
      <c r="AC7" s="183">
        <f>'22Nutation'!W11</f>
        <v>-60610.721587303946</v>
      </c>
      <c r="AD7" s="183">
        <f>'22Nutation'!X11</f>
        <v>-36714.849575840934</v>
      </c>
      <c r="AE7" s="183">
        <f>'22Nutation'!Y11</f>
        <v>-109029.58513575129</v>
      </c>
      <c r="AF7" s="183">
        <f>'22Nutation'!Z11</f>
        <v>210095.93382383377</v>
      </c>
      <c r="AG7" s="183">
        <f>'22Nutation'!AA11</f>
        <v>128.43048352638081</v>
      </c>
      <c r="AH7" s="183">
        <f>'22Nutation'!AB11</f>
        <v>-217024.8154931452</v>
      </c>
      <c r="AI7" s="183">
        <f>'22Nutation'!AC11</f>
        <v>-100707.18469506505</v>
      </c>
      <c r="AJ7" s="183">
        <f>'22Nutation'!AD11</f>
        <v>-55672.154275222252</v>
      </c>
      <c r="AK7" s="183">
        <f>'22Nutation'!AE11</f>
        <v>-108988.41528678894</v>
      </c>
      <c r="AL7" s="183">
        <f>'22Nutation'!AF11</f>
        <v>-33422.471361987395</v>
      </c>
      <c r="AM7" s="183">
        <f>'22Nutation'!AG11</f>
        <v>-34310.890880092891</v>
      </c>
      <c r="AN7" s="183">
        <f>'22Nutation'!AH11</f>
        <v>-42045.366682230087</v>
      </c>
      <c r="AO7" s="183">
        <f>'22Nutation'!AI11</f>
        <v>-36858.564497855368</v>
      </c>
      <c r="AP7" s="183">
        <f>'22Nutation'!AJ11</f>
        <v>-31697.892297257615</v>
      </c>
      <c r="AQ7" s="183">
        <f>'22Nutation'!AK11</f>
        <v>-868353.88199084392</v>
      </c>
      <c r="AR7" s="183">
        <f>'22Nutation'!AL11</f>
        <v>-44161.895532694703</v>
      </c>
      <c r="AS7" s="183">
        <f>'22Nutation'!AM11</f>
        <v>-6572933.2425728608</v>
      </c>
      <c r="AT7" s="183">
        <f>'22Nutation'!AN11</f>
        <v>1382.6698065210319</v>
      </c>
      <c r="AU7" s="183">
        <f>'22Nutation'!AO11</f>
        <v>-9538867.8219068572</v>
      </c>
      <c r="AV7" s="183">
        <f>'22Nutation'!AP11</f>
        <v>108614.63418254265</v>
      </c>
      <c r="AW7" s="183">
        <f>'22Nutation'!AQ11</f>
        <v>108706.81496687888</v>
      </c>
      <c r="AX7" s="183">
        <f>'22Nutation'!AR11</f>
        <v>108796.99971061338</v>
      </c>
      <c r="AY7" s="183">
        <f>'22Nutation'!AS11</f>
        <v>108898.98831265408</v>
      </c>
      <c r="AZ7" s="183">
        <f>'22Nutation'!AT11</f>
        <v>109090.47211713046</v>
      </c>
      <c r="BA7" s="183">
        <f>'22Nutation'!AU11</f>
        <v>-126732.65041979692</v>
      </c>
      <c r="BB7" s="183">
        <f>'22Nutation'!AV11</f>
        <v>-11002.943502785783</v>
      </c>
      <c r="BC7" s="183">
        <f>'22Nutation'!AW11</f>
        <v>-309995.30343662144</v>
      </c>
      <c r="BD7" s="183">
        <f>'22Nutation'!AX11</f>
        <v>-203698.5229009407</v>
      </c>
      <c r="BE7" s="183">
        <f>'22Nutation'!AY11</f>
        <v>109482.42190881791</v>
      </c>
      <c r="BF7" s="183">
        <f>'22Nutation'!AZ11</f>
        <v>109495.48690187436</v>
      </c>
      <c r="BG7" s="183">
        <f>'22Nutation'!BA11</f>
        <v>109508.55189493082</v>
      </c>
      <c r="BH7" s="183">
        <f>'22Nutation'!BB11</f>
        <v>109521.6168879873</v>
      </c>
      <c r="BI7" s="183">
        <f>'22Nutation'!BC11</f>
        <v>109534.6818810438</v>
      </c>
      <c r="BJ7" s="183">
        <f>'22Nutation'!BD11</f>
        <v>109547.7468741003</v>
      </c>
      <c r="BK7" s="183">
        <f>'22Nutation'!BE11</f>
        <v>109560.81186715682</v>
      </c>
      <c r="BL7" s="183">
        <f>'22Nutation'!BF11</f>
        <v>109573.87686021335</v>
      </c>
      <c r="BM7" s="183">
        <f>'22Nutation'!BG11</f>
        <v>-108990.39015723612</v>
      </c>
    </row>
    <row r="8" spans="1:65" x14ac:dyDescent="0.25">
      <c r="A8" s="47"/>
      <c r="B8" s="47"/>
      <c r="C8" s="48"/>
      <c r="D8" s="48"/>
      <c r="E8" s="47"/>
      <c r="F8" s="48"/>
      <c r="G8" s="48"/>
      <c r="H8" s="48"/>
      <c r="I8" s="6"/>
      <c r="J8" s="192" t="s">
        <v>7</v>
      </c>
      <c r="K8" s="183">
        <f>'22Nutation'!E13</f>
        <v>-204018.27251099155</v>
      </c>
      <c r="L8" s="183">
        <f>'22Nutation'!F13</f>
        <v>-8054359.5311205862</v>
      </c>
      <c r="M8" s="183">
        <f>'22Nutation'!G13</f>
        <v>93.271910000000005</v>
      </c>
      <c r="N8" s="183">
        <f>'22Nutation'!H13</f>
        <v>-4742.0556033089078</v>
      </c>
      <c r="O8" s="183">
        <f>'22Nutation'!I13</f>
        <v>-62382.33466281218</v>
      </c>
      <c r="P8" s="183">
        <f>'22Nutation'!J13</f>
        <v>-60483.922899600751</v>
      </c>
      <c r="Q8" s="183">
        <f>'22Nutation'!K13</f>
        <v>-57553.621815842598</v>
      </c>
      <c r="R8" s="183">
        <f>'22Nutation'!L13</f>
        <v>-55641.980702656547</v>
      </c>
      <c r="S8" s="183">
        <f>'22Nutation'!M13</f>
        <v>-483102.13448521768</v>
      </c>
      <c r="T8" s="183">
        <f>'22Nutation'!N13</f>
        <v>-1932681.7839799295</v>
      </c>
      <c r="U8" s="183">
        <f>'22Nutation'!O13</f>
        <v>-1927853.0708466219</v>
      </c>
      <c r="V8" s="183">
        <f>'22Nutation'!P13</f>
        <v>-5618057.7313097119</v>
      </c>
      <c r="W8" s="183">
        <f>'22Nutation'!Q13</f>
        <v>-10253296.475374248</v>
      </c>
      <c r="X8" s="183">
        <f>'22Nutation'!R13</f>
        <v>-10253283.246019613</v>
      </c>
      <c r="Y8" s="183">
        <f>'22Nutation'!S13</f>
        <v>-14493245.403538566</v>
      </c>
      <c r="Z8" s="183">
        <f>'22Nutation'!T13</f>
        <v>-14495024.751989825</v>
      </c>
      <c r="AA8" s="183">
        <f>'22Nutation'!U13</f>
        <v>-14497605.79944608</v>
      </c>
      <c r="AB8" s="183">
        <f>'22Nutation'!V13</f>
        <v>-32432271.677459422</v>
      </c>
      <c r="AC8" s="183">
        <f>'22Nutation'!W13</f>
        <v>-61416.592093359402</v>
      </c>
      <c r="AD8" s="183">
        <f>'22Nutation'!X13</f>
        <v>-37220.110465579368</v>
      </c>
      <c r="AE8" s="183">
        <f>'22Nutation'!Y13</f>
        <v>-110444.56421810064</v>
      </c>
      <c r="AF8" s="183">
        <f>'22Nutation'!Z13</f>
        <v>212695.54423897233</v>
      </c>
      <c r="AG8" s="183">
        <f>'22Nutation'!AA13</f>
        <v>86.657234879698152</v>
      </c>
      <c r="AH8" s="183">
        <f>'22Nutation'!AB13</f>
        <v>-219798.37387706994</v>
      </c>
      <c r="AI8" s="183">
        <f>'22Nutation'!AC13</f>
        <v>-102017.46808656574</v>
      </c>
      <c r="AJ8" s="183">
        <f>'22Nutation'!AD13</f>
        <v>-56415.897693102066</v>
      </c>
      <c r="AK8" s="183">
        <f>'22Nutation'!AE13</f>
        <v>-110402.87645294744</v>
      </c>
      <c r="AL8" s="183">
        <f>'22Nutation'!AF13</f>
        <v>-33886.31420119862</v>
      </c>
      <c r="AM8" s="183">
        <f>'22Nutation'!AG13</f>
        <v>-34785.910018536662</v>
      </c>
      <c r="AN8" s="183">
        <f>'22Nutation'!AH13</f>
        <v>-42617.685370558305</v>
      </c>
      <c r="AO8" s="183">
        <f>'22Nutation'!AI13</f>
        <v>-37365.633318397624</v>
      </c>
      <c r="AP8" s="183">
        <f>'22Nutation'!AJ13</f>
        <v>-32140.039967615314</v>
      </c>
      <c r="AQ8" s="183">
        <f>'22Nutation'!AK13</f>
        <v>-879321.18287488527</v>
      </c>
      <c r="AR8" s="183">
        <f>'22Nutation'!AL13</f>
        <v>-44760.840112496073</v>
      </c>
      <c r="AS8" s="183">
        <f>'22Nutation'!AM13</f>
        <v>-6655666.3022322403</v>
      </c>
      <c r="AT8" s="183">
        <f>'22Nutation'!AN13</f>
        <v>1356.6748579523473</v>
      </c>
      <c r="AU8" s="183">
        <f>'22Nutation'!AO13</f>
        <v>-9658914.8069558199</v>
      </c>
      <c r="AV8" s="183">
        <f>'22Nutation'!AP13</f>
        <v>109937.61409101609</v>
      </c>
      <c r="AW8" s="183">
        <f>'22Nutation'!AQ13</f>
        <v>110030.95450627842</v>
      </c>
      <c r="AX8" s="183">
        <f>'22Nutation'!AR13</f>
        <v>110122.27377081969</v>
      </c>
      <c r="AY8" s="183">
        <f>'22Nutation'!AS13</f>
        <v>110225.54538577567</v>
      </c>
      <c r="AZ8" s="183">
        <f>'22Nutation'!AT13</f>
        <v>110419.43804956551</v>
      </c>
      <c r="BA8" s="183">
        <f>'22Nutation'!AU13</f>
        <v>-128370.33386170915</v>
      </c>
      <c r="BB8" s="183">
        <f>'22Nutation'!AV13</f>
        <v>-11184.749172119617</v>
      </c>
      <c r="BC8" s="183">
        <f>'22Nutation'!AW13</f>
        <v>-313938.43098250125</v>
      </c>
      <c r="BD8" s="183">
        <f>'22Nutation'!AX13</f>
        <v>-206304.43654088044</v>
      </c>
      <c r="BE8" s="183">
        <f>'22Nutation'!AY13</f>
        <v>110816.31855540028</v>
      </c>
      <c r="BF8" s="183">
        <f>'22Nutation'!AZ13</f>
        <v>110829.54790559471</v>
      </c>
      <c r="BG8" s="183">
        <f>'22Nutation'!BA13</f>
        <v>110842.7772557891</v>
      </c>
      <c r="BH8" s="183">
        <f>'22Nutation'!BB13</f>
        <v>110856.00660598351</v>
      </c>
      <c r="BI8" s="183">
        <f>'22Nutation'!BC13</f>
        <v>110869.23595617789</v>
      </c>
      <c r="BJ8" s="183">
        <f>'22Nutation'!BD13</f>
        <v>110882.46530637228</v>
      </c>
      <c r="BK8" s="183">
        <f>'22Nutation'!BE13</f>
        <v>110895.69465656666</v>
      </c>
      <c r="BL8" s="183">
        <f>'22Nutation'!BF13</f>
        <v>110908.92400676105</v>
      </c>
      <c r="BM8" s="183">
        <f>'22Nutation'!BG13</f>
        <v>-110404.87616724042</v>
      </c>
    </row>
    <row r="9" spans="1:65" x14ac:dyDescent="0.25">
      <c r="A9" s="47"/>
      <c r="C9" s="4"/>
      <c r="D9" s="4"/>
      <c r="E9" s="47"/>
      <c r="F9" s="48"/>
      <c r="G9" s="48"/>
      <c r="H9" s="48"/>
      <c r="I9" s="6"/>
      <c r="J9" s="192" t="s">
        <v>9</v>
      </c>
      <c r="K9" s="183">
        <f>'22Nutation'!E15</f>
        <v>942.05211147543582</v>
      </c>
      <c r="L9" s="183">
        <f>'22Nutation'!F15</f>
        <v>32365.556163693622</v>
      </c>
      <c r="M9" s="183">
        <f>'22Nutation'!G15</f>
        <v>125.04452000000001</v>
      </c>
      <c r="N9" s="183">
        <f>'22Nutation'!H15</f>
        <v>144.39912125857285</v>
      </c>
      <c r="O9" s="183">
        <f>'22Nutation'!I15</f>
        <v>375.11870909838581</v>
      </c>
      <c r="P9" s="183">
        <f>'22Nutation'!J15</f>
        <v>367.51984177153963</v>
      </c>
      <c r="Q9" s="183">
        <f>'22Nutation'!K15</f>
        <v>355.79057978620716</v>
      </c>
      <c r="R9" s="183">
        <f>'22Nutation'!L15</f>
        <v>348.13875884397714</v>
      </c>
      <c r="S9" s="183">
        <f>'22Nutation'!M15</f>
        <v>2059.1563720258623</v>
      </c>
      <c r="T9" s="183">
        <f>'22Nutation'!N15</f>
        <v>7861.4901690390652</v>
      </c>
      <c r="U9" s="183">
        <f>'22Nutation'!O15</f>
        <v>7842.1618805925364</v>
      </c>
      <c r="V9" s="183">
        <f>'22Nutation'!P15</f>
        <v>22613.365737919514</v>
      </c>
      <c r="W9" s="183">
        <f>'22Nutation'!Q15</f>
        <v>41167.691728973543</v>
      </c>
      <c r="X9" s="183">
        <f>'22Nutation'!R15</f>
        <v>41167.638772884762</v>
      </c>
      <c r="Y9" s="183">
        <f>'22Nutation'!S15</f>
        <v>58140.026927585757</v>
      </c>
      <c r="Z9" s="183">
        <f>'22Nutation'!T15</f>
        <v>58147.149644342739</v>
      </c>
      <c r="AA9" s="183">
        <f>'22Nutation'!U15</f>
        <v>58157.481555505692</v>
      </c>
      <c r="AB9" s="183">
        <f>'22Nutation'!V15</f>
        <v>129952.23906075206</v>
      </c>
      <c r="AC9" s="183">
        <f>'22Nutation'!W15</f>
        <v>371.25308320287598</v>
      </c>
      <c r="AD9" s="183">
        <f>'22Nutation'!X15</f>
        <v>274.40062609548613</v>
      </c>
      <c r="AE9" s="183">
        <f>'22Nutation'!Y15</f>
        <v>567.49981051249881</v>
      </c>
      <c r="AF9" s="183">
        <f>'22Nutation'!Z15</f>
        <v>-725.94855688636244</v>
      </c>
      <c r="AG9" s="183">
        <f>'22Nutation'!AA15</f>
        <v>125.07099688242339</v>
      </c>
      <c r="AH9" s="183">
        <f>'22Nutation'!AB15</f>
        <v>1005.2159510211083</v>
      </c>
      <c r="AI9" s="183">
        <f>'22Nutation'!AC15</f>
        <v>533.76824641767485</v>
      </c>
      <c r="AJ9" s="183">
        <f>'22Nutation'!AD15</f>
        <v>351.23655485776567</v>
      </c>
      <c r="AK9" s="183">
        <f>'22Nutation'!AE15</f>
        <v>567.33294478245261</v>
      </c>
      <c r="AL9" s="183">
        <f>'22Nutation'!AF15</f>
        <v>261.05627524656592</v>
      </c>
      <c r="AM9" s="183">
        <f>'22Nutation'!AG15</f>
        <v>264.657131805429</v>
      </c>
      <c r="AN9" s="183">
        <f>'22Nutation'!AH15</f>
        <v>296.00576598304673</v>
      </c>
      <c r="AO9" s="183">
        <f>'22Nutation'!AI15</f>
        <v>274.98311760528571</v>
      </c>
      <c r="AP9" s="183">
        <f>'22Nutation'!AJ15</f>
        <v>254.06637726150748</v>
      </c>
      <c r="AQ9" s="183">
        <f>'22Nutation'!AK15</f>
        <v>3645.1264069704907</v>
      </c>
      <c r="AR9" s="183">
        <f>'22Nutation'!AL15</f>
        <v>304.5842775522836</v>
      </c>
      <c r="AS9" s="183">
        <f>'22Nutation'!AM15</f>
        <v>26766.761946561812</v>
      </c>
      <c r="AT9" s="183">
        <f>'22Nutation'!AN15</f>
        <v>119.98743547136422</v>
      </c>
      <c r="AU9" s="183">
        <f>'22Nutation'!AO15</f>
        <v>38788.430539784444</v>
      </c>
      <c r="AV9" s="183">
        <f>'22Nutation'!AP15</f>
        <v>-314.63467465036223</v>
      </c>
      <c r="AW9" s="183">
        <f>'22Nutation'!AQ15</f>
        <v>-315.00829269809361</v>
      </c>
      <c r="AX9" s="183">
        <f>'22Nutation'!AR15</f>
        <v>-315.37382059111218</v>
      </c>
      <c r="AY9" s="183">
        <f>'22Nutation'!AS15</f>
        <v>-315.78719071621026</v>
      </c>
      <c r="AZ9" s="183">
        <f>'22Nutation'!AT15</f>
        <v>-316.56329395298201</v>
      </c>
      <c r="BA9" s="183">
        <f>'22Nutation'!AU15</f>
        <v>639.25219986151694</v>
      </c>
      <c r="BB9" s="183">
        <f>'22Nutation'!AV15</f>
        <v>170.18760565928036</v>
      </c>
      <c r="BC9" s="183">
        <f>'22Nutation'!AW15</f>
        <v>1382.0353870584704</v>
      </c>
      <c r="BD9" s="183">
        <f>'22Nutation'!AX15</f>
        <v>951.20305989638018</v>
      </c>
      <c r="BE9" s="183">
        <f>'22Nutation'!AY15</f>
        <v>-318.15190611998622</v>
      </c>
      <c r="BF9" s="183">
        <f>'22Nutation'!AZ15</f>
        <v>-318.20485985883818</v>
      </c>
      <c r="BG9" s="183">
        <f>'22Nutation'!BA15</f>
        <v>-318.25781359768712</v>
      </c>
      <c r="BH9" s="183">
        <f>'22Nutation'!BB15</f>
        <v>-318.31076733653282</v>
      </c>
      <c r="BI9" s="183">
        <f>'22Nutation'!BC15</f>
        <v>-318.36372107537551</v>
      </c>
      <c r="BJ9" s="183">
        <f>'22Nutation'!BD15</f>
        <v>-318.41667481421501</v>
      </c>
      <c r="BK9" s="183">
        <f>'22Nutation'!BE15</f>
        <v>-318.46962855305151</v>
      </c>
      <c r="BL9" s="183">
        <f>'22Nutation'!BF15</f>
        <v>-318.52258229188482</v>
      </c>
      <c r="BM9" s="183">
        <f>'22Nutation'!BG15</f>
        <v>567.3409491401851</v>
      </c>
    </row>
    <row r="10" spans="1:65" x14ac:dyDescent="0.25">
      <c r="A10" s="47"/>
      <c r="B10" s="47"/>
      <c r="C10" s="47"/>
      <c r="D10" s="47"/>
      <c r="H10" s="48"/>
      <c r="I10" s="6"/>
      <c r="J10" s="192" t="s">
        <v>271</v>
      </c>
      <c r="K10" s="184">
        <f>'22Nutation'!E17</f>
        <v>-14926.781056620397</v>
      </c>
      <c r="L10" s="184">
        <f>'22Nutation'!F17</f>
        <v>-599813.18658346625</v>
      </c>
      <c r="M10" s="184">
        <f>'22Nutation'!G17</f>
        <v>280.4665</v>
      </c>
      <c r="N10" s="184">
        <f>'22Nutation'!H17</f>
        <v>-79.787609839835795</v>
      </c>
      <c r="O10" s="184">
        <f>'22Nutation'!I17</f>
        <v>-4374.2531544969206</v>
      </c>
      <c r="P10" s="184">
        <f>'22Nutation'!J17</f>
        <v>-4232.8127584312115</v>
      </c>
      <c r="Q10" s="184">
        <f>'22Nutation'!K17</f>
        <v>-4014.4918683367564</v>
      </c>
      <c r="R10" s="184">
        <f>'22Nutation'!L17</f>
        <v>-3872.0658249117046</v>
      </c>
      <c r="S10" s="184">
        <f>'22Nutation'!M17</f>
        <v>-35719.810464912436</v>
      </c>
      <c r="T10" s="184">
        <f>'22Nutation'!N17</f>
        <v>-143720.14858160165</v>
      </c>
      <c r="U10" s="184">
        <f>'22Nutation'!O17</f>
        <v>-143360.38729544147</v>
      </c>
      <c r="V10" s="184">
        <f>'22Nutation'!P17</f>
        <v>-418297.5516637059</v>
      </c>
      <c r="W10" s="184">
        <f>'22Nutation'!Q17</f>
        <v>-763644.04088768794</v>
      </c>
      <c r="X10" s="184">
        <f>'22Nutation'!R17</f>
        <v>-763643.05524032854</v>
      </c>
      <c r="Y10" s="184">
        <f>'22Nutation'!S17</f>
        <v>-1079539.5841439753</v>
      </c>
      <c r="Z10" s="184">
        <f>'22Nutation'!T17</f>
        <v>-1079672.153713807</v>
      </c>
      <c r="AA10" s="184">
        <f>'22Nutation'!U17</f>
        <v>-1079864.4535136148</v>
      </c>
      <c r="AB10" s="184">
        <f>'22Nutation'!V17</f>
        <v>-2416078.3890603287</v>
      </c>
      <c r="AC10" s="184">
        <f>'22Nutation'!W17</f>
        <v>-4302.3008972648877</v>
      </c>
      <c r="AD10" s="184">
        <f>'22Nutation'!X17</f>
        <v>-2499.5518770266945</v>
      </c>
      <c r="AE10" s="184">
        <f>'22Nutation'!Y17</f>
        <v>-7955.1100109897325</v>
      </c>
      <c r="AF10" s="184">
        <f>'22Nutation'!Z17</f>
        <v>16120.312388320328</v>
      </c>
      <c r="AG10" s="184">
        <f>'22Nutation'!AA17</f>
        <v>279.97367632032854</v>
      </c>
      <c r="AH10" s="184">
        <f>'22Nutation'!AB17</f>
        <v>-16102.471083318276</v>
      </c>
      <c r="AI10" s="184">
        <f>'22Nutation'!AC17</f>
        <v>-7327.2526430882972</v>
      </c>
      <c r="AJ10" s="184">
        <f>'22Nutation'!AD17</f>
        <v>-3929.7261954332648</v>
      </c>
      <c r="AK10" s="184">
        <f>'22Nutation'!AE17</f>
        <v>-7952.0040810121027</v>
      </c>
      <c r="AL10" s="184">
        <f>'22Nutation'!AF17</f>
        <v>-2251.1687424722795</v>
      </c>
      <c r="AM10" s="184">
        <f>'22Nutation'!AG17</f>
        <v>-2318.1927629075976</v>
      </c>
      <c r="AN10" s="184">
        <f>'22Nutation'!AH17</f>
        <v>-2901.6959996386036</v>
      </c>
      <c r="AO10" s="184">
        <f>'22Nutation'!AI17</f>
        <v>-2510.3939979794663</v>
      </c>
      <c r="AP10" s="184">
        <f>'22Nutation'!AJ17</f>
        <v>-2121.0632910390145</v>
      </c>
      <c r="AQ10" s="184">
        <f>'22Nutation'!AK17</f>
        <v>-65239.948888640654</v>
      </c>
      <c r="AR10" s="184">
        <f>'22Nutation'!AL17</f>
        <v>-3061.3708718521561</v>
      </c>
      <c r="AS10" s="184">
        <f>'22Nutation'!AM17</f>
        <v>-495604.14104589738</v>
      </c>
      <c r="AT10" s="184">
        <f>'22Nutation'!AN17</f>
        <v>374.59582281724846</v>
      </c>
      <c r="AU10" s="184">
        <f>'22Nutation'!AO17</f>
        <v>-719359.89067977003</v>
      </c>
      <c r="AV10" s="184">
        <f>'22Nutation'!AP17</f>
        <v>8464.3745550401163</v>
      </c>
      <c r="AW10" s="184">
        <f>'22Nutation'!AQ17</f>
        <v>8471.3288447420964</v>
      </c>
      <c r="AX10" s="184">
        <f>'22Nutation'!AR17</f>
        <v>8478.1325494310986</v>
      </c>
      <c r="AY10" s="184">
        <f>'22Nutation'!AS17</f>
        <v>8485.8267591298772</v>
      </c>
      <c r="AZ10" s="184">
        <f>'22Nutation'!AT17</f>
        <v>8500.2726532402467</v>
      </c>
      <c r="BA10" s="184">
        <f>'22Nutation'!AU17</f>
        <v>-9290.6621828993848</v>
      </c>
      <c r="BB10" s="184">
        <f>'22Nutation'!AV17</f>
        <v>-559.7978738398358</v>
      </c>
      <c r="BC10" s="184">
        <f>'22Nutation'!AW17</f>
        <v>-23116.337692402463</v>
      </c>
      <c r="BD10" s="184">
        <f>'22Nutation'!AX17</f>
        <v>-15097.110776788501</v>
      </c>
      <c r="BE10" s="184">
        <f>'22Nutation'!AY17</f>
        <v>8529.8420740205347</v>
      </c>
      <c r="BF10" s="184">
        <f>'22Nutation'!AZ17</f>
        <v>8530.8277213798774</v>
      </c>
      <c r="BG10" s="184">
        <f>'22Nutation'!BA17</f>
        <v>8531.8133687392201</v>
      </c>
      <c r="BH10" s="184">
        <f>'22Nutation'!BB17</f>
        <v>8532.7990160985628</v>
      </c>
      <c r="BI10" s="184">
        <f>'22Nutation'!BC17</f>
        <v>8533.7846634579073</v>
      </c>
      <c r="BJ10" s="184">
        <f>'22Nutation'!BD17</f>
        <v>8534.77031081725</v>
      </c>
      <c r="BK10" s="184">
        <f>'22Nutation'!BE17</f>
        <v>8535.7559581765927</v>
      </c>
      <c r="BL10" s="184">
        <f>'22Nutation'!BF17</f>
        <v>8536.7416055359354</v>
      </c>
      <c r="BM10" s="184">
        <f>'22Nutation'!BG17</f>
        <v>-7952.1530689117044</v>
      </c>
    </row>
    <row r="11" spans="1:65" x14ac:dyDescent="0.25">
      <c r="A11" s="90"/>
      <c r="B11" s="47"/>
      <c r="C11" s="47"/>
      <c r="D11" s="47"/>
      <c r="H11" s="48"/>
      <c r="I11" s="6"/>
      <c r="J11" s="193" t="s">
        <v>202</v>
      </c>
      <c r="K11" s="185">
        <f>'22Nutation'!E19</f>
        <v>-203076.22005125179</v>
      </c>
      <c r="L11" s="185">
        <f>'22Nutation'!F19</f>
        <v>-8021993.5030110646</v>
      </c>
      <c r="M11" s="185">
        <f>'22Nutation'!G19</f>
        <v>218.31649999999999</v>
      </c>
      <c r="N11" s="185">
        <f>'22Nutation'!H19</f>
        <v>-4597.6564121190968</v>
      </c>
      <c r="O11" s="185">
        <f>'22Nutation'!I19</f>
        <v>-62007.215859733056</v>
      </c>
      <c r="P11" s="185">
        <f>'22Nutation'!J19</f>
        <v>-60116.402965371664</v>
      </c>
      <c r="Q11" s="185">
        <f>'22Nutation'!K19</f>
        <v>-57197.831145852157</v>
      </c>
      <c r="R11" s="185">
        <f>'22Nutation'!L19</f>
        <v>-55293.841855014369</v>
      </c>
      <c r="S11" s="185">
        <f>'22Nutation'!M19</f>
        <v>-481042.97644925804</v>
      </c>
      <c r="T11" s="185">
        <f>'22Nutation'!N19</f>
        <v>-1924820.2677088091</v>
      </c>
      <c r="U11" s="185">
        <f>'22Nutation'!O19</f>
        <v>-1920010.8829949282</v>
      </c>
      <c r="V11" s="185">
        <f>'22Nutation'!P19</f>
        <v>-5595444.1395955821</v>
      </c>
      <c r="W11" s="185">
        <f>'22Nutation'!Q19</f>
        <v>-10212128.007928284</v>
      </c>
      <c r="X11" s="185">
        <f>'22Nutation'!R19</f>
        <v>-10212114.831531806</v>
      </c>
      <c r="Y11" s="185">
        <f>'22Nutation'!S19</f>
        <v>-14435103.784825865</v>
      </c>
      <c r="Z11" s="185">
        <f>'22Nutation'!T19</f>
        <v>-14436876.010151938</v>
      </c>
      <c r="AA11" s="185">
        <f>'22Nutation'!U19</f>
        <v>-14439446.725104483</v>
      </c>
      <c r="AB11" s="185">
        <f>'22Nutation'!V19</f>
        <v>-32302310.583201807</v>
      </c>
      <c r="AC11" s="185">
        <f>'22Nutation'!W19</f>
        <v>-61045.338916956876</v>
      </c>
      <c r="AD11" s="185">
        <f>'22Nutation'!X19</f>
        <v>-36945.709761646816</v>
      </c>
      <c r="AE11" s="185">
        <f>'22Nutation'!Y19</f>
        <v>-109877.06425844353</v>
      </c>
      <c r="AF11" s="185">
        <f>'22Nutation'!Z19</f>
        <v>211969.59607376179</v>
      </c>
      <c r="AG11" s="185">
        <f>'22Nutation'!AA19</f>
        <v>211.72830176180696</v>
      </c>
      <c r="AH11" s="185">
        <f>'22Nutation'!AB19</f>
        <v>-218793.15753225054</v>
      </c>
      <c r="AI11" s="185">
        <f>'22Nutation'!AC19</f>
        <v>-101483.69970298563</v>
      </c>
      <c r="AJ11" s="185">
        <f>'22Nutation'!AD19</f>
        <v>-56064.661048882954</v>
      </c>
      <c r="AK11" s="185">
        <f>'22Nutation'!AE19</f>
        <v>-109835.54335908208</v>
      </c>
      <c r="AL11" s="185">
        <f>'22Nutation'!AF19</f>
        <v>-33625.257849597539</v>
      </c>
      <c r="AM11" s="185">
        <f>'22Nutation'!AG19</f>
        <v>-34521.252809991791</v>
      </c>
      <c r="AN11" s="185">
        <f>'22Nutation'!AH19</f>
        <v>-42321.679524012317</v>
      </c>
      <c r="AO11" s="185">
        <f>'22Nutation'!AI19</f>
        <v>-37090.650122887062</v>
      </c>
      <c r="AP11" s="185">
        <f>'22Nutation'!AJ19</f>
        <v>-31885.97351471458</v>
      </c>
      <c r="AQ11" s="185">
        <f>'22Nutation'!AK19</f>
        <v>-875676.05106952367</v>
      </c>
      <c r="AR11" s="185">
        <f>'22Nutation'!AL19</f>
        <v>-44456.255753186859</v>
      </c>
      <c r="AS11" s="185">
        <f>'22Nutation'!AM19</f>
        <v>-6628899.2209504358</v>
      </c>
      <c r="AT11" s="185">
        <f>'22Nutation'!AN19</f>
        <v>1476.6623634948664</v>
      </c>
      <c r="AU11" s="185">
        <f>'22Nutation'!AO19</f>
        <v>-9620125.6906407345</v>
      </c>
      <c r="AV11" s="185">
        <f>'22Nutation'!AP19</f>
        <v>109622.97957482016</v>
      </c>
      <c r="AW11" s="185">
        <f>'22Nutation'!AQ19</f>
        <v>109715.94637218065</v>
      </c>
      <c r="AX11" s="185">
        <f>'22Nutation'!AR19</f>
        <v>109806.90010897176</v>
      </c>
      <c r="AY11" s="185">
        <f>'22Nutation'!AS19</f>
        <v>109909.75835396432</v>
      </c>
      <c r="AZ11" s="185">
        <f>'22Nutation'!AT19</f>
        <v>110102.87491482135</v>
      </c>
      <c r="BA11" s="185">
        <f>'22Nutation'!AU19</f>
        <v>-127731.08148394662</v>
      </c>
      <c r="BB11" s="185">
        <f>'22Nutation'!AV19</f>
        <v>-11014.561496119097</v>
      </c>
      <c r="BC11" s="185">
        <f>'22Nutation'!AW19</f>
        <v>-312556.39485821349</v>
      </c>
      <c r="BD11" s="185">
        <f>'22Nutation'!AX19</f>
        <v>-205353.23312633677</v>
      </c>
      <c r="BE11" s="185">
        <f>'22Nutation'!AY19</f>
        <v>110498.16680911294</v>
      </c>
      <c r="BF11" s="185">
        <f>'22Nutation'!AZ19</f>
        <v>110511.34320558932</v>
      </c>
      <c r="BG11" s="185">
        <f>'22Nutation'!BA19</f>
        <v>110524.5196020657</v>
      </c>
      <c r="BH11" s="185">
        <f>'22Nutation'!BB19</f>
        <v>110537.6959985421</v>
      </c>
      <c r="BI11" s="185">
        <f>'22Nutation'!BC19</f>
        <v>110550.87239501848</v>
      </c>
      <c r="BJ11" s="185">
        <f>'22Nutation'!BD19</f>
        <v>110564.04879149488</v>
      </c>
      <c r="BK11" s="185">
        <f>'22Nutation'!BE19</f>
        <v>110577.22518797126</v>
      </c>
      <c r="BL11" s="185">
        <f>'22Nutation'!BF19</f>
        <v>110590.40158444764</v>
      </c>
      <c r="BM11" s="185">
        <f>'22Nutation'!BG19</f>
        <v>-109837.53506901437</v>
      </c>
    </row>
    <row r="12" spans="1:65" x14ac:dyDescent="0.25">
      <c r="A12" s="186"/>
      <c r="B12" s="47"/>
      <c r="C12" s="47"/>
      <c r="D12" s="47"/>
      <c r="H12" s="4"/>
      <c r="I12" s="180" t="s">
        <v>657</v>
      </c>
      <c r="J12" s="180" t="s">
        <v>654</v>
      </c>
      <c r="K12">
        <f>SUM(K19:K77)</f>
        <v>112596.14617650428</v>
      </c>
      <c r="L12">
        <f t="shared" ref="L12:BM12" si="0">SUM(L19:L77)</f>
        <v>104674.51038082624</v>
      </c>
      <c r="M12">
        <f t="shared" si="0"/>
        <v>-139244.01472956105</v>
      </c>
      <c r="N12">
        <f t="shared" si="0"/>
        <v>-97765.225209920434</v>
      </c>
      <c r="O12">
        <f t="shared" si="0"/>
        <v>-30784.955895393137</v>
      </c>
      <c r="P12">
        <f t="shared" si="0"/>
        <v>-22601.184140617814</v>
      </c>
      <c r="Q12">
        <f t="shared" si="0"/>
        <v>23897.49691379369</v>
      </c>
      <c r="R12">
        <f t="shared" si="0"/>
        <v>36326.98852122917</v>
      </c>
      <c r="S12">
        <f t="shared" si="0"/>
        <v>174245.16297550875</v>
      </c>
      <c r="T12">
        <f t="shared" si="0"/>
        <v>150957.46608835418</v>
      </c>
      <c r="U12">
        <f t="shared" si="0"/>
        <v>169163.66672843159</v>
      </c>
      <c r="V12">
        <f t="shared" si="0"/>
        <v>144370.0362685388</v>
      </c>
      <c r="W12">
        <f t="shared" si="0"/>
        <v>-130503.44270400223</v>
      </c>
      <c r="X12">
        <f t="shared" si="0"/>
        <v>-130988.67157865883</v>
      </c>
      <c r="Y12">
        <f t="shared" si="0"/>
        <v>3793.2330786311713</v>
      </c>
      <c r="Z12">
        <f t="shared" si="0"/>
        <v>33076.161310027819</v>
      </c>
      <c r="AA12">
        <f t="shared" si="0"/>
        <v>64671.376488589034</v>
      </c>
      <c r="AB12">
        <f t="shared" si="0"/>
        <v>14362.502705658973</v>
      </c>
      <c r="AC12">
        <f t="shared" si="0"/>
        <v>-37821.802025769422</v>
      </c>
      <c r="AD12">
        <f t="shared" si="0"/>
        <v>165883.33246930264</v>
      </c>
      <c r="AE12">
        <f t="shared" si="0"/>
        <v>96126.883794207577</v>
      </c>
      <c r="AF12">
        <f t="shared" si="0"/>
        <v>23113.576253118197</v>
      </c>
      <c r="AG12">
        <f t="shared" si="0"/>
        <v>-139252.31493587221</v>
      </c>
      <c r="AH12">
        <f t="shared" si="0"/>
        <v>169176.91273951626</v>
      </c>
      <c r="AI12">
        <f t="shared" si="0"/>
        <v>-34802.122032777501</v>
      </c>
      <c r="AJ12">
        <f t="shared" si="0"/>
        <v>16904.612853027706</v>
      </c>
      <c r="AK12">
        <f t="shared" si="0"/>
        <v>95697.001401415328</v>
      </c>
      <c r="AL12">
        <f t="shared" si="0"/>
        <v>167548.28335774227</v>
      </c>
      <c r="AM12">
        <f t="shared" si="0"/>
        <v>159105.2271311229</v>
      </c>
      <c r="AN12">
        <f t="shared" si="0"/>
        <v>164675.32958429333</v>
      </c>
      <c r="AO12">
        <f t="shared" si="0"/>
        <v>167853.84307925618</v>
      </c>
      <c r="AP12">
        <f t="shared" si="0"/>
        <v>156248.15092738339</v>
      </c>
      <c r="AQ12">
        <f t="shared" si="0"/>
        <v>-116938.50325886722</v>
      </c>
      <c r="AR12">
        <f t="shared" si="0"/>
        <v>139240.64628425875</v>
      </c>
      <c r="AS12">
        <f t="shared" si="0"/>
        <v>-126936.98671657692</v>
      </c>
      <c r="AT12">
        <f t="shared" si="0"/>
        <v>-158752.3547307461</v>
      </c>
      <c r="AU12">
        <f t="shared" si="0"/>
        <v>176343.18574971039</v>
      </c>
      <c r="AV12">
        <f t="shared" si="0"/>
        <v>-123330.12950702943</v>
      </c>
      <c r="AW12">
        <f t="shared" si="0"/>
        <v>-125461.70429905316</v>
      </c>
      <c r="AX12">
        <f t="shared" si="0"/>
        <v>-127574.64471895197</v>
      </c>
      <c r="AY12">
        <f t="shared" si="0"/>
        <v>-127931.45985155183</v>
      </c>
      <c r="AZ12">
        <f t="shared" si="0"/>
        <v>-127816.52178942118</v>
      </c>
      <c r="BA12">
        <f t="shared" si="0"/>
        <v>159753.31180806033</v>
      </c>
      <c r="BB12">
        <f t="shared" si="0"/>
        <v>-20521.73241028162</v>
      </c>
      <c r="BC12">
        <f t="shared" si="0"/>
        <v>150944.66116773197</v>
      </c>
      <c r="BD12">
        <f t="shared" si="0"/>
        <v>126042.08061826506</v>
      </c>
      <c r="BE12">
        <f t="shared" si="0"/>
        <v>-120049.66537636584</v>
      </c>
      <c r="BF12">
        <f t="shared" si="0"/>
        <v>-120631.07633428542</v>
      </c>
      <c r="BG12">
        <f t="shared" si="0"/>
        <v>-121312.94342760017</v>
      </c>
      <c r="BH12">
        <f t="shared" si="0"/>
        <v>-121843.76290479922</v>
      </c>
      <c r="BI12">
        <f t="shared" si="0"/>
        <v>-122033.03998852518</v>
      </c>
      <c r="BJ12">
        <f t="shared" si="0"/>
        <v>-121775.09271061375</v>
      </c>
      <c r="BK12">
        <f t="shared" si="0"/>
        <v>-121057.81174228064</v>
      </c>
      <c r="BL12">
        <f t="shared" si="0"/>
        <v>-119955.22645818577</v>
      </c>
      <c r="BM12">
        <f t="shared" si="0"/>
        <v>95820.608532544298</v>
      </c>
    </row>
    <row r="13" spans="1:65" x14ac:dyDescent="0.25">
      <c r="A13" s="90"/>
      <c r="B13" s="47"/>
      <c r="C13" s="47"/>
      <c r="D13" s="47"/>
      <c r="E13" s="47"/>
      <c r="F13" s="4"/>
      <c r="G13" s="4"/>
      <c r="H13" s="4"/>
      <c r="I13" s="4"/>
      <c r="J13" s="180" t="s">
        <v>262</v>
      </c>
      <c r="K13" s="11">
        <f>SUM(K80:K138)</f>
        <v>-62678.632834385498</v>
      </c>
      <c r="L13" s="11">
        <f t="shared" ref="L13:BM13" si="1">SUM(L80:L138)</f>
        <v>73390.537849940389</v>
      </c>
      <c r="M13" s="11">
        <f t="shared" si="1"/>
        <v>-57739.09654153591</v>
      </c>
      <c r="N13" s="11">
        <f t="shared" si="1"/>
        <v>-81464.701622400724</v>
      </c>
      <c r="O13" s="11">
        <f t="shared" si="1"/>
        <v>85145.873232133337</v>
      </c>
      <c r="P13" s="11">
        <f t="shared" si="1"/>
        <v>85929.065944563685</v>
      </c>
      <c r="Q13" s="11">
        <f t="shared" si="1"/>
        <v>89015.159604937086</v>
      </c>
      <c r="R13" s="11">
        <f t="shared" si="1"/>
        <v>84077.642836591243</v>
      </c>
      <c r="S13" s="11">
        <f t="shared" si="1"/>
        <v>-22925.335447369485</v>
      </c>
      <c r="T13" s="11">
        <f t="shared" si="1"/>
        <v>42063.345570158555</v>
      </c>
      <c r="U13" s="11">
        <f t="shared" si="1"/>
        <v>14376.750070962795</v>
      </c>
      <c r="V13" s="11">
        <f t="shared" si="1"/>
        <v>40875.85703296389</v>
      </c>
      <c r="W13" s="11">
        <f t="shared" si="1"/>
        <v>-61001.068808551776</v>
      </c>
      <c r="X13" s="11">
        <f t="shared" si="1"/>
        <v>-60737.021573641825</v>
      </c>
      <c r="Y13" s="11">
        <f t="shared" si="1"/>
        <v>-97431.220490717969</v>
      </c>
      <c r="Z13" s="11">
        <f t="shared" si="1"/>
        <v>-88543.925220469609</v>
      </c>
      <c r="AA13" s="11">
        <f t="shared" si="1"/>
        <v>-87905.514269197447</v>
      </c>
      <c r="AB13" s="11">
        <f t="shared" si="1"/>
        <v>85207.668928201674</v>
      </c>
      <c r="AC13" s="11">
        <f t="shared" si="1"/>
        <v>94425.206987573969</v>
      </c>
      <c r="AD13" s="11">
        <f t="shared" si="1"/>
        <v>12229.496981802637</v>
      </c>
      <c r="AE13" s="11">
        <f t="shared" si="1"/>
        <v>-80610.541804948516</v>
      </c>
      <c r="AF13" s="11">
        <f t="shared" si="1"/>
        <v>84418.183139342611</v>
      </c>
      <c r="AG13" s="11">
        <f t="shared" si="1"/>
        <v>-57641.318518317981</v>
      </c>
      <c r="AH13" s="11">
        <f t="shared" si="1"/>
        <v>18323.951621052423</v>
      </c>
      <c r="AI13" s="11">
        <f t="shared" si="1"/>
        <v>-93531.530554015844</v>
      </c>
      <c r="AJ13" s="11">
        <f t="shared" si="1"/>
        <v>91507.902712757656</v>
      </c>
      <c r="AK13" s="11">
        <f t="shared" si="1"/>
        <v>-79041.104903881002</v>
      </c>
      <c r="AL13" s="11">
        <f t="shared" si="1"/>
        <v>-19327.595017132058</v>
      </c>
      <c r="AM13" s="11">
        <f t="shared" si="1"/>
        <v>-3076.8172589525666</v>
      </c>
      <c r="AN13" s="11">
        <f t="shared" si="1"/>
        <v>46260.895934782813</v>
      </c>
      <c r="AO13" s="11">
        <f t="shared" si="1"/>
        <v>15154.102574118042</v>
      </c>
      <c r="AP13" s="11">
        <f t="shared" si="1"/>
        <v>-22816.841390113397</v>
      </c>
      <c r="AQ13" s="11">
        <f t="shared" si="1"/>
        <v>60490.578780394986</v>
      </c>
      <c r="AR13" s="11">
        <f t="shared" si="1"/>
        <v>59151.775783654099</v>
      </c>
      <c r="AS13" s="11">
        <f t="shared" si="1"/>
        <v>-58540.47648531801</v>
      </c>
      <c r="AT13" s="11">
        <f t="shared" si="1"/>
        <v>-40220.971049629195</v>
      </c>
      <c r="AU13" s="11">
        <f t="shared" si="1"/>
        <v>-6225.097269853577</v>
      </c>
      <c r="AV13" s="11">
        <f t="shared" si="1"/>
        <v>71393.039867292668</v>
      </c>
      <c r="AW13" s="11">
        <f t="shared" si="1"/>
        <v>69230.12860103132</v>
      </c>
      <c r="AX13" s="11">
        <f t="shared" si="1"/>
        <v>71422.570409681386</v>
      </c>
      <c r="AY13" s="11">
        <f t="shared" si="1"/>
        <v>68834.704068167426</v>
      </c>
      <c r="AZ13" s="11">
        <f t="shared" si="1"/>
        <v>67449.770188558847</v>
      </c>
      <c r="BA13" s="11">
        <f t="shared" si="1"/>
        <v>10367.487774143136</v>
      </c>
      <c r="BB13" s="11">
        <f t="shared" si="1"/>
        <v>-86978.8741321376</v>
      </c>
      <c r="BC13" s="11">
        <f t="shared" si="1"/>
        <v>43023.038324817506</v>
      </c>
      <c r="BD13" s="11">
        <f t="shared" si="1"/>
        <v>-53403.221377035698</v>
      </c>
      <c r="BE13" s="11">
        <f t="shared" si="1"/>
        <v>65120.480610092382</v>
      </c>
      <c r="BF13" s="11">
        <f t="shared" si="1"/>
        <v>65288.364652694931</v>
      </c>
      <c r="BG13" s="11">
        <f t="shared" si="1"/>
        <v>65207.088988541764</v>
      </c>
      <c r="BH13" s="11">
        <f t="shared" si="1"/>
        <v>64900.209689028939</v>
      </c>
      <c r="BI13" s="11">
        <f t="shared" si="1"/>
        <v>64433.990203641013</v>
      </c>
      <c r="BJ13" s="11">
        <f t="shared" si="1"/>
        <v>63897.901276715224</v>
      </c>
      <c r="BK13" s="11">
        <f t="shared" si="1"/>
        <v>63385.099652036981</v>
      </c>
      <c r="BL13" s="11">
        <f t="shared" si="1"/>
        <v>62976.17347430643</v>
      </c>
      <c r="BM13" s="11">
        <f t="shared" si="1"/>
        <v>-79110.189410841762</v>
      </c>
    </row>
    <row r="14" spans="1:65" x14ac:dyDescent="0.25">
      <c r="A14" s="47"/>
      <c r="B14" s="47"/>
      <c r="C14" s="47"/>
      <c r="D14" s="47"/>
      <c r="E14" s="47"/>
      <c r="F14" s="352" t="s">
        <v>254</v>
      </c>
      <c r="G14" s="352"/>
      <c r="H14" s="352"/>
      <c r="I14" s="187" t="s">
        <v>658</v>
      </c>
      <c r="J14" s="180" t="s">
        <v>654</v>
      </c>
      <c r="K14" s="188">
        <f>K12*0.0001</f>
        <v>11.259614617650428</v>
      </c>
      <c r="L14" s="188">
        <f t="shared" ref="L14:BM14" si="2">L12*0.0001</f>
        <v>10.467451038082624</v>
      </c>
      <c r="M14" s="188">
        <f t="shared" si="2"/>
        <v>-13.924401472956106</v>
      </c>
      <c r="N14" s="188">
        <f t="shared" si="2"/>
        <v>-9.7765225209920441</v>
      </c>
      <c r="O14" s="188">
        <f t="shared" si="2"/>
        <v>-3.078495589539314</v>
      </c>
      <c r="P14" s="188">
        <f t="shared" si="2"/>
        <v>-2.2601184140617816</v>
      </c>
      <c r="Q14" s="188">
        <f t="shared" si="2"/>
        <v>2.389749691379369</v>
      </c>
      <c r="R14" s="188">
        <f t="shared" si="2"/>
        <v>3.6326988521229171</v>
      </c>
      <c r="S14" s="188">
        <f t="shared" si="2"/>
        <v>17.424516297550877</v>
      </c>
      <c r="T14" s="188">
        <f t="shared" si="2"/>
        <v>15.09574660883542</v>
      </c>
      <c r="U14" s="188">
        <f t="shared" si="2"/>
        <v>16.916366672843161</v>
      </c>
      <c r="V14" s="188">
        <f t="shared" si="2"/>
        <v>14.43700362685388</v>
      </c>
      <c r="W14" s="188">
        <f t="shared" si="2"/>
        <v>-13.050344270400224</v>
      </c>
      <c r="X14" s="188">
        <f t="shared" si="2"/>
        <v>-13.098867157865884</v>
      </c>
      <c r="Y14" s="188">
        <f t="shared" si="2"/>
        <v>0.37932330786311713</v>
      </c>
      <c r="Z14" s="188">
        <f t="shared" si="2"/>
        <v>3.3076161310027823</v>
      </c>
      <c r="AA14" s="188">
        <f t="shared" si="2"/>
        <v>6.4671376488589036</v>
      </c>
      <c r="AB14" s="188">
        <f t="shared" si="2"/>
        <v>1.4362502705658975</v>
      </c>
      <c r="AC14" s="188">
        <f t="shared" si="2"/>
        <v>-3.7821802025769422</v>
      </c>
      <c r="AD14" s="188">
        <f t="shared" si="2"/>
        <v>16.588333246930265</v>
      </c>
      <c r="AE14" s="188">
        <f t="shared" si="2"/>
        <v>9.6126883794207583</v>
      </c>
      <c r="AF14" s="188">
        <f t="shared" si="2"/>
        <v>2.3113576253118198</v>
      </c>
      <c r="AG14" s="188">
        <f t="shared" si="2"/>
        <v>-13.925231493587223</v>
      </c>
      <c r="AH14" s="188">
        <f t="shared" si="2"/>
        <v>16.917691273951629</v>
      </c>
      <c r="AI14" s="188">
        <f t="shared" si="2"/>
        <v>-3.48021220327775</v>
      </c>
      <c r="AJ14" s="188">
        <f t="shared" si="2"/>
        <v>1.6904612853027707</v>
      </c>
      <c r="AK14" s="188">
        <f t="shared" si="2"/>
        <v>9.5697001401415331</v>
      </c>
      <c r="AL14" s="188">
        <f t="shared" si="2"/>
        <v>16.754828335774228</v>
      </c>
      <c r="AM14" s="188">
        <f t="shared" si="2"/>
        <v>15.910522713112291</v>
      </c>
      <c r="AN14" s="188">
        <f t="shared" si="2"/>
        <v>16.467532958429334</v>
      </c>
      <c r="AO14" s="188">
        <f t="shared" si="2"/>
        <v>16.785384307925618</v>
      </c>
      <c r="AP14" s="188">
        <f t="shared" si="2"/>
        <v>15.62481509273834</v>
      </c>
      <c r="AQ14" s="188">
        <f t="shared" si="2"/>
        <v>-11.693850325886723</v>
      </c>
      <c r="AR14" s="188">
        <f t="shared" si="2"/>
        <v>13.924064628425876</v>
      </c>
      <c r="AS14" s="188">
        <f t="shared" si="2"/>
        <v>-12.693698671657693</v>
      </c>
      <c r="AT14" s="188">
        <f t="shared" si="2"/>
        <v>-15.875235473074611</v>
      </c>
      <c r="AU14" s="188">
        <f t="shared" si="2"/>
        <v>17.63431857497104</v>
      </c>
      <c r="AV14" s="188">
        <f t="shared" si="2"/>
        <v>-12.333012950702944</v>
      </c>
      <c r="AW14" s="188">
        <f t="shared" si="2"/>
        <v>-12.546170429905317</v>
      </c>
      <c r="AX14" s="188">
        <f t="shared" si="2"/>
        <v>-12.757464471895197</v>
      </c>
      <c r="AY14" s="188">
        <f t="shared" si="2"/>
        <v>-12.793145985155183</v>
      </c>
      <c r="AZ14" s="188">
        <f t="shared" si="2"/>
        <v>-12.781652178942119</v>
      </c>
      <c r="BA14" s="188">
        <f t="shared" si="2"/>
        <v>15.975331180806034</v>
      </c>
      <c r="BB14" s="188">
        <f t="shared" si="2"/>
        <v>-2.0521732410281621</v>
      </c>
      <c r="BC14" s="188">
        <f t="shared" si="2"/>
        <v>15.094466116773198</v>
      </c>
      <c r="BD14" s="188">
        <f t="shared" si="2"/>
        <v>12.604208061826506</v>
      </c>
      <c r="BE14" s="188">
        <f t="shared" si="2"/>
        <v>-12.004966537636584</v>
      </c>
      <c r="BF14" s="188">
        <f t="shared" si="2"/>
        <v>-12.063107633428542</v>
      </c>
      <c r="BG14" s="188">
        <f t="shared" si="2"/>
        <v>-12.131294342760018</v>
      </c>
      <c r="BH14" s="188">
        <f t="shared" si="2"/>
        <v>-12.184376290479923</v>
      </c>
      <c r="BI14" s="188">
        <f t="shared" si="2"/>
        <v>-12.203303998852519</v>
      </c>
      <c r="BJ14" s="188">
        <f t="shared" si="2"/>
        <v>-12.177509271061377</v>
      </c>
      <c r="BK14" s="188">
        <f t="shared" si="2"/>
        <v>-12.105781174228065</v>
      </c>
      <c r="BL14" s="188">
        <f t="shared" si="2"/>
        <v>-11.995522645818578</v>
      </c>
      <c r="BM14" s="188">
        <f t="shared" si="2"/>
        <v>9.5820608532544309</v>
      </c>
    </row>
    <row r="15" spans="1:65" x14ac:dyDescent="0.25">
      <c r="A15" s="349" t="s">
        <v>278</v>
      </c>
      <c r="B15" s="349"/>
      <c r="C15" s="349"/>
      <c r="D15" s="349"/>
      <c r="E15" s="349"/>
      <c r="F15" s="349" t="s">
        <v>279</v>
      </c>
      <c r="G15" s="349"/>
      <c r="H15" s="349"/>
      <c r="I15" s="349"/>
      <c r="J15" s="180" t="s">
        <v>262</v>
      </c>
      <c r="K15" s="188">
        <f>K13*0.0001</f>
        <v>-6.2678632834385501</v>
      </c>
      <c r="L15" s="188">
        <f t="shared" ref="L15:BM15" si="3">L13*0.0001</f>
        <v>7.3390537849940394</v>
      </c>
      <c r="M15" s="188">
        <f t="shared" si="3"/>
        <v>-5.7739096541535915</v>
      </c>
      <c r="N15" s="188">
        <f t="shared" si="3"/>
        <v>-8.1464701622400728</v>
      </c>
      <c r="O15" s="188">
        <f t="shared" si="3"/>
        <v>8.514587323213334</v>
      </c>
      <c r="P15" s="188">
        <f t="shared" si="3"/>
        <v>8.5929065944563696</v>
      </c>
      <c r="Q15" s="188">
        <f t="shared" si="3"/>
        <v>8.9015159604937093</v>
      </c>
      <c r="R15" s="188">
        <f t="shared" si="3"/>
        <v>8.4077642836591249</v>
      </c>
      <c r="S15" s="188">
        <f t="shared" si="3"/>
        <v>-2.2925335447369486</v>
      </c>
      <c r="T15" s="188">
        <f t="shared" si="3"/>
        <v>4.2063345570158557</v>
      </c>
      <c r="U15" s="188">
        <f t="shared" si="3"/>
        <v>1.4376750070962796</v>
      </c>
      <c r="V15" s="188">
        <f t="shared" si="3"/>
        <v>4.0875857032963889</v>
      </c>
      <c r="W15" s="188">
        <f t="shared" si="3"/>
        <v>-6.1001068808551775</v>
      </c>
      <c r="X15" s="188">
        <f t="shared" si="3"/>
        <v>-6.073702157364183</v>
      </c>
      <c r="Y15" s="188">
        <f t="shared" si="3"/>
        <v>-9.7431220490717969</v>
      </c>
      <c r="Z15" s="188">
        <f t="shared" si="3"/>
        <v>-8.854392522046961</v>
      </c>
      <c r="AA15" s="188">
        <f t="shared" si="3"/>
        <v>-8.7905514269197447</v>
      </c>
      <c r="AB15" s="188">
        <f t="shared" si="3"/>
        <v>8.5207668928201681</v>
      </c>
      <c r="AC15" s="188">
        <f t="shared" si="3"/>
        <v>9.4425206987573969</v>
      </c>
      <c r="AD15" s="188">
        <f t="shared" si="3"/>
        <v>1.2229496981802637</v>
      </c>
      <c r="AE15" s="188">
        <f t="shared" si="3"/>
        <v>-8.0610541804948515</v>
      </c>
      <c r="AF15" s="188">
        <f t="shared" si="3"/>
        <v>8.4418183139342613</v>
      </c>
      <c r="AG15" s="188">
        <f t="shared" si="3"/>
        <v>-5.7641318518317988</v>
      </c>
      <c r="AH15" s="188">
        <f t="shared" si="3"/>
        <v>1.8323951621052423</v>
      </c>
      <c r="AI15" s="188">
        <f t="shared" si="3"/>
        <v>-9.3531530554015845</v>
      </c>
      <c r="AJ15" s="188">
        <f t="shared" si="3"/>
        <v>9.1507902712757652</v>
      </c>
      <c r="AK15" s="188">
        <f t="shared" si="3"/>
        <v>-7.9041104903881001</v>
      </c>
      <c r="AL15" s="188">
        <f t="shared" si="3"/>
        <v>-1.932759501713206</v>
      </c>
      <c r="AM15" s="188">
        <f t="shared" si="3"/>
        <v>-0.30768172589525666</v>
      </c>
      <c r="AN15" s="188">
        <f t="shared" si="3"/>
        <v>4.626089593478282</v>
      </c>
      <c r="AO15" s="188">
        <f t="shared" si="3"/>
        <v>1.5154102574118042</v>
      </c>
      <c r="AP15" s="188">
        <f t="shared" si="3"/>
        <v>-2.28168413901134</v>
      </c>
      <c r="AQ15" s="188">
        <f t="shared" si="3"/>
        <v>6.0490578780394992</v>
      </c>
      <c r="AR15" s="188">
        <f t="shared" si="3"/>
        <v>5.9151775783654106</v>
      </c>
      <c r="AS15" s="188">
        <f t="shared" si="3"/>
        <v>-5.8540476485318012</v>
      </c>
      <c r="AT15" s="188">
        <f t="shared" si="3"/>
        <v>-4.0220971049629197</v>
      </c>
      <c r="AU15" s="188">
        <f t="shared" si="3"/>
        <v>-0.62250972698535778</v>
      </c>
      <c r="AV15" s="188">
        <f t="shared" si="3"/>
        <v>7.1393039867292671</v>
      </c>
      <c r="AW15" s="188">
        <f t="shared" si="3"/>
        <v>6.9230128601031327</v>
      </c>
      <c r="AX15" s="188">
        <f t="shared" si="3"/>
        <v>7.142257040968139</v>
      </c>
      <c r="AY15" s="188">
        <f t="shared" si="3"/>
        <v>6.8834704068167429</v>
      </c>
      <c r="AZ15" s="188">
        <f t="shared" si="3"/>
        <v>6.7449770188558853</v>
      </c>
      <c r="BA15" s="188">
        <f t="shared" si="3"/>
        <v>1.0367487774143136</v>
      </c>
      <c r="BB15" s="188">
        <f t="shared" si="3"/>
        <v>-8.6978874132137598</v>
      </c>
      <c r="BC15" s="188">
        <f t="shared" si="3"/>
        <v>4.3023038324817504</v>
      </c>
      <c r="BD15" s="188">
        <f t="shared" si="3"/>
        <v>-5.3403221377035699</v>
      </c>
      <c r="BE15" s="188">
        <f t="shared" si="3"/>
        <v>6.5120480610092386</v>
      </c>
      <c r="BF15" s="188">
        <f t="shared" si="3"/>
        <v>6.5288364652694932</v>
      </c>
      <c r="BG15" s="188">
        <f t="shared" si="3"/>
        <v>6.5207088988541768</v>
      </c>
      <c r="BH15" s="188">
        <f t="shared" si="3"/>
        <v>6.4900209689028943</v>
      </c>
      <c r="BI15" s="188">
        <f t="shared" si="3"/>
        <v>6.4433990203641018</v>
      </c>
      <c r="BJ15" s="188">
        <f t="shared" si="3"/>
        <v>6.3897901276715228</v>
      </c>
      <c r="BK15" s="188">
        <f t="shared" si="3"/>
        <v>6.3385099652036985</v>
      </c>
      <c r="BL15" s="188">
        <f t="shared" si="3"/>
        <v>6.2976173474306432</v>
      </c>
      <c r="BM15" s="188">
        <f t="shared" si="3"/>
        <v>-7.9110189410841762</v>
      </c>
    </row>
    <row r="16" spans="1:65" x14ac:dyDescent="0.25">
      <c r="A16" s="349"/>
      <c r="B16" s="349"/>
      <c r="C16" s="349"/>
      <c r="D16" s="349"/>
      <c r="E16" s="349"/>
      <c r="F16" s="349"/>
      <c r="G16" s="349"/>
      <c r="H16" s="349"/>
      <c r="I16" s="349"/>
      <c r="J16" s="4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</row>
    <row r="17" spans="1:65" x14ac:dyDescent="0.25">
      <c r="A17" s="343" t="s">
        <v>255</v>
      </c>
      <c r="B17" s="343"/>
      <c r="C17" s="343"/>
      <c r="D17" s="343"/>
      <c r="E17" s="343"/>
      <c r="F17" s="343" t="s">
        <v>258</v>
      </c>
      <c r="G17" s="343"/>
    </row>
    <row r="18" spans="1:65" x14ac:dyDescent="0.25">
      <c r="A18" s="60" t="s">
        <v>162</v>
      </c>
      <c r="B18" s="60" t="s">
        <v>5</v>
      </c>
      <c r="C18" s="60" t="s">
        <v>6</v>
      </c>
      <c r="D18" s="60" t="s">
        <v>7</v>
      </c>
      <c r="E18" s="60" t="s">
        <v>9</v>
      </c>
      <c r="F18" s="194" t="s">
        <v>256</v>
      </c>
      <c r="G18" s="60" t="s">
        <v>257</v>
      </c>
      <c r="K18" s="90" t="s">
        <v>654</v>
      </c>
      <c r="L18" s="90" t="s">
        <v>654</v>
      </c>
      <c r="M18" s="90" t="s">
        <v>654</v>
      </c>
      <c r="N18" s="90" t="s">
        <v>654</v>
      </c>
      <c r="O18" s="90" t="s">
        <v>654</v>
      </c>
      <c r="P18" s="90" t="s">
        <v>654</v>
      </c>
      <c r="Q18" s="90" t="s">
        <v>654</v>
      </c>
      <c r="R18" s="90" t="s">
        <v>654</v>
      </c>
      <c r="S18" s="90" t="s">
        <v>654</v>
      </c>
      <c r="T18" s="90" t="s">
        <v>654</v>
      </c>
      <c r="U18" s="90" t="s">
        <v>654</v>
      </c>
      <c r="V18" s="90" t="s">
        <v>654</v>
      </c>
      <c r="W18" s="90" t="s">
        <v>654</v>
      </c>
      <c r="X18" s="90" t="s">
        <v>654</v>
      </c>
      <c r="Y18" s="90" t="s">
        <v>654</v>
      </c>
      <c r="Z18" s="90" t="s">
        <v>654</v>
      </c>
      <c r="AA18" s="90" t="s">
        <v>654</v>
      </c>
      <c r="AB18" s="90" t="s">
        <v>654</v>
      </c>
      <c r="AC18" s="90" t="s">
        <v>654</v>
      </c>
      <c r="AD18" s="90" t="s">
        <v>654</v>
      </c>
      <c r="AE18" s="90" t="s">
        <v>654</v>
      </c>
      <c r="AF18" s="90" t="s">
        <v>654</v>
      </c>
      <c r="AG18" s="90" t="s">
        <v>654</v>
      </c>
      <c r="AH18" s="90" t="s">
        <v>654</v>
      </c>
      <c r="AI18" s="90" t="s">
        <v>654</v>
      </c>
      <c r="AJ18" s="90" t="s">
        <v>654</v>
      </c>
      <c r="AK18" s="90" t="s">
        <v>654</v>
      </c>
      <c r="AL18" s="90" t="s">
        <v>654</v>
      </c>
      <c r="AM18" s="90" t="s">
        <v>654</v>
      </c>
      <c r="AN18" s="90" t="s">
        <v>654</v>
      </c>
      <c r="AO18" s="90" t="s">
        <v>654</v>
      </c>
      <c r="AP18" s="90" t="s">
        <v>654</v>
      </c>
      <c r="AQ18" s="90" t="s">
        <v>654</v>
      </c>
      <c r="AR18" s="90" t="s">
        <v>654</v>
      </c>
      <c r="AS18" s="90" t="s">
        <v>654</v>
      </c>
      <c r="AT18" s="90" t="s">
        <v>654</v>
      </c>
      <c r="AU18" s="90" t="s">
        <v>654</v>
      </c>
      <c r="AV18" s="90" t="s">
        <v>654</v>
      </c>
      <c r="AW18" s="90" t="s">
        <v>654</v>
      </c>
      <c r="AX18" s="90" t="s">
        <v>654</v>
      </c>
      <c r="AY18" s="90" t="s">
        <v>654</v>
      </c>
      <c r="AZ18" s="90" t="s">
        <v>654</v>
      </c>
      <c r="BA18" s="90" t="s">
        <v>654</v>
      </c>
      <c r="BB18" s="90" t="s">
        <v>654</v>
      </c>
      <c r="BC18" s="90" t="s">
        <v>654</v>
      </c>
      <c r="BD18" s="90" t="s">
        <v>654</v>
      </c>
      <c r="BE18" s="90" t="s">
        <v>654</v>
      </c>
      <c r="BF18" s="90" t="s">
        <v>654</v>
      </c>
      <c r="BG18" s="90" t="s">
        <v>654</v>
      </c>
      <c r="BH18" s="90" t="s">
        <v>654</v>
      </c>
      <c r="BI18" s="90" t="s">
        <v>654</v>
      </c>
      <c r="BJ18" s="90" t="s">
        <v>654</v>
      </c>
      <c r="BK18" s="90" t="s">
        <v>654</v>
      </c>
      <c r="BL18" s="90" t="s">
        <v>654</v>
      </c>
      <c r="BM18" s="90" t="s">
        <v>654</v>
      </c>
    </row>
    <row r="19" spans="1:65" x14ac:dyDescent="0.25">
      <c r="A19" s="7">
        <v>0</v>
      </c>
      <c r="B19" s="7">
        <v>0</v>
      </c>
      <c r="C19" s="7">
        <v>0</v>
      </c>
      <c r="D19" s="7">
        <v>0</v>
      </c>
      <c r="E19" s="7">
        <v>1</v>
      </c>
      <c r="F19" s="195">
        <v>-171996</v>
      </c>
      <c r="G19">
        <v>-174.2</v>
      </c>
      <c r="H19" s="179"/>
      <c r="K19" s="39">
        <f t="shared" ref="K19:T28" si="4">($F19+$G19*K$4)*SIN(($A19*K$5+$B19*K$6+$C19*K$7+$D19*K$8+$E19*K$9)*Deg2Rad)</f>
        <v>115154.70528943054</v>
      </c>
      <c r="L19" s="39">
        <f t="shared" si="4"/>
        <v>95638.273571654398</v>
      </c>
      <c r="M19" s="39">
        <f t="shared" si="4"/>
        <v>-140814.17718788367</v>
      </c>
      <c r="N19" s="39">
        <f t="shared" si="4"/>
        <v>-100123.95246038929</v>
      </c>
      <c r="O19" s="39">
        <f t="shared" si="4"/>
        <v>-44854.080210051921</v>
      </c>
      <c r="P19" s="39">
        <f t="shared" si="4"/>
        <v>-22506.176952942995</v>
      </c>
      <c r="Q19" s="39">
        <f t="shared" si="4"/>
        <v>12623.353875126457</v>
      </c>
      <c r="R19" s="39">
        <f t="shared" si="4"/>
        <v>35348.307404278028</v>
      </c>
      <c r="S19" s="39">
        <f t="shared" si="4"/>
        <v>168753.80110189444</v>
      </c>
      <c r="T19" s="39">
        <f t="shared" si="4"/>
        <v>146071.94332036542</v>
      </c>
      <c r="U19" s="39">
        <f t="shared" ref="U19:AD28" si="5">($F19+$G19*U$4)*SIN(($A19*U$5+$B19*U$6+$C19*U$7+$D19*U$8+$E19*U$9)*Deg2Rad)</f>
        <v>167456.32113244152</v>
      </c>
      <c r="V19" s="39">
        <f t="shared" si="5"/>
        <v>156031.63416659232</v>
      </c>
      <c r="W19" s="39">
        <f t="shared" si="5"/>
        <v>-133177.40703784439</v>
      </c>
      <c r="X19" s="39">
        <f t="shared" si="5"/>
        <v>-133272.46053098803</v>
      </c>
      <c r="Y19" s="39">
        <f t="shared" si="5"/>
        <v>78.378194788128084</v>
      </c>
      <c r="Z19" s="39">
        <f t="shared" si="5"/>
        <v>20756.444008044436</v>
      </c>
      <c r="AA19" s="39">
        <f t="shared" si="5"/>
        <v>50097.325137336229</v>
      </c>
      <c r="AB19" s="39">
        <f t="shared" si="5"/>
        <v>21647.437077408846</v>
      </c>
      <c r="AC19" s="39">
        <f t="shared" si="5"/>
        <v>-33559.505288117281</v>
      </c>
      <c r="AD19" s="39">
        <f t="shared" si="5"/>
        <v>171475.52871538381</v>
      </c>
      <c r="AE19" s="39">
        <f t="shared" ref="AE19:AN28" si="6">($F19+$G19*AE$4)*SIN(($A19*AE$5+$B19*AE$6+$C19*AE$7+$D19*AE$8+$E19*AE$9)*Deg2Rad)</f>
        <v>79400.009278446509</v>
      </c>
      <c r="AF19" s="39">
        <f t="shared" si="6"/>
        <v>17832.83261194787</v>
      </c>
      <c r="AG19" s="39">
        <f t="shared" si="6"/>
        <v>-140768.52127828007</v>
      </c>
      <c r="AH19" s="39">
        <f t="shared" si="6"/>
        <v>165889.92159987768</v>
      </c>
      <c r="AI19" s="39">
        <f t="shared" si="6"/>
        <v>-18666.221791585638</v>
      </c>
      <c r="AJ19" s="39">
        <f t="shared" si="6"/>
        <v>26201.40057976768</v>
      </c>
      <c r="AK19" s="39">
        <f t="shared" si="6"/>
        <v>78955.46642398581</v>
      </c>
      <c r="AL19" s="39">
        <f t="shared" si="6"/>
        <v>169892.68764656765</v>
      </c>
      <c r="AM19" s="39">
        <f t="shared" si="6"/>
        <v>171236.2107415699</v>
      </c>
      <c r="AN19" s="39">
        <f t="shared" si="6"/>
        <v>154567.55351604769</v>
      </c>
      <c r="AO19" s="39">
        <f t="shared" ref="AO19:AX28" si="7">($F19+$G19*AO$4)*SIN(($A19*AO$5+$B19*AO$6+$C19*AO$7+$D19*AO$8+$E19*AO$9)*Deg2Rad)</f>
        <v>171332.45950531558</v>
      </c>
      <c r="AP19" s="39">
        <f t="shared" si="7"/>
        <v>165376.80451775278</v>
      </c>
      <c r="AQ19" s="39">
        <f t="shared" si="7"/>
        <v>-121662.88629236759</v>
      </c>
      <c r="AR19" s="39">
        <f t="shared" si="7"/>
        <v>141589.64513282769</v>
      </c>
      <c r="AS19" s="39">
        <f t="shared" si="7"/>
        <v>-135868.69797433194</v>
      </c>
      <c r="AT19" s="39">
        <f t="shared" si="7"/>
        <v>-148972.15497482018</v>
      </c>
      <c r="AU19" s="39">
        <f t="shared" si="7"/>
        <v>168450.59775654596</v>
      </c>
      <c r="AV19" s="39">
        <f t="shared" si="7"/>
        <v>-122420.70199877143</v>
      </c>
      <c r="AW19" s="39">
        <f t="shared" si="7"/>
        <v>-121629.9553633436</v>
      </c>
      <c r="AX19" s="39">
        <f t="shared" si="7"/>
        <v>-120851.32553868002</v>
      </c>
      <c r="AY19" s="39">
        <f t="shared" ref="AY19:BM28" si="8">($F19+$G19*AY$4)*SIN(($A19*AY$5+$B19*AY$6+$C19*AY$7+$D19*AY$8+$E19*AY$9)*Deg2Rad)</f>
        <v>-119964.85937429577</v>
      </c>
      <c r="AZ19" s="39">
        <f t="shared" si="8"/>
        <v>-118283.68552600122</v>
      </c>
      <c r="BA19" s="39">
        <f t="shared" si="8"/>
        <v>169712.65531349921</v>
      </c>
      <c r="BB19" s="39">
        <f t="shared" si="8"/>
        <v>-29311.323025388108</v>
      </c>
      <c r="BC19" s="39">
        <f t="shared" si="8"/>
        <v>145708.58786754272</v>
      </c>
      <c r="BD19" s="39">
        <f t="shared" si="8"/>
        <v>133990.77599950734</v>
      </c>
      <c r="BE19" s="39">
        <f t="shared" si="8"/>
        <v>-114775.13576536135</v>
      </c>
      <c r="BF19" s="39">
        <f t="shared" si="8"/>
        <v>-114656.64934871087</v>
      </c>
      <c r="BG19" s="39">
        <f t="shared" si="8"/>
        <v>-114538.06498840162</v>
      </c>
      <c r="BH19" s="39">
        <f t="shared" si="8"/>
        <v>-114419.38278572087</v>
      </c>
      <c r="BI19" s="39">
        <f t="shared" si="8"/>
        <v>-114300.60284203824</v>
      </c>
      <c r="BJ19" s="39">
        <f t="shared" si="8"/>
        <v>-114181.7252588079</v>
      </c>
      <c r="BK19" s="39">
        <f t="shared" si="8"/>
        <v>-114062.75013756643</v>
      </c>
      <c r="BL19" s="39">
        <f t="shared" si="8"/>
        <v>-113943.67757993493</v>
      </c>
      <c r="BM19" s="39">
        <f t="shared" si="8"/>
        <v>78976.805958395606</v>
      </c>
    </row>
    <row r="20" spans="1:65" x14ac:dyDescent="0.25">
      <c r="A20" s="7">
        <v>-2</v>
      </c>
      <c r="B20" s="7">
        <v>0</v>
      </c>
      <c r="C20" s="7">
        <v>0</v>
      </c>
      <c r="D20" s="7">
        <v>2</v>
      </c>
      <c r="E20" s="7">
        <v>2</v>
      </c>
      <c r="F20" s="195">
        <v>-13187</v>
      </c>
      <c r="G20">
        <v>-1.6</v>
      </c>
      <c r="H20" s="179"/>
      <c r="K20" s="39">
        <f t="shared" si="4"/>
        <v>-5870.7579606550735</v>
      </c>
      <c r="L20" s="39">
        <f t="shared" si="4"/>
        <v>12637.408120488702</v>
      </c>
      <c r="M20" s="39">
        <f t="shared" si="4"/>
        <v>4711.2137838639719</v>
      </c>
      <c r="N20" s="39">
        <f t="shared" si="4"/>
        <v>4601.773756004588</v>
      </c>
      <c r="O20" s="39">
        <f t="shared" si="4"/>
        <v>12504.825015633915</v>
      </c>
      <c r="P20" s="39">
        <f t="shared" si="4"/>
        <v>-1292.8453813217075</v>
      </c>
      <c r="Q20" s="39">
        <f t="shared" si="4"/>
        <v>12469.527400725321</v>
      </c>
      <c r="R20" s="39">
        <f t="shared" si="4"/>
        <v>-950.28454053879307</v>
      </c>
      <c r="S20" s="39">
        <f t="shared" si="4"/>
        <v>4591.4933871150834</v>
      </c>
      <c r="T20" s="39">
        <f t="shared" si="4"/>
        <v>4445.6474673226203</v>
      </c>
      <c r="U20" s="39">
        <f t="shared" si="5"/>
        <v>4342.0951273381115</v>
      </c>
      <c r="V20" s="39">
        <f t="shared" si="5"/>
        <v>-9307.8329722410235</v>
      </c>
      <c r="W20" s="39">
        <f t="shared" si="5"/>
        <v>2777.3006711857761</v>
      </c>
      <c r="X20" s="39">
        <f t="shared" si="5"/>
        <v>3217.9045919659907</v>
      </c>
      <c r="Y20" s="39">
        <f t="shared" si="5"/>
        <v>4788.8506876133652</v>
      </c>
      <c r="Z20" s="39">
        <f t="shared" si="5"/>
        <v>11785.400973809277</v>
      </c>
      <c r="AA20" s="39">
        <f t="shared" si="5"/>
        <v>13133.632806154688</v>
      </c>
      <c r="AB20" s="39">
        <f t="shared" si="5"/>
        <v>-10588.738763523377</v>
      </c>
      <c r="AC20" s="39">
        <f t="shared" si="5"/>
        <v>-7638.3668086976177</v>
      </c>
      <c r="AD20" s="39">
        <f t="shared" si="5"/>
        <v>-8633.1842204618315</v>
      </c>
      <c r="AE20" s="39">
        <f t="shared" si="6"/>
        <v>12408.67489586649</v>
      </c>
      <c r="AF20" s="39">
        <f t="shared" si="6"/>
        <v>4645.1606452688529</v>
      </c>
      <c r="AG20" s="39">
        <f t="shared" si="6"/>
        <v>4498.6452769079278</v>
      </c>
      <c r="AH20" s="39">
        <f t="shared" si="6"/>
        <v>3425.5503467582089</v>
      </c>
      <c r="AI20" s="39">
        <f t="shared" si="6"/>
        <v>-12707.445178909184</v>
      </c>
      <c r="AJ20" s="39">
        <f t="shared" si="6"/>
        <v>-11482.51311527315</v>
      </c>
      <c r="AK20" s="39">
        <f t="shared" si="6"/>
        <v>11852.975004675112</v>
      </c>
      <c r="AL20" s="39">
        <f t="shared" si="6"/>
        <v>-538.03068438239177</v>
      </c>
      <c r="AM20" s="39">
        <f t="shared" si="6"/>
        <v>-9096.202713314733</v>
      </c>
      <c r="AN20" s="39">
        <f t="shared" si="6"/>
        <v>9059.3307818160774</v>
      </c>
      <c r="AO20" s="39">
        <f t="shared" si="7"/>
        <v>-4339.1466724834918</v>
      </c>
      <c r="AP20" s="39">
        <f t="shared" si="7"/>
        <v>-12892.597917885383</v>
      </c>
      <c r="AQ20" s="39">
        <f t="shared" si="7"/>
        <v>4531.5695271976256</v>
      </c>
      <c r="AR20" s="39">
        <f t="shared" si="7"/>
        <v>630.97879670479119</v>
      </c>
      <c r="AS20" s="39">
        <f t="shared" si="7"/>
        <v>10350.309154037124</v>
      </c>
      <c r="AT20" s="39">
        <f t="shared" si="7"/>
        <v>-6431.5560332431323</v>
      </c>
      <c r="AU20" s="39">
        <f t="shared" si="7"/>
        <v>4598.3047190178113</v>
      </c>
      <c r="AV20" s="39">
        <f t="shared" si="7"/>
        <v>-2005.7151462086954</v>
      </c>
      <c r="AW20" s="39">
        <f t="shared" si="7"/>
        <v>-5079.9218089940905</v>
      </c>
      <c r="AX20" s="39">
        <f t="shared" si="7"/>
        <v>-7800.4640209777863</v>
      </c>
      <c r="AY20" s="39">
        <f t="shared" si="8"/>
        <v>-10342.379640337991</v>
      </c>
      <c r="AZ20" s="39">
        <f t="shared" si="8"/>
        <v>-13008.194187333826</v>
      </c>
      <c r="BA20" s="39">
        <f t="shared" si="8"/>
        <v>-8707.5143485994668</v>
      </c>
      <c r="BB20" s="39">
        <f t="shared" si="8"/>
        <v>8405.084662735022</v>
      </c>
      <c r="BC20" s="39">
        <f t="shared" si="8"/>
        <v>6052.6453337530147</v>
      </c>
      <c r="BD20" s="39">
        <f t="shared" si="8"/>
        <v>-9449.8313970197923</v>
      </c>
      <c r="BE20" s="39">
        <f t="shared" si="8"/>
        <v>-8532.3818430933825</v>
      </c>
      <c r="BF20" s="39">
        <f t="shared" si="8"/>
        <v>-8181.4488488028228</v>
      </c>
      <c r="BG20" s="39">
        <f t="shared" si="8"/>
        <v>-7820.832065055235</v>
      </c>
      <c r="BH20" s="39">
        <f t="shared" si="8"/>
        <v>-7450.9583276656276</v>
      </c>
      <c r="BI20" s="39">
        <f t="shared" si="8"/>
        <v>-7072.2654293005053</v>
      </c>
      <c r="BJ20" s="39">
        <f t="shared" si="8"/>
        <v>-6685.2016011755195</v>
      </c>
      <c r="BK20" s="39">
        <f t="shared" si="8"/>
        <v>-6290.2249825970202</v>
      </c>
      <c r="BL20" s="39">
        <f t="shared" si="8"/>
        <v>-5887.8030786664458</v>
      </c>
      <c r="BM20" s="39">
        <f t="shared" si="8"/>
        <v>11882.868035739049</v>
      </c>
    </row>
    <row r="21" spans="1:65" x14ac:dyDescent="0.25">
      <c r="A21" s="7">
        <v>0</v>
      </c>
      <c r="B21" s="7">
        <v>0</v>
      </c>
      <c r="C21" s="7">
        <v>0</v>
      </c>
      <c r="D21" s="7">
        <v>2</v>
      </c>
      <c r="E21" s="7">
        <v>2</v>
      </c>
      <c r="F21" s="195">
        <v>-2274</v>
      </c>
      <c r="G21">
        <v>-0.2</v>
      </c>
      <c r="H21" s="179"/>
      <c r="K21" s="39">
        <f t="shared" si="4"/>
        <v>2167.9640992135269</v>
      </c>
      <c r="L21" s="39">
        <f t="shared" si="4"/>
        <v>-1686.1050168113989</v>
      </c>
      <c r="M21" s="39">
        <f t="shared" si="4"/>
        <v>-2212.394222716588</v>
      </c>
      <c r="N21" s="39">
        <f t="shared" si="4"/>
        <v>-600.54306489405633</v>
      </c>
      <c r="O21" s="39">
        <f t="shared" si="4"/>
        <v>220.64064740446452</v>
      </c>
      <c r="P21" s="39">
        <f t="shared" si="4"/>
        <v>-284.76382252558568</v>
      </c>
      <c r="Q21" s="39">
        <f t="shared" si="4"/>
        <v>-2262.8800672164216</v>
      </c>
      <c r="R21" s="39">
        <f t="shared" si="4"/>
        <v>2103.6628202414317</v>
      </c>
      <c r="S21" s="39">
        <f t="shared" si="4"/>
        <v>551.76741378304098</v>
      </c>
      <c r="T21" s="39">
        <f t="shared" si="4"/>
        <v>755.53189203544639</v>
      </c>
      <c r="U21" s="39">
        <f t="shared" si="5"/>
        <v>-2250.062683275582</v>
      </c>
      <c r="V21" s="39">
        <f t="shared" si="5"/>
        <v>-2151.3573376060749</v>
      </c>
      <c r="W21" s="39">
        <f t="shared" si="5"/>
        <v>685.07066059678402</v>
      </c>
      <c r="X21" s="39">
        <f t="shared" si="5"/>
        <v>-346.67312414616708</v>
      </c>
      <c r="Y21" s="39">
        <f t="shared" si="5"/>
        <v>423.16202337079739</v>
      </c>
      <c r="Z21" s="39">
        <f t="shared" si="5"/>
        <v>-1597.9789003789754</v>
      </c>
      <c r="AA21" s="39">
        <f t="shared" si="5"/>
        <v>1894.213700072718</v>
      </c>
      <c r="AB21" s="39">
        <f t="shared" si="5"/>
        <v>1979.4964190890369</v>
      </c>
      <c r="AC21" s="39">
        <f t="shared" si="5"/>
        <v>1759.1402842480913</v>
      </c>
      <c r="AD21" s="39">
        <f t="shared" si="5"/>
        <v>2273.2865318284721</v>
      </c>
      <c r="AE21" s="39">
        <f t="shared" si="6"/>
        <v>992.23840750630677</v>
      </c>
      <c r="AF21" s="39">
        <f t="shared" si="6"/>
        <v>1437.0246157350289</v>
      </c>
      <c r="AG21" s="39">
        <f t="shared" si="6"/>
        <v>-2034.3091587729718</v>
      </c>
      <c r="AH21" s="39">
        <f t="shared" si="6"/>
        <v>-250.15115249588911</v>
      </c>
      <c r="AI21" s="39">
        <f t="shared" si="6"/>
        <v>-2169.9059711617383</v>
      </c>
      <c r="AJ21" s="39">
        <f t="shared" si="6"/>
        <v>421.33276346926783</v>
      </c>
      <c r="AK21" s="39">
        <f t="shared" si="6"/>
        <v>2151.1878682832485</v>
      </c>
      <c r="AL21" s="39">
        <f t="shared" si="6"/>
        <v>-2129.7589740513904</v>
      </c>
      <c r="AM21" s="39">
        <f t="shared" si="6"/>
        <v>-2220.0334194083148</v>
      </c>
      <c r="AN21" s="39">
        <f t="shared" si="6"/>
        <v>1561.2481859925301</v>
      </c>
      <c r="AO21" s="39">
        <f t="shared" si="7"/>
        <v>826.04251563940795</v>
      </c>
      <c r="AP21" s="39">
        <f t="shared" si="7"/>
        <v>1790.6345548733082</v>
      </c>
      <c r="AQ21" s="39">
        <f t="shared" si="7"/>
        <v>-1686.6387973599105</v>
      </c>
      <c r="AR21" s="39">
        <f t="shared" si="7"/>
        <v>-296.35493418236143</v>
      </c>
      <c r="AS21" s="39">
        <f t="shared" si="7"/>
        <v>2230.1231953007423</v>
      </c>
      <c r="AT21" s="39">
        <f t="shared" si="7"/>
        <v>-2178.3690664272081</v>
      </c>
      <c r="AU21" s="39">
        <f t="shared" si="7"/>
        <v>1806.9941183297663</v>
      </c>
      <c r="AV21" s="39">
        <f t="shared" si="7"/>
        <v>-236.07745577086811</v>
      </c>
      <c r="AW21" s="39">
        <f t="shared" si="7"/>
        <v>468.62359315007131</v>
      </c>
      <c r="AX21" s="39">
        <f t="shared" si="7"/>
        <v>-542.43210896117409</v>
      </c>
      <c r="AY21" s="39">
        <f t="shared" si="8"/>
        <v>1446.9727638354568</v>
      </c>
      <c r="AZ21" s="39">
        <f t="shared" si="8"/>
        <v>2073.380554632527</v>
      </c>
      <c r="BA21" s="39">
        <f t="shared" si="8"/>
        <v>-1526.3782725119195</v>
      </c>
      <c r="BB21" s="39">
        <f t="shared" si="8"/>
        <v>2124.7039673006475</v>
      </c>
      <c r="BC21" s="39">
        <f t="shared" si="8"/>
        <v>1039.6922032072464</v>
      </c>
      <c r="BD21" s="39">
        <f t="shared" si="8"/>
        <v>-1828.6814500861267</v>
      </c>
      <c r="BE21" s="39">
        <f t="shared" si="8"/>
        <v>1570.1425220825308</v>
      </c>
      <c r="BF21" s="39">
        <f t="shared" si="8"/>
        <v>676.77112434284982</v>
      </c>
      <c r="BG21" s="39">
        <f t="shared" si="8"/>
        <v>-357.26336684995988</v>
      </c>
      <c r="BH21" s="39">
        <f t="shared" si="8"/>
        <v>-1317.0426724355252</v>
      </c>
      <c r="BI21" s="39">
        <f t="shared" si="8"/>
        <v>-2003.0820369157393</v>
      </c>
      <c r="BJ21" s="39">
        <f t="shared" si="8"/>
        <v>-2272.7920180028632</v>
      </c>
      <c r="BK21" s="39">
        <f t="shared" si="8"/>
        <v>-2070.1149041489998</v>
      </c>
      <c r="BL21" s="39">
        <f t="shared" si="8"/>
        <v>-1437.1759964627693</v>
      </c>
      <c r="BM21" s="39">
        <f t="shared" si="8"/>
        <v>2197.1930128362415</v>
      </c>
    </row>
    <row r="22" spans="1:65" x14ac:dyDescent="0.25">
      <c r="A22" s="7">
        <v>0</v>
      </c>
      <c r="B22" s="7">
        <v>0</v>
      </c>
      <c r="C22" s="7">
        <v>0</v>
      </c>
      <c r="D22" s="7">
        <v>0</v>
      </c>
      <c r="E22" s="7">
        <v>2</v>
      </c>
      <c r="F22" s="195">
        <v>2062</v>
      </c>
      <c r="G22">
        <v>0.2</v>
      </c>
      <c r="H22" s="179"/>
      <c r="K22" s="39">
        <f t="shared" si="4"/>
        <v>2051.0087895560428</v>
      </c>
      <c r="L22" s="39">
        <f t="shared" si="4"/>
        <v>-1920.4804272278127</v>
      </c>
      <c r="M22" s="39">
        <f t="shared" si="4"/>
        <v>-1938.7398244638775</v>
      </c>
      <c r="N22" s="39">
        <f t="shared" si="4"/>
        <v>-1952.0092619715035</v>
      </c>
      <c r="O22" s="39">
        <f t="shared" si="4"/>
        <v>1038.377746471569</v>
      </c>
      <c r="P22" s="39">
        <f t="shared" si="4"/>
        <v>535.05773205076741</v>
      </c>
      <c r="Q22" s="39">
        <f t="shared" si="4"/>
        <v>-301.89046372208139</v>
      </c>
      <c r="R22" s="39">
        <f t="shared" si="4"/>
        <v>-829.54784155575976</v>
      </c>
      <c r="S22" s="39">
        <f t="shared" si="4"/>
        <v>761.91774867993331</v>
      </c>
      <c r="T22" s="39">
        <f t="shared" si="4"/>
        <v>-1836.2214295932552</v>
      </c>
      <c r="U22" s="39">
        <f t="shared" si="5"/>
        <v>-848.9932213206572</v>
      </c>
      <c r="V22" s="39">
        <f t="shared" si="5"/>
        <v>-1499.7508503627625</v>
      </c>
      <c r="W22" s="39">
        <f t="shared" si="5"/>
        <v>-1991.1595776208305</v>
      </c>
      <c r="X22" s="39">
        <f t="shared" si="5"/>
        <v>-1990.1962985720979</v>
      </c>
      <c r="Y22" s="39">
        <f t="shared" si="5"/>
        <v>1.9325381034332294</v>
      </c>
      <c r="Z22" s="39">
        <f t="shared" si="5"/>
        <v>507.80533289576221</v>
      </c>
      <c r="AA22" s="39">
        <f t="shared" si="5"/>
        <v>1178.1881902776181</v>
      </c>
      <c r="AB22" s="39">
        <f t="shared" si="5"/>
        <v>-548.2119048750111</v>
      </c>
      <c r="AC22" s="39">
        <f t="shared" si="5"/>
        <v>789.28851573280349</v>
      </c>
      <c r="AD22" s="39">
        <f t="shared" si="5"/>
        <v>-315.49896548953609</v>
      </c>
      <c r="AE22" s="39">
        <f t="shared" si="6"/>
        <v>1689.0462145302158</v>
      </c>
      <c r="AF22" s="39">
        <f t="shared" si="6"/>
        <v>-425.1095315830662</v>
      </c>
      <c r="AG22" s="39">
        <f t="shared" si="6"/>
        <v>-1939.3880103083593</v>
      </c>
      <c r="AH22" s="39">
        <f t="shared" si="6"/>
        <v>-1044.3856226554803</v>
      </c>
      <c r="AI22" s="39">
        <f t="shared" si="6"/>
        <v>-445.00707397773954</v>
      </c>
      <c r="AJ22" s="39">
        <f t="shared" si="6"/>
        <v>-620.97120229089967</v>
      </c>
      <c r="AK22" s="39">
        <f t="shared" si="6"/>
        <v>1682.1287301173918</v>
      </c>
      <c r="AL22" s="39">
        <f t="shared" si="6"/>
        <v>633.33519870571399</v>
      </c>
      <c r="AM22" s="39">
        <f t="shared" si="6"/>
        <v>382.33746887977873</v>
      </c>
      <c r="AN22" s="39">
        <f t="shared" si="6"/>
        <v>-1625.1197201775315</v>
      </c>
      <c r="AO22" s="39">
        <f t="shared" si="7"/>
        <v>-356.86310727814032</v>
      </c>
      <c r="AP22" s="39">
        <f t="shared" si="7"/>
        <v>1088.6318631610916</v>
      </c>
      <c r="AQ22" s="39">
        <f t="shared" si="7"/>
        <v>2061.6159359059338</v>
      </c>
      <c r="AR22" s="39">
        <f t="shared" si="7"/>
        <v>-1927.1910421436064</v>
      </c>
      <c r="AS22" s="39">
        <f t="shared" si="7"/>
        <v>-1974.6886051764211</v>
      </c>
      <c r="AT22" s="39">
        <f t="shared" si="7"/>
        <v>-1785.2924827079353</v>
      </c>
      <c r="AU22" s="39">
        <f t="shared" si="7"/>
        <v>112.69021786078672</v>
      </c>
      <c r="AV22" s="39">
        <f t="shared" si="7"/>
        <v>2061.8778023896148</v>
      </c>
      <c r="AW22" s="39">
        <f t="shared" si="7"/>
        <v>2062.045417425551</v>
      </c>
      <c r="AX22" s="39">
        <f t="shared" si="7"/>
        <v>2061.8699906341994</v>
      </c>
      <c r="AY22" s="39">
        <f t="shared" si="8"/>
        <v>2061.2671614784513</v>
      </c>
      <c r="AZ22" s="39">
        <f t="shared" si="8"/>
        <v>2058.976243101738</v>
      </c>
      <c r="BA22" s="39">
        <f t="shared" si="8"/>
        <v>-654.41548186495663</v>
      </c>
      <c r="BB22" s="39">
        <f t="shared" si="8"/>
        <v>-692.53992516083451</v>
      </c>
      <c r="BC22" s="39">
        <f t="shared" si="8"/>
        <v>-1854.3115751954147</v>
      </c>
      <c r="BD22" s="39">
        <f t="shared" si="8"/>
        <v>2013.7674980855029</v>
      </c>
      <c r="BE22" s="39">
        <f t="shared" si="8"/>
        <v>2049.5779821235215</v>
      </c>
      <c r="BF22" s="39">
        <f t="shared" si="8"/>
        <v>2049.1559758520962</v>
      </c>
      <c r="BG22" s="39">
        <f t="shared" si="8"/>
        <v>2048.7269682108686</v>
      </c>
      <c r="BH22" s="39">
        <f t="shared" si="8"/>
        <v>2048.2909606655985</v>
      </c>
      <c r="BI22" s="39">
        <f t="shared" si="8"/>
        <v>2047.8479547059587</v>
      </c>
      <c r="BJ22" s="39">
        <f t="shared" si="8"/>
        <v>2047.3979518455365</v>
      </c>
      <c r="BK22" s="39">
        <f t="shared" si="8"/>
        <v>2046.9409536218225</v>
      </c>
      <c r="BL22" s="39">
        <f t="shared" si="8"/>
        <v>2046.476961596213</v>
      </c>
      <c r="BM22" s="39">
        <f t="shared" si="8"/>
        <v>1682.4618589242421</v>
      </c>
    </row>
    <row r="23" spans="1:65" x14ac:dyDescent="0.25">
      <c r="A23" s="7">
        <v>0</v>
      </c>
      <c r="B23" s="7">
        <v>1</v>
      </c>
      <c r="C23" s="7">
        <v>0</v>
      </c>
      <c r="D23" s="7">
        <v>0</v>
      </c>
      <c r="E23" s="7">
        <v>0</v>
      </c>
      <c r="F23" s="195">
        <v>1426</v>
      </c>
      <c r="G23">
        <v>-3.4</v>
      </c>
      <c r="H23" s="179"/>
      <c r="K23" s="39">
        <f t="shared" si="4"/>
        <v>-1427.2159860603467</v>
      </c>
      <c r="L23" s="39">
        <f t="shared" si="4"/>
        <v>1176.395849069529</v>
      </c>
      <c r="M23" s="39">
        <f t="shared" si="4"/>
        <v>-61.511989455052408</v>
      </c>
      <c r="N23" s="39">
        <f t="shared" si="4"/>
        <v>-67.403714526989248</v>
      </c>
      <c r="O23" s="39">
        <f t="shared" si="4"/>
        <v>558.05050395642081</v>
      </c>
      <c r="P23" s="39">
        <f t="shared" si="4"/>
        <v>382.05890332526036</v>
      </c>
      <c r="Q23" s="39">
        <f t="shared" si="4"/>
        <v>552.16876344522996</v>
      </c>
      <c r="R23" s="39">
        <f t="shared" si="4"/>
        <v>364.51685821311122</v>
      </c>
      <c r="S23" s="39">
        <f t="shared" si="4"/>
        <v>-25.693920856049218</v>
      </c>
      <c r="T23" s="39">
        <f t="shared" si="4"/>
        <v>95.107276916935305</v>
      </c>
      <c r="U23" s="39">
        <f t="shared" si="5"/>
        <v>88.688986780887362</v>
      </c>
      <c r="V23" s="39">
        <f t="shared" si="5"/>
        <v>1275.7207480359848</v>
      </c>
      <c r="W23" s="39">
        <f t="shared" si="5"/>
        <v>736.95754687901979</v>
      </c>
      <c r="X23" s="39">
        <f t="shared" si="5"/>
        <v>759.28480875234891</v>
      </c>
      <c r="Y23" s="39">
        <f t="shared" si="5"/>
        <v>-1153.127733711163</v>
      </c>
      <c r="Z23" s="39">
        <f t="shared" si="5"/>
        <v>1518.3704085431166</v>
      </c>
      <c r="AA23" s="39">
        <f t="shared" si="5"/>
        <v>-1520.0349434666784</v>
      </c>
      <c r="AB23" s="39">
        <f t="shared" si="5"/>
        <v>1593.0172172458549</v>
      </c>
      <c r="AC23" s="39">
        <f t="shared" si="5"/>
        <v>1421.049836384685</v>
      </c>
      <c r="AD23" s="39">
        <f t="shared" si="5"/>
        <v>1413.594551994225</v>
      </c>
      <c r="AE23" s="39">
        <f t="shared" si="6"/>
        <v>961.05948002382456</v>
      </c>
      <c r="AF23" s="39">
        <f t="shared" si="6"/>
        <v>-84.059303871375334</v>
      </c>
      <c r="AG23" s="39">
        <f t="shared" si="6"/>
        <v>-73.763154038015415</v>
      </c>
      <c r="AH23" s="39">
        <f t="shared" si="6"/>
        <v>115.1686783578742</v>
      </c>
      <c r="AI23" s="39">
        <f t="shared" si="6"/>
        <v>-1090.1729771460148</v>
      </c>
      <c r="AJ23" s="39">
        <f t="shared" si="6"/>
        <v>1360.1090043284562</v>
      </c>
      <c r="AK23" s="39">
        <f t="shared" si="6"/>
        <v>1016.7823287481835</v>
      </c>
      <c r="AL23" s="39">
        <f t="shared" si="6"/>
        <v>-344.71499472069615</v>
      </c>
      <c r="AM23" s="39">
        <f t="shared" si="6"/>
        <v>-1408.714886062236</v>
      </c>
      <c r="AN23" s="39">
        <f t="shared" si="6"/>
        <v>1175.6941534898845</v>
      </c>
      <c r="AO23" s="39">
        <f t="shared" si="7"/>
        <v>1424.0404133634954</v>
      </c>
      <c r="AP23" s="39">
        <f t="shared" si="7"/>
        <v>1280.6526627164321</v>
      </c>
      <c r="AQ23" s="39">
        <f t="shared" si="7"/>
        <v>6.0288779688454808</v>
      </c>
      <c r="AR23" s="39">
        <f t="shared" si="7"/>
        <v>-1383.0395923847391</v>
      </c>
      <c r="AS23" s="39">
        <f t="shared" si="7"/>
        <v>-877.78422717364163</v>
      </c>
      <c r="AT23" s="39">
        <f t="shared" si="7"/>
        <v>1425.3980222370844</v>
      </c>
      <c r="AU23" s="39">
        <f t="shared" si="7"/>
        <v>780.69215783970014</v>
      </c>
      <c r="AV23" s="39">
        <f t="shared" si="7"/>
        <v>-1407.8544251228873</v>
      </c>
      <c r="AW23" s="39">
        <f t="shared" si="7"/>
        <v>-1424.3572239364507</v>
      </c>
      <c r="AX23" s="39">
        <f t="shared" si="7"/>
        <v>-1420.222690331585</v>
      </c>
      <c r="AY23" s="39">
        <f t="shared" si="8"/>
        <v>-1391.4627054573371</v>
      </c>
      <c r="AZ23" s="39">
        <f t="shared" si="8"/>
        <v>-1270.5461561075253</v>
      </c>
      <c r="BA23" s="39">
        <f t="shared" si="8"/>
        <v>780.14942658704615</v>
      </c>
      <c r="BB23" s="39">
        <f t="shared" si="8"/>
        <v>-1200.1079268141384</v>
      </c>
      <c r="BC23" s="39">
        <f t="shared" si="8"/>
        <v>45.880976293885261</v>
      </c>
      <c r="BD23" s="39">
        <f t="shared" si="8"/>
        <v>1402.70280940356</v>
      </c>
      <c r="BE23" s="39">
        <f t="shared" si="8"/>
        <v>-786.43961035193615</v>
      </c>
      <c r="BF23" s="39">
        <f t="shared" si="8"/>
        <v>-765.87797187584977</v>
      </c>
      <c r="BG23" s="39">
        <f t="shared" si="8"/>
        <v>-745.08971244430438</v>
      </c>
      <c r="BH23" s="39">
        <f t="shared" si="8"/>
        <v>-724.08098334242311</v>
      </c>
      <c r="BI23" s="39">
        <f t="shared" si="8"/>
        <v>-702.8580010914643</v>
      </c>
      <c r="BJ23" s="39">
        <f t="shared" si="8"/>
        <v>-681.42704560958214</v>
      </c>
      <c r="BK23" s="39">
        <f t="shared" si="8"/>
        <v>-659.79445835348622</v>
      </c>
      <c r="BL23" s="39">
        <f t="shared" si="8"/>
        <v>-637.96664044192016</v>
      </c>
      <c r="BM23" s="39">
        <f t="shared" si="8"/>
        <v>1014.1762981050678</v>
      </c>
    </row>
    <row r="24" spans="1:65" x14ac:dyDescent="0.25">
      <c r="A24" s="7">
        <v>0</v>
      </c>
      <c r="B24" s="7">
        <v>0</v>
      </c>
      <c r="C24" s="7">
        <v>1</v>
      </c>
      <c r="D24" s="7">
        <v>0</v>
      </c>
      <c r="E24" s="7">
        <v>0</v>
      </c>
      <c r="F24" s="195">
        <v>712</v>
      </c>
      <c r="G24">
        <v>0.1</v>
      </c>
      <c r="H24" s="179"/>
      <c r="K24" s="39">
        <f t="shared" si="4"/>
        <v>252.37393208111294</v>
      </c>
      <c r="L24" s="39">
        <f t="shared" si="4"/>
        <v>-531.91662804090686</v>
      </c>
      <c r="M24" s="39">
        <f t="shared" si="4"/>
        <v>503.78521913295253</v>
      </c>
      <c r="N24" s="39">
        <f t="shared" si="4"/>
        <v>454.87909211050027</v>
      </c>
      <c r="O24" s="39">
        <f t="shared" si="4"/>
        <v>-55.441495074112503</v>
      </c>
      <c r="P24" s="39">
        <f t="shared" si="4"/>
        <v>670.56791041288034</v>
      </c>
      <c r="Q24" s="39">
        <f t="shared" si="4"/>
        <v>708.4135989529741</v>
      </c>
      <c r="R24" s="39">
        <f t="shared" si="4"/>
        <v>97.270435689674883</v>
      </c>
      <c r="S24" s="39">
        <f t="shared" si="4"/>
        <v>-599.49466180936008</v>
      </c>
      <c r="T24" s="39">
        <f t="shared" si="4"/>
        <v>711.02978318734267</v>
      </c>
      <c r="U24" s="39">
        <f t="shared" si="5"/>
        <v>-12.613153156183822</v>
      </c>
      <c r="V24" s="39">
        <f t="shared" si="5"/>
        <v>690.47241083368408</v>
      </c>
      <c r="W24" s="39">
        <f t="shared" si="5"/>
        <v>-412.45998875177509</v>
      </c>
      <c r="X24" s="39">
        <f t="shared" si="5"/>
        <v>-532.38870668721154</v>
      </c>
      <c r="Y24" s="39">
        <f t="shared" si="5"/>
        <v>675.53379198531434</v>
      </c>
      <c r="Z24" s="39">
        <f t="shared" si="5"/>
        <v>349.83266569628296</v>
      </c>
      <c r="AA24" s="39">
        <f t="shared" si="5"/>
        <v>604.79946903874577</v>
      </c>
      <c r="AB24" s="39">
        <f t="shared" si="5"/>
        <v>-535.23384965508785</v>
      </c>
      <c r="AC24" s="39">
        <f t="shared" si="5"/>
        <v>-539.60702956057753</v>
      </c>
      <c r="AD24" s="39">
        <f t="shared" si="5"/>
        <v>63.91614898682208</v>
      </c>
      <c r="AE24" s="39">
        <f t="shared" si="6"/>
        <v>548.7055215371339</v>
      </c>
      <c r="AF24" s="39">
        <f t="shared" si="6"/>
        <v>-417.86334265394538</v>
      </c>
      <c r="AG24" s="39">
        <f t="shared" si="6"/>
        <v>557.75436397757471</v>
      </c>
      <c r="AH24" s="39">
        <f t="shared" si="6"/>
        <v>584.51097524917918</v>
      </c>
      <c r="AI24" s="39">
        <f t="shared" si="6"/>
        <v>711.11954705681387</v>
      </c>
      <c r="AJ24" s="39">
        <f t="shared" si="6"/>
        <v>562.23269478045097</v>
      </c>
      <c r="AK24" s="39">
        <f t="shared" si="6"/>
        <v>711.70482197262504</v>
      </c>
      <c r="AL24" s="39">
        <f t="shared" si="6"/>
        <v>600.67991435308397</v>
      </c>
      <c r="AM24" s="39">
        <f t="shared" si="6"/>
        <v>-665.18726285785147</v>
      </c>
      <c r="AN24" s="39">
        <f t="shared" si="6"/>
        <v>686.53723717428852</v>
      </c>
      <c r="AO24" s="39">
        <f t="shared" si="7"/>
        <v>-471.17975851475222</v>
      </c>
      <c r="AP24" s="39">
        <f t="shared" si="7"/>
        <v>-218.74477381751751</v>
      </c>
      <c r="AQ24" s="39">
        <f t="shared" si="7"/>
        <v>-396.8272846365262</v>
      </c>
      <c r="AR24" s="39">
        <f t="shared" si="7"/>
        <v>628.03999075019635</v>
      </c>
      <c r="AS24" s="39">
        <f t="shared" si="7"/>
        <v>-569.33392495385817</v>
      </c>
      <c r="AT24" s="39">
        <f t="shared" si="7"/>
        <v>-599.35851539819248</v>
      </c>
      <c r="AU24" s="39">
        <f t="shared" si="7"/>
        <v>560.84445712599938</v>
      </c>
      <c r="AV24" s="39">
        <f t="shared" si="7"/>
        <v>-686.57052795278128</v>
      </c>
      <c r="AW24" s="39">
        <f t="shared" si="7"/>
        <v>-162.40992807764482</v>
      </c>
      <c r="AX24" s="39">
        <f t="shared" si="7"/>
        <v>693.7728643316633</v>
      </c>
      <c r="AY24" s="39">
        <f t="shared" si="8"/>
        <v>12.571729089616932</v>
      </c>
      <c r="AZ24" s="39">
        <f t="shared" si="8"/>
        <v>129.41513750389922</v>
      </c>
      <c r="BA24" s="39">
        <f t="shared" si="8"/>
        <v>-155.92356976885111</v>
      </c>
      <c r="BB24" s="39">
        <f t="shared" si="8"/>
        <v>277.55325372049577</v>
      </c>
      <c r="BC24" s="39">
        <f t="shared" si="8"/>
        <v>-411.431923811893</v>
      </c>
      <c r="BD24" s="39">
        <f t="shared" si="8"/>
        <v>625.5444122714099</v>
      </c>
      <c r="BE24" s="39">
        <f t="shared" si="8"/>
        <v>480.31977095145044</v>
      </c>
      <c r="BF24" s="39">
        <f t="shared" si="8"/>
        <v>586.70452237069412</v>
      </c>
      <c r="BG24" s="39">
        <f t="shared" si="8"/>
        <v>662.71472049409954</v>
      </c>
      <c r="BH24" s="39">
        <f t="shared" si="8"/>
        <v>704.41520558621357</v>
      </c>
      <c r="BI24" s="39">
        <f t="shared" si="8"/>
        <v>709.64708207407045</v>
      </c>
      <c r="BJ24" s="39">
        <f t="shared" si="8"/>
        <v>678.13948775358108</v>
      </c>
      <c r="BK24" s="39">
        <f t="shared" si="8"/>
        <v>611.52361673751841</v>
      </c>
      <c r="BL24" s="39">
        <f t="shared" si="8"/>
        <v>513.24827015745609</v>
      </c>
      <c r="BM24" s="39">
        <f t="shared" si="8"/>
        <v>711.96062509039325</v>
      </c>
    </row>
    <row r="25" spans="1:65" x14ac:dyDescent="0.25">
      <c r="A25" s="7">
        <v>-2</v>
      </c>
      <c r="B25" s="7">
        <v>1</v>
      </c>
      <c r="C25" s="7">
        <v>0</v>
      </c>
      <c r="D25" s="7">
        <v>2</v>
      </c>
      <c r="E25" s="7">
        <v>2</v>
      </c>
      <c r="F25" s="195">
        <v>-517</v>
      </c>
      <c r="G25">
        <v>1.2</v>
      </c>
      <c r="H25" s="179"/>
      <c r="K25" s="39">
        <f t="shared" si="4"/>
        <v>459.26923591705906</v>
      </c>
      <c r="L25" s="39">
        <f t="shared" si="4"/>
        <v>432.7788027279359</v>
      </c>
      <c r="M25" s="39">
        <f t="shared" si="4"/>
        <v>163.70298680902499</v>
      </c>
      <c r="N25" s="39">
        <f t="shared" si="4"/>
        <v>157.31542294054458</v>
      </c>
      <c r="O25" s="39">
        <f t="shared" si="4"/>
        <v>515.54444941348982</v>
      </c>
      <c r="P25" s="39">
        <f t="shared" si="4"/>
        <v>186.69739646252955</v>
      </c>
      <c r="Q25" s="39">
        <f t="shared" si="4"/>
        <v>516.01224207332928</v>
      </c>
      <c r="R25" s="39">
        <f t="shared" si="4"/>
        <v>167.84121475204395</v>
      </c>
      <c r="S25" s="39">
        <f t="shared" si="4"/>
        <v>171.68952393449771</v>
      </c>
      <c r="T25" s="39">
        <f t="shared" si="4"/>
        <v>208.06464050760857</v>
      </c>
      <c r="U25" s="39">
        <f t="shared" si="5"/>
        <v>201.9182339099693</v>
      </c>
      <c r="V25" s="39">
        <f t="shared" si="5"/>
        <v>-142.22284745199642</v>
      </c>
      <c r="W25" s="39">
        <f t="shared" si="5"/>
        <v>360.55413639404696</v>
      </c>
      <c r="X25" s="39">
        <f t="shared" si="5"/>
        <v>380.98129560216285</v>
      </c>
      <c r="Y25" s="39">
        <f t="shared" si="5"/>
        <v>-520.86144902108242</v>
      </c>
      <c r="Z25" s="39">
        <f t="shared" si="5"/>
        <v>-298.50785494841381</v>
      </c>
      <c r="AA25" s="39">
        <f t="shared" si="5"/>
        <v>-40.693854810558882</v>
      </c>
      <c r="AB25" s="39">
        <f t="shared" si="5"/>
        <v>207.45023080599285</v>
      </c>
      <c r="AC25" s="39">
        <f t="shared" si="5"/>
        <v>-393.96874031251429</v>
      </c>
      <c r="AD25" s="39">
        <f t="shared" si="5"/>
        <v>-342.38234792424612</v>
      </c>
      <c r="AE25" s="39">
        <f t="shared" si="6"/>
        <v>241.85907099971215</v>
      </c>
      <c r="AF25" s="39">
        <f t="shared" si="6"/>
        <v>153.07854146522837</v>
      </c>
      <c r="AG25" s="39">
        <f t="shared" si="6"/>
        <v>150.99577525594503</v>
      </c>
      <c r="AH25" s="39">
        <f t="shared" si="6"/>
        <v>-93.690683287831433</v>
      </c>
      <c r="AI25" s="39">
        <f t="shared" si="6"/>
        <v>-427.12829030459369</v>
      </c>
      <c r="AJ25" s="39">
        <f t="shared" si="6"/>
        <v>-106.78781557475143</v>
      </c>
      <c r="AK25" s="39">
        <f t="shared" si="6"/>
        <v>164.63572577762125</v>
      </c>
      <c r="AL25" s="39">
        <f t="shared" si="6"/>
        <v>-145.34447308904032</v>
      </c>
      <c r="AM25" s="39">
        <f t="shared" si="6"/>
        <v>314.02153515682102</v>
      </c>
      <c r="AN25" s="39">
        <f t="shared" si="6"/>
        <v>-108.60990941634141</v>
      </c>
      <c r="AO25" s="39">
        <f t="shared" si="7"/>
        <v>-497.03268990918593</v>
      </c>
      <c r="AP25" s="39">
        <f t="shared" si="7"/>
        <v>124.96329991877235</v>
      </c>
      <c r="AQ25" s="39">
        <f t="shared" si="7"/>
        <v>180.5021429846077</v>
      </c>
      <c r="AR25" s="39">
        <f t="shared" si="7"/>
        <v>494.79851292922126</v>
      </c>
      <c r="AS25" s="39">
        <f t="shared" si="7"/>
        <v>-533.32492534003745</v>
      </c>
      <c r="AT25" s="39">
        <f t="shared" si="7"/>
        <v>-443.87923414543508</v>
      </c>
      <c r="AU25" s="39">
        <f t="shared" si="7"/>
        <v>426.09488694434111</v>
      </c>
      <c r="AV25" s="39">
        <f t="shared" si="7"/>
        <v>516.72384209746997</v>
      </c>
      <c r="AW25" s="39">
        <f t="shared" si="7"/>
        <v>483.51022459794814</v>
      </c>
      <c r="AX25" s="39">
        <f t="shared" si="7"/>
        <v>389.5849336883129</v>
      </c>
      <c r="AY25" s="39">
        <f t="shared" si="8"/>
        <v>225.3114251426567</v>
      </c>
      <c r="AZ25" s="39">
        <f t="shared" si="8"/>
        <v>-155.25992965828507</v>
      </c>
      <c r="BA25" s="39">
        <f t="shared" si="8"/>
        <v>498.42955248799484</v>
      </c>
      <c r="BB25" s="39">
        <f t="shared" si="8"/>
        <v>157.25267762124767</v>
      </c>
      <c r="BC25" s="39">
        <f t="shared" si="8"/>
        <v>252.32735615736206</v>
      </c>
      <c r="BD25" s="39">
        <f t="shared" si="8"/>
        <v>-285.91616091196505</v>
      </c>
      <c r="BE25" s="39">
        <f t="shared" si="8"/>
        <v>-496.22639702476499</v>
      </c>
      <c r="BF25" s="39">
        <f t="shared" si="8"/>
        <v>-488.13247928998737</v>
      </c>
      <c r="BG25" s="39">
        <f t="shared" si="8"/>
        <v>-478.73878863197194</v>
      </c>
      <c r="BH25" s="39">
        <f t="shared" si="8"/>
        <v>-468.07033824971518</v>
      </c>
      <c r="BI25" s="39">
        <f t="shared" si="8"/>
        <v>-456.15553570458746</v>
      </c>
      <c r="BJ25" s="39">
        <f t="shared" si="8"/>
        <v>-443.02610727540099</v>
      </c>
      <c r="BK25" s="39">
        <f t="shared" si="8"/>
        <v>-428.71701348061811</v>
      </c>
      <c r="BL25" s="39">
        <f t="shared" si="8"/>
        <v>-413.26635598605657</v>
      </c>
      <c r="BM25" s="39">
        <f t="shared" si="8"/>
        <v>168.45602997001754</v>
      </c>
    </row>
    <row r="26" spans="1:65" x14ac:dyDescent="0.25">
      <c r="A26" s="7">
        <v>0</v>
      </c>
      <c r="B26" s="7">
        <v>0</v>
      </c>
      <c r="C26" s="7">
        <v>0</v>
      </c>
      <c r="D26" s="7">
        <v>2</v>
      </c>
      <c r="E26" s="7">
        <v>1</v>
      </c>
      <c r="F26" s="195">
        <v>-386</v>
      </c>
      <c r="G26">
        <v>-0.4</v>
      </c>
      <c r="H26" s="179"/>
      <c r="K26" s="39">
        <f t="shared" si="4"/>
        <v>-351.11109331852839</v>
      </c>
      <c r="L26" s="39">
        <f t="shared" si="4"/>
        <v>-88.592522703177139</v>
      </c>
      <c r="M26" s="39">
        <f t="shared" si="4"/>
        <v>288.70221040438804</v>
      </c>
      <c r="N26" s="39">
        <f t="shared" si="4"/>
        <v>-133.83940891756438</v>
      </c>
      <c r="O26" s="39">
        <f t="shared" si="4"/>
        <v>-64.0360953918305</v>
      </c>
      <c r="P26" s="39">
        <f t="shared" si="4"/>
        <v>2.1956685957868838</v>
      </c>
      <c r="Q26" s="39">
        <f t="shared" si="4"/>
        <v>-385.82817196133766</v>
      </c>
      <c r="R26" s="39">
        <f t="shared" si="4"/>
        <v>319.30066269870269</v>
      </c>
      <c r="S26" s="39">
        <f t="shared" si="4"/>
        <v>349.79186685586285</v>
      </c>
      <c r="T26" s="39">
        <f t="shared" si="4"/>
        <v>375.89110841440538</v>
      </c>
      <c r="U26" s="39">
        <f t="shared" si="5"/>
        <v>-26.679558250211503</v>
      </c>
      <c r="V26" s="39">
        <f t="shared" si="5"/>
        <v>-255.65127575204056</v>
      </c>
      <c r="W26" s="39">
        <f t="shared" si="5"/>
        <v>215.13186115942167</v>
      </c>
      <c r="X26" s="39">
        <f t="shared" si="5"/>
        <v>330.64719158137643</v>
      </c>
      <c r="Y26" s="39">
        <f t="shared" si="5"/>
        <v>-69.953750071483057</v>
      </c>
      <c r="Z26" s="39">
        <f t="shared" si="5"/>
        <v>228.43086093362075</v>
      </c>
      <c r="AA26" s="39">
        <f t="shared" si="5"/>
        <v>-359.72093413166687</v>
      </c>
      <c r="AB26" s="39">
        <f t="shared" si="5"/>
        <v>335.03646256241774</v>
      </c>
      <c r="AC26" s="39">
        <f t="shared" si="5"/>
        <v>340.55468794267796</v>
      </c>
      <c r="AD26" s="39">
        <f t="shared" si="5"/>
        <v>39.140690228242093</v>
      </c>
      <c r="AE26" s="39">
        <f t="shared" si="6"/>
        <v>10.967925784600846</v>
      </c>
      <c r="AF26" s="39">
        <f t="shared" si="6"/>
        <v>273.73370348589833</v>
      </c>
      <c r="AG26" s="39">
        <f t="shared" si="6"/>
        <v>339.59090213757338</v>
      </c>
      <c r="AH26" s="39">
        <f t="shared" si="6"/>
        <v>358.89327489318833</v>
      </c>
      <c r="AI26" s="39">
        <f t="shared" si="6"/>
        <v>378.60767241990879</v>
      </c>
      <c r="AJ26" s="39">
        <f t="shared" si="6"/>
        <v>128.46019866051179</v>
      </c>
      <c r="AK26" s="39">
        <f t="shared" si="6"/>
        <v>-381.74896845984932</v>
      </c>
      <c r="AL26" s="39">
        <f t="shared" si="6"/>
        <v>-77.426482489558907</v>
      </c>
      <c r="AM26" s="39">
        <f t="shared" si="6"/>
        <v>-48.12708224054974</v>
      </c>
      <c r="AN26" s="39">
        <f t="shared" si="6"/>
        <v>-136.01926475788395</v>
      </c>
      <c r="AO26" s="39">
        <f t="shared" si="7"/>
        <v>-346.06513932573131</v>
      </c>
      <c r="AP26" s="39">
        <f t="shared" si="7"/>
        <v>-312.20527962638346</v>
      </c>
      <c r="AQ26" s="39">
        <f t="shared" si="7"/>
        <v>-18.556209047373237</v>
      </c>
      <c r="AR26" s="39">
        <f t="shared" si="7"/>
        <v>-343.60152354849561</v>
      </c>
      <c r="AS26" s="39">
        <f t="shared" si="7"/>
        <v>-165.85536910271196</v>
      </c>
      <c r="AT26" s="39">
        <f t="shared" si="7"/>
        <v>280.74933416950392</v>
      </c>
      <c r="AU26" s="39">
        <f t="shared" si="7"/>
        <v>-236.94433734071566</v>
      </c>
      <c r="AV26" s="39">
        <f t="shared" si="7"/>
        <v>245.09750057809285</v>
      </c>
      <c r="AW26" s="39">
        <f t="shared" si="7"/>
        <v>-210.8409927681696</v>
      </c>
      <c r="AX26" s="39">
        <f t="shared" si="7"/>
        <v>197.84727016109161</v>
      </c>
      <c r="AY26" s="39">
        <f t="shared" si="8"/>
        <v>-31.611685957423695</v>
      </c>
      <c r="AZ26" s="39">
        <f t="shared" si="8"/>
        <v>146.5845643364797</v>
      </c>
      <c r="BA26" s="39">
        <f t="shared" si="8"/>
        <v>240.66945963048002</v>
      </c>
      <c r="BB26" s="39">
        <f t="shared" si="8"/>
        <v>-331.9318779545419</v>
      </c>
      <c r="BC26" s="39">
        <f t="shared" si="8"/>
        <v>384.37218226343111</v>
      </c>
      <c r="BD26" s="39">
        <f t="shared" si="8"/>
        <v>15.685722739699461</v>
      </c>
      <c r="BE26" s="39">
        <f t="shared" si="8"/>
        <v>384.90927552371153</v>
      </c>
      <c r="BF26" s="39">
        <f t="shared" si="8"/>
        <v>331.32302041853382</v>
      </c>
      <c r="BG26" s="39">
        <f t="shared" si="8"/>
        <v>208.60101677932212</v>
      </c>
      <c r="BH26" s="39">
        <f t="shared" si="8"/>
        <v>42.351131816586303</v>
      </c>
      <c r="BI26" s="39">
        <f t="shared" si="8"/>
        <v>-132.73599056993825</v>
      </c>
      <c r="BJ26" s="39">
        <f t="shared" si="8"/>
        <v>-280.125676299752</v>
      </c>
      <c r="BK26" s="39">
        <f t="shared" si="8"/>
        <v>-369.06275385181681</v>
      </c>
      <c r="BL26" s="39">
        <f t="shared" si="8"/>
        <v>-380.98910357173764</v>
      </c>
      <c r="BM26" s="39">
        <f t="shared" si="8"/>
        <v>-376.88968734675501</v>
      </c>
    </row>
    <row r="27" spans="1:65" x14ac:dyDescent="0.25">
      <c r="A27" s="7">
        <v>0</v>
      </c>
      <c r="B27" s="7">
        <v>0</v>
      </c>
      <c r="C27" s="7">
        <v>1</v>
      </c>
      <c r="D27" s="7">
        <v>2</v>
      </c>
      <c r="E27" s="7">
        <v>2</v>
      </c>
      <c r="F27" s="195">
        <v>-301</v>
      </c>
      <c r="G27" s="7">
        <v>0</v>
      </c>
      <c r="H27" s="179"/>
      <c r="K27" s="39">
        <f t="shared" si="4"/>
        <v>-300.52999421247745</v>
      </c>
      <c r="L27" s="39">
        <f t="shared" si="4"/>
        <v>-299.10136175382951</v>
      </c>
      <c r="M27" s="39">
        <f t="shared" si="4"/>
        <v>157.70114337278355</v>
      </c>
      <c r="N27" s="39">
        <f t="shared" si="4"/>
        <v>124.32096417145358</v>
      </c>
      <c r="O27" s="39">
        <f t="shared" si="4"/>
        <v>5.7890642013446039</v>
      </c>
      <c r="P27" s="39">
        <f t="shared" si="4"/>
        <v>-293.92670312298907</v>
      </c>
      <c r="Q27" s="39">
        <f t="shared" si="4"/>
        <v>-59.526458068831481</v>
      </c>
      <c r="R27" s="39">
        <f t="shared" si="4"/>
        <v>-291.45983829077397</v>
      </c>
      <c r="S27" s="39">
        <f t="shared" si="4"/>
        <v>-206.50516935343364</v>
      </c>
      <c r="T27" s="39">
        <f t="shared" si="4"/>
        <v>279.65674013396375</v>
      </c>
      <c r="U27" s="39">
        <f t="shared" si="5"/>
        <v>297.12995505494825</v>
      </c>
      <c r="V27" s="39">
        <f t="shared" si="5"/>
        <v>-26.146248457709245</v>
      </c>
      <c r="W27" s="39">
        <f t="shared" si="5"/>
        <v>92.792677422396707</v>
      </c>
      <c r="X27" s="39">
        <f t="shared" si="5"/>
        <v>253.50304232811737</v>
      </c>
      <c r="Y27" s="39">
        <f t="shared" si="5"/>
        <v>-298.80657656238958</v>
      </c>
      <c r="Z27" s="39">
        <f t="shared" si="5"/>
        <v>79.070500728836365</v>
      </c>
      <c r="AA27" s="39">
        <f t="shared" si="5"/>
        <v>-272.4003759436643</v>
      </c>
      <c r="AB27" s="39">
        <f t="shared" si="5"/>
        <v>61.332351920748003</v>
      </c>
      <c r="AC27" s="39">
        <f t="shared" si="5"/>
        <v>-7.3520248780804422</v>
      </c>
      <c r="AD27" s="39">
        <f t="shared" si="5"/>
        <v>300.36213472248301</v>
      </c>
      <c r="AE27" s="39">
        <f t="shared" si="6"/>
        <v>292.41891849395859</v>
      </c>
      <c r="AF27" s="39">
        <f t="shared" si="6"/>
        <v>-290.91319653028938</v>
      </c>
      <c r="AG27" s="39">
        <f t="shared" si="6"/>
        <v>62.000358995458349</v>
      </c>
      <c r="AH27" s="39">
        <f t="shared" si="6"/>
        <v>226.71429690981955</v>
      </c>
      <c r="AI27" s="39">
        <f t="shared" si="6"/>
        <v>-75.793441424174162</v>
      </c>
      <c r="AJ27" s="39">
        <f t="shared" si="6"/>
        <v>199.35635829832538</v>
      </c>
      <c r="AK27" s="39">
        <f t="shared" si="6"/>
        <v>-105.40108859646872</v>
      </c>
      <c r="AL27" s="39">
        <f t="shared" si="6"/>
        <v>-240.34885798148221</v>
      </c>
      <c r="AM27" s="39">
        <f t="shared" si="6"/>
        <v>165.68002556564039</v>
      </c>
      <c r="AN27" s="39">
        <f t="shared" si="6"/>
        <v>-156.25901421308106</v>
      </c>
      <c r="AO27" s="39">
        <f t="shared" si="7"/>
        <v>103.61471642874869</v>
      </c>
      <c r="AP27" s="39">
        <f t="shared" si="7"/>
        <v>282.55794596613595</v>
      </c>
      <c r="AQ27" s="39">
        <f t="shared" si="7"/>
        <v>-72.844351022067698</v>
      </c>
      <c r="AR27" s="39">
        <f t="shared" si="7"/>
        <v>-244.76535370894962</v>
      </c>
      <c r="AS27" s="39">
        <f t="shared" si="7"/>
        <v>222.5471120021669</v>
      </c>
      <c r="AT27" s="39">
        <f t="shared" si="7"/>
        <v>-82.938530597642099</v>
      </c>
      <c r="AU27" s="39">
        <f t="shared" si="7"/>
        <v>3.0193064400202503</v>
      </c>
      <c r="AV27" s="39">
        <f t="shared" si="7"/>
        <v>296.95222537946245</v>
      </c>
      <c r="AW27" s="39">
        <f t="shared" si="7"/>
        <v>-6.7900531958383068</v>
      </c>
      <c r="AX27" s="39">
        <f t="shared" si="7"/>
        <v>-300.97068824764403</v>
      </c>
      <c r="AY27" s="39">
        <f t="shared" si="8"/>
        <v>-187.39623991091094</v>
      </c>
      <c r="AZ27" s="39">
        <f t="shared" si="8"/>
        <v>292.33850038194493</v>
      </c>
      <c r="BA27" s="39">
        <f t="shared" si="8"/>
        <v>-246.00222609658539</v>
      </c>
      <c r="BB27" s="39">
        <f t="shared" si="8"/>
        <v>-300.80421833994768</v>
      </c>
      <c r="BC27" s="39">
        <f t="shared" si="8"/>
        <v>-42.383328124580608</v>
      </c>
      <c r="BD27" s="39">
        <f t="shared" si="8"/>
        <v>-272.77613325748416</v>
      </c>
      <c r="BE27" s="39">
        <f t="shared" si="8"/>
        <v>6.5389302223718593</v>
      </c>
      <c r="BF27" s="39">
        <f t="shared" si="8"/>
        <v>-186.02941063121847</v>
      </c>
      <c r="BG27" s="39">
        <f t="shared" si="8"/>
        <v>-293.96795012116922</v>
      </c>
      <c r="BH27" s="39">
        <f t="shared" si="8"/>
        <v>-268.17253248273801</v>
      </c>
      <c r="BI27" s="39">
        <f t="shared" si="8"/>
        <v>-120.37818963041427</v>
      </c>
      <c r="BJ27" s="39">
        <f t="shared" si="8"/>
        <v>82.179441684797183</v>
      </c>
      <c r="BK27" s="39">
        <f t="shared" si="8"/>
        <v>247.35142627687225</v>
      </c>
      <c r="BL27" s="39">
        <f t="shared" si="8"/>
        <v>299.99656900112535</v>
      </c>
      <c r="BM27" s="39">
        <f t="shared" si="8"/>
        <v>-75.564789360391217</v>
      </c>
    </row>
    <row r="28" spans="1:65" x14ac:dyDescent="0.25">
      <c r="A28" s="7">
        <v>-2</v>
      </c>
      <c r="B28" s="7">
        <v>-1</v>
      </c>
      <c r="C28" s="7">
        <v>0</v>
      </c>
      <c r="D28" s="7">
        <v>2</v>
      </c>
      <c r="E28" s="7">
        <v>2</v>
      </c>
      <c r="F28" s="195">
        <v>217</v>
      </c>
      <c r="G28">
        <v>-0.5</v>
      </c>
      <c r="H28" s="179"/>
      <c r="K28" s="39">
        <f t="shared" si="4"/>
        <v>196.16463647929257</v>
      </c>
      <c r="L28" s="39">
        <f t="shared" si="4"/>
        <v>-81.805790789194958</v>
      </c>
      <c r="M28" s="39">
        <f t="shared" si="4"/>
        <v>-86.196455362297812</v>
      </c>
      <c r="N28" s="39">
        <f t="shared" si="4"/>
        <v>-85.254429902110033</v>
      </c>
      <c r="O28" s="39">
        <f t="shared" si="4"/>
        <v>-162.4775405184231</v>
      </c>
      <c r="P28" s="39">
        <f t="shared" si="4"/>
        <v>37.355264444791217</v>
      </c>
      <c r="Q28" s="39">
        <f t="shared" si="4"/>
        <v>-161.91606735999054</v>
      </c>
      <c r="R28" s="39">
        <f t="shared" si="4"/>
        <v>40.202731860824173</v>
      </c>
      <c r="S28" s="39">
        <f t="shared" si="4"/>
        <v>-79.3917521819277</v>
      </c>
      <c r="T28" s="39">
        <f t="shared" si="4"/>
        <v>-60.084070352380323</v>
      </c>
      <c r="U28" s="39">
        <f t="shared" si="5"/>
        <v>-59.267791903382452</v>
      </c>
      <c r="V28" s="39">
        <f t="shared" si="5"/>
        <v>-214.71760381128053</v>
      </c>
      <c r="W28" s="39">
        <f t="shared" si="5"/>
        <v>67.596199843265111</v>
      </c>
      <c r="X28" s="39">
        <f t="shared" si="5"/>
        <v>63.847334745676704</v>
      </c>
      <c r="Y28" s="39">
        <f t="shared" si="5"/>
        <v>-107.56082517949983</v>
      </c>
      <c r="Z28" s="39">
        <f t="shared" si="5"/>
        <v>-78.596954187367444</v>
      </c>
      <c r="AA28" s="39">
        <f t="shared" si="5"/>
        <v>30.257651408867197</v>
      </c>
      <c r="AB28" s="39">
        <f t="shared" si="5"/>
        <v>196.30636011132074</v>
      </c>
      <c r="AC28" s="39">
        <f t="shared" si="5"/>
        <v>-187.18554960845017</v>
      </c>
      <c r="AD28" s="39">
        <f t="shared" si="5"/>
        <v>-181.49959450604723</v>
      </c>
      <c r="AE28" s="39">
        <f t="shared" si="6"/>
        <v>-200.49257051765875</v>
      </c>
      <c r="AF28" s="39">
        <f t="shared" si="6"/>
        <v>-88.196542299539786</v>
      </c>
      <c r="AG28" s="39">
        <f t="shared" si="6"/>
        <v>-84.480273996077571</v>
      </c>
      <c r="AH28" s="39">
        <f t="shared" si="6"/>
        <v>73.171113861744416</v>
      </c>
      <c r="AI28" s="39">
        <f t="shared" si="6"/>
        <v>90.645722150738521</v>
      </c>
      <c r="AJ28" s="39">
        <f t="shared" si="6"/>
        <v>-158.71900052768706</v>
      </c>
      <c r="AK28" s="39">
        <f t="shared" si="6"/>
        <v>-204.71239178821742</v>
      </c>
      <c r="AL28" s="39">
        <f t="shared" si="6"/>
        <v>-43.82006117420331</v>
      </c>
      <c r="AM28" s="39">
        <f t="shared" si="6"/>
        <v>178.60502080668377</v>
      </c>
      <c r="AN28" s="39">
        <f t="shared" si="6"/>
        <v>-214.42505609992321</v>
      </c>
      <c r="AO28" s="39">
        <f t="shared" si="7"/>
        <v>-200.64697678145114</v>
      </c>
      <c r="AP28" s="39">
        <f t="shared" si="7"/>
        <v>-134.33449058816717</v>
      </c>
      <c r="AQ28" s="39">
        <f t="shared" si="7"/>
        <v>-74.036861981745233</v>
      </c>
      <c r="AR28" s="39">
        <f t="shared" si="7"/>
        <v>212.75876760136475</v>
      </c>
      <c r="AS28" s="39">
        <f t="shared" si="7"/>
        <v>58.88601218641962</v>
      </c>
      <c r="AT28" s="39">
        <f t="shared" si="7"/>
        <v>-192.41327669364748</v>
      </c>
      <c r="AU28" s="39">
        <f t="shared" si="7"/>
        <v>43.486674981010538</v>
      </c>
      <c r="AV28" s="39">
        <f t="shared" si="7"/>
        <v>206.61535600960084</v>
      </c>
      <c r="AW28" s="39">
        <f t="shared" si="7"/>
        <v>197.10928454358643</v>
      </c>
      <c r="AX28" s="39">
        <f t="shared" si="7"/>
        <v>185.00087252962297</v>
      </c>
      <c r="AY28" s="39">
        <f t="shared" si="8"/>
        <v>168.17837782243399</v>
      </c>
      <c r="AZ28" s="39">
        <f t="shared" si="8"/>
        <v>128.69438999649233</v>
      </c>
      <c r="BA28" s="39">
        <f t="shared" si="8"/>
        <v>-30.899448502949088</v>
      </c>
      <c r="BB28" s="39">
        <f t="shared" si="8"/>
        <v>215.43988973037247</v>
      </c>
      <c r="BC28" s="39">
        <f t="shared" si="8"/>
        <v>-93.502876305069904</v>
      </c>
      <c r="BD28" s="39">
        <f t="shared" si="8"/>
        <v>-177.72886255991966</v>
      </c>
      <c r="BE28" s="39">
        <f t="shared" si="8"/>
        <v>25.77767874194863</v>
      </c>
      <c r="BF28" s="39">
        <f t="shared" si="8"/>
        <v>22.069280237094173</v>
      </c>
      <c r="BG28" s="39">
        <f t="shared" si="8"/>
        <v>18.354350642731905</v>
      </c>
      <c r="BH28" s="39">
        <f t="shared" si="8"/>
        <v>14.633989418430664</v>
      </c>
      <c r="BI28" s="39">
        <f t="shared" si="8"/>
        <v>10.909297632494274</v>
      </c>
      <c r="BJ28" s="39">
        <f t="shared" si="8"/>
        <v>7.1813776336228328</v>
      </c>
      <c r="BK28" s="39">
        <f t="shared" si="8"/>
        <v>3.4513327263490168</v>
      </c>
      <c r="BL28" s="39">
        <f t="shared" si="8"/>
        <v>-0.2797331561629276</v>
      </c>
      <c r="BM28" s="39">
        <f t="shared" si="8"/>
        <v>-204.52361379177222</v>
      </c>
    </row>
    <row r="29" spans="1:65" x14ac:dyDescent="0.25">
      <c r="A29" s="7">
        <v>-2</v>
      </c>
      <c r="B29" s="7">
        <v>0</v>
      </c>
      <c r="C29" s="7">
        <v>1</v>
      </c>
      <c r="D29" s="7">
        <v>0</v>
      </c>
      <c r="E29" s="7">
        <v>0</v>
      </c>
      <c r="F29" s="195">
        <v>-158</v>
      </c>
      <c r="G29" s="7">
        <v>0</v>
      </c>
      <c r="H29" s="179"/>
      <c r="K29" s="39">
        <f t="shared" ref="K29:T38" si="9">($F29+$G29*K$4)*SIN(($A29*K$5+$B29*K$6+$C29*K$7+$D29*K$8+$E29*K$9)*Deg2Rad)</f>
        <v>154.6137568571873</v>
      </c>
      <c r="L29" s="39">
        <f t="shared" si="9"/>
        <v>-151.3004184270161</v>
      </c>
      <c r="M29" s="39">
        <f t="shared" si="9"/>
        <v>155.23346537061482</v>
      </c>
      <c r="N29" s="39">
        <f t="shared" si="9"/>
        <v>-152.92924242914819</v>
      </c>
      <c r="O29" s="39">
        <f t="shared" si="9"/>
        <v>-138.7986996572746</v>
      </c>
      <c r="P29" s="39">
        <f t="shared" si="9"/>
        <v>133.3153199314979</v>
      </c>
      <c r="Q29" s="39">
        <f t="shared" si="9"/>
        <v>149.33278048348703</v>
      </c>
      <c r="R29" s="39">
        <f t="shared" si="9"/>
        <v>-130.52228033160472</v>
      </c>
      <c r="S29" s="39">
        <f t="shared" si="9"/>
        <v>122.83771478467817</v>
      </c>
      <c r="T29" s="39">
        <f t="shared" si="9"/>
        <v>-157.83820138438955</v>
      </c>
      <c r="U29" s="39">
        <f t="shared" ref="U29:AD38" si="10">($F29+$G29*U$4)*SIN(($A29*U$5+$B29*U$6+$C29*U$7+$D29*U$8+$E29*U$9)*Deg2Rad)</f>
        <v>154.50836358086002</v>
      </c>
      <c r="V29" s="39">
        <f t="shared" si="10"/>
        <v>-154.22888141512516</v>
      </c>
      <c r="W29" s="39">
        <f t="shared" si="10"/>
        <v>-143.52143733940375</v>
      </c>
      <c r="X29" s="39">
        <f t="shared" si="10"/>
        <v>-127.7657469308931</v>
      </c>
      <c r="Y29" s="39">
        <f t="shared" si="10"/>
        <v>101.97611711062954</v>
      </c>
      <c r="Z29" s="39">
        <f t="shared" si="10"/>
        <v>-105.4674496946092</v>
      </c>
      <c r="AA29" s="39">
        <f t="shared" si="10"/>
        <v>-157.99824165265829</v>
      </c>
      <c r="AB29" s="39">
        <f t="shared" si="10"/>
        <v>42.110940235554637</v>
      </c>
      <c r="AC29" s="39">
        <f t="shared" si="10"/>
        <v>111.03088136780335</v>
      </c>
      <c r="AD29" s="39">
        <f t="shared" si="10"/>
        <v>-106.8133903942669</v>
      </c>
      <c r="AE29" s="39">
        <f t="shared" ref="AE29:AN38" si="11">($F29+$G29*AE$4)*SIN(($A29*AE$5+$B29*AE$6+$C29*AE$7+$D29*AE$8+$E29*AE$9)*Deg2Rad)</f>
        <v>-113.0354722664796</v>
      </c>
      <c r="AF29" s="39">
        <f t="shared" si="11"/>
        <v>47.160259861614662</v>
      </c>
      <c r="AG29" s="39">
        <f t="shared" si="11"/>
        <v>157.37950665097586</v>
      </c>
      <c r="AH29" s="39">
        <f t="shared" si="11"/>
        <v>-153.67136045891476</v>
      </c>
      <c r="AI29" s="39">
        <f t="shared" si="11"/>
        <v>-128.29492652205971</v>
      </c>
      <c r="AJ29" s="39">
        <f t="shared" si="11"/>
        <v>6.3001550455790722</v>
      </c>
      <c r="AK29" s="39">
        <f t="shared" si="11"/>
        <v>-156.19754275876429</v>
      </c>
      <c r="AL29" s="39">
        <f t="shared" si="11"/>
        <v>-39.009414207850021</v>
      </c>
      <c r="AM29" s="39">
        <f t="shared" si="11"/>
        <v>91.140540974079059</v>
      </c>
      <c r="AN29" s="39">
        <f t="shared" si="11"/>
        <v>-152.326834330586</v>
      </c>
      <c r="AO29" s="39">
        <f t="shared" ref="AO29:AX38" si="12">($F29+$G29*AO$4)*SIN(($A29*AO$5+$B29*AO$6+$C29*AO$7+$D29*AO$8+$E29*AO$9)*Deg2Rad)</f>
        <v>156.44196727495057</v>
      </c>
      <c r="AP29" s="39">
        <f t="shared" si="12"/>
        <v>-146.569883058275</v>
      </c>
      <c r="AQ29" s="39">
        <f t="shared" si="12"/>
        <v>-139.07052511082227</v>
      </c>
      <c r="AR29" s="39">
        <f t="shared" si="12"/>
        <v>-150.37432718351332</v>
      </c>
      <c r="AS29" s="39">
        <f t="shared" si="12"/>
        <v>154.35550658191119</v>
      </c>
      <c r="AT29" s="39">
        <f t="shared" si="12"/>
        <v>154.84786778758297</v>
      </c>
      <c r="AU29" s="39">
        <f t="shared" si="12"/>
        <v>128.80524898430738</v>
      </c>
      <c r="AV29" s="39">
        <f t="shared" si="12"/>
        <v>154.20904992078903</v>
      </c>
      <c r="AW29" s="39">
        <f t="shared" si="12"/>
        <v>-6.6731123353030881</v>
      </c>
      <c r="AX29" s="39">
        <f t="shared" si="12"/>
        <v>-155.84944344064533</v>
      </c>
      <c r="AY29" s="39">
        <f t="shared" ref="AY29:BM38" si="13">($F29+$G29*AY$4)*SIN(($A29*AY$5+$B29*AY$6+$C29*AY$7+$D29*AY$8+$E29*AY$9)*Deg2Rad)</f>
        <v>-30.485065679197589</v>
      </c>
      <c r="AZ29" s="39">
        <f t="shared" si="13"/>
        <v>67.440464257906953</v>
      </c>
      <c r="BA29" s="39">
        <f t="shared" si="13"/>
        <v>32.343516767933515</v>
      </c>
      <c r="BB29" s="39">
        <f t="shared" si="13"/>
        <v>18.113562918417571</v>
      </c>
      <c r="BC29" s="39">
        <f t="shared" si="13"/>
        <v>91.049784306982048</v>
      </c>
      <c r="BD29" s="39">
        <f t="shared" si="13"/>
        <v>-127.3721842939086</v>
      </c>
      <c r="BE29" s="39">
        <f t="shared" si="13"/>
        <v>113.21789485776245</v>
      </c>
      <c r="BF29" s="39">
        <f t="shared" si="13"/>
        <v>89.390852740993139</v>
      </c>
      <c r="BG29" s="39">
        <f t="shared" si="13"/>
        <v>62.087967435557722</v>
      </c>
      <c r="BH29" s="39">
        <f t="shared" si="13"/>
        <v>32.370874948182426</v>
      </c>
      <c r="BI29" s="39">
        <f t="shared" si="13"/>
        <v>1.3950844872835693</v>
      </c>
      <c r="BJ29" s="39">
        <f t="shared" si="13"/>
        <v>-29.634951959238133</v>
      </c>
      <c r="BK29" s="39">
        <f t="shared" si="13"/>
        <v>-59.512673121091737</v>
      </c>
      <c r="BL29" s="39">
        <f t="shared" si="13"/>
        <v>-87.076323959767521</v>
      </c>
      <c r="BM29" s="39">
        <f t="shared" si="13"/>
        <v>-155.41755983446797</v>
      </c>
    </row>
    <row r="30" spans="1:65" x14ac:dyDescent="0.25">
      <c r="A30" s="7">
        <v>-2</v>
      </c>
      <c r="B30" s="7">
        <v>0</v>
      </c>
      <c r="C30" s="7">
        <v>0</v>
      </c>
      <c r="D30" s="7">
        <v>2</v>
      </c>
      <c r="E30" s="7">
        <v>1</v>
      </c>
      <c r="F30" s="195">
        <v>129</v>
      </c>
      <c r="G30">
        <v>0.1</v>
      </c>
      <c r="H30" s="179"/>
      <c r="K30" s="39">
        <f t="shared" si="9"/>
        <v>34.711757635803281</v>
      </c>
      <c r="L30" s="39">
        <f t="shared" si="9"/>
        <v>-120.93648428626793</v>
      </c>
      <c r="M30" s="39">
        <f t="shared" si="9"/>
        <v>125.10669670731183</v>
      </c>
      <c r="N30" s="39">
        <f t="shared" si="9"/>
        <v>106.97622938011968</v>
      </c>
      <c r="O30" s="39">
        <f t="shared" si="9"/>
        <v>-107.40383391275313</v>
      </c>
      <c r="P30" s="39">
        <f t="shared" si="9"/>
        <v>29.3364873750355</v>
      </c>
      <c r="Q30" s="39">
        <f t="shared" si="9"/>
        <v>-124.7229518324319</v>
      </c>
      <c r="R30" s="39">
        <f t="shared" si="9"/>
        <v>-17.346788631355942</v>
      </c>
      <c r="S30" s="39">
        <f t="shared" si="9"/>
        <v>-110.23028316147068</v>
      </c>
      <c r="T30" s="39">
        <f t="shared" si="9"/>
        <v>-125.89221755108821</v>
      </c>
      <c r="U30" s="39">
        <f t="shared" si="10"/>
        <v>-127.62254882853114</v>
      </c>
      <c r="V30" s="39">
        <f t="shared" si="10"/>
        <v>118.85032067431837</v>
      </c>
      <c r="W30" s="39">
        <f t="shared" si="10"/>
        <v>114.5165086571818</v>
      </c>
      <c r="X30" s="39">
        <f t="shared" si="10"/>
        <v>116.3745763059416</v>
      </c>
      <c r="Y30" s="39">
        <f t="shared" si="10"/>
        <v>45.869006231065853</v>
      </c>
      <c r="Z30" s="39">
        <f t="shared" si="10"/>
        <v>119.07333314799301</v>
      </c>
      <c r="AA30" s="39">
        <f t="shared" si="10"/>
        <v>121.21237447854161</v>
      </c>
      <c r="AB30" s="39">
        <f t="shared" si="10"/>
        <v>88.398591263215806</v>
      </c>
      <c r="AC30" s="39">
        <f t="shared" si="10"/>
        <v>52.760397330984901</v>
      </c>
      <c r="AD30" s="39">
        <f t="shared" si="10"/>
        <v>103.6983390018105</v>
      </c>
      <c r="AE30" s="39">
        <f t="shared" si="11"/>
        <v>127.80792344991737</v>
      </c>
      <c r="AF30" s="39">
        <f t="shared" si="11"/>
        <v>-57.725412803518601</v>
      </c>
      <c r="AG30" s="39">
        <f t="shared" si="11"/>
        <v>124.53158446084467</v>
      </c>
      <c r="AH30" s="39">
        <f t="shared" si="11"/>
        <v>-128.95399721074807</v>
      </c>
      <c r="AI30" s="39">
        <f t="shared" si="11"/>
        <v>-119.81711762155447</v>
      </c>
      <c r="AJ30" s="39">
        <f t="shared" si="11"/>
        <v>120.66945771522147</v>
      </c>
      <c r="AK30" s="39">
        <f t="shared" si="11"/>
        <v>128.9417588723322</v>
      </c>
      <c r="AL30" s="39">
        <f t="shared" si="11"/>
        <v>-128.13670764684173</v>
      </c>
      <c r="AM30" s="39">
        <f t="shared" si="11"/>
        <v>84.700789994337129</v>
      </c>
      <c r="AN30" s="39">
        <f t="shared" si="11"/>
        <v>45.387370813795187</v>
      </c>
      <c r="AO30" s="39">
        <f t="shared" si="12"/>
        <v>125.03543938425986</v>
      </c>
      <c r="AP30" s="39">
        <f t="shared" si="12"/>
        <v>-8.5627822394961139</v>
      </c>
      <c r="AQ30" s="39">
        <f t="shared" si="12"/>
        <v>54.48776184257332</v>
      </c>
      <c r="AR30" s="39">
        <f t="shared" si="12"/>
        <v>102.57201821164708</v>
      </c>
      <c r="AS30" s="39">
        <f t="shared" si="12"/>
        <v>123.23350803680582</v>
      </c>
      <c r="AT30" s="39">
        <f t="shared" si="12"/>
        <v>-128.98779212985824</v>
      </c>
      <c r="AU30" s="39">
        <f t="shared" si="12"/>
        <v>-117.72913044374366</v>
      </c>
      <c r="AV30" s="39">
        <f t="shared" si="12"/>
        <v>-76.957374532531517</v>
      </c>
      <c r="AW30" s="39">
        <f t="shared" si="12"/>
        <v>-49.031072784830592</v>
      </c>
      <c r="AX30" s="39">
        <f t="shared" si="12"/>
        <v>-18.7631805066131</v>
      </c>
      <c r="AY30" s="39">
        <f t="shared" si="13"/>
        <v>16.706618016584127</v>
      </c>
      <c r="AZ30" s="39">
        <f t="shared" si="13"/>
        <v>77.841558786019121</v>
      </c>
      <c r="BA30" s="39">
        <f t="shared" si="13"/>
        <v>-81.902698616273355</v>
      </c>
      <c r="BB30" s="39">
        <f t="shared" si="13"/>
        <v>64.07763501332289</v>
      </c>
      <c r="BC30" s="39">
        <f t="shared" si="13"/>
        <v>-128.49935221298779</v>
      </c>
      <c r="BD30" s="39">
        <f t="shared" si="13"/>
        <v>12.19277778608193</v>
      </c>
      <c r="BE30" s="39">
        <f t="shared" si="13"/>
        <v>127.81838456571251</v>
      </c>
      <c r="BF30" s="39">
        <f t="shared" si="13"/>
        <v>127.11733774458004</v>
      </c>
      <c r="BG30" s="39">
        <f t="shared" si="13"/>
        <v>126.25764019242285</v>
      </c>
      <c r="BH30" s="39">
        <f t="shared" si="13"/>
        <v>125.24036486086302</v>
      </c>
      <c r="BI30" s="39">
        <f t="shared" si="13"/>
        <v>124.06678136904992</v>
      </c>
      <c r="BJ30" s="39">
        <f t="shared" si="13"/>
        <v>122.73835441877573</v>
      </c>
      <c r="BK30" s="39">
        <f t="shared" si="13"/>
        <v>121.25674196667971</v>
      </c>
      <c r="BL30" s="39">
        <f t="shared" si="13"/>
        <v>119.62379315491877</v>
      </c>
      <c r="BM30" s="39">
        <f t="shared" si="13"/>
        <v>128.9237892066316</v>
      </c>
    </row>
    <row r="31" spans="1:65" x14ac:dyDescent="0.25">
      <c r="A31" s="7">
        <v>0</v>
      </c>
      <c r="B31" s="7">
        <v>0</v>
      </c>
      <c r="C31" s="7">
        <v>-1</v>
      </c>
      <c r="D31" s="7">
        <v>2</v>
      </c>
      <c r="E31" s="7">
        <v>2</v>
      </c>
      <c r="F31" s="195">
        <v>123</v>
      </c>
      <c r="G31" s="7">
        <v>0</v>
      </c>
      <c r="H31" s="179"/>
      <c r="K31" s="39">
        <f t="shared" si="9"/>
        <v>96.499938177628977</v>
      </c>
      <c r="L31" s="39">
        <f t="shared" si="9"/>
        <v>-1.1569963439296838</v>
      </c>
      <c r="M31" s="39">
        <f t="shared" si="9"/>
        <v>-104.68372913101794</v>
      </c>
      <c r="N31" s="39">
        <f t="shared" si="9"/>
        <v>100.78158057277668</v>
      </c>
      <c r="O31" s="39">
        <f t="shared" si="9"/>
        <v>-21.430942305099833</v>
      </c>
      <c r="P31" s="39">
        <f t="shared" si="9"/>
        <v>-109.75563752733319</v>
      </c>
      <c r="Q31" s="39">
        <f t="shared" si="9"/>
        <v>0.17429870547477361</v>
      </c>
      <c r="R31" s="39">
        <f t="shared" si="9"/>
        <v>106.34001226073626</v>
      </c>
      <c r="S31" s="39">
        <f t="shared" si="9"/>
        <v>-116.58021407302002</v>
      </c>
      <c r="T31" s="39">
        <f t="shared" si="9"/>
        <v>117.55085996588485</v>
      </c>
      <c r="U31" s="39">
        <f t="shared" si="10"/>
        <v>-122.03911562720057</v>
      </c>
      <c r="V31" s="39">
        <f t="shared" si="10"/>
        <v>-66.04988222246601</v>
      </c>
      <c r="W31" s="39">
        <f t="shared" si="10"/>
        <v>98.348665472622272</v>
      </c>
      <c r="X31" s="39">
        <f t="shared" si="10"/>
        <v>78.73753851227923</v>
      </c>
      <c r="Y31" s="39">
        <f t="shared" si="10"/>
        <v>-108.16856367830145</v>
      </c>
      <c r="Z31" s="39">
        <f t="shared" si="10"/>
        <v>-118.4462918235632</v>
      </c>
      <c r="AA31" s="39">
        <f t="shared" si="10"/>
        <v>-4.0935857063880832</v>
      </c>
      <c r="AB31" s="39">
        <f t="shared" si="10"/>
        <v>-115.21866904853613</v>
      </c>
      <c r="AC31" s="39">
        <f t="shared" si="10"/>
        <v>121.14755950731983</v>
      </c>
      <c r="AD31" s="39">
        <f t="shared" si="10"/>
        <v>-122.1922103459266</v>
      </c>
      <c r="AE31" s="39">
        <f t="shared" si="11"/>
        <v>51.092580195787228</v>
      </c>
      <c r="AF31" s="39">
        <f t="shared" si="11"/>
        <v>6.989374033917108</v>
      </c>
      <c r="AG31" s="39">
        <f t="shared" si="11"/>
        <v>-111.45227578912619</v>
      </c>
      <c r="AH31" s="39">
        <f t="shared" si="11"/>
        <v>108.09487254573384</v>
      </c>
      <c r="AI31" s="39">
        <f t="shared" si="11"/>
        <v>-42.501867987250108</v>
      </c>
      <c r="AJ31" s="39">
        <f t="shared" si="11"/>
        <v>109.42959648175585</v>
      </c>
      <c r="AK31" s="39">
        <f t="shared" si="11"/>
        <v>-36.635049249594154</v>
      </c>
      <c r="AL31" s="39">
        <f t="shared" si="11"/>
        <v>25.479708419829759</v>
      </c>
      <c r="AM31" s="39">
        <f t="shared" si="11"/>
        <v>-17.936582480624804</v>
      </c>
      <c r="AN31" s="39">
        <f t="shared" si="11"/>
        <v>-108.61008466947246</v>
      </c>
      <c r="AO31" s="39">
        <f t="shared" si="12"/>
        <v>109.33524926136843</v>
      </c>
      <c r="AP31" s="39">
        <f t="shared" si="12"/>
        <v>-68.87837385731693</v>
      </c>
      <c r="AQ31" s="39">
        <f t="shared" si="12"/>
        <v>121.73298362024735</v>
      </c>
      <c r="AR31" s="39">
        <f t="shared" si="12"/>
        <v>-115.1231296202964</v>
      </c>
      <c r="AS31" s="39">
        <f t="shared" si="12"/>
        <v>-53.606855562951679</v>
      </c>
      <c r="AT31" s="39">
        <f t="shared" si="12"/>
        <v>93.31379712085905</v>
      </c>
      <c r="AU31" s="39">
        <f t="shared" si="12"/>
        <v>-118.84716969019708</v>
      </c>
      <c r="AV31" s="39">
        <f t="shared" si="12"/>
        <v>114.57878788989548</v>
      </c>
      <c r="AW31" s="39">
        <f t="shared" si="12"/>
        <v>-52.132706975444677</v>
      </c>
      <c r="AX31" s="39">
        <f t="shared" si="12"/>
        <v>-109.78787191474046</v>
      </c>
      <c r="AY31" s="39">
        <f t="shared" si="13"/>
        <v>79.927934153404621</v>
      </c>
      <c r="AZ31" s="39">
        <f t="shared" si="13"/>
        <v>-101.09608241709358</v>
      </c>
      <c r="BA31" s="39">
        <f t="shared" si="13"/>
        <v>60.592206521772646</v>
      </c>
      <c r="BB31" s="39">
        <f t="shared" si="13"/>
        <v>88.746235641720673</v>
      </c>
      <c r="BC31" s="39">
        <f t="shared" si="13"/>
        <v>-109.11446871102993</v>
      </c>
      <c r="BD31" s="39">
        <f t="shared" si="13"/>
        <v>-16.999364691493231</v>
      </c>
      <c r="BE31" s="39">
        <f t="shared" si="13"/>
        <v>-122.71350083115348</v>
      </c>
      <c r="BF31" s="39">
        <f t="shared" si="13"/>
        <v>-117.49975298319767</v>
      </c>
      <c r="BG31" s="39">
        <f t="shared" si="13"/>
        <v>-105.99455978108999</v>
      </c>
      <c r="BH31" s="39">
        <f t="shared" si="13"/>
        <v>-88.813959067286945</v>
      </c>
      <c r="BI31" s="39">
        <f t="shared" si="13"/>
        <v>-66.877874567695883</v>
      </c>
      <c r="BJ31" s="39">
        <f t="shared" si="13"/>
        <v>-41.360859193228329</v>
      </c>
      <c r="BK31" s="39">
        <f t="shared" si="13"/>
        <v>-13.629204393617362</v>
      </c>
      <c r="BL31" s="39">
        <f t="shared" si="13"/>
        <v>14.832217001197915</v>
      </c>
      <c r="BM31" s="39">
        <f t="shared" si="13"/>
        <v>-32.497218948496354</v>
      </c>
    </row>
    <row r="32" spans="1:65" x14ac:dyDescent="0.25">
      <c r="A32" s="7">
        <v>2</v>
      </c>
      <c r="B32" s="7">
        <v>0</v>
      </c>
      <c r="C32" s="7">
        <v>0</v>
      </c>
      <c r="D32" s="7">
        <v>0</v>
      </c>
      <c r="E32" s="7">
        <v>0</v>
      </c>
      <c r="F32" s="195">
        <v>63</v>
      </c>
      <c r="G32" s="7">
        <v>0</v>
      </c>
      <c r="H32" s="179"/>
      <c r="K32" s="39">
        <f t="shared" si="9"/>
        <v>-62.245220253333301</v>
      </c>
      <c r="L32" s="39">
        <f t="shared" si="9"/>
        <v>-53.575610944142831</v>
      </c>
      <c r="M32" s="39">
        <f t="shared" si="9"/>
        <v>-52.04463868218636</v>
      </c>
      <c r="N32" s="39">
        <f t="shared" si="9"/>
        <v>-36.796024100463676</v>
      </c>
      <c r="O32" s="39">
        <f t="shared" si="9"/>
        <v>-57.519659820471823</v>
      </c>
      <c r="P32" s="39">
        <f t="shared" si="9"/>
        <v>-13.97926820161155</v>
      </c>
      <c r="Q32" s="39">
        <f t="shared" si="9"/>
        <v>-14.516797123907246</v>
      </c>
      <c r="R32" s="39">
        <f t="shared" si="9"/>
        <v>56.406053374083726</v>
      </c>
      <c r="S32" s="39">
        <f t="shared" si="9"/>
        <v>-6.9515643629418644</v>
      </c>
      <c r="T32" s="39">
        <f t="shared" si="9"/>
        <v>-0.32909850625326648</v>
      </c>
      <c r="U32" s="39">
        <f t="shared" si="10"/>
        <v>-61.831548439244351</v>
      </c>
      <c r="V32" s="39">
        <f t="shared" si="10"/>
        <v>27.904797483576115</v>
      </c>
      <c r="W32" s="39">
        <f t="shared" si="10"/>
        <v>31.268510827263356</v>
      </c>
      <c r="X32" s="39">
        <f t="shared" si="10"/>
        <v>5.90221685646961</v>
      </c>
      <c r="Y32" s="39">
        <f t="shared" si="10"/>
        <v>33.504697111891318</v>
      </c>
      <c r="Z32" s="39">
        <f t="shared" si="10"/>
        <v>59.723777470396392</v>
      </c>
      <c r="AA32" s="39">
        <f t="shared" si="10"/>
        <v>33.130254570777232</v>
      </c>
      <c r="AB32" s="39">
        <f t="shared" si="10"/>
        <v>57.015219304162521</v>
      </c>
      <c r="AC32" s="39">
        <f t="shared" si="10"/>
        <v>-62.852262240302053</v>
      </c>
      <c r="AD32" s="39">
        <f t="shared" si="10"/>
        <v>-46.585606083295247</v>
      </c>
      <c r="AE32" s="39">
        <f t="shared" si="11"/>
        <v>-62.644220676694786</v>
      </c>
      <c r="AF32" s="39">
        <f t="shared" si="11"/>
        <v>20.060390150818922</v>
      </c>
      <c r="AG32" s="39">
        <f t="shared" si="11"/>
        <v>-43.37429029673384</v>
      </c>
      <c r="AH32" s="39">
        <f t="shared" si="11"/>
        <v>-22.959545997483584</v>
      </c>
      <c r="AI32" s="39">
        <f t="shared" si="11"/>
        <v>-34.214046876846737</v>
      </c>
      <c r="AJ32" s="39">
        <f t="shared" si="11"/>
        <v>48.168109946736031</v>
      </c>
      <c r="AK32" s="39">
        <f t="shared" si="11"/>
        <v>-7.7629174953322293</v>
      </c>
      <c r="AL32" s="39">
        <f t="shared" si="11"/>
        <v>-59.855958251981541</v>
      </c>
      <c r="AM32" s="39">
        <f t="shared" si="11"/>
        <v>35.120242519337282</v>
      </c>
      <c r="AN32" s="39">
        <f t="shared" si="11"/>
        <v>3.6994463982370232E-2</v>
      </c>
      <c r="AO32" s="39">
        <f t="shared" si="12"/>
        <v>-40.924883055806674</v>
      </c>
      <c r="AP32" s="39">
        <f t="shared" si="12"/>
        <v>-48.387964151705198</v>
      </c>
      <c r="AQ32" s="39">
        <f t="shared" si="12"/>
        <v>-29.36648995238777</v>
      </c>
      <c r="AR32" s="39">
        <f t="shared" si="12"/>
        <v>11.189806713984749</v>
      </c>
      <c r="AS32" s="39">
        <f t="shared" si="12"/>
        <v>47.609776193892529</v>
      </c>
      <c r="AT32" s="39">
        <f t="shared" si="12"/>
        <v>43.869188714702048</v>
      </c>
      <c r="AU32" s="39">
        <f t="shared" si="12"/>
        <v>60.315093108569094</v>
      </c>
      <c r="AV32" s="39">
        <f t="shared" si="12"/>
        <v>-3.0659459425185149</v>
      </c>
      <c r="AW32" s="39">
        <f t="shared" si="12"/>
        <v>11.766604515436786</v>
      </c>
      <c r="AX32" s="39">
        <f t="shared" si="12"/>
        <v>-24.072854920668938</v>
      </c>
      <c r="AY32" s="39">
        <f t="shared" si="13"/>
        <v>13.244992053440681</v>
      </c>
      <c r="AZ32" s="39">
        <f t="shared" si="13"/>
        <v>16.087730542719051</v>
      </c>
      <c r="BA32" s="39">
        <f t="shared" si="13"/>
        <v>-0.92155267357343373</v>
      </c>
      <c r="BB32" s="39">
        <f t="shared" si="13"/>
        <v>-31.048066227131976</v>
      </c>
      <c r="BC32" s="39">
        <f t="shared" si="13"/>
        <v>-0.12667499091498752</v>
      </c>
      <c r="BD32" s="39">
        <f t="shared" si="13"/>
        <v>8.5014251166910224</v>
      </c>
      <c r="BE32" s="39">
        <f t="shared" si="13"/>
        <v>3.6814408321447059</v>
      </c>
      <c r="BF32" s="39">
        <f t="shared" si="13"/>
        <v>-22.609490696439611</v>
      </c>
      <c r="BG32" s="39">
        <f t="shared" si="13"/>
        <v>-44.867658350540104</v>
      </c>
      <c r="BH32" s="39">
        <f t="shared" si="13"/>
        <v>-59.122962332927521</v>
      </c>
      <c r="BI32" s="39">
        <f t="shared" si="13"/>
        <v>-62.832741435934146</v>
      </c>
      <c r="BJ32" s="39">
        <f t="shared" si="13"/>
        <v>-55.335297289144464</v>
      </c>
      <c r="BK32" s="39">
        <f t="shared" si="13"/>
        <v>-37.967918835202333</v>
      </c>
      <c r="BL32" s="39">
        <f t="shared" si="13"/>
        <v>-13.828355482238004</v>
      </c>
      <c r="BM32" s="39">
        <f t="shared" si="13"/>
        <v>-11.765566552714095</v>
      </c>
    </row>
    <row r="33" spans="1:65" x14ac:dyDescent="0.25">
      <c r="A33" s="7">
        <v>0</v>
      </c>
      <c r="B33" s="7">
        <v>0</v>
      </c>
      <c r="C33" s="7">
        <v>1</v>
      </c>
      <c r="D33" s="7">
        <v>0</v>
      </c>
      <c r="E33" s="7">
        <v>1</v>
      </c>
      <c r="F33" s="195">
        <v>63</v>
      </c>
      <c r="G33">
        <v>0.1</v>
      </c>
      <c r="H33" s="179"/>
      <c r="K33" s="39">
        <f t="shared" si="9"/>
        <v>22.8598665966264</v>
      </c>
      <c r="L33" s="39">
        <f t="shared" si="9"/>
        <v>-60.867120626602308</v>
      </c>
      <c r="M33" s="39">
        <f t="shared" si="9"/>
        <v>-62.044319929299029</v>
      </c>
      <c r="N33" s="39">
        <f t="shared" si="9"/>
        <v>-4.5121418080921565</v>
      </c>
      <c r="O33" s="39">
        <f t="shared" si="9"/>
        <v>11.643434297448751</v>
      </c>
      <c r="P33" s="39">
        <f t="shared" si="9"/>
        <v>61.583531630417937</v>
      </c>
      <c r="Q33" s="39">
        <f t="shared" si="9"/>
        <v>62.04007495629962</v>
      </c>
      <c r="R33" s="39">
        <f t="shared" si="9"/>
        <v>21.247014929115768</v>
      </c>
      <c r="S33" s="39">
        <f t="shared" si="9"/>
        <v>-23.352188403792059</v>
      </c>
      <c r="T33" s="39">
        <f t="shared" si="9"/>
        <v>34.809628692553062</v>
      </c>
      <c r="U33" s="39">
        <f t="shared" si="10"/>
        <v>60.952626953693958</v>
      </c>
      <c r="V33" s="39">
        <f t="shared" si="10"/>
        <v>37.312486067562318</v>
      </c>
      <c r="W33" s="39">
        <f t="shared" si="10"/>
        <v>-17.580729241477972</v>
      </c>
      <c r="X33" s="39">
        <f t="shared" si="10"/>
        <v>-4.0062832238599926</v>
      </c>
      <c r="Y33" s="39">
        <f t="shared" si="10"/>
        <v>-57.159805078940089</v>
      </c>
      <c r="Z33" s="39">
        <f t="shared" si="10"/>
        <v>-22.879562134975956</v>
      </c>
      <c r="AA33" s="39">
        <f t="shared" si="10"/>
        <v>-39.411861996513814</v>
      </c>
      <c r="AB33" s="39">
        <f t="shared" si="10"/>
        <v>-47.275012155966138</v>
      </c>
      <c r="AC33" s="39">
        <f t="shared" si="10"/>
        <v>-54.838371193382784</v>
      </c>
      <c r="AD33" s="39">
        <f t="shared" si="10"/>
        <v>-62.119088603050258</v>
      </c>
      <c r="AE33" s="39">
        <f t="shared" si="11"/>
        <v>-61.581355139971663</v>
      </c>
      <c r="AF33" s="39">
        <f t="shared" si="11"/>
        <v>-31.507959004744738</v>
      </c>
      <c r="AG33" s="39">
        <f t="shared" si="11"/>
        <v>-60.406104282585417</v>
      </c>
      <c r="AH33" s="39">
        <f t="shared" si="11"/>
        <v>-21.117709489855933</v>
      </c>
      <c r="AI33" s="39">
        <f t="shared" si="11"/>
        <v>-62.866939394295734</v>
      </c>
      <c r="AJ33" s="39">
        <f t="shared" si="11"/>
        <v>55.046903159997846</v>
      </c>
      <c r="AK33" s="39">
        <f t="shared" si="11"/>
        <v>-55.124862916832058</v>
      </c>
      <c r="AL33" s="39">
        <f t="shared" si="11"/>
        <v>-41.670437620816124</v>
      </c>
      <c r="AM33" s="39">
        <f t="shared" si="11"/>
        <v>27.844968768819449</v>
      </c>
      <c r="AN33" s="39">
        <f t="shared" si="11"/>
        <v>11.629541969418954</v>
      </c>
      <c r="AO33" s="39">
        <f t="shared" si="12"/>
        <v>43.425858379339871</v>
      </c>
      <c r="AP33" s="39">
        <f t="shared" si="12"/>
        <v>-52.330619861270783</v>
      </c>
      <c r="AQ33" s="39">
        <f t="shared" si="12"/>
        <v>12.249179905253436</v>
      </c>
      <c r="AR33" s="39">
        <f t="shared" si="12"/>
        <v>55.968960563454324</v>
      </c>
      <c r="AS33" s="39">
        <f t="shared" si="12"/>
        <v>59.090852925323368</v>
      </c>
      <c r="AT33" s="39">
        <f t="shared" si="12"/>
        <v>55.961538966894807</v>
      </c>
      <c r="AU33" s="39">
        <f t="shared" si="12"/>
        <v>-38.712119741118478</v>
      </c>
      <c r="AV33" s="39">
        <f t="shared" si="12"/>
        <v>-54.579558086393867</v>
      </c>
      <c r="AW33" s="39">
        <f t="shared" si="12"/>
        <v>33.216443454479936</v>
      </c>
      <c r="AX33" s="39">
        <f t="shared" si="12"/>
        <v>53.663263886628954</v>
      </c>
      <c r="AY33" s="39">
        <f t="shared" si="13"/>
        <v>-43.142969592750752</v>
      </c>
      <c r="AZ33" s="39">
        <f t="shared" si="13"/>
        <v>50.927528567886661</v>
      </c>
      <c r="BA33" s="39">
        <f t="shared" si="13"/>
        <v>-62.862686054935452</v>
      </c>
      <c r="BB33" s="39">
        <f t="shared" si="13"/>
        <v>-34.085582159350182</v>
      </c>
      <c r="BC33" s="39">
        <f t="shared" si="13"/>
        <v>-62.832662924673123</v>
      </c>
      <c r="BD33" s="39">
        <f t="shared" si="13"/>
        <v>-58.088903686874495</v>
      </c>
      <c r="BE33" s="39">
        <f t="shared" si="13"/>
        <v>62.708016326276066</v>
      </c>
      <c r="BF33" s="39">
        <f t="shared" si="13"/>
        <v>62.514588145675077</v>
      </c>
      <c r="BG33" s="39">
        <f t="shared" si="13"/>
        <v>59.110757551364877</v>
      </c>
      <c r="BH33" s="39">
        <f t="shared" si="13"/>
        <v>52.671326118212995</v>
      </c>
      <c r="BI33" s="39">
        <f t="shared" si="13"/>
        <v>43.526987052929293</v>
      </c>
      <c r="BJ33" s="39">
        <f t="shared" si="13"/>
        <v>32.147342639263108</v>
      </c>
      <c r="BK33" s="39">
        <f t="shared" si="13"/>
        <v>19.116788082273683</v>
      </c>
      <c r="BL33" s="39">
        <f t="shared" si="13"/>
        <v>5.1045002230651031</v>
      </c>
      <c r="BM33" s="39">
        <f t="shared" si="13"/>
        <v>-56.137570084572737</v>
      </c>
    </row>
    <row r="34" spans="1:65" x14ac:dyDescent="0.25">
      <c r="A34" s="7">
        <v>2</v>
      </c>
      <c r="B34" s="7">
        <v>0</v>
      </c>
      <c r="C34" s="7">
        <v>-1</v>
      </c>
      <c r="D34" s="7">
        <v>2</v>
      </c>
      <c r="E34" s="7">
        <v>2</v>
      </c>
      <c r="F34" s="195">
        <v>-59</v>
      </c>
      <c r="G34" s="7">
        <v>0</v>
      </c>
      <c r="H34" s="179"/>
      <c r="K34" s="39">
        <f t="shared" si="9"/>
        <v>-29.00168292859416</v>
      </c>
      <c r="L34" s="39">
        <f t="shared" si="9"/>
        <v>-50.463755608367279</v>
      </c>
      <c r="M34" s="39">
        <f t="shared" si="9"/>
        <v>-2.7066592616894565</v>
      </c>
      <c r="N34" s="39">
        <f t="shared" si="9"/>
        <v>-58.994838183107944</v>
      </c>
      <c r="O34" s="39">
        <f t="shared" si="9"/>
        <v>-48.850125833878337</v>
      </c>
      <c r="P34" s="39">
        <f t="shared" si="9"/>
        <v>-45.42499775527731</v>
      </c>
      <c r="Q34" s="39">
        <f t="shared" si="9"/>
        <v>13.67643890959466</v>
      </c>
      <c r="R34" s="39">
        <f t="shared" si="9"/>
        <v>49.265611190185076</v>
      </c>
      <c r="S34" s="39">
        <f t="shared" si="9"/>
        <v>53.503371457730417</v>
      </c>
      <c r="T34" s="39">
        <f t="shared" si="9"/>
        <v>-56.476134827704634</v>
      </c>
      <c r="U34" s="39">
        <f t="shared" si="10"/>
        <v>-3.9982019962368716</v>
      </c>
      <c r="V34" s="39">
        <f t="shared" si="10"/>
        <v>6.3595175756961497</v>
      </c>
      <c r="W34" s="39">
        <f t="shared" si="10"/>
        <v>58.540873094563565</v>
      </c>
      <c r="X34" s="39">
        <f t="shared" si="10"/>
        <v>41.84881451248939</v>
      </c>
      <c r="Y34" s="39">
        <f t="shared" si="10"/>
        <v>-29.002639156735107</v>
      </c>
      <c r="Z34" s="39">
        <f t="shared" si="10"/>
        <v>-3.0052539655919261</v>
      </c>
      <c r="AA34" s="39">
        <f t="shared" si="10"/>
        <v>32.679710577521341</v>
      </c>
      <c r="AB34" s="39">
        <f t="shared" si="10"/>
        <v>-42.201136586125294</v>
      </c>
      <c r="AC34" s="39">
        <f t="shared" si="10"/>
        <v>6.1997544482272229</v>
      </c>
      <c r="AD34" s="39">
        <f t="shared" si="10"/>
        <v>-44.450201238911816</v>
      </c>
      <c r="AE34" s="39">
        <f t="shared" si="11"/>
        <v>-55.966875156740983</v>
      </c>
      <c r="AF34" s="39">
        <f t="shared" si="11"/>
        <v>-21.934481752244679</v>
      </c>
      <c r="AG34" s="39">
        <f t="shared" si="11"/>
        <v>-21.589123865131995</v>
      </c>
      <c r="AH34" s="39">
        <f t="shared" si="11"/>
        <v>-58.544181246540042</v>
      </c>
      <c r="AI34" s="39">
        <f t="shared" si="11"/>
        <v>47.186679151788191</v>
      </c>
      <c r="AJ34" s="39">
        <f t="shared" si="11"/>
        <v>13.234949428178524</v>
      </c>
      <c r="AK34" s="39">
        <f t="shared" si="11"/>
        <v>10.498915563548268</v>
      </c>
      <c r="AL34" s="39">
        <f t="shared" si="11"/>
        <v>58.652455860408757</v>
      </c>
      <c r="AM34" s="39">
        <f t="shared" si="11"/>
        <v>39.681618978222389</v>
      </c>
      <c r="AN34" s="39">
        <f t="shared" si="11"/>
        <v>52.113772444712168</v>
      </c>
      <c r="AO34" s="39">
        <f t="shared" si="12"/>
        <v>-57.429977222105649</v>
      </c>
      <c r="AP34" s="39">
        <f t="shared" si="12"/>
        <v>16.386667698517783</v>
      </c>
      <c r="AQ34" s="39">
        <f t="shared" si="12"/>
        <v>55.597695241725205</v>
      </c>
      <c r="AR34" s="39">
        <f t="shared" si="12"/>
        <v>58.033464294747247</v>
      </c>
      <c r="AS34" s="39">
        <f t="shared" si="12"/>
        <v>-23.289426179922593</v>
      </c>
      <c r="AT34" s="39">
        <f t="shared" si="12"/>
        <v>-5.3590318162593835</v>
      </c>
      <c r="AU34" s="39">
        <f t="shared" si="12"/>
        <v>-1.9114833959922604</v>
      </c>
      <c r="AV34" s="39">
        <f t="shared" si="12"/>
        <v>-55.939582795595079</v>
      </c>
      <c r="AW34" s="39">
        <f t="shared" si="12"/>
        <v>-14.585941217803271</v>
      </c>
      <c r="AX34" s="39">
        <f t="shared" si="12"/>
        <v>58.831145645645691</v>
      </c>
      <c r="AY34" s="39">
        <f t="shared" si="13"/>
        <v>28.054381595087406</v>
      </c>
      <c r="AZ34" s="39">
        <f t="shared" si="13"/>
        <v>-38.30367428203602</v>
      </c>
      <c r="BA34" s="39">
        <f t="shared" si="13"/>
        <v>-29.812501925169226</v>
      </c>
      <c r="BB34" s="39">
        <f t="shared" si="13"/>
        <v>-57.17349353657184</v>
      </c>
      <c r="BC34" s="39">
        <f t="shared" si="13"/>
        <v>52.284599065539972</v>
      </c>
      <c r="BD34" s="39">
        <f t="shared" si="13"/>
        <v>0.19433542139480833</v>
      </c>
      <c r="BE34" s="39">
        <f t="shared" si="13"/>
        <v>-58.997168141975834</v>
      </c>
      <c r="BF34" s="39">
        <f t="shared" si="13"/>
        <v>-46.346020654883993</v>
      </c>
      <c r="BG34" s="39">
        <f t="shared" si="13"/>
        <v>-14.37331970216291</v>
      </c>
      <c r="BH34" s="39">
        <f t="shared" si="13"/>
        <v>23.591586431777138</v>
      </c>
      <c r="BI34" s="39">
        <f t="shared" si="13"/>
        <v>51.721212381278995</v>
      </c>
      <c r="BJ34" s="39">
        <f t="shared" si="13"/>
        <v>58.288379327654773</v>
      </c>
      <c r="BK34" s="39">
        <f t="shared" si="13"/>
        <v>40.555249901642242</v>
      </c>
      <c r="BL34" s="39">
        <f t="shared" si="13"/>
        <v>5.9147265244182714</v>
      </c>
      <c r="BM34" s="39">
        <f t="shared" si="13"/>
        <v>4.6868286040618896</v>
      </c>
    </row>
    <row r="35" spans="1:65" x14ac:dyDescent="0.25">
      <c r="A35" s="7">
        <v>0</v>
      </c>
      <c r="B35" s="7">
        <v>0</v>
      </c>
      <c r="C35" s="7">
        <v>-1</v>
      </c>
      <c r="D35" s="7">
        <v>0</v>
      </c>
      <c r="E35" s="7">
        <v>1</v>
      </c>
      <c r="F35" s="195">
        <v>-58</v>
      </c>
      <c r="G35">
        <v>-0.1</v>
      </c>
      <c r="H35" s="179"/>
      <c r="K35" s="39">
        <f t="shared" si="9"/>
        <v>-51.554873764354312</v>
      </c>
      <c r="L35" s="39">
        <f t="shared" si="9"/>
        <v>-13.671172963206576</v>
      </c>
      <c r="M35" s="39">
        <f t="shared" si="9"/>
        <v>9.9902959291542075</v>
      </c>
      <c r="N35" s="39">
        <f t="shared" si="9"/>
        <v>-56.102856819280703</v>
      </c>
      <c r="O35" s="39">
        <f t="shared" si="9"/>
        <v>-19.437339257737243</v>
      </c>
      <c r="P35" s="39">
        <f t="shared" si="9"/>
        <v>51.593754533646148</v>
      </c>
      <c r="Q35" s="39">
        <f t="shared" si="9"/>
        <v>57.967281174052104</v>
      </c>
      <c r="R35" s="39">
        <f t="shared" si="9"/>
        <v>-4.0542080293661638</v>
      </c>
      <c r="S35" s="39">
        <f t="shared" si="9"/>
        <v>39.841461618945473</v>
      </c>
      <c r="T35" s="39">
        <f t="shared" si="9"/>
        <v>28.097460357644035</v>
      </c>
      <c r="U35" s="39">
        <f t="shared" si="10"/>
        <v>-56.514473302324824</v>
      </c>
      <c r="V35" s="39">
        <f t="shared" si="10"/>
        <v>9.4961456893259033</v>
      </c>
      <c r="W35" s="39">
        <f t="shared" si="10"/>
        <v>55.838007590064265</v>
      </c>
      <c r="X35" s="39">
        <f t="shared" si="10"/>
        <v>54.86083287847309</v>
      </c>
      <c r="Y35" s="39">
        <f t="shared" si="10"/>
        <v>-52.412228588104298</v>
      </c>
      <c r="Z35" s="39">
        <f t="shared" si="10"/>
        <v>-32.881086929609985</v>
      </c>
      <c r="AA35" s="39">
        <f t="shared" si="10"/>
        <v>-53.371635250132741</v>
      </c>
      <c r="AB35" s="39">
        <f t="shared" si="10"/>
        <v>-34.054970688220074</v>
      </c>
      <c r="AC35" s="39">
        <f t="shared" si="10"/>
        <v>-35.720725737425468</v>
      </c>
      <c r="AD35" s="39">
        <f t="shared" si="10"/>
        <v>57.987312227756938</v>
      </c>
      <c r="AE35" s="39">
        <f t="shared" si="11"/>
        <v>-22.574318873821024</v>
      </c>
      <c r="AF35" s="39">
        <f t="shared" si="11"/>
        <v>-38.75038461218449</v>
      </c>
      <c r="AG35" s="39">
        <f t="shared" si="11"/>
        <v>3.3988296133144926</v>
      </c>
      <c r="AH35" s="39">
        <f t="shared" si="11"/>
        <v>44.416154777779958</v>
      </c>
      <c r="AI35" s="39">
        <f t="shared" si="11"/>
        <v>-57.257583170757975</v>
      </c>
      <c r="AJ35" s="39">
        <f t="shared" si="11"/>
        <v>39.836296651875898</v>
      </c>
      <c r="AK35" s="39">
        <f t="shared" si="11"/>
        <v>-52.220678574255238</v>
      </c>
      <c r="AL35" s="39">
        <f t="shared" si="11"/>
        <v>23.150292643006846</v>
      </c>
      <c r="AM35" s="39">
        <f t="shared" si="11"/>
        <v>-15.544719896521185</v>
      </c>
      <c r="AN35" s="39">
        <f t="shared" si="11"/>
        <v>38.329320591841665</v>
      </c>
      <c r="AO35" s="39">
        <f t="shared" si="12"/>
        <v>-46.646117178713233</v>
      </c>
      <c r="AP35" s="39">
        <f t="shared" si="12"/>
        <v>57.95944597868823</v>
      </c>
      <c r="AQ35" s="39">
        <f t="shared" si="12"/>
        <v>-56.757339553916353</v>
      </c>
      <c r="AR35" s="39">
        <f t="shared" si="12"/>
        <v>6.5444318850285352</v>
      </c>
      <c r="AS35" s="39">
        <f t="shared" si="12"/>
        <v>4.4663204918975264E-3</v>
      </c>
      <c r="AT35" s="39">
        <f t="shared" si="12"/>
        <v>-2.7143604321445443</v>
      </c>
      <c r="AU35" s="39">
        <f t="shared" si="12"/>
        <v>33.115884770480719</v>
      </c>
      <c r="AV35" s="39">
        <f t="shared" si="12"/>
        <v>-28.367799672792469</v>
      </c>
      <c r="AW35" s="39">
        <f t="shared" si="12"/>
        <v>-49.300696527754951</v>
      </c>
      <c r="AX35" s="39">
        <f t="shared" si="12"/>
        <v>31.067520093204241</v>
      </c>
      <c r="AY35" s="39">
        <f t="shared" si="13"/>
        <v>41.188751805737063</v>
      </c>
      <c r="AZ35" s="39">
        <f t="shared" si="13"/>
        <v>-31.571418274632393</v>
      </c>
      <c r="BA35" s="39">
        <f t="shared" si="13"/>
        <v>53.788846651280544</v>
      </c>
      <c r="BB35" s="39">
        <f t="shared" si="13"/>
        <v>-13.175914930199513</v>
      </c>
      <c r="BC35" s="39">
        <f t="shared" si="13"/>
        <v>22.321249479476528</v>
      </c>
      <c r="BD35" s="39">
        <f t="shared" si="13"/>
        <v>-10.337052573772365</v>
      </c>
      <c r="BE35" s="39">
        <f t="shared" si="13"/>
        <v>0.58108745118447147</v>
      </c>
      <c r="BF35" s="39">
        <f t="shared" si="13"/>
        <v>13.733934534527565</v>
      </c>
      <c r="BG35" s="39">
        <f t="shared" si="13"/>
        <v>26.170006731708064</v>
      </c>
      <c r="BH35" s="39">
        <f t="shared" si="13"/>
        <v>37.240263480089354</v>
      </c>
      <c r="BI35" s="39">
        <f t="shared" si="13"/>
        <v>46.366946271187373</v>
      </c>
      <c r="BJ35" s="39">
        <f t="shared" si="13"/>
        <v>53.073731961795701</v>
      </c>
      <c r="BK35" s="39">
        <f t="shared" si="13"/>
        <v>57.010592160658717</v>
      </c>
      <c r="BL35" s="39">
        <f t="shared" si="13"/>
        <v>57.97206127517866</v>
      </c>
      <c r="BM35" s="39">
        <f t="shared" si="13"/>
        <v>-51.317944135240815</v>
      </c>
    </row>
    <row r="36" spans="1:65" x14ac:dyDescent="0.25">
      <c r="A36" s="7">
        <v>0</v>
      </c>
      <c r="B36" s="7">
        <v>0</v>
      </c>
      <c r="C36" s="7">
        <v>1</v>
      </c>
      <c r="D36" s="7">
        <v>2</v>
      </c>
      <c r="E36" s="7">
        <v>1</v>
      </c>
      <c r="F36" s="195">
        <v>-51</v>
      </c>
      <c r="G36" s="7">
        <v>0</v>
      </c>
      <c r="H36" s="179"/>
      <c r="K36" s="39">
        <f t="shared" si="9"/>
        <v>35.901959810562104</v>
      </c>
      <c r="L36" s="39">
        <f t="shared" si="9"/>
        <v>-45.028216946687685</v>
      </c>
      <c r="M36" s="39">
        <f t="shared" si="9"/>
        <v>-50.907643048338727</v>
      </c>
      <c r="N36" s="39">
        <f t="shared" si="9"/>
        <v>-44.165503362725126</v>
      </c>
      <c r="O36" s="39">
        <f t="shared" si="9"/>
        <v>-12.352426198746461</v>
      </c>
      <c r="P36" s="39">
        <f t="shared" si="9"/>
        <v>-47.934804051643709</v>
      </c>
      <c r="Q36" s="39">
        <f t="shared" si="9"/>
        <v>-6.3890945812795525</v>
      </c>
      <c r="R36" s="39">
        <f t="shared" si="9"/>
        <v>-45.710879817891332</v>
      </c>
      <c r="S36" s="39">
        <f t="shared" si="9"/>
        <v>43.024586586723053</v>
      </c>
      <c r="T36" s="39">
        <f t="shared" si="9"/>
        <v>8.6665691180092832</v>
      </c>
      <c r="U36" s="39">
        <f t="shared" si="10"/>
        <v>2.6373015737016621</v>
      </c>
      <c r="V36" s="39">
        <f t="shared" si="10"/>
        <v>44.883653462694497</v>
      </c>
      <c r="W36" s="39">
        <f t="shared" si="10"/>
        <v>-48.004173234709391</v>
      </c>
      <c r="X36" s="39">
        <f t="shared" si="10"/>
        <v>-48.004579170633306</v>
      </c>
      <c r="Y36" s="39">
        <f t="shared" si="10"/>
        <v>50.631239555548483</v>
      </c>
      <c r="Z36" s="39">
        <f t="shared" si="10"/>
        <v>-7.1685605086978397</v>
      </c>
      <c r="AA36" s="39">
        <f t="shared" si="10"/>
        <v>37.504574965509569</v>
      </c>
      <c r="AB36" s="39">
        <f t="shared" si="10"/>
        <v>17.039230780508579</v>
      </c>
      <c r="AC36" s="39">
        <f t="shared" si="10"/>
        <v>-11.171072114280268</v>
      </c>
      <c r="AD36" s="39">
        <f t="shared" si="10"/>
        <v>0.59625941167846774</v>
      </c>
      <c r="AE36" s="39">
        <f t="shared" si="11"/>
        <v>-38.365090759286289</v>
      </c>
      <c r="AF36" s="39">
        <f t="shared" si="11"/>
        <v>-50.382332260580618</v>
      </c>
      <c r="AG36" s="39">
        <f t="shared" si="11"/>
        <v>-46.881493487856233</v>
      </c>
      <c r="AH36" s="39">
        <f t="shared" si="11"/>
        <v>42.453004305440842</v>
      </c>
      <c r="AI36" s="39">
        <f t="shared" si="11"/>
        <v>7.4085121200764821</v>
      </c>
      <c r="AJ36" s="39">
        <f t="shared" si="11"/>
        <v>27.562073017682245</v>
      </c>
      <c r="AK36" s="39">
        <f t="shared" si="11"/>
        <v>-6.0697553218978406</v>
      </c>
      <c r="AL36" s="39">
        <f t="shared" si="11"/>
        <v>36.659428706107981</v>
      </c>
      <c r="AM36" s="39">
        <f t="shared" si="11"/>
        <v>-45.007831300169492</v>
      </c>
      <c r="AN36" s="39">
        <f t="shared" si="11"/>
        <v>-50.784554746893704</v>
      </c>
      <c r="AO36" s="39">
        <f t="shared" si="12"/>
        <v>49.227030117474925</v>
      </c>
      <c r="AP36" s="39">
        <f t="shared" si="12"/>
        <v>-30.044802952316441</v>
      </c>
      <c r="AQ36" s="39">
        <f t="shared" si="12"/>
        <v>26.359457993961911</v>
      </c>
      <c r="AR36" s="39">
        <f t="shared" si="12"/>
        <v>0.89765524828933818</v>
      </c>
      <c r="AS36" s="39">
        <f t="shared" si="12"/>
        <v>-50.077383172756555</v>
      </c>
      <c r="AT36" s="39">
        <f t="shared" si="12"/>
        <v>49.486579981887942</v>
      </c>
      <c r="AU36" s="39">
        <f t="shared" si="12"/>
        <v>-50.992314239795441</v>
      </c>
      <c r="AV36" s="39">
        <f t="shared" si="12"/>
        <v>29.41818510451095</v>
      </c>
      <c r="AW36" s="39">
        <f t="shared" si="12"/>
        <v>-36.861676236515272</v>
      </c>
      <c r="AX36" s="39">
        <f t="shared" si="12"/>
        <v>-36.793399214033265</v>
      </c>
      <c r="AY36" s="39">
        <f t="shared" si="13"/>
        <v>5.0724872589302237</v>
      </c>
      <c r="AZ36" s="39">
        <f t="shared" si="13"/>
        <v>27.615836587998555</v>
      </c>
      <c r="BA36" s="39">
        <f t="shared" si="13"/>
        <v>22.30415685212801</v>
      </c>
      <c r="BB36" s="39">
        <f t="shared" si="13"/>
        <v>50.534669733097864</v>
      </c>
      <c r="BC36" s="39">
        <f t="shared" si="13"/>
        <v>38.993777364347125</v>
      </c>
      <c r="BD36" s="39">
        <f t="shared" si="13"/>
        <v>45.76295778715135</v>
      </c>
      <c r="BE36" s="39">
        <f t="shared" si="13"/>
        <v>34.842338909356151</v>
      </c>
      <c r="BF36" s="39">
        <f t="shared" si="13"/>
        <v>3.2219906157510647</v>
      </c>
      <c r="BG36" s="39">
        <f t="shared" si="13"/>
        <v>-29.867911975880354</v>
      </c>
      <c r="BH36" s="39">
        <f t="shared" si="13"/>
        <v>-49.335019328576259</v>
      </c>
      <c r="BI36" s="39">
        <f t="shared" si="13"/>
        <v>-46.300357325230671</v>
      </c>
      <c r="BJ36" s="39">
        <f t="shared" si="13"/>
        <v>-22.148039429334055</v>
      </c>
      <c r="BK36" s="39">
        <f t="shared" si="13"/>
        <v>12.106029346759655</v>
      </c>
      <c r="BL36" s="39">
        <f t="shared" si="13"/>
        <v>40.838521687210239</v>
      </c>
      <c r="BM36" s="39">
        <f t="shared" si="13"/>
        <v>-11.30031232791247</v>
      </c>
    </row>
    <row r="37" spans="1:65" x14ac:dyDescent="0.25">
      <c r="A37" s="7">
        <v>-2</v>
      </c>
      <c r="B37" s="7">
        <v>0</v>
      </c>
      <c r="C37" s="7">
        <v>2</v>
      </c>
      <c r="D37" s="7">
        <v>0</v>
      </c>
      <c r="E37" s="7">
        <v>0</v>
      </c>
      <c r="F37" s="195">
        <v>48</v>
      </c>
      <c r="G37" s="7">
        <v>0</v>
      </c>
      <c r="H37" s="179"/>
      <c r="K37" s="39">
        <f t="shared" si="9"/>
        <v>40.417358415821852</v>
      </c>
      <c r="L37" s="39">
        <f t="shared" si="9"/>
        <v>20.10809915780554</v>
      </c>
      <c r="M37" s="39">
        <f t="shared" si="9"/>
        <v>26.997488147939475</v>
      </c>
      <c r="N37" s="39">
        <f t="shared" si="9"/>
        <v>43.448448146411451</v>
      </c>
      <c r="O37" s="39">
        <f t="shared" si="9"/>
        <v>40.252816570943139</v>
      </c>
      <c r="P37" s="39">
        <f t="shared" si="9"/>
        <v>-37.875741947924567</v>
      </c>
      <c r="Q37" s="39">
        <f t="shared" si="9"/>
        <v>-20.140881013522847</v>
      </c>
      <c r="R37" s="39">
        <f t="shared" si="9"/>
        <v>-35.585059908998012</v>
      </c>
      <c r="S37" s="39">
        <f t="shared" si="9"/>
        <v>-45.548392328442766</v>
      </c>
      <c r="T37" s="39">
        <f t="shared" si="9"/>
        <v>-4.0892182599671179</v>
      </c>
      <c r="U37" s="39">
        <f t="shared" si="10"/>
        <v>46.75399981327682</v>
      </c>
      <c r="V37" s="39">
        <f t="shared" si="10"/>
        <v>-1.009079030824914</v>
      </c>
      <c r="W37" s="39">
        <f t="shared" si="10"/>
        <v>-47.14929352434266</v>
      </c>
      <c r="X37" s="39">
        <f t="shared" si="10"/>
        <v>-46.852830539211872</v>
      </c>
      <c r="Y37" s="39">
        <f t="shared" si="10"/>
        <v>44.338948530155662</v>
      </c>
      <c r="Z37" s="39">
        <f t="shared" si="10"/>
        <v>-10.233796585556943</v>
      </c>
      <c r="AA37" s="39">
        <f t="shared" si="10"/>
        <v>-24.855754706891524</v>
      </c>
      <c r="AB37" s="39">
        <f t="shared" si="10"/>
        <v>26.777732928827625</v>
      </c>
      <c r="AC37" s="39">
        <f t="shared" si="10"/>
        <v>-3.8764381303002464</v>
      </c>
      <c r="AD37" s="39">
        <f t="shared" si="10"/>
        <v>29.143445782803951</v>
      </c>
      <c r="AE37" s="39">
        <f t="shared" si="11"/>
        <v>-3.9645204336679241</v>
      </c>
      <c r="AF37" s="39">
        <f t="shared" si="11"/>
        <v>38.485388440951596</v>
      </c>
      <c r="AG37" s="39">
        <f t="shared" si="11"/>
        <v>26.388792559774743</v>
      </c>
      <c r="AH37" s="39">
        <f t="shared" si="11"/>
        <v>35.815234735259992</v>
      </c>
      <c r="AI37" s="39">
        <f t="shared" si="11"/>
        <v>-29.896548119028321</v>
      </c>
      <c r="AJ37" s="39">
        <f t="shared" si="11"/>
        <v>39.04809826327449</v>
      </c>
      <c r="AK37" s="39">
        <f t="shared" si="11"/>
        <v>-8.5391910654276746</v>
      </c>
      <c r="AL37" s="39">
        <f t="shared" si="11"/>
        <v>-32.879499057472174</v>
      </c>
      <c r="AM37" s="39">
        <f t="shared" si="11"/>
        <v>46.504958256271351</v>
      </c>
      <c r="AN37" s="39">
        <f t="shared" si="11"/>
        <v>24.55431333586542</v>
      </c>
      <c r="AO37" s="39">
        <f t="shared" si="12"/>
        <v>40.0807411374807</v>
      </c>
      <c r="AP37" s="39">
        <f t="shared" si="12"/>
        <v>47.881011434092528</v>
      </c>
      <c r="AQ37" s="39">
        <f t="shared" si="12"/>
        <v>47.775173435802024</v>
      </c>
      <c r="AR37" s="39">
        <f t="shared" si="12"/>
        <v>-34.515508668729318</v>
      </c>
      <c r="AS37" s="39">
        <f t="shared" si="12"/>
        <v>-19.849871543055613</v>
      </c>
      <c r="AT37" s="39">
        <f t="shared" si="12"/>
        <v>-17.362518663113136</v>
      </c>
      <c r="AU37" s="39">
        <f t="shared" si="12"/>
        <v>-2.0362582212524662</v>
      </c>
      <c r="AV37" s="39">
        <f t="shared" si="12"/>
        <v>22.491859971063615</v>
      </c>
      <c r="AW37" s="39">
        <f t="shared" si="12"/>
        <v>12.91269735843796</v>
      </c>
      <c r="AX37" s="39">
        <f t="shared" si="12"/>
        <v>2.9606082527000543</v>
      </c>
      <c r="AY37" s="39">
        <f t="shared" si="13"/>
        <v>-8.4282616322284554</v>
      </c>
      <c r="AZ37" s="39">
        <f t="shared" si="13"/>
        <v>-28.036640290443827</v>
      </c>
      <c r="BA37" s="39">
        <f t="shared" si="13"/>
        <v>-19.876834592270342</v>
      </c>
      <c r="BB37" s="39">
        <f t="shared" si="13"/>
        <v>-13.520625438547782</v>
      </c>
      <c r="BC37" s="39">
        <f t="shared" si="13"/>
        <v>-45.244460980138918</v>
      </c>
      <c r="BD37" s="39">
        <f t="shared" si="13"/>
        <v>43.43210534148605</v>
      </c>
      <c r="BE37" s="39">
        <f t="shared" si="13"/>
        <v>-47.976152456449562</v>
      </c>
      <c r="BF37" s="39">
        <f t="shared" si="13"/>
        <v>-47.999975681623475</v>
      </c>
      <c r="BG37" s="39">
        <f t="shared" si="13"/>
        <v>-47.979100985709564</v>
      </c>
      <c r="BH37" s="39">
        <f t="shared" si="13"/>
        <v>-47.913547807368992</v>
      </c>
      <c r="BI37" s="39">
        <f t="shared" si="13"/>
        <v>-47.803377190190901</v>
      </c>
      <c r="BJ37" s="39">
        <f t="shared" si="13"/>
        <v>-47.648691725842909</v>
      </c>
      <c r="BK37" s="39">
        <f t="shared" si="13"/>
        <v>-47.449635458526032</v>
      </c>
      <c r="BL37" s="39">
        <f t="shared" si="13"/>
        <v>-47.206393750873019</v>
      </c>
      <c r="BM37" s="39">
        <f t="shared" si="13"/>
        <v>-8.32121610716381</v>
      </c>
    </row>
    <row r="38" spans="1:65" x14ac:dyDescent="0.25">
      <c r="A38" s="7">
        <v>0</v>
      </c>
      <c r="B38" s="7">
        <v>0</v>
      </c>
      <c r="C38" s="7">
        <v>-2</v>
      </c>
      <c r="D38" s="7">
        <v>2</v>
      </c>
      <c r="E38" s="7">
        <v>1</v>
      </c>
      <c r="F38" s="195">
        <v>46</v>
      </c>
      <c r="G38" s="7">
        <v>0</v>
      </c>
      <c r="H38" s="179"/>
      <c r="K38" s="39">
        <f t="shared" si="9"/>
        <v>43.982947588334078</v>
      </c>
      <c r="L38" s="39">
        <f t="shared" si="9"/>
        <v>-45.701724859329886</v>
      </c>
      <c r="M38" s="39">
        <f t="shared" si="9"/>
        <v>30.578038803610923</v>
      </c>
      <c r="N38" s="39">
        <f t="shared" si="9"/>
        <v>-39.482608765916176</v>
      </c>
      <c r="O38" s="39">
        <f t="shared" si="9"/>
        <v>0.49653835710213284</v>
      </c>
      <c r="P38" s="39">
        <f t="shared" si="9"/>
        <v>-28.919540828174917</v>
      </c>
      <c r="Q38" s="39">
        <f t="shared" si="9"/>
        <v>-45.296370017136638</v>
      </c>
      <c r="R38" s="39">
        <f t="shared" si="9"/>
        <v>-29.640901954256744</v>
      </c>
      <c r="S38" s="39">
        <f t="shared" si="9"/>
        <v>35.037829434314865</v>
      </c>
      <c r="T38" s="39">
        <f t="shared" si="9"/>
        <v>44.067773072082076</v>
      </c>
      <c r="U38" s="39">
        <f t="shared" si="10"/>
        <v>4.8171389043220341</v>
      </c>
      <c r="V38" s="39">
        <f t="shared" si="10"/>
        <v>-43.112916132911813</v>
      </c>
      <c r="W38" s="39">
        <f t="shared" si="10"/>
        <v>27.235822778750563</v>
      </c>
      <c r="X38" s="39">
        <f t="shared" si="10"/>
        <v>27.057074452570834</v>
      </c>
      <c r="Y38" s="39">
        <f t="shared" si="10"/>
        <v>-33.161457468506661</v>
      </c>
      <c r="Z38" s="39">
        <f t="shared" si="10"/>
        <v>-45.678644568563428</v>
      </c>
      <c r="AA38" s="39">
        <f t="shared" si="10"/>
        <v>-31.353525570253023</v>
      </c>
      <c r="AB38" s="39">
        <f t="shared" si="10"/>
        <v>-9.8649050147166495</v>
      </c>
      <c r="AC38" s="39">
        <f t="shared" si="10"/>
        <v>-15.364250599505915</v>
      </c>
      <c r="AD38" s="39">
        <f t="shared" si="10"/>
        <v>-12.772790116659948</v>
      </c>
      <c r="AE38" s="39">
        <f t="shared" si="11"/>
        <v>-44.916841209097193</v>
      </c>
      <c r="AF38" s="39">
        <f t="shared" si="11"/>
        <v>20.68855827399123</v>
      </c>
      <c r="AG38" s="39">
        <f t="shared" si="11"/>
        <v>30.49525103851494</v>
      </c>
      <c r="AH38" s="39">
        <f t="shared" si="11"/>
        <v>30.720785661991229</v>
      </c>
      <c r="AI38" s="39">
        <f t="shared" si="11"/>
        <v>44.037036457274453</v>
      </c>
      <c r="AJ38" s="39">
        <f t="shared" si="11"/>
        <v>-38.24772745902812</v>
      </c>
      <c r="AK38" s="39">
        <f t="shared" si="11"/>
        <v>-45.062173939412368</v>
      </c>
      <c r="AL38" s="39">
        <f t="shared" si="11"/>
        <v>36.915524284097806</v>
      </c>
      <c r="AM38" s="39">
        <f t="shared" si="11"/>
        <v>26.133271247842551</v>
      </c>
      <c r="AN38" s="39">
        <f t="shared" si="11"/>
        <v>-35.934103023151017</v>
      </c>
      <c r="AO38" s="39">
        <f t="shared" si="12"/>
        <v>-15.093380965806993</v>
      </c>
      <c r="AP38" s="39">
        <f t="shared" si="12"/>
        <v>45.99963270558149</v>
      </c>
      <c r="AQ38" s="39">
        <f t="shared" si="12"/>
        <v>43.368107736678283</v>
      </c>
      <c r="AR38" s="39">
        <f t="shared" si="12"/>
        <v>-5.3629610938333281</v>
      </c>
      <c r="AS38" s="39">
        <f t="shared" si="12"/>
        <v>-45.387896507187044</v>
      </c>
      <c r="AT38" s="39">
        <f t="shared" si="12"/>
        <v>42.64971691616671</v>
      </c>
      <c r="AU38" s="39">
        <f t="shared" si="12"/>
        <v>-41.871378854525908</v>
      </c>
      <c r="AV38" s="39">
        <f t="shared" si="12"/>
        <v>6.9380437897191953</v>
      </c>
      <c r="AW38" s="39">
        <f t="shared" si="12"/>
        <v>5.3901474508355687</v>
      </c>
      <c r="AX38" s="39">
        <f t="shared" si="12"/>
        <v>3.8697414667571075</v>
      </c>
      <c r="AY38" s="39">
        <f t="shared" si="13"/>
        <v>2.145279234102718</v>
      </c>
      <c r="AZ38" s="39">
        <f t="shared" si="13"/>
        <v>-1.0986546745258716</v>
      </c>
      <c r="BA38" s="39">
        <f t="shared" si="13"/>
        <v>-41.304080667499193</v>
      </c>
      <c r="BB38" s="39">
        <f t="shared" si="13"/>
        <v>10.678937995390692</v>
      </c>
      <c r="BC38" s="39">
        <f t="shared" si="13"/>
        <v>-18.870888134105726</v>
      </c>
      <c r="BD38" s="39">
        <f t="shared" si="13"/>
        <v>39.584231369804968</v>
      </c>
      <c r="BE38" s="39">
        <f t="shared" si="13"/>
        <v>-7.7041226751071852</v>
      </c>
      <c r="BF38" s="39">
        <f t="shared" si="13"/>
        <v>-7.9223002201863055</v>
      </c>
      <c r="BG38" s="39">
        <f t="shared" si="13"/>
        <v>-8.1402942511266758</v>
      </c>
      <c r="BH38" s="39">
        <f t="shared" si="13"/>
        <v>-8.3580997182856116</v>
      </c>
      <c r="BI38" s="39">
        <f t="shared" si="13"/>
        <v>-8.575711576317639</v>
      </c>
      <c r="BJ38" s="39">
        <f t="shared" si="13"/>
        <v>-8.7931247845002201</v>
      </c>
      <c r="BK38" s="39">
        <f t="shared" si="13"/>
        <v>-9.0103343065293569</v>
      </c>
      <c r="BL38" s="39">
        <f t="shared" si="13"/>
        <v>-9.2273351110031161</v>
      </c>
      <c r="BM38" s="39">
        <f t="shared" si="13"/>
        <v>-45.055438908739625</v>
      </c>
    </row>
    <row r="39" spans="1:65" x14ac:dyDescent="0.25">
      <c r="A39" s="7">
        <v>2</v>
      </c>
      <c r="B39" s="7">
        <v>0</v>
      </c>
      <c r="C39" s="7">
        <v>0</v>
      </c>
      <c r="D39" s="7">
        <v>2</v>
      </c>
      <c r="E39" s="7">
        <v>2</v>
      </c>
      <c r="F39" s="195">
        <v>-38</v>
      </c>
      <c r="G39" s="7">
        <v>0</v>
      </c>
      <c r="H39" s="179"/>
      <c r="K39" s="39">
        <f t="shared" ref="K39:T48" si="14">($F39+$G39*K$4)*SIN(($A39*K$5+$B39*K$6+$C39*K$7+$D39*K$8+$E39*K$9)*Deg2Rad)</f>
        <v>5.7356281055921796</v>
      </c>
      <c r="L39" s="39">
        <f t="shared" si="14"/>
        <v>-6.7983985947860743</v>
      </c>
      <c r="M39" s="39">
        <f t="shared" si="14"/>
        <v>28.090988054383978</v>
      </c>
      <c r="N39" s="39">
        <f t="shared" si="14"/>
        <v>-29.552341236552241</v>
      </c>
      <c r="O39" s="39">
        <f t="shared" si="14"/>
        <v>-33.026598851943824</v>
      </c>
      <c r="P39" s="39">
        <f t="shared" si="14"/>
        <v>13.005574552459052</v>
      </c>
      <c r="Q39" s="39">
        <f t="shared" si="14"/>
        <v>37.660938480971048</v>
      </c>
      <c r="R39" s="39">
        <f t="shared" si="14"/>
        <v>-28.576351268773667</v>
      </c>
      <c r="S39" s="39">
        <f t="shared" si="14"/>
        <v>5.0972101549104529</v>
      </c>
      <c r="T39" s="39">
        <f t="shared" si="14"/>
        <v>12.442474733686311</v>
      </c>
      <c r="U39" s="39">
        <f t="shared" ref="U39:AD48" si="15">($F39+$G39*U$4)*SIN(($A39*U$5+$B39*U$6+$C39*U$7+$D39*U$8+$E39*U$9)*Deg2Rad)</f>
        <v>1.9027055824972636</v>
      </c>
      <c r="V39" s="39">
        <f t="shared" si="15"/>
        <v>-37.669686183126984</v>
      </c>
      <c r="W39" s="39">
        <f t="shared" si="15"/>
        <v>-27.937766287665891</v>
      </c>
      <c r="X39" s="39">
        <f t="shared" si="15"/>
        <v>2.2601381011970831</v>
      </c>
      <c r="Y39" s="39">
        <f t="shared" si="15"/>
        <v>-25.858534530639755</v>
      </c>
      <c r="Z39" s="39">
        <f t="shared" si="15"/>
        <v>-17.04194201915999</v>
      </c>
      <c r="AA39" s="39">
        <f t="shared" si="15"/>
        <v>16.004459727835734</v>
      </c>
      <c r="AB39" s="39">
        <f t="shared" si="15"/>
        <v>2.4525912190020427</v>
      </c>
      <c r="AC39" s="39">
        <f t="shared" si="15"/>
        <v>26.035312746981635</v>
      </c>
      <c r="AD39" s="39">
        <f t="shared" si="15"/>
        <v>-26.270188086844332</v>
      </c>
      <c r="AE39" s="39">
        <f t="shared" ref="AE39:AN48" si="16">($F39+$G39*AE$4)*SIN(($A39*AE$5+$B39*AE$6+$C39*AE$7+$D39*AE$8+$E39*AE$9)*Deg2Rad)</f>
        <v>-32.238748050095097</v>
      </c>
      <c r="AF39" s="39">
        <f t="shared" si="16"/>
        <v>32.140734858475938</v>
      </c>
      <c r="AG39" s="39">
        <f t="shared" si="16"/>
        <v>36.346083135920168</v>
      </c>
      <c r="AH39" s="39">
        <f t="shared" si="16"/>
        <v>-17.657423865144903</v>
      </c>
      <c r="AI39" s="39">
        <f t="shared" si="16"/>
        <v>-24.276625045936104</v>
      </c>
      <c r="AJ39" s="39">
        <f t="shared" si="16"/>
        <v>24.012647448239473</v>
      </c>
      <c r="AK39" s="39">
        <f t="shared" si="16"/>
        <v>37.192212827661415</v>
      </c>
      <c r="AL39" s="39">
        <f t="shared" si="16"/>
        <v>23.755785089156003</v>
      </c>
      <c r="AM39" s="39">
        <f t="shared" si="16"/>
        <v>-35.386207331782785</v>
      </c>
      <c r="AN39" s="39">
        <f t="shared" si="16"/>
        <v>26.073434111627847</v>
      </c>
      <c r="AO39" s="39">
        <f t="shared" ref="AO39:AX48" si="17">($F39+$G39*AO$4)*SIN(($A39*AO$5+$B39*AO$6+$C39*AO$7+$D39*AO$8+$E39*AO$9)*Deg2Rad)</f>
        <v>33.493276080954303</v>
      </c>
      <c r="AP39" s="39">
        <f t="shared" si="17"/>
        <v>-1.1716815968576868</v>
      </c>
      <c r="AQ39" s="39">
        <f t="shared" si="17"/>
        <v>36.817801503738778</v>
      </c>
      <c r="AR39" s="39">
        <f t="shared" si="17"/>
        <v>-11.565423526089655</v>
      </c>
      <c r="AS39" s="39">
        <f t="shared" si="17"/>
        <v>18.996014007406369</v>
      </c>
      <c r="AT39" s="39">
        <f t="shared" si="17"/>
        <v>-33.719146143485133</v>
      </c>
      <c r="AU39" s="39">
        <f t="shared" si="17"/>
        <v>-30.756162729312482</v>
      </c>
      <c r="AV39" s="39">
        <f t="shared" si="17"/>
        <v>-2.1009442299073271</v>
      </c>
      <c r="AW39" s="39">
        <f t="shared" si="17"/>
        <v>-0.74806621219950209</v>
      </c>
      <c r="AX39" s="39">
        <f t="shared" si="17"/>
        <v>5.7246154687594508</v>
      </c>
      <c r="AY39" s="39">
        <f t="shared" ref="AY39:BM48" si="18">($F39+$G39*AY$4)*SIN(($A39*AY$5+$B39*AY$6+$C39*AY$7+$D39*AY$8+$E39*AY$9)*Deg2Rad)</f>
        <v>-17.475868459739935</v>
      </c>
      <c r="AZ39" s="39">
        <f t="shared" si="18"/>
        <v>-29.512565520804767</v>
      </c>
      <c r="BA39" s="39">
        <f t="shared" si="18"/>
        <v>-25.916648735510336</v>
      </c>
      <c r="BB39" s="39">
        <f t="shared" si="18"/>
        <v>37.567803444121317</v>
      </c>
      <c r="BC39" s="39">
        <f t="shared" si="18"/>
        <v>17.306929860463793</v>
      </c>
      <c r="BD39" s="39">
        <f t="shared" si="18"/>
        <v>-33.32785155500553</v>
      </c>
      <c r="BE39" s="39">
        <f t="shared" si="18"/>
        <v>-27.799002835592407</v>
      </c>
      <c r="BF39" s="39">
        <f t="shared" si="18"/>
        <v>2.463856031640093</v>
      </c>
      <c r="BG39" s="39">
        <f t="shared" si="18"/>
        <v>30.917838634795501</v>
      </c>
      <c r="BH39" s="39">
        <f t="shared" si="18"/>
        <v>36.673033757863031</v>
      </c>
      <c r="BI39" s="39">
        <f t="shared" si="18"/>
        <v>15.50417997346648</v>
      </c>
      <c r="BJ39" s="39">
        <f t="shared" si="18"/>
        <v>-17.047296329531726</v>
      </c>
      <c r="BK39" s="39">
        <f t="shared" si="18"/>
        <v>-37.083248469775597</v>
      </c>
      <c r="BL39" s="39">
        <f t="shared" si="18"/>
        <v>-29.893986518322997</v>
      </c>
      <c r="BM39" s="39">
        <f t="shared" si="18"/>
        <v>37.899590505216871</v>
      </c>
    </row>
    <row r="40" spans="1:65" x14ac:dyDescent="0.25">
      <c r="A40" s="7">
        <v>0</v>
      </c>
      <c r="B40" s="7">
        <v>0</v>
      </c>
      <c r="C40" s="7">
        <v>2</v>
      </c>
      <c r="D40" s="7">
        <v>2</v>
      </c>
      <c r="E40" s="7">
        <v>2</v>
      </c>
      <c r="F40" s="195">
        <v>-31</v>
      </c>
      <c r="G40" s="7">
        <v>0</v>
      </c>
      <c r="H40" s="179"/>
      <c r="K40" s="39">
        <f t="shared" si="14"/>
        <v>28.327868085713281</v>
      </c>
      <c r="L40" s="39">
        <f t="shared" si="14"/>
        <v>-17.812916799151193</v>
      </c>
      <c r="M40" s="39">
        <f t="shared" si="14"/>
        <v>7.2058571073549729</v>
      </c>
      <c r="N40" s="39">
        <f t="shared" si="14"/>
        <v>27.887036310825504</v>
      </c>
      <c r="O40" s="39">
        <f t="shared" si="14"/>
        <v>-1.819077078952976</v>
      </c>
      <c r="P40" s="39">
        <f t="shared" si="14"/>
        <v>-16.466614743987478</v>
      </c>
      <c r="Q40" s="39">
        <f t="shared" si="14"/>
        <v>29.621649559862629</v>
      </c>
      <c r="R40" s="39">
        <f t="shared" si="14"/>
        <v>30.79382561699493</v>
      </c>
      <c r="S40" s="39">
        <f t="shared" si="14"/>
        <v>-30.462762402787359</v>
      </c>
      <c r="T40" s="39">
        <f t="shared" si="14"/>
        <v>-12.608907304755876</v>
      </c>
      <c r="U40" s="39">
        <f t="shared" si="15"/>
        <v>-30.508787403142055</v>
      </c>
      <c r="V40" s="39">
        <f t="shared" si="15"/>
        <v>30.638001544992875</v>
      </c>
      <c r="W40" s="39">
        <f t="shared" si="15"/>
        <v>-24.912693503815802</v>
      </c>
      <c r="X40" s="39">
        <f t="shared" si="15"/>
        <v>-29.804858617284303</v>
      </c>
      <c r="Y40" s="39">
        <f t="shared" si="15"/>
        <v>12.902524203620393</v>
      </c>
      <c r="Z40" s="39">
        <f t="shared" si="15"/>
        <v>7.6755877829779857</v>
      </c>
      <c r="AA40" s="39">
        <f t="shared" si="15"/>
        <v>3.3900447161289393</v>
      </c>
      <c r="AB40" s="39">
        <f t="shared" si="15"/>
        <v>-18.918414448061156</v>
      </c>
      <c r="AC40" s="39">
        <f t="shared" si="15"/>
        <v>-22.993561341985</v>
      </c>
      <c r="AD40" s="39">
        <f t="shared" si="15"/>
        <v>30.628330430151227</v>
      </c>
      <c r="AE40" s="39">
        <f t="shared" si="16"/>
        <v>24.854749649353639</v>
      </c>
      <c r="AF40" s="39">
        <f t="shared" si="16"/>
        <v>28.929535730038136</v>
      </c>
      <c r="AG40" s="39">
        <f t="shared" si="16"/>
        <v>19.794545335171861</v>
      </c>
      <c r="AH40" s="39">
        <f t="shared" si="16"/>
        <v>30.07219612014892</v>
      </c>
      <c r="AI40" s="39">
        <f t="shared" si="16"/>
        <v>30.34830677124857</v>
      </c>
      <c r="AJ40" s="39">
        <f t="shared" si="16"/>
        <v>-30.937776821711708</v>
      </c>
      <c r="AK40" s="39">
        <f t="shared" si="16"/>
        <v>-28.725966750821193</v>
      </c>
      <c r="AL40" s="39">
        <f t="shared" si="16"/>
        <v>2.4545748457509537</v>
      </c>
      <c r="AM40" s="39">
        <f t="shared" si="16"/>
        <v>18.095254582855056</v>
      </c>
      <c r="AN40" s="39">
        <f t="shared" si="16"/>
        <v>-29.812879560107437</v>
      </c>
      <c r="AO40" s="39">
        <f t="shared" si="17"/>
        <v>-27.261537144499872</v>
      </c>
      <c r="AP40" s="39">
        <f t="shared" si="17"/>
        <v>30.975711432935217</v>
      </c>
      <c r="AQ40" s="39">
        <f t="shared" si="17"/>
        <v>10.540022106920718</v>
      </c>
      <c r="AR40" s="39">
        <f t="shared" si="17"/>
        <v>27.790423597082309</v>
      </c>
      <c r="AS40" s="39">
        <f t="shared" si="17"/>
        <v>-3.0066090321966765</v>
      </c>
      <c r="AT40" s="39">
        <f t="shared" si="17"/>
        <v>20.474599490705376</v>
      </c>
      <c r="AU40" s="39">
        <f t="shared" si="17"/>
        <v>-24.295624395315894</v>
      </c>
      <c r="AV40" s="39">
        <f t="shared" si="17"/>
        <v>-12.989654750840963</v>
      </c>
      <c r="AW40" s="39">
        <f t="shared" si="17"/>
        <v>-7.7500664769994829</v>
      </c>
      <c r="AX40" s="39">
        <f t="shared" si="17"/>
        <v>-6.551427405518365</v>
      </c>
      <c r="AY40" s="39">
        <f t="shared" si="18"/>
        <v>18.868606062793383</v>
      </c>
      <c r="AZ40" s="39">
        <f t="shared" si="18"/>
        <v>30.948401332947384</v>
      </c>
      <c r="BA40" s="39">
        <f t="shared" si="18"/>
        <v>-28.632839855560547</v>
      </c>
      <c r="BB40" s="39">
        <f t="shared" si="18"/>
        <v>28.09322270602312</v>
      </c>
      <c r="BC40" s="39">
        <f t="shared" si="18"/>
        <v>-21.298951803144909</v>
      </c>
      <c r="BD40" s="39">
        <f t="shared" si="18"/>
        <v>-1.8993977048402366</v>
      </c>
      <c r="BE40" s="39">
        <f t="shared" si="18"/>
        <v>-20.410055738567966</v>
      </c>
      <c r="BF40" s="39">
        <f t="shared" si="18"/>
        <v>-30.936776859979254</v>
      </c>
      <c r="BG40" s="39">
        <f t="shared" si="18"/>
        <v>-17.270929440547018</v>
      </c>
      <c r="BH40" s="39">
        <f t="shared" si="18"/>
        <v>9.900789846079876</v>
      </c>
      <c r="BI40" s="39">
        <f t="shared" si="18"/>
        <v>29.330088581147628</v>
      </c>
      <c r="BJ40" s="39">
        <f t="shared" si="18"/>
        <v>25.823249478669798</v>
      </c>
      <c r="BK40" s="39">
        <f t="shared" si="18"/>
        <v>2.122621741043293</v>
      </c>
      <c r="BL40" s="39">
        <f t="shared" si="18"/>
        <v>-23.237896818068769</v>
      </c>
      <c r="BM40" s="39">
        <f t="shared" si="18"/>
        <v>-30.059529892179508</v>
      </c>
    </row>
    <row r="41" spans="1:65" x14ac:dyDescent="0.25">
      <c r="A41" s="7">
        <v>0</v>
      </c>
      <c r="B41" s="7">
        <v>0</v>
      </c>
      <c r="C41" s="7">
        <v>2</v>
      </c>
      <c r="D41" s="7">
        <v>0</v>
      </c>
      <c r="E41" s="7">
        <v>0</v>
      </c>
      <c r="F41" s="195">
        <v>29</v>
      </c>
      <c r="G41" s="7">
        <v>0</v>
      </c>
      <c r="H41" s="179"/>
      <c r="K41" s="39">
        <f t="shared" si="14"/>
        <v>-19.224702219247483</v>
      </c>
      <c r="L41" s="39">
        <f t="shared" si="14"/>
        <v>-28.785208932111665</v>
      </c>
      <c r="M41" s="39">
        <f t="shared" si="14"/>
        <v>-28.999975786615575</v>
      </c>
      <c r="N41" s="39">
        <f t="shared" si="14"/>
        <v>28.506624617950159</v>
      </c>
      <c r="O41" s="39">
        <f t="shared" si="14"/>
        <v>-4.5026701428124234</v>
      </c>
      <c r="P41" s="39">
        <f t="shared" si="14"/>
        <v>18.359888435974636</v>
      </c>
      <c r="Q41" s="39">
        <f t="shared" si="14"/>
        <v>5.775384691712218</v>
      </c>
      <c r="R41" s="39">
        <f t="shared" si="14"/>
        <v>-7.8495481349434222</v>
      </c>
      <c r="S41" s="39">
        <f t="shared" si="14"/>
        <v>-26.341196810749008</v>
      </c>
      <c r="T41" s="39">
        <f t="shared" si="14"/>
        <v>-2.3195966021219259</v>
      </c>
      <c r="U41" s="39">
        <f t="shared" si="15"/>
        <v>1.0278905561185716</v>
      </c>
      <c r="V41" s="39">
        <f t="shared" si="15"/>
        <v>-13.388813001248915</v>
      </c>
      <c r="W41" s="39">
        <f t="shared" si="15"/>
        <v>27.427602035736278</v>
      </c>
      <c r="X41" s="39">
        <f t="shared" si="15"/>
        <v>28.772851431523087</v>
      </c>
      <c r="Y41" s="39">
        <f t="shared" si="15"/>
        <v>-16.778019379869232</v>
      </c>
      <c r="Z41" s="39">
        <f t="shared" si="15"/>
        <v>-24.891890537687154</v>
      </c>
      <c r="AA41" s="39">
        <f t="shared" si="15"/>
        <v>-25.819396377624219</v>
      </c>
      <c r="AB41" s="39">
        <f t="shared" si="15"/>
        <v>-28.663842613998774</v>
      </c>
      <c r="AC41" s="39">
        <f t="shared" si="15"/>
        <v>28.677194650167454</v>
      </c>
      <c r="AD41" s="39">
        <f t="shared" si="15"/>
        <v>5.1856866908782253</v>
      </c>
      <c r="AE41" s="39">
        <f t="shared" si="16"/>
        <v>28.483506920495582</v>
      </c>
      <c r="AF41" s="39">
        <f t="shared" si="16"/>
        <v>27.559864500662524</v>
      </c>
      <c r="AG41" s="39">
        <f t="shared" si="16"/>
        <v>-28.240818694485</v>
      </c>
      <c r="AH41" s="39">
        <f t="shared" si="16"/>
        <v>27.186640574467074</v>
      </c>
      <c r="AI41" s="39">
        <f t="shared" si="16"/>
        <v>-2.8453227936998919</v>
      </c>
      <c r="AJ41" s="39">
        <f t="shared" si="16"/>
        <v>-28.100386943247877</v>
      </c>
      <c r="AK41" s="39">
        <f t="shared" si="16"/>
        <v>-1.6033728654005632</v>
      </c>
      <c r="AL41" s="39">
        <f t="shared" si="16"/>
        <v>26.270660989681769</v>
      </c>
      <c r="AM41" s="39">
        <f t="shared" si="16"/>
        <v>19.322558423779338</v>
      </c>
      <c r="AN41" s="39">
        <f t="shared" si="16"/>
        <v>14.820262666497545</v>
      </c>
      <c r="AO41" s="39">
        <f t="shared" si="17"/>
        <v>28.775808532466655</v>
      </c>
      <c r="AP41" s="39">
        <f t="shared" si="17"/>
        <v>-16.957447759082896</v>
      </c>
      <c r="AQ41" s="39">
        <f t="shared" si="17"/>
        <v>-26.843353425785434</v>
      </c>
      <c r="AR41" s="39">
        <f t="shared" si="17"/>
        <v>-24.101065003097794</v>
      </c>
      <c r="AS41" s="39">
        <f t="shared" si="17"/>
        <v>-27.807906724980413</v>
      </c>
      <c r="AT41" s="39">
        <f t="shared" si="17"/>
        <v>-26.355109069771704</v>
      </c>
      <c r="AU41" s="39">
        <f t="shared" si="17"/>
        <v>28.094418434785943</v>
      </c>
      <c r="AV41" s="39">
        <f t="shared" si="17"/>
        <v>14.819510204051971</v>
      </c>
      <c r="AW41" s="39">
        <f t="shared" si="17"/>
        <v>-12.88084765499937</v>
      </c>
      <c r="AX41" s="39">
        <f t="shared" si="17"/>
        <v>12.713026552078842</v>
      </c>
      <c r="AY41" s="39">
        <f t="shared" si="18"/>
        <v>-1.0239091073931839</v>
      </c>
      <c r="AZ41" s="39">
        <f t="shared" si="18"/>
        <v>10.366314772292</v>
      </c>
      <c r="BA41" s="39">
        <f t="shared" si="18"/>
        <v>-12.393762232777179</v>
      </c>
      <c r="BB41" s="39">
        <f t="shared" si="18"/>
        <v>-20.821085031523793</v>
      </c>
      <c r="BC41" s="39">
        <f t="shared" si="18"/>
        <v>-27.354612426022417</v>
      </c>
      <c r="BD41" s="39">
        <f t="shared" si="18"/>
        <v>24.334064746346009</v>
      </c>
      <c r="BE41" s="39">
        <f t="shared" si="18"/>
        <v>28.882649172372023</v>
      </c>
      <c r="BF41" s="39">
        <f t="shared" si="18"/>
        <v>27.078581180061185</v>
      </c>
      <c r="BG41" s="39">
        <f t="shared" si="18"/>
        <v>19.739499977202222</v>
      </c>
      <c r="BH41" s="39">
        <f t="shared" si="18"/>
        <v>8.3655547459102788</v>
      </c>
      <c r="BI41" s="39">
        <f t="shared" si="18"/>
        <v>-4.7183565919842634</v>
      </c>
      <c r="BJ41" s="39">
        <f t="shared" si="18"/>
        <v>-16.837809493328997</v>
      </c>
      <c r="BK41" s="39">
        <f t="shared" si="18"/>
        <v>-25.515520105337536</v>
      </c>
      <c r="BL41" s="39">
        <f t="shared" si="18"/>
        <v>-28.977715919153063</v>
      </c>
      <c r="BM41" s="39">
        <f t="shared" si="18"/>
        <v>0.39494043640304738</v>
      </c>
    </row>
    <row r="42" spans="1:65" x14ac:dyDescent="0.25">
      <c r="A42" s="7">
        <v>-2</v>
      </c>
      <c r="B42" s="7">
        <v>0</v>
      </c>
      <c r="C42" s="7">
        <v>1</v>
      </c>
      <c r="D42" s="7">
        <v>2</v>
      </c>
      <c r="E42" s="7">
        <v>2</v>
      </c>
      <c r="F42" s="195">
        <v>29</v>
      </c>
      <c r="G42" s="7">
        <v>0</v>
      </c>
      <c r="H42" s="179"/>
      <c r="K42" s="39">
        <f t="shared" si="14"/>
        <v>-2.8680000180045355</v>
      </c>
      <c r="L42" s="39">
        <f t="shared" si="14"/>
        <v>-12.395803518230446</v>
      </c>
      <c r="M42" s="39">
        <f t="shared" si="14"/>
        <v>-11.843837999356923</v>
      </c>
      <c r="N42" s="39">
        <f t="shared" si="14"/>
        <v>-25.148070362591927</v>
      </c>
      <c r="O42" s="39">
        <f t="shared" si="14"/>
        <v>-26.699932824125877</v>
      </c>
      <c r="P42" s="39">
        <f t="shared" si="14"/>
        <v>-26.225753344739847</v>
      </c>
      <c r="Q42" s="39">
        <f t="shared" si="14"/>
        <v>-12.131134620410824</v>
      </c>
      <c r="R42" s="39">
        <f t="shared" si="14"/>
        <v>-6.0218601196181085</v>
      </c>
      <c r="S42" s="39">
        <f t="shared" si="14"/>
        <v>17.446276529948641</v>
      </c>
      <c r="T42" s="39">
        <f t="shared" si="14"/>
        <v>-26.887276776924878</v>
      </c>
      <c r="U42" s="39">
        <f t="shared" si="15"/>
        <v>10.037312661668267</v>
      </c>
      <c r="V42" s="39">
        <f t="shared" si="15"/>
        <v>15.054999878852971</v>
      </c>
      <c r="W42" s="39">
        <f t="shared" si="15"/>
        <v>21.453689787153351</v>
      </c>
      <c r="X42" s="39">
        <f t="shared" si="15"/>
        <v>25.781302605216052</v>
      </c>
      <c r="Y42" s="39">
        <f t="shared" si="15"/>
        <v>-22.521387068237122</v>
      </c>
      <c r="Z42" s="39">
        <f t="shared" si="15"/>
        <v>28.951061322186359</v>
      </c>
      <c r="AA42" s="39">
        <f t="shared" si="15"/>
        <v>15.834374163481309</v>
      </c>
      <c r="AB42" s="39">
        <f t="shared" si="15"/>
        <v>28.208245261005334</v>
      </c>
      <c r="AC42" s="39">
        <f t="shared" si="15"/>
        <v>-28.874880781724638</v>
      </c>
      <c r="AD42" s="39">
        <f t="shared" si="15"/>
        <v>20.876955721068011</v>
      </c>
      <c r="AE42" s="39">
        <f t="shared" si="16"/>
        <v>-9.8262496814495552</v>
      </c>
      <c r="AF42" s="39">
        <f t="shared" si="16"/>
        <v>24.198838892826139</v>
      </c>
      <c r="AG42" s="39">
        <f t="shared" si="16"/>
        <v>-15.205515568330817</v>
      </c>
      <c r="AH42" s="39">
        <f t="shared" si="16"/>
        <v>-27.292668864568597</v>
      </c>
      <c r="AI42" s="39">
        <f t="shared" si="16"/>
        <v>-9.1101959159960302</v>
      </c>
      <c r="AJ42" s="39">
        <f t="shared" si="16"/>
        <v>-4.2326438553360228</v>
      </c>
      <c r="AK42" s="39">
        <f t="shared" si="16"/>
        <v>13.424694950872004</v>
      </c>
      <c r="AL42" s="39">
        <f t="shared" si="16"/>
        <v>-23.810523725381458</v>
      </c>
      <c r="AM42" s="39">
        <f t="shared" si="16"/>
        <v>-26.749161259927142</v>
      </c>
      <c r="AN42" s="39">
        <f t="shared" si="16"/>
        <v>15.040297849629173</v>
      </c>
      <c r="AO42" s="39">
        <f t="shared" si="17"/>
        <v>-25.276783283669396</v>
      </c>
      <c r="AP42" s="39">
        <f t="shared" si="17"/>
        <v>25.109740514687921</v>
      </c>
      <c r="AQ42" s="39">
        <f t="shared" si="17"/>
        <v>6.9069574539447203</v>
      </c>
      <c r="AR42" s="39">
        <f t="shared" si="17"/>
        <v>26.204995987246971</v>
      </c>
      <c r="AS42" s="39">
        <f t="shared" si="17"/>
        <v>0.71392457284162303</v>
      </c>
      <c r="AT42" s="39">
        <f t="shared" si="17"/>
        <v>-13.676936321125226</v>
      </c>
      <c r="AU42" s="39">
        <f t="shared" si="17"/>
        <v>-27.678675923717982</v>
      </c>
      <c r="AV42" s="39">
        <f t="shared" si="17"/>
        <v>-28.806788611656891</v>
      </c>
      <c r="AW42" s="39">
        <f t="shared" si="17"/>
        <v>4.7723155759372364</v>
      </c>
      <c r="AX42" s="39">
        <f t="shared" si="17"/>
        <v>26.642151231793182</v>
      </c>
      <c r="AY42" s="39">
        <f t="shared" si="18"/>
        <v>-22.422440111078977</v>
      </c>
      <c r="AZ42" s="39">
        <f t="shared" si="18"/>
        <v>28.995435363057901</v>
      </c>
      <c r="BA42" s="39">
        <f t="shared" si="18"/>
        <v>23.45423195997413</v>
      </c>
      <c r="BB42" s="39">
        <f t="shared" si="18"/>
        <v>25.732682044603031</v>
      </c>
      <c r="BC42" s="39">
        <f t="shared" si="18"/>
        <v>4.0257055661340084</v>
      </c>
      <c r="BD42" s="39">
        <f t="shared" si="18"/>
        <v>27.694858080587942</v>
      </c>
      <c r="BE42" s="39">
        <f t="shared" si="18"/>
        <v>-1.0653115205879742</v>
      </c>
      <c r="BF42" s="39">
        <f t="shared" si="18"/>
        <v>-8.5472509324947445</v>
      </c>
      <c r="BG42" s="39">
        <f t="shared" si="18"/>
        <v>-15.443903862641815</v>
      </c>
      <c r="BH42" s="39">
        <f t="shared" si="18"/>
        <v>-21.283011129684208</v>
      </c>
      <c r="BI42" s="39">
        <f t="shared" si="18"/>
        <v>-25.664730658485119</v>
      </c>
      <c r="BJ42" s="39">
        <f t="shared" si="18"/>
        <v>-28.289017296903836</v>
      </c>
      <c r="BK42" s="39">
        <f t="shared" si="18"/>
        <v>-28.976168880361314</v>
      </c>
      <c r="BL42" s="39">
        <f t="shared" si="18"/>
        <v>-27.679131620930068</v>
      </c>
      <c r="BM42" s="39">
        <f t="shared" si="18"/>
        <v>12.394694964950922</v>
      </c>
    </row>
    <row r="43" spans="1:65" x14ac:dyDescent="0.25">
      <c r="A43" s="7">
        <v>0</v>
      </c>
      <c r="B43" s="7">
        <v>0</v>
      </c>
      <c r="C43" s="7">
        <v>0</v>
      </c>
      <c r="D43" s="7">
        <v>2</v>
      </c>
      <c r="E43" s="7">
        <v>0</v>
      </c>
      <c r="F43" s="195">
        <v>-22</v>
      </c>
      <c r="G43" s="7">
        <v>0</v>
      </c>
      <c r="H43" s="179"/>
      <c r="K43" s="39">
        <f t="shared" si="14"/>
        <v>8.7566234083198999</v>
      </c>
      <c r="L43" s="39">
        <f t="shared" si="14"/>
        <v>7.8617787026626846</v>
      </c>
      <c r="M43" s="39">
        <f t="shared" si="14"/>
        <v>2.5071874871683248</v>
      </c>
      <c r="N43" s="39">
        <f t="shared" si="14"/>
        <v>18.214914565523671</v>
      </c>
      <c r="O43" s="39">
        <f t="shared" si="14"/>
        <v>-9.1823737931397158</v>
      </c>
      <c r="P43" s="39">
        <f t="shared" si="14"/>
        <v>3.0031645636951358</v>
      </c>
      <c r="Q43" s="39">
        <f t="shared" si="14"/>
        <v>-21.974547048061588</v>
      </c>
      <c r="R43" s="39">
        <f t="shared" si="14"/>
        <v>15.271820574373679</v>
      </c>
      <c r="S43" s="39">
        <f t="shared" si="14"/>
        <v>-12.847580333851329</v>
      </c>
      <c r="T43" s="39">
        <f t="shared" si="14"/>
        <v>15.162718443737154</v>
      </c>
      <c r="U43" s="39">
        <f t="shared" si="15"/>
        <v>21.132696249620022</v>
      </c>
      <c r="V43" s="39">
        <f t="shared" si="15"/>
        <v>9.1363101710485175</v>
      </c>
      <c r="W43" s="39">
        <f t="shared" si="15"/>
        <v>-21.970831384342208</v>
      </c>
      <c r="X43" s="39">
        <f t="shared" si="15"/>
        <v>-20.174102578381468</v>
      </c>
      <c r="Y43" s="39">
        <f t="shared" si="15"/>
        <v>4.1250581798624602</v>
      </c>
      <c r="Z43" s="39">
        <f t="shared" si="15"/>
        <v>-11.16452732408157</v>
      </c>
      <c r="AA43" s="39">
        <f t="shared" si="15"/>
        <v>21.991434404076063</v>
      </c>
      <c r="AB43" s="39">
        <f t="shared" si="15"/>
        <v>21.405074233417547</v>
      </c>
      <c r="AC43" s="39">
        <f t="shared" si="15"/>
        <v>21.059273181802528</v>
      </c>
      <c r="AD43" s="39">
        <f t="shared" si="15"/>
        <v>-21.650878702597026</v>
      </c>
      <c r="AE43" s="39">
        <f t="shared" si="16"/>
        <v>-10.708917523222926</v>
      </c>
      <c r="AF43" s="39">
        <f t="shared" si="16"/>
        <v>17.118570717595048</v>
      </c>
      <c r="AG43" s="39">
        <f t="shared" si="16"/>
        <v>-2.5612380894302427</v>
      </c>
      <c r="AH43" s="39">
        <f t="shared" si="16"/>
        <v>13.162450242510886</v>
      </c>
      <c r="AI43" s="39">
        <f t="shared" si="16"/>
        <v>-21.918405750700948</v>
      </c>
      <c r="AJ43" s="39">
        <f t="shared" si="16"/>
        <v>10.397678084553743</v>
      </c>
      <c r="AK43" s="39">
        <f t="shared" si="16"/>
        <v>17.853975684112626</v>
      </c>
      <c r="AL43" s="39">
        <f t="shared" si="16"/>
        <v>21.976855118280724</v>
      </c>
      <c r="AM43" s="39">
        <f t="shared" si="16"/>
        <v>21.988901318975021</v>
      </c>
      <c r="AN43" s="39">
        <f t="shared" si="16"/>
        <v>-21.903417635099551</v>
      </c>
      <c r="AO43" s="39">
        <f t="shared" si="17"/>
        <v>-11.418472435869793</v>
      </c>
      <c r="AP43" s="39">
        <f t="shared" si="17"/>
        <v>-7.5532777363388108</v>
      </c>
      <c r="AQ43" s="39">
        <f t="shared" si="17"/>
        <v>14.824938344364401</v>
      </c>
      <c r="AR43" s="39">
        <f t="shared" si="17"/>
        <v>-19.366900844324231</v>
      </c>
      <c r="AS43" s="39">
        <f t="shared" si="17"/>
        <v>-10.122873308308156</v>
      </c>
      <c r="AT43" s="39">
        <f t="shared" si="17"/>
        <v>5.0796698446275554</v>
      </c>
      <c r="AU43" s="39">
        <f t="shared" si="17"/>
        <v>-16.757304324934527</v>
      </c>
      <c r="AV43" s="39">
        <f t="shared" si="17"/>
        <v>21.908473372908869</v>
      </c>
      <c r="AW43" s="39">
        <f t="shared" si="17"/>
        <v>-21.526483821201065</v>
      </c>
      <c r="AX43" s="39">
        <f t="shared" si="17"/>
        <v>21.294670149974483</v>
      </c>
      <c r="AY43" s="39">
        <f t="shared" si="18"/>
        <v>-16.58072380498696</v>
      </c>
      <c r="AZ43" s="39">
        <f t="shared" si="18"/>
        <v>-7.9284910603413818</v>
      </c>
      <c r="BA43" s="39">
        <f t="shared" si="18"/>
        <v>19.179455877429746</v>
      </c>
      <c r="BB43" s="39">
        <f t="shared" si="18"/>
        <v>16.728518338906394</v>
      </c>
      <c r="BC43" s="39">
        <f t="shared" si="18"/>
        <v>13.197563140378035</v>
      </c>
      <c r="BD43" s="39">
        <f t="shared" si="18"/>
        <v>16.571598261551298</v>
      </c>
      <c r="BE43" s="39">
        <f t="shared" si="18"/>
        <v>17.485772802044639</v>
      </c>
      <c r="BF43" s="39">
        <f t="shared" si="18"/>
        <v>21.602787482785232</v>
      </c>
      <c r="BG43" s="39">
        <f t="shared" si="18"/>
        <v>21.194266825309608</v>
      </c>
      <c r="BH43" s="39">
        <f t="shared" si="18"/>
        <v>16.345791205455061</v>
      </c>
      <c r="BI43" s="39">
        <f t="shared" si="18"/>
        <v>8.0730604615855732</v>
      </c>
      <c r="BJ43" s="39">
        <f t="shared" si="18"/>
        <v>-1.8908835312873951</v>
      </c>
      <c r="BK43" s="39">
        <f t="shared" si="18"/>
        <v>-11.458709187669218</v>
      </c>
      <c r="BL43" s="39">
        <f t="shared" si="18"/>
        <v>-18.626067154401781</v>
      </c>
      <c r="BM43" s="39">
        <f t="shared" si="18"/>
        <v>16.91394711361167</v>
      </c>
    </row>
    <row r="44" spans="1:65" x14ac:dyDescent="0.25">
      <c r="A44" s="7">
        <v>0</v>
      </c>
      <c r="B44" s="7">
        <v>0</v>
      </c>
      <c r="C44" s="7">
        <v>-1</v>
      </c>
      <c r="D44" s="7">
        <v>2</v>
      </c>
      <c r="E44" s="7">
        <v>1</v>
      </c>
      <c r="F44" s="195">
        <v>21</v>
      </c>
      <c r="G44" s="7">
        <v>0</v>
      </c>
      <c r="H44" s="179"/>
      <c r="K44" s="39">
        <f t="shared" si="14"/>
        <v>-20.955482013746881</v>
      </c>
      <c r="L44" s="39">
        <f t="shared" si="14"/>
        <v>-12.039939239625426</v>
      </c>
      <c r="M44" s="39">
        <f t="shared" si="14"/>
        <v>1.2361551586064525</v>
      </c>
      <c r="N44" s="39">
        <f t="shared" si="14"/>
        <v>-6.9823473082369194</v>
      </c>
      <c r="O44" s="39">
        <f t="shared" si="14"/>
        <v>1.861139327983883</v>
      </c>
      <c r="P44" s="39">
        <f t="shared" si="14"/>
        <v>-19.818168124645588</v>
      </c>
      <c r="Q44" s="39">
        <f t="shared" si="14"/>
        <v>1.5711220278263298</v>
      </c>
      <c r="R44" s="39">
        <f t="shared" si="14"/>
        <v>15.598793478086751</v>
      </c>
      <c r="S44" s="39">
        <f t="shared" si="14"/>
        <v>-2.8316905947363882</v>
      </c>
      <c r="T44" s="39">
        <f t="shared" si="14"/>
        <v>5.2124311085962525</v>
      </c>
      <c r="U44" s="39">
        <f t="shared" si="15"/>
        <v>-1.8286040060562421</v>
      </c>
      <c r="V44" s="39">
        <f t="shared" si="15"/>
        <v>11.790175986405274</v>
      </c>
      <c r="W44" s="39">
        <f t="shared" si="15"/>
        <v>-0.28660739614722008</v>
      </c>
      <c r="X44" s="39">
        <f t="shared" si="15"/>
        <v>4.5662607573350131</v>
      </c>
      <c r="Y44" s="39">
        <f t="shared" si="15"/>
        <v>18.463103170121045</v>
      </c>
      <c r="Z44" s="39">
        <f t="shared" si="15"/>
        <v>19.360699036975316</v>
      </c>
      <c r="AA44" s="39">
        <f t="shared" si="15"/>
        <v>-5.6382543757165751</v>
      </c>
      <c r="AB44" s="39">
        <f t="shared" si="15"/>
        <v>-18.498651858164472</v>
      </c>
      <c r="AC44" s="39">
        <f t="shared" si="15"/>
        <v>19.577538254600803</v>
      </c>
      <c r="AD44" s="39">
        <f t="shared" si="15"/>
        <v>-3.9964571892196057</v>
      </c>
      <c r="AE44" s="39">
        <f t="shared" si="16"/>
        <v>-16.55803463673967</v>
      </c>
      <c r="AF44" s="39">
        <f t="shared" si="16"/>
        <v>3.3597109247890384</v>
      </c>
      <c r="AG44" s="39">
        <f t="shared" si="16"/>
        <v>3.6628594884911734</v>
      </c>
      <c r="AH44" s="39">
        <f t="shared" si="16"/>
        <v>-4.8252267022481963</v>
      </c>
      <c r="AI44" s="39">
        <f t="shared" si="16"/>
        <v>5.074396228523355</v>
      </c>
      <c r="AJ44" s="39">
        <f t="shared" si="16"/>
        <v>19.925869077090855</v>
      </c>
      <c r="AK44" s="39">
        <f t="shared" si="16"/>
        <v>-3.6482989201128762</v>
      </c>
      <c r="AL44" s="39">
        <f t="shared" si="16"/>
        <v>19.618394005090472</v>
      </c>
      <c r="AM44" s="39">
        <f t="shared" si="16"/>
        <v>-20.400100713493096</v>
      </c>
      <c r="AN44" s="39">
        <f t="shared" si="16"/>
        <v>-16.98898910676667</v>
      </c>
      <c r="AO44" s="39">
        <f t="shared" si="17"/>
        <v>-7.962128642004533</v>
      </c>
      <c r="AP44" s="39">
        <f t="shared" si="17"/>
        <v>19.958408057055991</v>
      </c>
      <c r="AQ44" s="39">
        <f t="shared" si="17"/>
        <v>12.533268004994033</v>
      </c>
      <c r="AR44" s="39">
        <f t="shared" si="17"/>
        <v>-17.244220146689379</v>
      </c>
      <c r="AS44" s="39">
        <f t="shared" si="17"/>
        <v>-9.6642133587562373</v>
      </c>
      <c r="AT44" s="39">
        <f t="shared" si="17"/>
        <v>3.8872376575714411</v>
      </c>
      <c r="AU44" s="39">
        <f t="shared" si="17"/>
        <v>-4.852965566252303</v>
      </c>
      <c r="AV44" s="39">
        <f t="shared" si="17"/>
        <v>19.178386055288829</v>
      </c>
      <c r="AW44" s="39">
        <f t="shared" si="17"/>
        <v>7.1528803352606669</v>
      </c>
      <c r="AX44" s="39">
        <f t="shared" si="17"/>
        <v>-19.991803237116414</v>
      </c>
      <c r="AY44" s="39">
        <f t="shared" si="18"/>
        <v>-1.3495940089971012</v>
      </c>
      <c r="AZ44" s="39">
        <f t="shared" si="18"/>
        <v>-4.3090138033994387</v>
      </c>
      <c r="BA44" s="39">
        <f t="shared" si="18"/>
        <v>-16.374108578074015</v>
      </c>
      <c r="BB44" s="39">
        <f t="shared" si="18"/>
        <v>-12.452128846573165</v>
      </c>
      <c r="BC44" s="39">
        <f t="shared" si="18"/>
        <v>-18.098515700584244</v>
      </c>
      <c r="BD44" s="39">
        <f t="shared" si="18"/>
        <v>18.028226152827358</v>
      </c>
      <c r="BE44" s="39">
        <f t="shared" si="18"/>
        <v>-16.562498545080185</v>
      </c>
      <c r="BF44" s="39">
        <f t="shared" si="18"/>
        <v>-19.094576087591633</v>
      </c>
      <c r="BG44" s="39">
        <f t="shared" si="18"/>
        <v>-20.596119199253692</v>
      </c>
      <c r="BH44" s="39">
        <f t="shared" si="18"/>
        <v>-20.986089585807697</v>
      </c>
      <c r="BI44" s="39">
        <f t="shared" si="18"/>
        <v>-20.243440542243704</v>
      </c>
      <c r="BJ44" s="39">
        <f t="shared" si="18"/>
        <v>-18.408252843640295</v>
      </c>
      <c r="BK44" s="39">
        <f t="shared" si="18"/>
        <v>-15.579571585422915</v>
      </c>
      <c r="BL44" s="39">
        <f t="shared" si="18"/>
        <v>-11.910060718690772</v>
      </c>
      <c r="BM44" s="39">
        <f t="shared" si="18"/>
        <v>-4.373755691268757</v>
      </c>
    </row>
    <row r="45" spans="1:65" x14ac:dyDescent="0.25">
      <c r="A45" s="7">
        <v>0</v>
      </c>
      <c r="B45" s="7">
        <v>2</v>
      </c>
      <c r="C45" s="7">
        <v>0</v>
      </c>
      <c r="D45" s="7">
        <v>0</v>
      </c>
      <c r="E45" s="7">
        <v>0</v>
      </c>
      <c r="F45" s="195">
        <v>17</v>
      </c>
      <c r="G45">
        <v>-0.1</v>
      </c>
      <c r="H45" s="179"/>
      <c r="K45" s="39">
        <f t="shared" si="14"/>
        <v>-0.59860618962578638</v>
      </c>
      <c r="L45" s="39">
        <f t="shared" si="14"/>
        <v>18.029640751011055</v>
      </c>
      <c r="M45" s="39">
        <f t="shared" si="14"/>
        <v>-1.4652601513757197</v>
      </c>
      <c r="N45" s="39">
        <f t="shared" si="14"/>
        <v>-1.6053611415093243</v>
      </c>
      <c r="O45" s="39">
        <f t="shared" si="14"/>
        <v>12.250603323080652</v>
      </c>
      <c r="P45" s="39">
        <f t="shared" si="14"/>
        <v>-8.7804114258613417</v>
      </c>
      <c r="Q45" s="39">
        <f t="shared" si="14"/>
        <v>12.143953198113753</v>
      </c>
      <c r="R45" s="39">
        <f t="shared" si="14"/>
        <v>-8.4059487329419937</v>
      </c>
      <c r="S45" s="39">
        <f t="shared" si="14"/>
        <v>-0.614656552112118</v>
      </c>
      <c r="T45" s="39">
        <f t="shared" si="14"/>
        <v>2.2940412269692509</v>
      </c>
      <c r="U45" s="39">
        <f t="shared" si="15"/>
        <v>2.1397672752496066</v>
      </c>
      <c r="V45" s="39">
        <f t="shared" si="15"/>
        <v>-15.563613387722345</v>
      </c>
      <c r="W45" s="39">
        <f t="shared" si="15"/>
        <v>16.379155321035864</v>
      </c>
      <c r="X45" s="39">
        <f t="shared" si="15"/>
        <v>16.708883690447333</v>
      </c>
      <c r="Y45" s="39">
        <f t="shared" si="15"/>
        <v>19.805102795220474</v>
      </c>
      <c r="Z45" s="39">
        <f t="shared" si="15"/>
        <v>-4.4538462336650468</v>
      </c>
      <c r="AA45" s="39">
        <f t="shared" si="15"/>
        <v>4.060563699222298</v>
      </c>
      <c r="AB45" s="39">
        <f t="shared" si="15"/>
        <v>12.306462595717317</v>
      </c>
      <c r="AC45" s="39">
        <f t="shared" si="15"/>
        <v>-2.9420648492850257</v>
      </c>
      <c r="AD45" s="39">
        <f t="shared" si="15"/>
        <v>-4.48336726552734</v>
      </c>
      <c r="AE45" s="39">
        <f t="shared" si="16"/>
        <v>16.949798529484827</v>
      </c>
      <c r="AF45" s="39">
        <f t="shared" si="16"/>
        <v>-1.9976439639972028</v>
      </c>
      <c r="AG45" s="39">
        <f t="shared" si="16"/>
        <v>-1.7563743573424739</v>
      </c>
      <c r="AH45" s="39">
        <f t="shared" si="16"/>
        <v>-2.7413587412767715</v>
      </c>
      <c r="AI45" s="39">
        <f t="shared" si="16"/>
        <v>-16.779979192320233</v>
      </c>
      <c r="AJ45" s="39">
        <f t="shared" si="16"/>
        <v>-9.7750637435403736</v>
      </c>
      <c r="AK45" s="39">
        <f t="shared" si="16"/>
        <v>17.020764354380521</v>
      </c>
      <c r="AL45" s="39">
        <f t="shared" si="16"/>
        <v>-7.9772973928794562</v>
      </c>
      <c r="AM45" s="39">
        <f t="shared" si="16"/>
        <v>-5.2513258565508822</v>
      </c>
      <c r="AN45" s="39">
        <f t="shared" si="16"/>
        <v>15.875455777522975</v>
      </c>
      <c r="AO45" s="39">
        <f t="shared" si="17"/>
        <v>1.8955306880235809</v>
      </c>
      <c r="AP45" s="39">
        <f t="shared" si="17"/>
        <v>-13.442500092291194</v>
      </c>
      <c r="AQ45" s="39">
        <f t="shared" si="17"/>
        <v>0.14465594415333571</v>
      </c>
      <c r="AR45" s="39">
        <f t="shared" si="17"/>
        <v>8.0639219067683818</v>
      </c>
      <c r="AS45" s="39">
        <f t="shared" si="17"/>
        <v>17.589876097386654</v>
      </c>
      <c r="AT45" s="39">
        <f t="shared" si="17"/>
        <v>-0.98008231464035822</v>
      </c>
      <c r="AU45" s="39">
        <f t="shared" si="17"/>
        <v>16.929520164122408</v>
      </c>
      <c r="AV45" s="39">
        <f t="shared" si="17"/>
        <v>5.2209577253888471</v>
      </c>
      <c r="AW45" s="39">
        <f t="shared" si="17"/>
        <v>1.1849549191721314</v>
      </c>
      <c r="AX45" s="39">
        <f t="shared" si="17"/>
        <v>-2.8325720066359974</v>
      </c>
      <c r="AY45" s="39">
        <f t="shared" si="18"/>
        <v>-7.1727663266921988</v>
      </c>
      <c r="AZ45" s="39">
        <f t="shared" si="18"/>
        <v>-13.714331753223409</v>
      </c>
      <c r="BA45" s="39">
        <f t="shared" si="18"/>
        <v>-15.58913591546836</v>
      </c>
      <c r="BB45" s="39">
        <f t="shared" si="18"/>
        <v>15.458276496600238</v>
      </c>
      <c r="BC45" s="39">
        <f t="shared" si="18"/>
        <v>1.0958535065412227</v>
      </c>
      <c r="BD45" s="39">
        <f t="shared" si="18"/>
        <v>-6.2101120977719306</v>
      </c>
      <c r="BE45" s="39">
        <f t="shared" si="18"/>
        <v>-15.625339823444662</v>
      </c>
      <c r="BF45" s="39">
        <f t="shared" si="18"/>
        <v>-15.387744117491932</v>
      </c>
      <c r="BG45" s="39">
        <f t="shared" si="18"/>
        <v>-15.131936875201422</v>
      </c>
      <c r="BH45" s="39">
        <f t="shared" si="18"/>
        <v>-14.858220853939946</v>
      </c>
      <c r="BI45" s="39">
        <f t="shared" si="18"/>
        <v>-14.566920006268319</v>
      </c>
      <c r="BJ45" s="39">
        <f t="shared" si="18"/>
        <v>-14.258379096535183</v>
      </c>
      <c r="BK45" s="39">
        <f t="shared" si="18"/>
        <v>-13.932963292835563</v>
      </c>
      <c r="BL45" s="39">
        <f t="shared" si="18"/>
        <v>-13.59105773482154</v>
      </c>
      <c r="BM45" s="39">
        <f t="shared" si="18"/>
        <v>17.021926122880515</v>
      </c>
    </row>
    <row r="46" spans="1:65" x14ac:dyDescent="0.25">
      <c r="A46" s="7">
        <v>2</v>
      </c>
      <c r="B46" s="7">
        <v>0</v>
      </c>
      <c r="C46" s="7">
        <v>-1</v>
      </c>
      <c r="D46" s="7">
        <v>0</v>
      </c>
      <c r="E46" s="7">
        <v>1</v>
      </c>
      <c r="F46" s="195">
        <v>16</v>
      </c>
      <c r="G46" s="7">
        <v>0</v>
      </c>
      <c r="H46" s="179"/>
      <c r="K46" s="39">
        <f t="shared" si="14"/>
        <v>-9.4190893294512179</v>
      </c>
      <c r="L46" s="39">
        <f t="shared" si="14"/>
        <v>-15.242664297514491</v>
      </c>
      <c r="M46" s="39">
        <f t="shared" si="14"/>
        <v>-11.467115456780835</v>
      </c>
      <c r="N46" s="39">
        <f t="shared" si="14"/>
        <v>14.932696407573196</v>
      </c>
      <c r="O46" s="39">
        <f t="shared" si="14"/>
        <v>-11.575183392006416</v>
      </c>
      <c r="P46" s="39">
        <f t="shared" si="14"/>
        <v>12.260357497139378</v>
      </c>
      <c r="Q46" s="39">
        <f t="shared" si="14"/>
        <v>15.465146435981394</v>
      </c>
      <c r="R46" s="39">
        <f t="shared" si="14"/>
        <v>-14.788522881248577</v>
      </c>
      <c r="S46" s="39">
        <f t="shared" si="14"/>
        <v>-12.22354502657385</v>
      </c>
      <c r="T46" s="39">
        <f t="shared" si="14"/>
        <v>-7.7317807116623367</v>
      </c>
      <c r="U46" s="39">
        <f t="shared" si="15"/>
        <v>2.6283586240699739E-2</v>
      </c>
      <c r="V46" s="39">
        <f t="shared" si="15"/>
        <v>-9.3840019122941953</v>
      </c>
      <c r="W46" s="39">
        <f t="shared" si="15"/>
        <v>14.180751950860758</v>
      </c>
      <c r="X46" s="39">
        <f t="shared" si="15"/>
        <v>15.354933101380281</v>
      </c>
      <c r="Y46" s="39">
        <f t="shared" si="15"/>
        <v>-10.332437953173924</v>
      </c>
      <c r="Z46" s="39">
        <f t="shared" si="15"/>
        <v>9.1144301799759067</v>
      </c>
      <c r="AA46" s="39">
        <f t="shared" si="15"/>
        <v>15.238173983071388</v>
      </c>
      <c r="AB46" s="39">
        <f t="shared" si="15"/>
        <v>6.3078247540444821</v>
      </c>
      <c r="AC46" s="39">
        <f t="shared" si="15"/>
        <v>13.248854846077357</v>
      </c>
      <c r="AD46" s="39">
        <f t="shared" si="15"/>
        <v>10.925214723339836</v>
      </c>
      <c r="AE46" s="39">
        <f t="shared" si="16"/>
        <v>15.315252715974271</v>
      </c>
      <c r="AF46" s="39">
        <f t="shared" si="16"/>
        <v>6.3325872281541047</v>
      </c>
      <c r="AG46" s="39">
        <f t="shared" si="16"/>
        <v>-10.316757828397547</v>
      </c>
      <c r="AH46" s="39">
        <f t="shared" si="16"/>
        <v>-7.6734064271012832</v>
      </c>
      <c r="AI46" s="39">
        <f t="shared" si="16"/>
        <v>11.901406187904559</v>
      </c>
      <c r="AJ46" s="39">
        <f t="shared" si="16"/>
        <v>-1.8052039672082181</v>
      </c>
      <c r="AK46" s="39">
        <f t="shared" si="16"/>
        <v>15.158030068129271</v>
      </c>
      <c r="AL46" s="39">
        <f t="shared" si="16"/>
        <v>15.930296064951307</v>
      </c>
      <c r="AM46" s="39">
        <f t="shared" si="16"/>
        <v>12.153540647767885</v>
      </c>
      <c r="AN46" s="39">
        <f t="shared" si="16"/>
        <v>-10.582266106556915</v>
      </c>
      <c r="AO46" s="39">
        <f t="shared" si="17"/>
        <v>3.6090294779747065</v>
      </c>
      <c r="AP46" s="39">
        <f t="shared" si="17"/>
        <v>9.8199819416220127</v>
      </c>
      <c r="AQ46" s="39">
        <f t="shared" si="17"/>
        <v>-15.317750704994596</v>
      </c>
      <c r="AR46" s="39">
        <f t="shared" si="17"/>
        <v>-4.6006404565210888</v>
      </c>
      <c r="AS46" s="39">
        <f t="shared" si="17"/>
        <v>-12.092198224786548</v>
      </c>
      <c r="AT46" s="39">
        <f t="shared" si="17"/>
        <v>-10.591758686817085</v>
      </c>
      <c r="AU46" s="39">
        <f t="shared" si="17"/>
        <v>-9.6201245977179681</v>
      </c>
      <c r="AV46" s="39">
        <f t="shared" si="17"/>
        <v>8.4925114762133767</v>
      </c>
      <c r="AW46" s="39">
        <f t="shared" si="17"/>
        <v>-11.7798796010267</v>
      </c>
      <c r="AX46" s="39">
        <f t="shared" si="17"/>
        <v>-13.08041622353611</v>
      </c>
      <c r="AY46" s="39">
        <f t="shared" si="18"/>
        <v>8.7348703877441256</v>
      </c>
      <c r="AZ46" s="39">
        <f t="shared" si="18"/>
        <v>-4.9892996460005605</v>
      </c>
      <c r="BA46" s="39">
        <f t="shared" si="18"/>
        <v>-14.930824777197087</v>
      </c>
      <c r="BB46" s="39">
        <f t="shared" si="18"/>
        <v>-4.5162356217320649</v>
      </c>
      <c r="BC46" s="39">
        <f t="shared" si="18"/>
        <v>-6.1941687665235001</v>
      </c>
      <c r="BD46" s="39">
        <f t="shared" si="18"/>
        <v>0.70312735534425874</v>
      </c>
      <c r="BE46" s="39">
        <f t="shared" si="18"/>
        <v>1.0948850776597046</v>
      </c>
      <c r="BF46" s="39">
        <f t="shared" si="18"/>
        <v>-2.0440343111234247</v>
      </c>
      <c r="BG46" s="39">
        <f t="shared" si="18"/>
        <v>-5.1042138636188135</v>
      </c>
      <c r="BH46" s="39">
        <f t="shared" si="18"/>
        <v>-7.9677700219213801</v>
      </c>
      <c r="BI46" s="39">
        <f t="shared" si="18"/>
        <v>-10.524393510962311</v>
      </c>
      <c r="BJ46" s="39">
        <f t="shared" si="18"/>
        <v>-12.675598647840619</v>
      </c>
      <c r="BK46" s="39">
        <f t="shared" si="18"/>
        <v>-14.338517185473329</v>
      </c>
      <c r="BL46" s="39">
        <f t="shared" si="18"/>
        <v>-15.449090544857361</v>
      </c>
      <c r="BM46" s="39">
        <f t="shared" si="18"/>
        <v>15.303516114275229</v>
      </c>
    </row>
    <row r="47" spans="1:65" x14ac:dyDescent="0.25">
      <c r="A47" s="7">
        <v>-2</v>
      </c>
      <c r="B47" s="7">
        <v>2</v>
      </c>
      <c r="C47" s="7">
        <v>0</v>
      </c>
      <c r="D47" s="7">
        <v>2</v>
      </c>
      <c r="E47" s="7">
        <v>2</v>
      </c>
      <c r="F47" s="195">
        <v>-16</v>
      </c>
      <c r="G47">
        <v>0.1</v>
      </c>
      <c r="H47" s="179"/>
      <c r="K47" s="39">
        <f t="shared" si="14"/>
        <v>7.6424041669593539</v>
      </c>
      <c r="L47" s="39">
        <f t="shared" si="14"/>
        <v>0.36742947508050794</v>
      </c>
      <c r="M47" s="39">
        <f t="shared" si="14"/>
        <v>4.4068636279612035</v>
      </c>
      <c r="N47" s="39">
        <f t="shared" si="14"/>
        <v>4.1428617697688752</v>
      </c>
      <c r="O47" s="39">
        <f t="shared" si="14"/>
        <v>14.196718358292872</v>
      </c>
      <c r="P47" s="39">
        <f t="shared" si="14"/>
        <v>-9.5691190438903497</v>
      </c>
      <c r="Q47" s="39">
        <f t="shared" si="14"/>
        <v>14.321589502161212</v>
      </c>
      <c r="R47" s="39">
        <f t="shared" si="14"/>
        <v>-8.8943819458914781</v>
      </c>
      <c r="S47" s="39">
        <f t="shared" si="14"/>
        <v>5.0603175245704204</v>
      </c>
      <c r="T47" s="39">
        <f t="shared" si="14"/>
        <v>7.5187206170246554</v>
      </c>
      <c r="U47" s="39">
        <f t="shared" si="15"/>
        <v>7.2655245565234292</v>
      </c>
      <c r="V47" s="39">
        <f t="shared" si="15"/>
        <v>16.656650646609187</v>
      </c>
      <c r="W47" s="39">
        <f t="shared" si="15"/>
        <v>17.147248440330848</v>
      </c>
      <c r="X47" s="39">
        <f t="shared" si="15"/>
        <v>17.509796134604578</v>
      </c>
      <c r="Y47" s="39">
        <f t="shared" si="15"/>
        <v>16.557590717557481</v>
      </c>
      <c r="Z47" s="39">
        <f t="shared" si="15"/>
        <v>-14.743963847045826</v>
      </c>
      <c r="AA47" s="39">
        <f t="shared" si="15"/>
        <v>-18.707230766865258</v>
      </c>
      <c r="AB47" s="39">
        <f t="shared" si="15"/>
        <v>22.636179948637622</v>
      </c>
      <c r="AC47" s="39">
        <f t="shared" si="15"/>
        <v>11.392795453048965</v>
      </c>
      <c r="AD47" s="39">
        <f t="shared" si="15"/>
        <v>13.2990018562533</v>
      </c>
      <c r="AE47" s="39">
        <f t="shared" si="16"/>
        <v>-4.0032092971976878</v>
      </c>
      <c r="AF47" s="39">
        <f t="shared" si="16"/>
        <v>3.8217531368167847</v>
      </c>
      <c r="AG47" s="39">
        <f t="shared" si="16"/>
        <v>3.8751758816001169</v>
      </c>
      <c r="AH47" s="39">
        <f t="shared" si="16"/>
        <v>1.6221305260176571</v>
      </c>
      <c r="AI47" s="39">
        <f t="shared" si="16"/>
        <v>-1.6295341972247148</v>
      </c>
      <c r="AJ47" s="39">
        <f t="shared" si="16"/>
        <v>15.934758981832699</v>
      </c>
      <c r="AK47" s="39">
        <f t="shared" si="16"/>
        <v>-7.2472230726379721</v>
      </c>
      <c r="AL47" s="39">
        <f t="shared" si="16"/>
        <v>-8.0787775102352608</v>
      </c>
      <c r="AM47" s="39">
        <f t="shared" si="16"/>
        <v>14.080562442943259</v>
      </c>
      <c r="AN47" s="39">
        <f t="shared" si="16"/>
        <v>-14.805329419749391</v>
      </c>
      <c r="AO47" s="39">
        <f t="shared" si="17"/>
        <v>3.5498125888896945</v>
      </c>
      <c r="AP47" s="39">
        <f t="shared" si="17"/>
        <v>12.244237297089098</v>
      </c>
      <c r="AQ47" s="39">
        <f t="shared" si="17"/>
        <v>5.6897354654255521</v>
      </c>
      <c r="AR47" s="39">
        <f t="shared" si="17"/>
        <v>-8.2556100083932744</v>
      </c>
      <c r="AS47" s="39">
        <f t="shared" si="17"/>
        <v>14.235190264369804</v>
      </c>
      <c r="AT47" s="39">
        <f t="shared" si="17"/>
        <v>8.5956828300465542</v>
      </c>
      <c r="AU47" s="39">
        <f t="shared" si="17"/>
        <v>17.882133548292394</v>
      </c>
      <c r="AV47" s="39">
        <f t="shared" si="17"/>
        <v>-2.5439878106408718</v>
      </c>
      <c r="AW47" s="39">
        <f t="shared" si="17"/>
        <v>5.1105073593739005</v>
      </c>
      <c r="AX47" s="39">
        <f t="shared" si="17"/>
        <v>11.467596801769005</v>
      </c>
      <c r="AY47" s="39">
        <f t="shared" si="18"/>
        <v>15.545134384711659</v>
      </c>
      <c r="AZ47" s="39">
        <f t="shared" si="18"/>
        <v>11.40997652619663</v>
      </c>
      <c r="BA47" s="39">
        <f t="shared" si="18"/>
        <v>-15.275303895610259</v>
      </c>
      <c r="BB47" s="39">
        <f t="shared" si="18"/>
        <v>-15.457815617012187</v>
      </c>
      <c r="BC47" s="39">
        <f t="shared" si="18"/>
        <v>8.275494813459785</v>
      </c>
      <c r="BD47" s="39">
        <f t="shared" si="18"/>
        <v>14.783479119572261</v>
      </c>
      <c r="BE47" s="39">
        <f t="shared" si="18"/>
        <v>-15.254450888167353</v>
      </c>
      <c r="BF47" s="39">
        <f t="shared" si="18"/>
        <v>-15.544983811984725</v>
      </c>
      <c r="BG47" s="39">
        <f t="shared" si="18"/>
        <v>-15.761944064386732</v>
      </c>
      <c r="BH47" s="39">
        <f t="shared" si="18"/>
        <v>-15.904304823353533</v>
      </c>
      <c r="BI47" s="39">
        <f t="shared" si="18"/>
        <v>-15.971392337792393</v>
      </c>
      <c r="BJ47" s="39">
        <f t="shared" si="18"/>
        <v>-15.962889116224748</v>
      </c>
      <c r="BK47" s="39">
        <f t="shared" si="18"/>
        <v>-15.878835429298938</v>
      </c>
      <c r="BL47" s="39">
        <f t="shared" si="18"/>
        <v>-15.719629119076998</v>
      </c>
      <c r="BM47" s="39">
        <f t="shared" si="18"/>
        <v>-7.0982004887472794</v>
      </c>
    </row>
    <row r="48" spans="1:65" x14ac:dyDescent="0.25">
      <c r="A48" s="7">
        <v>0</v>
      </c>
      <c r="B48" s="7">
        <v>1</v>
      </c>
      <c r="C48" s="7">
        <v>0</v>
      </c>
      <c r="D48" s="7">
        <v>0</v>
      </c>
      <c r="E48" s="7">
        <v>1</v>
      </c>
      <c r="F48" s="195">
        <v>-15</v>
      </c>
      <c r="G48" s="7">
        <v>0</v>
      </c>
      <c r="H48" s="179"/>
      <c r="K48" s="39">
        <f t="shared" si="14"/>
        <v>-10.959842068257538</v>
      </c>
      <c r="L48" s="39">
        <f t="shared" si="14"/>
        <v>-4.6509944071989429</v>
      </c>
      <c r="M48" s="39">
        <f t="shared" si="14"/>
        <v>-12.640700015912298</v>
      </c>
      <c r="N48" s="39">
        <f t="shared" si="14"/>
        <v>-9.2987526583268263</v>
      </c>
      <c r="O48" s="39">
        <f t="shared" si="14"/>
        <v>-9.2656481069521988</v>
      </c>
      <c r="P48" s="39">
        <f t="shared" si="14"/>
        <v>-2.0917799813699554</v>
      </c>
      <c r="Q48" s="39">
        <f t="shared" si="14"/>
        <v>-4.7757202314201841</v>
      </c>
      <c r="R48" s="39">
        <f t="shared" si="14"/>
        <v>-6.7321863960085571</v>
      </c>
      <c r="S48" s="39">
        <f t="shared" si="14"/>
        <v>14.679058755599804</v>
      </c>
      <c r="T48" s="39">
        <f t="shared" si="14"/>
        <v>12.245364201901802</v>
      </c>
      <c r="U48" s="39">
        <f t="shared" si="15"/>
        <v>14.440800860710373</v>
      </c>
      <c r="V48" s="39">
        <f t="shared" si="15"/>
        <v>-11.955998271918372</v>
      </c>
      <c r="W48" s="39">
        <f t="shared" si="15"/>
        <v>-5.8228427136541967</v>
      </c>
      <c r="X48" s="39">
        <f t="shared" si="15"/>
        <v>-5.5970631294253366</v>
      </c>
      <c r="Y48" s="39">
        <f t="shared" si="15"/>
        <v>-11.324737278518343</v>
      </c>
      <c r="Z48" s="39">
        <f t="shared" si="15"/>
        <v>14.580441471263455</v>
      </c>
      <c r="AA48" s="39">
        <f t="shared" si="15"/>
        <v>-14.692331950171548</v>
      </c>
      <c r="AB48" s="39">
        <f t="shared" si="15"/>
        <v>-13.766998074861547</v>
      </c>
      <c r="AC48" s="39">
        <f t="shared" si="15"/>
        <v>-14.40204495804668</v>
      </c>
      <c r="AD48" s="39">
        <f t="shared" si="15"/>
        <v>-3.1296209953101513</v>
      </c>
      <c r="AE48" s="39">
        <f t="shared" si="16"/>
        <v>14.081400924048063</v>
      </c>
      <c r="AF48" s="39">
        <f t="shared" si="16"/>
        <v>2.4322000760269269</v>
      </c>
      <c r="AG48" s="39">
        <f t="shared" si="16"/>
        <v>-12.706005617038496</v>
      </c>
      <c r="AH48" s="39">
        <f t="shared" si="16"/>
        <v>-14.744582188412904</v>
      </c>
      <c r="AI48" s="39">
        <f t="shared" si="16"/>
        <v>-12.444315082460271</v>
      </c>
      <c r="AJ48" s="39">
        <f t="shared" si="16"/>
        <v>-14.824518907570102</v>
      </c>
      <c r="AK48" s="39">
        <f t="shared" si="16"/>
        <v>14.327879856089627</v>
      </c>
      <c r="AL48" s="39">
        <f t="shared" si="16"/>
        <v>13.814689084889155</v>
      </c>
      <c r="AM48" s="39">
        <f t="shared" si="16"/>
        <v>0.95484439191368242</v>
      </c>
      <c r="AN48" s="39">
        <f t="shared" si="16"/>
        <v>2.2111933124457352</v>
      </c>
      <c r="AO48" s="39">
        <f t="shared" si="17"/>
        <v>-0.46687915070511821</v>
      </c>
      <c r="AP48" s="39">
        <f t="shared" si="17"/>
        <v>-2.6508617784858814</v>
      </c>
      <c r="AQ48" s="39">
        <f t="shared" si="17"/>
        <v>-10.674432665588508</v>
      </c>
      <c r="AR48" s="39">
        <f t="shared" si="17"/>
        <v>5.2369806849442124</v>
      </c>
      <c r="AS48" s="39">
        <f t="shared" si="17"/>
        <v>4.2991880932824316</v>
      </c>
      <c r="AT48" s="39">
        <f t="shared" si="17"/>
        <v>7.8687020378155568</v>
      </c>
      <c r="AU48" s="39">
        <f t="shared" si="17"/>
        <v>12.998889105693783</v>
      </c>
      <c r="AV48" s="39">
        <f t="shared" si="17"/>
        <v>12.071819917359097</v>
      </c>
      <c r="AW48" s="39">
        <f t="shared" si="17"/>
        <v>10.971991975269354</v>
      </c>
      <c r="AX48" s="39">
        <f t="shared" si="17"/>
        <v>9.7559656944068678</v>
      </c>
      <c r="AY48" s="39">
        <f t="shared" si="18"/>
        <v>8.2333996230226383</v>
      </c>
      <c r="AZ48" s="39">
        <f t="shared" si="18"/>
        <v>5.0372043356713414</v>
      </c>
      <c r="BA48" s="39">
        <f t="shared" si="18"/>
        <v>-13.714695851631815</v>
      </c>
      <c r="BB48" s="39">
        <f t="shared" si="18"/>
        <v>-11.057582994828991</v>
      </c>
      <c r="BC48" s="39">
        <f t="shared" si="18"/>
        <v>12.453640855228949</v>
      </c>
      <c r="BD48" s="39">
        <f t="shared" si="18"/>
        <v>7.0679645358229708</v>
      </c>
      <c r="BE48" s="39">
        <f t="shared" si="18"/>
        <v>-2.1802052784050576</v>
      </c>
      <c r="BF48" s="39">
        <f t="shared" si="18"/>
        <v>-2.4214792053972416</v>
      </c>
      <c r="BG48" s="39">
        <f t="shared" si="18"/>
        <v>-2.6621115387385044</v>
      </c>
      <c r="BH48" s="39">
        <f t="shared" si="18"/>
        <v>-2.9020385206318395</v>
      </c>
      <c r="BI48" s="39">
        <f t="shared" si="18"/>
        <v>-3.1411965801709885</v>
      </c>
      <c r="BJ48" s="39">
        <f t="shared" si="18"/>
        <v>-3.3795223501824698</v>
      </c>
      <c r="BK48" s="39">
        <f t="shared" si="18"/>
        <v>-3.616952684014898</v>
      </c>
      <c r="BL48" s="39">
        <f t="shared" si="18"/>
        <v>-3.8534246722731842</v>
      </c>
      <c r="BM48" s="39">
        <f t="shared" si="18"/>
        <v>14.316912346114458</v>
      </c>
    </row>
    <row r="49" spans="1:65" x14ac:dyDescent="0.25">
      <c r="A49" s="7">
        <v>-2</v>
      </c>
      <c r="B49" s="7">
        <v>0</v>
      </c>
      <c r="C49" s="7">
        <v>1</v>
      </c>
      <c r="D49" s="7">
        <v>0</v>
      </c>
      <c r="E49" s="7">
        <v>1</v>
      </c>
      <c r="F49" s="195">
        <v>-13</v>
      </c>
      <c r="G49" s="7">
        <v>0</v>
      </c>
      <c r="H49" s="179"/>
      <c r="K49" s="39">
        <f t="shared" ref="K49:T58" si="19">($F49+$G49*K$4)*SIN(($A49*K$5+$B49*K$6+$C49*K$7+$D49*K$8+$E49*K$9)*Deg2Rad)</f>
        <v>-11.239160956774157</v>
      </c>
      <c r="L49" s="39">
        <f t="shared" si="19"/>
        <v>-8.1478613266127482</v>
      </c>
      <c r="M49" s="39">
        <f t="shared" si="19"/>
        <v>-5.3510886663294208</v>
      </c>
      <c r="N49" s="39">
        <f t="shared" si="19"/>
        <v>8.3291048592455894</v>
      </c>
      <c r="O49" s="39">
        <f t="shared" si="19"/>
        <v>-12.644896577160218</v>
      </c>
      <c r="P49" s="39">
        <f t="shared" si="19"/>
        <v>11.787748310307313</v>
      </c>
      <c r="Q49" s="39">
        <f t="shared" si="19"/>
        <v>11.942027613385362</v>
      </c>
      <c r="R49" s="39">
        <f t="shared" si="19"/>
        <v>-9.004074772563305</v>
      </c>
      <c r="S49" s="39">
        <f t="shared" si="19"/>
        <v>6.1288235946935217</v>
      </c>
      <c r="T49" s="39">
        <f t="shared" si="19"/>
        <v>-7.2851792247691254</v>
      </c>
      <c r="U49" s="39">
        <f t="shared" ref="U49:AD58" si="20">($F49+$G49*U$4)*SIN(($A49*U$5+$B49*U$6+$C49*U$7+$D49*U$8+$E49*U$9)*Deg2Rad)</f>
        <v>5.3351328244567187</v>
      </c>
      <c r="V49" s="39">
        <f t="shared" si="20"/>
        <v>-2.4409578409644626</v>
      </c>
      <c r="W49" s="39">
        <f t="shared" si="20"/>
        <v>2.9181516860372998</v>
      </c>
      <c r="X49" s="39">
        <f t="shared" si="20"/>
        <v>0.36353177968594419</v>
      </c>
      <c r="Y49" s="39">
        <f t="shared" si="20"/>
        <v>-8.385772340368927</v>
      </c>
      <c r="Z49" s="39">
        <f t="shared" si="20"/>
        <v>9.8149811356453451</v>
      </c>
      <c r="AA49" s="39">
        <f t="shared" si="20"/>
        <v>12.417863950068302</v>
      </c>
      <c r="AB49" s="39">
        <f t="shared" si="20"/>
        <v>1.7410661207229112</v>
      </c>
      <c r="AC49" s="39">
        <f t="shared" si="20"/>
        <v>7.1549478214277435</v>
      </c>
      <c r="AD49" s="39">
        <f t="shared" si="20"/>
        <v>-10.225410156915444</v>
      </c>
      <c r="AE49" s="39">
        <f t="shared" ref="AE49:AN58" si="21">($F49+$G49*AE$4)*SIN(($A49*AE$5+$B49*AE$6+$C49*AE$7+$D49*AE$8+$E49*AE$9)*Deg2Rad)</f>
        <v>4.0554735432831315</v>
      </c>
      <c r="AF49" s="39">
        <f t="shared" si="21"/>
        <v>2.5735340931127175</v>
      </c>
      <c r="AG49" s="39">
        <f t="shared" si="21"/>
        <v>-6.4983315933970367</v>
      </c>
      <c r="AH49" s="39">
        <f t="shared" si="21"/>
        <v>-0.40231002938424437</v>
      </c>
      <c r="AI49" s="39">
        <f t="shared" si="21"/>
        <v>11.317180164028994</v>
      </c>
      <c r="AJ49" s="39">
        <f t="shared" si="21"/>
        <v>2.4913595386595175</v>
      </c>
      <c r="AK49" s="39">
        <f t="shared" si="21"/>
        <v>10.517796322667699</v>
      </c>
      <c r="AL49" s="39">
        <f t="shared" si="21"/>
        <v>-11.945398168063061</v>
      </c>
      <c r="AM49" s="39">
        <f t="shared" si="21"/>
        <v>-11.271281212329814</v>
      </c>
      <c r="AN49" s="39">
        <f t="shared" si="21"/>
        <v>-2.3925805321987919</v>
      </c>
      <c r="AO49" s="39">
        <f t="shared" ref="AO49:AX58" si="22">($F49+$G49*AO$4)*SIN(($A49*AO$5+$B49*AO$6+$C49*AO$7+$D49*AO$8+$E49*AO$9)*Deg2Rad)</f>
        <v>-0.69618925137611076</v>
      </c>
      <c r="AP49" s="39">
        <f t="shared" si="22"/>
        <v>-1.3574758879017137</v>
      </c>
      <c r="AQ49" s="39">
        <f t="shared" si="22"/>
        <v>-3.7007418750918943</v>
      </c>
      <c r="AR49" s="39">
        <f t="shared" si="22"/>
        <v>-10.307764135738719</v>
      </c>
      <c r="AS49" s="39">
        <f t="shared" si="22"/>
        <v>-5.3769404945750319</v>
      </c>
      <c r="AT49" s="39">
        <f t="shared" si="22"/>
        <v>-4.1300038866574695</v>
      </c>
      <c r="AU49" s="39">
        <f t="shared" si="22"/>
        <v>7.2358232120486834</v>
      </c>
      <c r="AV49" s="39">
        <f t="shared" si="22"/>
        <v>10.92872316255632</v>
      </c>
      <c r="AW49" s="39">
        <f t="shared" si="22"/>
        <v>8.7945608283381098</v>
      </c>
      <c r="AX49" s="39">
        <f t="shared" si="22"/>
        <v>-7.6246309558658014</v>
      </c>
      <c r="AY49" s="39">
        <f t="shared" ref="AY49:BM58" si="23">($F49+$G49*AY$4)*SIN(($A49*AY$5+$B49*AY$6+$C49*AY$7+$D49*AY$8+$E49*AY$9)*Deg2Rad)</f>
        <v>-10.692703641963003</v>
      </c>
      <c r="AZ49" s="39">
        <f t="shared" si="23"/>
        <v>12.112298185300068</v>
      </c>
      <c r="BA49" s="39">
        <f t="shared" si="23"/>
        <v>12.987025156644805</v>
      </c>
      <c r="BB49" s="39">
        <f t="shared" si="23"/>
        <v>0.73233324113773324</v>
      </c>
      <c r="BC49" s="39">
        <f t="shared" si="23"/>
        <v>12.980322791803452</v>
      </c>
      <c r="BD49" s="39">
        <f t="shared" si="23"/>
        <v>12.561439797280361</v>
      </c>
      <c r="BE49" s="39">
        <f t="shared" si="23"/>
        <v>12.988786238319619</v>
      </c>
      <c r="BF49" s="39">
        <f t="shared" si="23"/>
        <v>12.627477307019138</v>
      </c>
      <c r="BG49" s="39">
        <f t="shared" si="23"/>
        <v>11.770575129079885</v>
      </c>
      <c r="BH49" s="39">
        <f t="shared" si="23"/>
        <v>10.451710723762554</v>
      </c>
      <c r="BI49" s="39">
        <f t="shared" si="23"/>
        <v>8.7226458386067627</v>
      </c>
      <c r="BJ49" s="39">
        <f t="shared" si="23"/>
        <v>6.6512414453085311</v>
      </c>
      <c r="BK49" s="39">
        <f t="shared" si="23"/>
        <v>4.3187943859495448</v>
      </c>
      <c r="BL49" s="39">
        <f t="shared" si="23"/>
        <v>1.8168466987675509</v>
      </c>
      <c r="BM49" s="39">
        <f t="shared" si="23"/>
        <v>10.283926562772191</v>
      </c>
    </row>
    <row r="50" spans="1:65" x14ac:dyDescent="0.25">
      <c r="A50" s="7">
        <v>0</v>
      </c>
      <c r="B50" s="7">
        <v>-1</v>
      </c>
      <c r="C50" s="7">
        <v>0</v>
      </c>
      <c r="D50" s="7">
        <v>0</v>
      </c>
      <c r="E50" s="7">
        <v>1</v>
      </c>
      <c r="F50" s="195">
        <v>-12</v>
      </c>
      <c r="G50" s="7">
        <v>0</v>
      </c>
      <c r="H50" s="179"/>
      <c r="K50" s="39">
        <f t="shared" si="19"/>
        <v>9.0502393459759158</v>
      </c>
      <c r="L50" s="39">
        <f t="shared" si="19"/>
        <v>11.983011802444501</v>
      </c>
      <c r="M50" s="39">
        <f t="shared" si="19"/>
        <v>-9.5180976961880006</v>
      </c>
      <c r="N50" s="39">
        <f t="shared" si="19"/>
        <v>-6.5166329450101728</v>
      </c>
      <c r="O50" s="39">
        <f t="shared" si="19"/>
        <v>1.651755754482666</v>
      </c>
      <c r="P50" s="39">
        <f t="shared" si="19"/>
        <v>4.6995329675657249</v>
      </c>
      <c r="Q50" s="39">
        <f t="shared" si="19"/>
        <v>5.444882142262597</v>
      </c>
      <c r="R50" s="39">
        <f t="shared" si="19"/>
        <v>0.61653483831184586</v>
      </c>
      <c r="S50" s="39">
        <f t="shared" si="19"/>
        <v>11.824407394537211</v>
      </c>
      <c r="T50" s="39">
        <f t="shared" si="19"/>
        <v>10.624513239064395</v>
      </c>
      <c r="U50" s="39">
        <f t="shared" si="20"/>
        <v>11.864143032689</v>
      </c>
      <c r="V50" s="39">
        <f t="shared" si="20"/>
        <v>-1.2792107450171206</v>
      </c>
      <c r="W50" s="39">
        <f t="shared" si="20"/>
        <v>-11.8765563362681</v>
      </c>
      <c r="X50" s="39">
        <f t="shared" si="20"/>
        <v>-11.90572275304225</v>
      </c>
      <c r="Y50" s="39">
        <f t="shared" si="20"/>
        <v>9.0523894116018973</v>
      </c>
      <c r="Z50" s="39">
        <f t="shared" si="20"/>
        <v>-11.999063099454307</v>
      </c>
      <c r="AA50" s="39">
        <f t="shared" si="20"/>
        <v>11.018164423637918</v>
      </c>
      <c r="AB50" s="39">
        <f t="shared" si="20"/>
        <v>11.886929828222989</v>
      </c>
      <c r="AC50" s="39">
        <f t="shared" si="20"/>
        <v>11.928130487499605</v>
      </c>
      <c r="AD50" s="39">
        <f t="shared" si="20"/>
        <v>-0.67853491726732007</v>
      </c>
      <c r="AE50" s="39">
        <f t="shared" si="21"/>
        <v>-3.0744067471870498</v>
      </c>
      <c r="AF50" s="39">
        <f t="shared" si="21"/>
        <v>0.53715741734141342</v>
      </c>
      <c r="AG50" s="39">
        <f t="shared" si="21"/>
        <v>-9.4514752590977817</v>
      </c>
      <c r="AH50" s="39">
        <f t="shared" si="21"/>
        <v>-11.28748915043461</v>
      </c>
      <c r="AI50" s="39">
        <f t="shared" si="21"/>
        <v>8.2748761496698719</v>
      </c>
      <c r="AJ50" s="39">
        <f t="shared" si="21"/>
        <v>10.757878577533436</v>
      </c>
      <c r="AK50" s="39">
        <f t="shared" si="21"/>
        <v>-3.7315775376836697</v>
      </c>
      <c r="AL50" s="39">
        <f t="shared" si="21"/>
        <v>11.953550245765843</v>
      </c>
      <c r="AM50" s="39">
        <f t="shared" si="21"/>
        <v>2.9711803392366547</v>
      </c>
      <c r="AN50" s="39">
        <f t="shared" si="21"/>
        <v>10.443088426109172</v>
      </c>
      <c r="AO50" s="39">
        <f t="shared" si="22"/>
        <v>1.7079401665587148</v>
      </c>
      <c r="AP50" s="39">
        <f t="shared" si="22"/>
        <v>-8.036763542114608</v>
      </c>
      <c r="AQ50" s="39">
        <f t="shared" si="22"/>
        <v>-8.4682653481536718</v>
      </c>
      <c r="AR50" s="39">
        <f t="shared" si="22"/>
        <v>-9.0199118814285306</v>
      </c>
      <c r="AS50" s="39">
        <f t="shared" si="22"/>
        <v>11.999941337048208</v>
      </c>
      <c r="AT50" s="39">
        <f t="shared" si="22"/>
        <v>-5.6954911166002393</v>
      </c>
      <c r="AU50" s="39">
        <f t="shared" si="22"/>
        <v>10.055613354958773</v>
      </c>
      <c r="AV50" s="39">
        <f t="shared" si="22"/>
        <v>-6.999018209905838</v>
      </c>
      <c r="AW50" s="39">
        <f t="shared" si="22"/>
        <v>-8.1850737889556981</v>
      </c>
      <c r="AX50" s="39">
        <f t="shared" si="22"/>
        <v>-9.2161902016447392</v>
      </c>
      <c r="AY50" s="39">
        <f t="shared" si="23"/>
        <v>-10.207890461191313</v>
      </c>
      <c r="AZ50" s="39">
        <f t="shared" si="23"/>
        <v>-11.506108410791819</v>
      </c>
      <c r="BA50" s="39">
        <f t="shared" si="23"/>
        <v>-8.8620233038788072</v>
      </c>
      <c r="BB50" s="39">
        <f t="shared" si="23"/>
        <v>11.055518052365654</v>
      </c>
      <c r="BC50" s="39">
        <f t="shared" si="23"/>
        <v>10.371881880853245</v>
      </c>
      <c r="BD50" s="39">
        <f t="shared" si="23"/>
        <v>-9.1223975247206219</v>
      </c>
      <c r="BE50" s="39">
        <f t="shared" si="23"/>
        <v>-11.609273161236155</v>
      </c>
      <c r="BF50" s="39">
        <f t="shared" si="23"/>
        <v>-11.552315633622916</v>
      </c>
      <c r="BG50" s="39">
        <f t="shared" si="23"/>
        <v>-11.491562596598664</v>
      </c>
      <c r="BH50" s="39">
        <f t="shared" si="23"/>
        <v>-11.427034010553395</v>
      </c>
      <c r="BI50" s="39">
        <f t="shared" si="23"/>
        <v>-11.358751076331938</v>
      </c>
      <c r="BJ50" s="39">
        <f t="shared" si="23"/>
        <v>-11.286736228270014</v>
      </c>
      <c r="BK50" s="39">
        <f t="shared" si="23"/>
        <v>-11.211013126821181</v>
      </c>
      <c r="BL50" s="39">
        <f t="shared" si="23"/>
        <v>-11.131606650785303</v>
      </c>
      <c r="BM50" s="39">
        <f t="shared" si="23"/>
        <v>-3.7003147673219772</v>
      </c>
    </row>
    <row r="51" spans="1:65" x14ac:dyDescent="0.25">
      <c r="A51" s="7">
        <v>0</v>
      </c>
      <c r="B51" s="7">
        <v>0</v>
      </c>
      <c r="C51" s="7">
        <v>2</v>
      </c>
      <c r="D51" s="7">
        <v>-2</v>
      </c>
      <c r="E51" s="7">
        <v>0</v>
      </c>
      <c r="F51" s="195">
        <v>11</v>
      </c>
      <c r="G51" s="7">
        <v>0</v>
      </c>
      <c r="H51" s="179"/>
      <c r="K51" s="39">
        <f t="shared" si="19"/>
        <v>9.9675988796173964</v>
      </c>
      <c r="L51" s="39">
        <f t="shared" si="19"/>
        <v>9.7200286797967212</v>
      </c>
      <c r="M51" s="39">
        <f t="shared" si="19"/>
        <v>10.926705785745826</v>
      </c>
      <c r="N51" s="39">
        <f t="shared" si="19"/>
        <v>-4.3910499887356345</v>
      </c>
      <c r="O51" s="39">
        <f t="shared" si="19"/>
        <v>-2.9834777986811294</v>
      </c>
      <c r="P51" s="39">
        <f t="shared" si="19"/>
        <v>5.7365746831937576</v>
      </c>
      <c r="Q51" s="39">
        <f t="shared" si="19"/>
        <v>10.661837856330264</v>
      </c>
      <c r="R51" s="39">
        <f t="shared" si="19"/>
        <v>5.2077040601318254</v>
      </c>
      <c r="S51" s="39">
        <f t="shared" si="19"/>
        <v>-5.4238073966986935</v>
      </c>
      <c r="T51" s="39">
        <f t="shared" si="19"/>
        <v>-8.1945680284732045</v>
      </c>
      <c r="U51" s="39">
        <f t="shared" si="20"/>
        <v>10.45131408241202</v>
      </c>
      <c r="V51" s="39">
        <f t="shared" si="20"/>
        <v>0.56771865782412168</v>
      </c>
      <c r="W51" s="39">
        <f t="shared" si="20"/>
        <v>-3.0326198635799968</v>
      </c>
      <c r="X51" s="39">
        <f t="shared" si="20"/>
        <v>-3.093237667434237</v>
      </c>
      <c r="Y51" s="39">
        <f t="shared" si="20"/>
        <v>-7.9334956816416602</v>
      </c>
      <c r="Z51" s="39">
        <f t="shared" si="20"/>
        <v>-10.999766709604035</v>
      </c>
      <c r="AA51" s="39">
        <f t="shared" si="20"/>
        <v>-4.7333895902322691</v>
      </c>
      <c r="AB51" s="39">
        <f t="shared" si="20"/>
        <v>0.88650999090190652</v>
      </c>
      <c r="AC51" s="39">
        <f t="shared" si="20"/>
        <v>1.5801265162483438</v>
      </c>
      <c r="AD51" s="39">
        <f t="shared" si="20"/>
        <v>-10.301928994457311</v>
      </c>
      <c r="AE51" s="39">
        <f t="shared" si="21"/>
        <v>-8.4316493699397839</v>
      </c>
      <c r="AF51" s="39">
        <f t="shared" si="21"/>
        <v>-3.902437842644368</v>
      </c>
      <c r="AG51" s="39">
        <f t="shared" si="21"/>
        <v>10.93029736033167</v>
      </c>
      <c r="AH51" s="39">
        <f t="shared" si="21"/>
        <v>5.9722157927200588</v>
      </c>
      <c r="AI51" s="39">
        <f t="shared" si="21"/>
        <v>10.813460119188633</v>
      </c>
      <c r="AJ51" s="39">
        <f t="shared" si="21"/>
        <v>8.1083430361166258</v>
      </c>
      <c r="AK51" s="39">
        <f t="shared" si="21"/>
        <v>-8.5579815938006281</v>
      </c>
      <c r="AL51" s="39">
        <f t="shared" si="21"/>
        <v>-5.1108279131953038</v>
      </c>
      <c r="AM51" s="39">
        <f t="shared" si="21"/>
        <v>-8.4312106050213451</v>
      </c>
      <c r="AN51" s="39">
        <f t="shared" si="21"/>
        <v>9.9397640609489297</v>
      </c>
      <c r="AO51" s="39">
        <f t="shared" si="22"/>
        <v>-10.038222954473293</v>
      </c>
      <c r="AP51" s="39">
        <f t="shared" si="22"/>
        <v>2.977466041399174</v>
      </c>
      <c r="AQ51" s="39">
        <f t="shared" si="22"/>
        <v>-4.7179798302708678</v>
      </c>
      <c r="AR51" s="39">
        <f t="shared" si="22"/>
        <v>9.722395615715083</v>
      </c>
      <c r="AS51" s="39">
        <f t="shared" si="22"/>
        <v>-7.9286335605313125</v>
      </c>
      <c r="AT51" s="39">
        <f t="shared" si="22"/>
        <v>8.6669240115361568</v>
      </c>
      <c r="AU51" s="39">
        <f t="shared" si="22"/>
        <v>-4.827241742192677</v>
      </c>
      <c r="AV51" s="39">
        <f t="shared" si="22"/>
        <v>-8.9037192728115055</v>
      </c>
      <c r="AW51" s="39">
        <f t="shared" si="22"/>
        <v>-8.6350288937703539</v>
      </c>
      <c r="AX51" s="39">
        <f t="shared" si="22"/>
        <v>-8.3584627750798752</v>
      </c>
      <c r="AY51" s="39">
        <f t="shared" si="23"/>
        <v>-8.0299291059238485</v>
      </c>
      <c r="AZ51" s="39">
        <f t="shared" si="23"/>
        <v>-7.3701525450930143</v>
      </c>
      <c r="BA51" s="39">
        <f t="shared" si="23"/>
        <v>6.3669093720267504</v>
      </c>
      <c r="BB51" s="39">
        <f t="shared" si="23"/>
        <v>0.69286827365093562</v>
      </c>
      <c r="BC51" s="39">
        <f t="shared" si="23"/>
        <v>-6.110459737903648</v>
      </c>
      <c r="BD51" s="39">
        <f t="shared" si="23"/>
        <v>1.5637342778118841</v>
      </c>
      <c r="BE51" s="39">
        <f t="shared" si="23"/>
        <v>-5.8627285718040643</v>
      </c>
      <c r="BF51" s="39">
        <f t="shared" si="23"/>
        <v>-5.8092342414820193</v>
      </c>
      <c r="BG51" s="39">
        <f t="shared" si="23"/>
        <v>-5.7555487016263545</v>
      </c>
      <c r="BH51" s="39">
        <f t="shared" si="23"/>
        <v>-5.7016737192788787</v>
      </c>
      <c r="BI51" s="39">
        <f t="shared" si="23"/>
        <v>-5.6476110677312761</v>
      </c>
      <c r="BJ51" s="39">
        <f t="shared" si="23"/>
        <v>-5.5933625264236415</v>
      </c>
      <c r="BK51" s="39">
        <f t="shared" si="23"/>
        <v>-5.5389298809528187</v>
      </c>
      <c r="BL51" s="39">
        <f t="shared" si="23"/>
        <v>-5.4843149229370294</v>
      </c>
      <c r="BM51" s="39">
        <f t="shared" si="23"/>
        <v>-8.5519851226705743</v>
      </c>
    </row>
    <row r="52" spans="1:65" x14ac:dyDescent="0.25">
      <c r="A52" s="7">
        <v>2</v>
      </c>
      <c r="B52" s="7">
        <v>0</v>
      </c>
      <c r="C52" s="7">
        <v>-1</v>
      </c>
      <c r="D52" s="7">
        <v>2</v>
      </c>
      <c r="E52" s="7">
        <v>1</v>
      </c>
      <c r="F52" s="195">
        <v>-10</v>
      </c>
      <c r="G52" s="7">
        <v>0</v>
      </c>
      <c r="H52" s="179"/>
      <c r="K52" s="39">
        <f t="shared" si="19"/>
        <v>-2.183023629034305</v>
      </c>
      <c r="L52" s="39">
        <f t="shared" si="19"/>
        <v>-9.9840282417806669</v>
      </c>
      <c r="M52" s="39">
        <f t="shared" si="19"/>
        <v>-7.9150180701191317</v>
      </c>
      <c r="N52" s="39">
        <f t="shared" si="19"/>
        <v>8.2072094693461111</v>
      </c>
      <c r="O52" s="39">
        <f t="shared" si="19"/>
        <v>-9.4557139575956501</v>
      </c>
      <c r="P52" s="39">
        <f t="shared" si="19"/>
        <v>-8.4680752685936316</v>
      </c>
      <c r="Q52" s="39">
        <f t="shared" si="19"/>
        <v>3.0258161673540549</v>
      </c>
      <c r="R52" s="39">
        <f t="shared" si="19"/>
        <v>9.3027778488034691</v>
      </c>
      <c r="S52" s="39">
        <f t="shared" si="19"/>
        <v>2.4335355534618315</v>
      </c>
      <c r="T52" s="39">
        <f t="shared" si="19"/>
        <v>-2.5326793117086495</v>
      </c>
      <c r="U52" s="39">
        <f t="shared" si="20"/>
        <v>9.6103250603283055</v>
      </c>
      <c r="V52" s="39">
        <f t="shared" si="20"/>
        <v>-8.6989480956826526</v>
      </c>
      <c r="W52" s="39">
        <f t="shared" si="20"/>
        <v>-5.0812764356621942</v>
      </c>
      <c r="X52" s="39">
        <f t="shared" si="20"/>
        <v>1.2504023746000783</v>
      </c>
      <c r="Y52" s="39">
        <f t="shared" si="20"/>
        <v>4.9116082871912221</v>
      </c>
      <c r="Z52" s="39">
        <f t="shared" si="20"/>
        <v>-0.73759229880969734</v>
      </c>
      <c r="AA52" s="39">
        <f t="shared" si="20"/>
        <v>-2.7820282892888408</v>
      </c>
      <c r="AB52" s="39">
        <f t="shared" si="20"/>
        <v>-8.030937466882186</v>
      </c>
      <c r="AC52" s="39">
        <f t="shared" si="20"/>
        <v>2.9712311764539456</v>
      </c>
      <c r="AD52" s="39">
        <f t="shared" si="20"/>
        <v>5.9782386316858442</v>
      </c>
      <c r="AE52" s="39">
        <f t="shared" si="21"/>
        <v>6.9526758149867778</v>
      </c>
      <c r="AF52" s="39">
        <f t="shared" si="21"/>
        <v>-4.6597638419370178</v>
      </c>
      <c r="AG52" s="39">
        <f t="shared" si="21"/>
        <v>-5.5142682073043972</v>
      </c>
      <c r="AH52" s="39">
        <f t="shared" si="21"/>
        <v>-1.4071571085062358</v>
      </c>
      <c r="AI52" s="39">
        <f t="shared" si="21"/>
        <v>-7.2988547707702809</v>
      </c>
      <c r="AJ52" s="39">
        <f t="shared" si="21"/>
        <v>3.7017498198901366</v>
      </c>
      <c r="AK52" s="39">
        <f t="shared" si="21"/>
        <v>2.9375174514541018</v>
      </c>
      <c r="AL52" s="39">
        <f t="shared" si="21"/>
        <v>-0.47485189810726947</v>
      </c>
      <c r="AM52" s="39">
        <f t="shared" si="21"/>
        <v>6.7419175058459055</v>
      </c>
      <c r="AN52" s="39">
        <f t="shared" si="21"/>
        <v>8.0865417207986745</v>
      </c>
      <c r="AO52" s="39">
        <f t="shared" si="22"/>
        <v>-3.1284174650875092</v>
      </c>
      <c r="AP52" s="39">
        <f t="shared" si="22"/>
        <v>8.47501987853747</v>
      </c>
      <c r="AQ52" s="39">
        <f t="shared" si="22"/>
        <v>9.0203102901815644</v>
      </c>
      <c r="AR52" s="39">
        <f t="shared" si="22"/>
        <v>7.0673010585719176</v>
      </c>
      <c r="AS52" s="39">
        <f t="shared" si="22"/>
        <v>9.7231923579152202</v>
      </c>
      <c r="AT52" s="39">
        <f t="shared" si="22"/>
        <v>-8.1715642846705467</v>
      </c>
      <c r="AU52" s="39">
        <f t="shared" si="22"/>
        <v>-9.982127552782682</v>
      </c>
      <c r="AV52" s="39">
        <f t="shared" si="22"/>
        <v>-8.9234865289710363</v>
      </c>
      <c r="AW52" s="39">
        <f t="shared" si="22"/>
        <v>5.1022291737304428</v>
      </c>
      <c r="AX52" s="39">
        <f t="shared" si="22"/>
        <v>7.6277716398097688</v>
      </c>
      <c r="AY52" s="39">
        <f t="shared" si="23"/>
        <v>-2.726334041746691</v>
      </c>
      <c r="AZ52" s="39">
        <f t="shared" si="23"/>
        <v>0.5153902300201253</v>
      </c>
      <c r="BA52" s="39">
        <f t="shared" si="23"/>
        <v>7.7047712916061197</v>
      </c>
      <c r="BB52" s="39">
        <f t="shared" si="23"/>
        <v>9.1278971186991598</v>
      </c>
      <c r="BC52" s="39">
        <f t="shared" si="23"/>
        <v>8.628521535344353</v>
      </c>
      <c r="BD52" s="39">
        <f t="shared" si="23"/>
        <v>-7.8143098346345328</v>
      </c>
      <c r="BE52" s="39">
        <f t="shared" si="23"/>
        <v>-7.5141704215051526</v>
      </c>
      <c r="BF52" s="39">
        <f t="shared" si="23"/>
        <v>-9.9806547148588365</v>
      </c>
      <c r="BG52" s="39">
        <f t="shared" si="23"/>
        <v>-8.2749454100624149</v>
      </c>
      <c r="BH52" s="39">
        <f t="shared" si="23"/>
        <v>-3.1100768365576292</v>
      </c>
      <c r="BI52" s="39">
        <f t="shared" si="23"/>
        <v>3.354891082926982</v>
      </c>
      <c r="BJ52" s="39">
        <f t="shared" si="23"/>
        <v>8.4174204351468802</v>
      </c>
      <c r="BK52" s="39">
        <f t="shared" si="23"/>
        <v>9.9612319621788039</v>
      </c>
      <c r="BL52" s="39">
        <f t="shared" si="23"/>
        <v>7.3409691464588231</v>
      </c>
      <c r="BM52" s="39">
        <f t="shared" si="23"/>
        <v>3.8726939438436867</v>
      </c>
    </row>
    <row r="53" spans="1:65" x14ac:dyDescent="0.25">
      <c r="A53" s="7">
        <v>2</v>
      </c>
      <c r="B53" s="7">
        <v>0</v>
      </c>
      <c r="C53" s="7">
        <v>1</v>
      </c>
      <c r="D53" s="7">
        <v>2</v>
      </c>
      <c r="E53" s="7">
        <v>2</v>
      </c>
      <c r="F53" s="195">
        <v>-8</v>
      </c>
      <c r="G53" s="7">
        <v>0</v>
      </c>
      <c r="H53" s="179"/>
      <c r="K53" s="39">
        <f t="shared" si="19"/>
        <v>1.6742506767925114</v>
      </c>
      <c r="L53" s="39">
        <f t="shared" si="19"/>
        <v>4.9453877886125817</v>
      </c>
      <c r="M53" s="39">
        <f t="shared" si="19"/>
        <v>-7.9910963593763888</v>
      </c>
      <c r="N53" s="39">
        <f t="shared" si="19"/>
        <v>-1.5732906064402552</v>
      </c>
      <c r="O53" s="39">
        <f t="shared" si="19"/>
        <v>-7.239966836537338</v>
      </c>
      <c r="P53" s="39">
        <f t="shared" si="19"/>
        <v>7.9998290674718575</v>
      </c>
      <c r="Q53" s="39">
        <f t="shared" si="19"/>
        <v>-0.26747131743210756</v>
      </c>
      <c r="R53" s="39">
        <f t="shared" si="19"/>
        <v>5.2392492690228742</v>
      </c>
      <c r="S53" s="39">
        <f t="shared" si="19"/>
        <v>-6.0972234613200706</v>
      </c>
      <c r="T53" s="39">
        <f t="shared" si="19"/>
        <v>7.448091932625605</v>
      </c>
      <c r="U53" s="39">
        <f t="shared" si="20"/>
        <v>-0.25888424891615974</v>
      </c>
      <c r="V53" s="39">
        <f t="shared" si="20"/>
        <v>2.9070415651075345</v>
      </c>
      <c r="W53" s="39">
        <f t="shared" si="20"/>
        <v>1.6361751397606468</v>
      </c>
      <c r="X53" s="39">
        <f t="shared" si="20"/>
        <v>-6.3038944258574254</v>
      </c>
      <c r="Y53" s="39">
        <f t="shared" si="20"/>
        <v>7.2381779497379464</v>
      </c>
      <c r="Z53" s="39">
        <f t="shared" si="20"/>
        <v>6.6487388307625519</v>
      </c>
      <c r="AA53" s="39">
        <f t="shared" si="20"/>
        <v>-7.9478050943541145</v>
      </c>
      <c r="AB53" s="39">
        <f t="shared" si="20"/>
        <v>6.3946858877530639</v>
      </c>
      <c r="AC53" s="39">
        <f t="shared" si="20"/>
        <v>-7.9922326528363241</v>
      </c>
      <c r="AD53" s="39">
        <f t="shared" si="20"/>
        <v>-4.98932598607764</v>
      </c>
      <c r="AE53" s="39">
        <f t="shared" si="21"/>
        <v>-1.0610843747584695</v>
      </c>
      <c r="AF53" s="39">
        <f t="shared" si="21"/>
        <v>-7.9833922665135555</v>
      </c>
      <c r="AG53" s="39">
        <f t="shared" si="21"/>
        <v>-6.5848465742464777</v>
      </c>
      <c r="AH53" s="39">
        <f t="shared" si="21"/>
        <v>3.6934564981629485</v>
      </c>
      <c r="AI53" s="39">
        <f t="shared" si="21"/>
        <v>-5.8961371225642285</v>
      </c>
      <c r="AJ53" s="39">
        <f t="shared" si="21"/>
        <v>-7.9977939371318607</v>
      </c>
      <c r="AK53" s="39">
        <f t="shared" si="21"/>
        <v>-1.8566547401839191</v>
      </c>
      <c r="AL53" s="39">
        <f t="shared" si="21"/>
        <v>-2.5827877198242879</v>
      </c>
      <c r="AM53" s="39">
        <f t="shared" si="21"/>
        <v>-6.7572091546569832E-2</v>
      </c>
      <c r="AN53" s="39">
        <f t="shared" si="21"/>
        <v>-4.157077886646543</v>
      </c>
      <c r="AO53" s="39">
        <f t="shared" si="22"/>
        <v>-2.7854940631201832</v>
      </c>
      <c r="AP53" s="39">
        <f t="shared" si="22"/>
        <v>-2.6914006460020632</v>
      </c>
      <c r="AQ53" s="39">
        <f t="shared" si="22"/>
        <v>5.3310897007272908</v>
      </c>
      <c r="AR53" s="39">
        <f t="shared" si="22"/>
        <v>-5.5749454351452856</v>
      </c>
      <c r="AS53" s="39">
        <f t="shared" si="22"/>
        <v>7.9443116300144423</v>
      </c>
      <c r="AT53" s="39">
        <f t="shared" si="22"/>
        <v>-6.9371355523107416</v>
      </c>
      <c r="AU53" s="39">
        <f t="shared" si="22"/>
        <v>-7.6818514095930999</v>
      </c>
      <c r="AV53" s="39">
        <f t="shared" si="22"/>
        <v>7.8194324190756257</v>
      </c>
      <c r="AW53" s="39">
        <f t="shared" si="22"/>
        <v>1.6710827079081136</v>
      </c>
      <c r="AX53" s="39">
        <f t="shared" si="22"/>
        <v>-7.4348786172974002</v>
      </c>
      <c r="AY53" s="39">
        <f t="shared" si="23"/>
        <v>3.5531294119278907</v>
      </c>
      <c r="AZ53" s="39">
        <f t="shared" si="23"/>
        <v>-7.0256451395668957</v>
      </c>
      <c r="BA53" s="39">
        <f t="shared" si="23"/>
        <v>-6.6049982485044483</v>
      </c>
      <c r="BB53" s="39">
        <f t="shared" si="23"/>
        <v>-6.8143157506147878</v>
      </c>
      <c r="BC53" s="39">
        <f t="shared" si="23"/>
        <v>-1.1423903645320264</v>
      </c>
      <c r="BD53" s="39">
        <f t="shared" si="23"/>
        <v>-6.7271429083610137</v>
      </c>
      <c r="BE53" s="39">
        <f t="shared" si="23"/>
        <v>-0.64086941260474839</v>
      </c>
      <c r="BF53" s="39">
        <f t="shared" si="23"/>
        <v>6.8719988542870718</v>
      </c>
      <c r="BG53" s="39">
        <f t="shared" si="23"/>
        <v>6.7090789148985222</v>
      </c>
      <c r="BH53" s="39">
        <f t="shared" si="23"/>
        <v>-0.94765321828249993</v>
      </c>
      <c r="BI53" s="39">
        <f t="shared" si="23"/>
        <v>-7.5458890462718946</v>
      </c>
      <c r="BJ53" s="39">
        <f t="shared" si="23"/>
        <v>-5.7156243207141566</v>
      </c>
      <c r="BK53" s="39">
        <f t="shared" si="23"/>
        <v>2.4987977196018538</v>
      </c>
      <c r="BL53" s="39">
        <f t="shared" si="23"/>
        <v>7.922147981126102</v>
      </c>
      <c r="BM53" s="39">
        <f t="shared" si="23"/>
        <v>-0.52683846054632311</v>
      </c>
    </row>
    <row r="54" spans="1:65" x14ac:dyDescent="0.25">
      <c r="A54" s="7">
        <v>0</v>
      </c>
      <c r="B54" s="7">
        <v>1</v>
      </c>
      <c r="C54" s="7">
        <v>0</v>
      </c>
      <c r="D54" s="7">
        <v>2</v>
      </c>
      <c r="E54" s="7">
        <v>2</v>
      </c>
      <c r="F54" s="195">
        <v>7</v>
      </c>
      <c r="G54" s="7">
        <v>0</v>
      </c>
      <c r="H54" s="179"/>
      <c r="K54" s="39">
        <f t="shared" si="19"/>
        <v>-2.2287385738943128</v>
      </c>
      <c r="L54" s="39">
        <f t="shared" si="19"/>
        <v>-0.55617384620937926</v>
      </c>
      <c r="M54" s="39">
        <f t="shared" si="19"/>
        <v>6.7342130422320592</v>
      </c>
      <c r="N54" s="39">
        <f t="shared" si="19"/>
        <v>2.1656922040653672</v>
      </c>
      <c r="O54" s="39">
        <f t="shared" si="19"/>
        <v>-3.350679208307854</v>
      </c>
      <c r="P54" s="39">
        <f t="shared" si="19"/>
        <v>1.0155820751515152</v>
      </c>
      <c r="Q54" s="39">
        <f t="shared" si="19"/>
        <v>6.6901194387540173</v>
      </c>
      <c r="R54" s="39">
        <f t="shared" si="19"/>
        <v>6.9399570496774103</v>
      </c>
      <c r="S54" s="39">
        <f t="shared" si="19"/>
        <v>-1.5763010874232588</v>
      </c>
      <c r="T54" s="39">
        <f t="shared" si="19"/>
        <v>-2.7576368849605108</v>
      </c>
      <c r="U54" s="39">
        <f t="shared" si="20"/>
        <v>6.8542078604023864</v>
      </c>
      <c r="V54" s="39">
        <f t="shared" si="20"/>
        <v>-1.3061487459404049</v>
      </c>
      <c r="W54" s="39">
        <f t="shared" si="20"/>
        <v>1.4433202670184526</v>
      </c>
      <c r="X54" s="39">
        <f t="shared" si="20"/>
        <v>4.4277531903932204</v>
      </c>
      <c r="Y54" s="39">
        <f t="shared" si="20"/>
        <v>-4.3330521944773723</v>
      </c>
      <c r="Z54" s="39">
        <f t="shared" si="20"/>
        <v>4.3834667673660412</v>
      </c>
      <c r="AA54" s="39">
        <f t="shared" si="20"/>
        <v>-3.2330283001824687</v>
      </c>
      <c r="AB54" s="39">
        <f t="shared" si="20"/>
        <v>-4.9071777726951264</v>
      </c>
      <c r="AC54" s="39">
        <f t="shared" si="20"/>
        <v>4.8890102487235536</v>
      </c>
      <c r="AD54" s="39">
        <f t="shared" si="20"/>
        <v>0.75872115534830553</v>
      </c>
      <c r="AE54" s="39">
        <f t="shared" si="21"/>
        <v>-6.5001142804431424</v>
      </c>
      <c r="AF54" s="39">
        <f t="shared" si="21"/>
        <v>-4.0955362673647331</v>
      </c>
      <c r="AG54" s="39">
        <f t="shared" si="21"/>
        <v>6.0919714193448673</v>
      </c>
      <c r="AH54" s="39">
        <f t="shared" si="21"/>
        <v>-1.3288588275433513</v>
      </c>
      <c r="AI54" s="39">
        <f t="shared" si="21"/>
        <v>2.7094831129375527</v>
      </c>
      <c r="AJ54" s="39">
        <f t="shared" si="21"/>
        <v>-6.1683254171325874</v>
      </c>
      <c r="AK54" s="39">
        <f t="shared" si="21"/>
        <v>-3.0286419387858845</v>
      </c>
      <c r="AL54" s="39">
        <f t="shared" si="21"/>
        <v>5.7687130963968132</v>
      </c>
      <c r="AM54" s="39">
        <f t="shared" si="21"/>
        <v>-0.42894952372724204</v>
      </c>
      <c r="AN54" s="39">
        <f t="shared" si="21"/>
        <v>1.474257273507692</v>
      </c>
      <c r="AO54" s="39">
        <f t="shared" si="22"/>
        <v>6.3697347667766371</v>
      </c>
      <c r="AP54" s="39">
        <f t="shared" si="22"/>
        <v>6.3003930466326343</v>
      </c>
      <c r="AQ54" s="39">
        <f t="shared" si="22"/>
        <v>5.2124855301581139</v>
      </c>
      <c r="AR54" s="39">
        <f t="shared" si="22"/>
        <v>-6.9527387651590846</v>
      </c>
      <c r="AS54" s="39">
        <f t="shared" si="22"/>
        <v>4.7289314715746187</v>
      </c>
      <c r="AT54" s="39">
        <f t="shared" si="22"/>
        <v>1.8144316043097324</v>
      </c>
      <c r="AU54" s="39">
        <f t="shared" si="22"/>
        <v>-2.5368877876818017</v>
      </c>
      <c r="AV54" s="39">
        <f t="shared" si="22"/>
        <v>-6.9904305247671195</v>
      </c>
      <c r="AW54" s="39">
        <f t="shared" si="22"/>
        <v>6.8959485021750595</v>
      </c>
      <c r="AX54" s="39">
        <f t="shared" si="22"/>
        <v>-6.6342959953563785</v>
      </c>
      <c r="AY54" s="39">
        <f t="shared" si="23"/>
        <v>4.3084308033335876</v>
      </c>
      <c r="AZ54" s="39">
        <f t="shared" si="23"/>
        <v>-0.32862041591679514</v>
      </c>
      <c r="BA54" s="39">
        <f t="shared" si="23"/>
        <v>-6.7710963158548836</v>
      </c>
      <c r="BB54" s="39">
        <f t="shared" si="23"/>
        <v>1.4338227656137108</v>
      </c>
      <c r="BC54" s="39">
        <f t="shared" si="23"/>
        <v>-3.3989812825160772</v>
      </c>
      <c r="BD54" s="39">
        <f t="shared" si="23"/>
        <v>3.044647282643862</v>
      </c>
      <c r="BE54" s="39">
        <f t="shared" si="23"/>
        <v>-6.8248910862951027</v>
      </c>
      <c r="BF54" s="39">
        <f t="shared" si="23"/>
        <v>-5.3480723555429659</v>
      </c>
      <c r="BG54" s="39">
        <f t="shared" si="23"/>
        <v>-2.6765979895278549</v>
      </c>
      <c r="BH54" s="39">
        <f t="shared" si="23"/>
        <v>0.59277645317729366</v>
      </c>
      <c r="BI54" s="39">
        <f t="shared" si="23"/>
        <v>3.7297361334776848</v>
      </c>
      <c r="BJ54" s="39">
        <f t="shared" si="23"/>
        <v>6.0335451019643056</v>
      </c>
      <c r="BK54" s="39">
        <f t="shared" si="23"/>
        <v>6.9895771187787545</v>
      </c>
      <c r="BL54" s="39">
        <f t="shared" si="23"/>
        <v>6.3842731741619554</v>
      </c>
      <c r="BM54" s="39">
        <f t="shared" si="23"/>
        <v>-3.4755401215080557</v>
      </c>
    </row>
    <row r="55" spans="1:65" x14ac:dyDescent="0.25">
      <c r="A55" s="7">
        <v>-2</v>
      </c>
      <c r="B55" s="7">
        <v>1</v>
      </c>
      <c r="C55" s="7">
        <v>1</v>
      </c>
      <c r="D55" s="7">
        <v>0</v>
      </c>
      <c r="E55" s="7">
        <v>0</v>
      </c>
      <c r="F55" s="195">
        <v>-7</v>
      </c>
      <c r="G55" s="7">
        <v>0</v>
      </c>
      <c r="H55" s="179"/>
      <c r="K55" s="39">
        <f t="shared" si="19"/>
        <v>-1.3209217250596379</v>
      </c>
      <c r="L55" s="39">
        <f t="shared" si="19"/>
        <v>-5.6801414604306428</v>
      </c>
      <c r="M55" s="39">
        <f t="shared" si="19"/>
        <v>6.8147726747149902</v>
      </c>
      <c r="N55" s="39">
        <f t="shared" si="19"/>
        <v>-6.6846234876964035</v>
      </c>
      <c r="O55" s="39">
        <f t="shared" si="19"/>
        <v>-6.9676451771883112</v>
      </c>
      <c r="P55" s="39">
        <f t="shared" si="19"/>
        <v>-4.6842938793933246</v>
      </c>
      <c r="Q55" s="39">
        <f t="shared" si="19"/>
        <v>6.9853406156411202</v>
      </c>
      <c r="R55" s="39">
        <f t="shared" si="19"/>
        <v>4.582531923464602</v>
      </c>
      <c r="S55" s="39">
        <f t="shared" si="19"/>
        <v>5.52043572406581</v>
      </c>
      <c r="T55" s="39">
        <f t="shared" si="19"/>
        <v>-6.9566311601299535</v>
      </c>
      <c r="U55" s="39">
        <f t="shared" si="20"/>
        <v>6.7421418036478356</v>
      </c>
      <c r="V55" s="39">
        <f t="shared" si="20"/>
        <v>2.0398066242313062</v>
      </c>
      <c r="W55" s="39">
        <f t="shared" si="20"/>
        <v>-6.9759933849234219</v>
      </c>
      <c r="X55" s="39">
        <f t="shared" si="20"/>
        <v>-6.9667779181309752</v>
      </c>
      <c r="Y55" s="39">
        <f t="shared" si="20"/>
        <v>1.0708832494543539</v>
      </c>
      <c r="Z55" s="39">
        <f t="shared" si="20"/>
        <v>-4.6557668131894161</v>
      </c>
      <c r="AA55" s="39">
        <f t="shared" si="20"/>
        <v>0.74715961865226421</v>
      </c>
      <c r="AB55" s="39">
        <f t="shared" si="20"/>
        <v>6.9999673683363364</v>
      </c>
      <c r="AC55" s="39">
        <f t="shared" si="20"/>
        <v>-5.3883705554784287</v>
      </c>
      <c r="AD55" s="39">
        <f t="shared" si="20"/>
        <v>5.7415952858717905</v>
      </c>
      <c r="AE55" s="39">
        <f t="shared" si="21"/>
        <v>-0.40692719730531057</v>
      </c>
      <c r="AF55" s="39">
        <f t="shared" si="21"/>
        <v>1.6915006524473086</v>
      </c>
      <c r="AG55" s="39">
        <f t="shared" si="21"/>
        <v>6.9311165940238455</v>
      </c>
      <c r="AH55" s="39">
        <f t="shared" si="21"/>
        <v>6.6547494898726924</v>
      </c>
      <c r="AI55" s="39">
        <f t="shared" si="21"/>
        <v>-6.7885321281533546</v>
      </c>
      <c r="AJ55" s="39">
        <f t="shared" si="21"/>
        <v>-6.7534833740489963</v>
      </c>
      <c r="AK55" s="39">
        <f t="shared" si="21"/>
        <v>-4.1033130702628569</v>
      </c>
      <c r="AL55" s="39">
        <f t="shared" si="21"/>
        <v>-3.316515290473308</v>
      </c>
      <c r="AM55" s="39">
        <f t="shared" si="21"/>
        <v>-5.0165780946844487</v>
      </c>
      <c r="AN55" s="39">
        <f t="shared" si="21"/>
        <v>-5.3531213925916701</v>
      </c>
      <c r="AO55" s="39">
        <f t="shared" si="22"/>
        <v>1.3659235092475932</v>
      </c>
      <c r="AP55" s="39">
        <f t="shared" si="22"/>
        <v>5.2052885436974385</v>
      </c>
      <c r="AQ55" s="39">
        <f t="shared" si="22"/>
        <v>-6.1473123352676549</v>
      </c>
      <c r="AR55" s="39">
        <f t="shared" si="22"/>
        <v>-0.454590964263411</v>
      </c>
      <c r="AS55" s="39">
        <f t="shared" si="22"/>
        <v>-6.3821984270125434</v>
      </c>
      <c r="AT55" s="39">
        <f t="shared" si="22"/>
        <v>1.192844658528261</v>
      </c>
      <c r="AU55" s="39">
        <f t="shared" si="22"/>
        <v>2.7469247784800648</v>
      </c>
      <c r="AV55" s="39">
        <f t="shared" si="22"/>
        <v>-2.5690867420104784</v>
      </c>
      <c r="AW55" s="39">
        <f t="shared" si="22"/>
        <v>-6.979164858460738</v>
      </c>
      <c r="AX55" s="39">
        <f t="shared" si="22"/>
        <v>-1.725003740383021</v>
      </c>
      <c r="AY55" s="39">
        <f t="shared" si="23"/>
        <v>6.4135272309654798</v>
      </c>
      <c r="AZ55" s="39">
        <f t="shared" si="23"/>
        <v>-4.2895427727431885</v>
      </c>
      <c r="BA55" s="39">
        <f t="shared" si="23"/>
        <v>-4.9459550598257938</v>
      </c>
      <c r="BB55" s="39">
        <f t="shared" si="23"/>
        <v>-6.2854673289317438</v>
      </c>
      <c r="BC55" s="39">
        <f t="shared" si="23"/>
        <v>3.8479881464158101</v>
      </c>
      <c r="BD55" s="39">
        <f t="shared" si="23"/>
        <v>-3.0238692100578133</v>
      </c>
      <c r="BE55" s="39">
        <f t="shared" si="23"/>
        <v>1.4889696377654578</v>
      </c>
      <c r="BF55" s="39">
        <f t="shared" si="23"/>
        <v>0.23822866286232852</v>
      </c>
      <c r="BG55" s="39">
        <f t="shared" si="23"/>
        <v>-1.0202364235912424</v>
      </c>
      <c r="BH55" s="39">
        <f t="shared" si="23"/>
        <v>-2.2456222833558819</v>
      </c>
      <c r="BI55" s="39">
        <f t="shared" si="23"/>
        <v>-3.3981981092600027</v>
      </c>
      <c r="BJ55" s="39">
        <f t="shared" si="23"/>
        <v>-4.4405938210678846</v>
      </c>
      <c r="BK55" s="39">
        <f t="shared" si="23"/>
        <v>-5.3390117192953088</v>
      </c>
      <c r="BL55" s="39">
        <f t="shared" si="23"/>
        <v>-6.0643223113932327</v>
      </c>
      <c r="BM55" s="39">
        <f t="shared" si="23"/>
        <v>-3.9472393176408942</v>
      </c>
    </row>
    <row r="56" spans="1:65" x14ac:dyDescent="0.25">
      <c r="A56" s="7">
        <v>0</v>
      </c>
      <c r="B56" s="7">
        <v>-1</v>
      </c>
      <c r="C56" s="7">
        <v>0</v>
      </c>
      <c r="D56" s="7">
        <v>2</v>
      </c>
      <c r="E56" s="7">
        <v>2</v>
      </c>
      <c r="F56" s="195">
        <v>-7</v>
      </c>
      <c r="G56" s="7">
        <v>0</v>
      </c>
      <c r="H56" s="179"/>
      <c r="K56" s="39">
        <f t="shared" si="19"/>
        <v>-1.9942847622621043</v>
      </c>
      <c r="L56" s="39">
        <f t="shared" si="19"/>
        <v>-6.8837403147416678</v>
      </c>
      <c r="M56" s="39">
        <f t="shared" si="19"/>
        <v>-6.8738297073797234</v>
      </c>
      <c r="N56" s="39">
        <f t="shared" si="19"/>
        <v>-1.5274534517815701</v>
      </c>
      <c r="O56" s="39">
        <f t="shared" si="19"/>
        <v>-2.1005459768735801</v>
      </c>
      <c r="P56" s="39">
        <f t="shared" si="19"/>
        <v>2.7047077825854045</v>
      </c>
      <c r="Q56" s="39">
        <f t="shared" si="19"/>
        <v>-6.1553912582562917</v>
      </c>
      <c r="R56" s="39">
        <f t="shared" si="19"/>
        <v>-5.5814372356856907</v>
      </c>
      <c r="S56" s="39">
        <f t="shared" si="19"/>
        <v>1.8204337633179615</v>
      </c>
      <c r="T56" s="39">
        <f t="shared" si="19"/>
        <v>1.8853061236247701</v>
      </c>
      <c r="U56" s="39">
        <f t="shared" si="20"/>
        <v>-6.9769601388365086</v>
      </c>
      <c r="V56" s="39">
        <f t="shared" si="20"/>
        <v>5.2196583472344065</v>
      </c>
      <c r="W56" s="39">
        <f t="shared" si="20"/>
        <v>5.1222803953426013</v>
      </c>
      <c r="X56" s="39">
        <f t="shared" si="20"/>
        <v>2.5844209656120687</v>
      </c>
      <c r="Y56" s="39">
        <f t="shared" si="20"/>
        <v>-6.0468567695594606</v>
      </c>
      <c r="Z56" s="39">
        <f t="shared" si="20"/>
        <v>5.4887641998557157</v>
      </c>
      <c r="AA56" s="39">
        <f t="shared" si="20"/>
        <v>-4.426208750821341</v>
      </c>
      <c r="AB56" s="39">
        <f t="shared" si="20"/>
        <v>-1.6037207174851245</v>
      </c>
      <c r="AC56" s="39">
        <f t="shared" si="20"/>
        <v>3.9489987482842683</v>
      </c>
      <c r="AD56" s="39">
        <f t="shared" si="20"/>
        <v>-1.1024978999363828</v>
      </c>
      <c r="AE56" s="39">
        <f t="shared" si="21"/>
        <v>-1.9849867055542028</v>
      </c>
      <c r="AF56" s="39">
        <f t="shared" si="21"/>
        <v>4.7358224205706909</v>
      </c>
      <c r="AG56" s="39">
        <f t="shared" si="21"/>
        <v>-6.4155923942566071</v>
      </c>
      <c r="AH56" s="39">
        <f t="shared" si="21"/>
        <v>0.20625124501190634</v>
      </c>
      <c r="AI56" s="39">
        <f t="shared" si="21"/>
        <v>-5.9084361178199138</v>
      </c>
      <c r="AJ56" s="39">
        <f t="shared" si="21"/>
        <v>-6.9499103629541512</v>
      </c>
      <c r="AK56" s="39">
        <f t="shared" si="21"/>
        <v>6.2625034417410133</v>
      </c>
      <c r="AL56" s="39">
        <f t="shared" si="21"/>
        <v>-6.9545976283330866</v>
      </c>
      <c r="AM56" s="39">
        <f t="shared" si="21"/>
        <v>-2.5653206012134482</v>
      </c>
      <c r="AN56" s="39">
        <f t="shared" si="21"/>
        <v>6.9161642850382954</v>
      </c>
      <c r="AO56" s="39">
        <f t="shared" si="22"/>
        <v>6.6535752370847234</v>
      </c>
      <c r="AP56" s="39">
        <f t="shared" si="22"/>
        <v>1.4482335249176128</v>
      </c>
      <c r="AQ56" s="39">
        <f t="shared" si="22"/>
        <v>-5.1729648629857881</v>
      </c>
      <c r="AR56" s="39">
        <f t="shared" si="22"/>
        <v>-6.5067081955672137</v>
      </c>
      <c r="AS56" s="39">
        <f t="shared" si="22"/>
        <v>-6.3094789499449311</v>
      </c>
      <c r="AT56" s="39">
        <f t="shared" si="22"/>
        <v>2.2011901495624469</v>
      </c>
      <c r="AU56" s="39">
        <f t="shared" si="22"/>
        <v>6.9648680889198928</v>
      </c>
      <c r="AV56" s="39">
        <f t="shared" si="22"/>
        <v>-6.7641943134879003</v>
      </c>
      <c r="AW56" s="39">
        <f t="shared" si="22"/>
        <v>6.7952037301211865</v>
      </c>
      <c r="AX56" s="39">
        <f t="shared" si="22"/>
        <v>-6.9138628272974172</v>
      </c>
      <c r="AY56" s="39">
        <f t="shared" si="23"/>
        <v>6.2359181216348709</v>
      </c>
      <c r="AZ56" s="39">
        <f t="shared" si="23"/>
        <v>5.4547349872218662</v>
      </c>
      <c r="BA56" s="39">
        <f t="shared" si="23"/>
        <v>1.0973922377765433</v>
      </c>
      <c r="BB56" s="39">
        <f t="shared" si="23"/>
        <v>-5.6323266458742118</v>
      </c>
      <c r="BC56" s="39">
        <f t="shared" si="23"/>
        <v>2.9990001365127248</v>
      </c>
      <c r="BD56" s="39">
        <f t="shared" si="23"/>
        <v>5.1321091961926051</v>
      </c>
      <c r="BE56" s="39">
        <f t="shared" si="23"/>
        <v>1.236705137172887</v>
      </c>
      <c r="BF56" s="39">
        <f t="shared" si="23"/>
        <v>-1.8342879313323406</v>
      </c>
      <c r="BG56" s="39">
        <f t="shared" si="23"/>
        <v>-4.5515596723604821</v>
      </c>
      <c r="BH56" s="39">
        <f t="shared" si="23"/>
        <v>-6.3911154878255632</v>
      </c>
      <c r="BI56" s="39">
        <f t="shared" si="23"/>
        <v>-6.9982181993928796</v>
      </c>
      <c r="BJ56" s="39">
        <f t="shared" si="23"/>
        <v>-6.2557950327297496</v>
      </c>
      <c r="BK56" s="39">
        <f t="shared" si="23"/>
        <v>-4.3070137553281169</v>
      </c>
      <c r="BL56" s="39">
        <f t="shared" si="23"/>
        <v>-1.5276744194130747</v>
      </c>
      <c r="BM56" s="39">
        <f t="shared" si="23"/>
        <v>6.039339411621345</v>
      </c>
    </row>
    <row r="57" spans="1:65" x14ac:dyDescent="0.25">
      <c r="A57" s="7">
        <v>2</v>
      </c>
      <c r="B57" s="7">
        <v>0</v>
      </c>
      <c r="C57" s="7">
        <v>0</v>
      </c>
      <c r="D57" s="7">
        <v>2</v>
      </c>
      <c r="E57" s="7">
        <v>1</v>
      </c>
      <c r="F57" s="195">
        <v>-7</v>
      </c>
      <c r="G57" s="7">
        <v>0</v>
      </c>
      <c r="H57" s="179"/>
      <c r="K57" s="39">
        <f t="shared" si="19"/>
        <v>3.8503911734030942</v>
      </c>
      <c r="L57" s="39">
        <f t="shared" si="19"/>
        <v>-4.9280887670214799</v>
      </c>
      <c r="M57" s="39">
        <f t="shared" si="19"/>
        <v>0.88812650453296638</v>
      </c>
      <c r="N57" s="39">
        <f t="shared" si="19"/>
        <v>1.8646601346986609</v>
      </c>
      <c r="O57" s="39">
        <f t="shared" si="19"/>
        <v>-6.7762793053031913</v>
      </c>
      <c r="P57" s="39">
        <f t="shared" si="19"/>
        <v>1.5143966370978719</v>
      </c>
      <c r="Q57" s="39">
        <f t="shared" si="19"/>
        <v>6.8503412720399206</v>
      </c>
      <c r="R57" s="39">
        <f t="shared" si="19"/>
        <v>-6.1000534269612139</v>
      </c>
      <c r="S57" s="39">
        <f t="shared" si="19"/>
        <v>6.6362332543883671</v>
      </c>
      <c r="T57" s="39">
        <f t="shared" si="19"/>
        <v>6.8373063624715762</v>
      </c>
      <c r="U57" s="39">
        <f t="shared" si="20"/>
        <v>-6.7604694788499691</v>
      </c>
      <c r="V57" s="39">
        <f t="shared" si="20"/>
        <v>-1.906631136789616</v>
      </c>
      <c r="W57" s="39">
        <f t="shared" si="20"/>
        <v>-0.60811638492584208</v>
      </c>
      <c r="X57" s="39">
        <f t="shared" si="20"/>
        <v>-5.7875744766950978</v>
      </c>
      <c r="Y57" s="39">
        <f t="shared" si="20"/>
        <v>4.7658243806266452</v>
      </c>
      <c r="Z57" s="39">
        <f t="shared" si="20"/>
        <v>3.8935967768198934</v>
      </c>
      <c r="AA57" s="39">
        <f t="shared" si="20"/>
        <v>-4.7192172981190472</v>
      </c>
      <c r="AB57" s="39">
        <f t="shared" si="20"/>
        <v>-0.49565510321658579</v>
      </c>
      <c r="AC57" s="39">
        <f t="shared" si="20"/>
        <v>3.7087634558718894</v>
      </c>
      <c r="AD57" s="39">
        <f t="shared" si="20"/>
        <v>4.6716102651447118</v>
      </c>
      <c r="AE57" s="39">
        <f t="shared" si="21"/>
        <v>6.9787706679680817</v>
      </c>
      <c r="AF57" s="39">
        <f t="shared" si="21"/>
        <v>6.2757976371390258</v>
      </c>
      <c r="AG57" s="39">
        <f t="shared" si="21"/>
        <v>-2.1752648288585195</v>
      </c>
      <c r="AH57" s="39">
        <f t="shared" si="21"/>
        <v>5.1274046876657655</v>
      </c>
      <c r="AI57" s="39">
        <f t="shared" si="21"/>
        <v>5.0301572125650873</v>
      </c>
      <c r="AJ57" s="39">
        <f t="shared" si="21"/>
        <v>3.5451723294300868</v>
      </c>
      <c r="AK57" s="39">
        <f t="shared" si="21"/>
        <v>-6.745478844805854</v>
      </c>
      <c r="AL57" s="39">
        <f t="shared" si="21"/>
        <v>-6.0774136761519371</v>
      </c>
      <c r="AM57" s="39">
        <f t="shared" si="21"/>
        <v>3.1471651046102225</v>
      </c>
      <c r="AN57" s="39">
        <f t="shared" si="21"/>
        <v>-2.4707429246373995</v>
      </c>
      <c r="AO57" s="39">
        <f t="shared" si="22"/>
        <v>-2.7581470858480333</v>
      </c>
      <c r="AP57" s="39">
        <f t="shared" si="22"/>
        <v>6.787114293209215</v>
      </c>
      <c r="AQ57" s="39">
        <f t="shared" si="22"/>
        <v>3.5574354521839946</v>
      </c>
      <c r="AR57" s="39">
        <f t="shared" si="22"/>
        <v>-6.6989362103492951</v>
      </c>
      <c r="AS57" s="39">
        <f t="shared" si="22"/>
        <v>2.7626449364344845</v>
      </c>
      <c r="AT57" s="39">
        <f t="shared" si="22"/>
        <v>0.30888110380498551</v>
      </c>
      <c r="AU57" s="39">
        <f t="shared" si="22"/>
        <v>-3.9543508404049108</v>
      </c>
      <c r="AV57" s="39">
        <f t="shared" si="22"/>
        <v>4.7016766456753416</v>
      </c>
      <c r="AW57" s="39">
        <f t="shared" si="22"/>
        <v>4.8506173589131212</v>
      </c>
      <c r="AX57" s="39">
        <f t="shared" si="22"/>
        <v>5.6117465642487332</v>
      </c>
      <c r="AY57" s="39">
        <f t="shared" si="23"/>
        <v>2.027048827305272</v>
      </c>
      <c r="AZ57" s="39">
        <f t="shared" si="23"/>
        <v>-0.91584419197334399</v>
      </c>
      <c r="BA57" s="39">
        <f t="shared" si="23"/>
        <v>4.2851668306856592</v>
      </c>
      <c r="BB57" s="39">
        <f t="shared" si="23"/>
        <v>-6.9985586485280393</v>
      </c>
      <c r="BC57" s="39">
        <f t="shared" si="23"/>
        <v>6.9739791814669019</v>
      </c>
      <c r="BD57" s="39">
        <f t="shared" si="23"/>
        <v>1.2258009503185519</v>
      </c>
      <c r="BE57" s="39">
        <f t="shared" si="23"/>
        <v>-6.9986261424214531</v>
      </c>
      <c r="BF57" s="39">
        <f t="shared" si="23"/>
        <v>-4.317094358718097</v>
      </c>
      <c r="BG57" s="39">
        <f t="shared" si="23"/>
        <v>1.5400764518054042</v>
      </c>
      <c r="BH57" s="39">
        <f t="shared" si="23"/>
        <v>6.2643725836052671</v>
      </c>
      <c r="BI57" s="39">
        <f t="shared" si="23"/>
        <v>6.3806188554763166</v>
      </c>
      <c r="BJ57" s="39">
        <f t="shared" si="23"/>
        <v>1.8033049294457673</v>
      </c>
      <c r="BK57" s="39">
        <f t="shared" si="23"/>
        <v>-4.100513593272022</v>
      </c>
      <c r="BL57" s="39">
        <f t="shared" si="23"/>
        <v>-6.9880091184501465</v>
      </c>
      <c r="BM57" s="39">
        <f t="shared" si="23"/>
        <v>-6.4351568778971027</v>
      </c>
    </row>
    <row r="58" spans="1:65" x14ac:dyDescent="0.25">
      <c r="A58" s="7">
        <v>2</v>
      </c>
      <c r="B58" s="7">
        <v>0</v>
      </c>
      <c r="C58" s="7">
        <v>1</v>
      </c>
      <c r="D58" s="7">
        <v>0</v>
      </c>
      <c r="E58" s="7">
        <v>0</v>
      </c>
      <c r="F58" s="195">
        <v>6</v>
      </c>
      <c r="G58" s="7">
        <v>0</v>
      </c>
      <c r="H58" s="179"/>
      <c r="K58" s="39">
        <f t="shared" si="19"/>
        <v>5.21492824103305</v>
      </c>
      <c r="L58" s="39">
        <f t="shared" si="19"/>
        <v>-1.0178555880171145</v>
      </c>
      <c r="M58" s="39">
        <f t="shared" si="19"/>
        <v>1.1102642363254913</v>
      </c>
      <c r="N58" s="39">
        <f t="shared" si="19"/>
        <v>0.41552750299295244</v>
      </c>
      <c r="O58" s="39">
        <f t="shared" si="19"/>
        <v>-5.6520220711334304</v>
      </c>
      <c r="P58" s="39">
        <f t="shared" si="19"/>
        <v>-5.9575529351447525</v>
      </c>
      <c r="Q58" s="39">
        <f t="shared" si="19"/>
        <v>-5.9475912661199608</v>
      </c>
      <c r="R58" s="39">
        <f t="shared" si="19"/>
        <v>-5.6867299451533277</v>
      </c>
      <c r="S58" s="39">
        <f t="shared" si="19"/>
        <v>-5.3788322168581288</v>
      </c>
      <c r="T58" s="39">
        <f t="shared" si="19"/>
        <v>5.9963647404961655</v>
      </c>
      <c r="U58" s="39">
        <f t="shared" si="20"/>
        <v>5.9081813413089064</v>
      </c>
      <c r="V58" s="39">
        <f t="shared" si="20"/>
        <v>4.5936353711251092</v>
      </c>
      <c r="W58" s="39">
        <f t="shared" si="20"/>
        <v>0.60277230478549826</v>
      </c>
      <c r="X58" s="39">
        <f t="shared" si="20"/>
        <v>4.1082187890926187</v>
      </c>
      <c r="Y58" s="39">
        <f t="shared" si="20"/>
        <v>-5.8100860925978548</v>
      </c>
      <c r="Z58" s="39">
        <f t="shared" si="20"/>
        <v>-5.88963473792362</v>
      </c>
      <c r="AA58" s="39">
        <f t="shared" si="20"/>
        <v>2.7067326148474509</v>
      </c>
      <c r="AB58" s="39">
        <f t="shared" si="20"/>
        <v>5.4731533509473334</v>
      </c>
      <c r="AC58" s="39">
        <f t="shared" si="20"/>
        <v>3.5938869812242373</v>
      </c>
      <c r="AD58" s="39">
        <f t="shared" si="20"/>
        <v>-4.7814170568957177</v>
      </c>
      <c r="AE58" s="39">
        <f t="shared" si="21"/>
        <v>-3.3110195230927939</v>
      </c>
      <c r="AF58" s="39">
        <f t="shared" si="21"/>
        <v>-4.8847634605116177</v>
      </c>
      <c r="AG58" s="39">
        <f t="shared" si="21"/>
        <v>-0.84121306888520664</v>
      </c>
      <c r="AH58" s="39">
        <f t="shared" si="21"/>
        <v>3.3387790053560966</v>
      </c>
      <c r="AI58" s="39">
        <f t="shared" si="21"/>
        <v>5.192050025615373</v>
      </c>
      <c r="AJ58" s="39">
        <f t="shared" si="21"/>
        <v>-5.8683776065642519</v>
      </c>
      <c r="AK58" s="39">
        <f t="shared" si="21"/>
        <v>5.9724442555069119</v>
      </c>
      <c r="AL58" s="39">
        <f t="shared" si="21"/>
        <v>-4.6396482422476728</v>
      </c>
      <c r="AM58" s="39">
        <f t="shared" si="21"/>
        <v>-5.8464622545308931</v>
      </c>
      <c r="AN58" s="39">
        <f t="shared" si="21"/>
        <v>5.786430636533991</v>
      </c>
      <c r="AO58" s="39">
        <f t="shared" si="22"/>
        <v>-9.6751877456805649E-2</v>
      </c>
      <c r="AP58" s="39">
        <f t="shared" si="22"/>
        <v>-3.2050483879172589</v>
      </c>
      <c r="AQ58" s="39">
        <f t="shared" si="22"/>
        <v>0.63740785500131913</v>
      </c>
      <c r="AR58" s="39">
        <f t="shared" si="22"/>
        <v>4.7063600564908077</v>
      </c>
      <c r="AS58" s="39">
        <f t="shared" si="22"/>
        <v>-0.4347357876182531</v>
      </c>
      <c r="AT58" s="39">
        <f t="shared" si="22"/>
        <v>-1.3697373976710148</v>
      </c>
      <c r="AU58" s="39">
        <f t="shared" si="22"/>
        <v>2.1535691058210493</v>
      </c>
      <c r="AV58" s="39">
        <f t="shared" si="22"/>
        <v>-5.7012937573429099</v>
      </c>
      <c r="AW58" s="39">
        <f t="shared" si="22"/>
        <v>2.4355844535948314</v>
      </c>
      <c r="AX58" s="39">
        <f t="shared" si="22"/>
        <v>4.8868413780493736</v>
      </c>
      <c r="AY58" s="39">
        <f t="shared" si="23"/>
        <v>-1.3648016302844725</v>
      </c>
      <c r="AZ58" s="39">
        <f t="shared" si="23"/>
        <v>0.45225825788972185</v>
      </c>
      <c r="BA58" s="39">
        <f t="shared" si="23"/>
        <v>-1.3995074707039199</v>
      </c>
      <c r="BB58" s="39">
        <f t="shared" si="23"/>
        <v>4.7582087267607385</v>
      </c>
      <c r="BC58" s="39">
        <f t="shared" si="23"/>
        <v>-3.4772781422348942</v>
      </c>
      <c r="BD58" s="39">
        <f t="shared" si="23"/>
        <v>5.6101594116721625</v>
      </c>
      <c r="BE58" s="39">
        <f t="shared" si="23"/>
        <v>-3.7817698772126862</v>
      </c>
      <c r="BF58" s="39">
        <f t="shared" si="23"/>
        <v>-5.8346685505054428</v>
      </c>
      <c r="BG58" s="39">
        <f t="shared" si="23"/>
        <v>-5.4827679595029863</v>
      </c>
      <c r="BH58" s="39">
        <f t="shared" si="23"/>
        <v>-2.8711063827326764</v>
      </c>
      <c r="BI58" s="39">
        <f t="shared" si="23"/>
        <v>0.92390167843829785</v>
      </c>
      <c r="BJ58" s="39">
        <f t="shared" si="23"/>
        <v>4.3381172306035722</v>
      </c>
      <c r="BK58" s="39">
        <f t="shared" si="23"/>
        <v>5.9643475640224812</v>
      </c>
      <c r="BL58" s="39">
        <f t="shared" si="23"/>
        <v>5.1323305248884257</v>
      </c>
      <c r="BM58" s="39">
        <f t="shared" si="23"/>
        <v>5.8866722062155636</v>
      </c>
    </row>
    <row r="59" spans="1:65" x14ac:dyDescent="0.25">
      <c r="A59" s="7">
        <v>-2</v>
      </c>
      <c r="B59" s="7">
        <v>0</v>
      </c>
      <c r="C59" s="7">
        <v>2</v>
      </c>
      <c r="D59" s="7">
        <v>2</v>
      </c>
      <c r="E59" s="7">
        <v>2</v>
      </c>
      <c r="F59" s="195">
        <v>6</v>
      </c>
      <c r="G59" s="7">
        <v>0</v>
      </c>
      <c r="H59" s="179"/>
      <c r="K59" s="39">
        <f t="shared" ref="K59:T68" si="24">($F59+$G59*K$4)*SIN(($A59*K$5+$B59*K$6+$C59*K$7+$D59*K$8+$E59*K$9)*Deg2Rad)</f>
        <v>-1.5615986096605385</v>
      </c>
      <c r="L59" s="39">
        <f t="shared" si="24"/>
        <v>2.3620701800502424</v>
      </c>
      <c r="M59" s="39">
        <f t="shared" si="24"/>
        <v>5.6067906268963048</v>
      </c>
      <c r="N59" s="39">
        <f t="shared" si="24"/>
        <v>-5.911732302676362</v>
      </c>
      <c r="O59" s="39">
        <f t="shared" si="24"/>
        <v>-5.3249973970020976</v>
      </c>
      <c r="P59" s="39">
        <f t="shared" si="24"/>
        <v>-4.2356406520056344</v>
      </c>
      <c r="Q59" s="39">
        <f t="shared" si="24"/>
        <v>5.1712670370454141</v>
      </c>
      <c r="R59" s="39">
        <f t="shared" si="24"/>
        <v>2.0360611545857705</v>
      </c>
      <c r="S59" s="39">
        <f t="shared" si="24"/>
        <v>5.9827368894557349</v>
      </c>
      <c r="T59" s="39">
        <f t="shared" si="24"/>
        <v>2.4690333371422954</v>
      </c>
      <c r="U59" s="39">
        <f t="shared" ref="U59:AD68" si="25">($F59+$G59*U$4)*SIN(($A59*U$5+$B59*U$6+$C59*U$7+$D59*U$8+$E59*U$9)*Deg2Rad)</f>
        <v>-2.176136089192247</v>
      </c>
      <c r="V59" s="39">
        <f t="shared" si="25"/>
        <v>-5.7214648621843587</v>
      </c>
      <c r="W59" s="39">
        <f t="shared" si="25"/>
        <v>-5.9582365077396267</v>
      </c>
      <c r="X59" s="39">
        <f t="shared" si="25"/>
        <v>-5.5887341569136977</v>
      </c>
      <c r="Y59" s="39">
        <f t="shared" si="25"/>
        <v>5.0162302022960237</v>
      </c>
      <c r="Z59" s="39">
        <f t="shared" si="25"/>
        <v>-5.038031775229654</v>
      </c>
      <c r="AA59" s="39">
        <f t="shared" si="25"/>
        <v>2.578254166126138</v>
      </c>
      <c r="AB59" s="39">
        <f t="shared" si="25"/>
        <v>2.7439491645919496</v>
      </c>
      <c r="AC59" s="39">
        <f t="shared" si="25"/>
        <v>4.3193704685274774</v>
      </c>
      <c r="AD59" s="39">
        <f t="shared" si="25"/>
        <v>4.6757809473885033</v>
      </c>
      <c r="AE59" s="39">
        <f t="shared" ref="AE59:AN68" si="26">($F59+$G59*AE$4)*SIN(($A59*AE$5+$B59*AE$6+$C59*AE$7+$D59*AE$8+$E59*AE$9)*Deg2Rad)</f>
        <v>3.0550488312093282</v>
      </c>
      <c r="AF59" s="39">
        <f t="shared" si="26"/>
        <v>-5.9943272759978825</v>
      </c>
      <c r="AG59" s="39">
        <f t="shared" si="26"/>
        <v>5.9577005036545376</v>
      </c>
      <c r="AH59" s="39">
        <f t="shared" si="26"/>
        <v>-4.8891820678485614</v>
      </c>
      <c r="AI59" s="39">
        <f t="shared" si="26"/>
        <v>-5.5967973799063149</v>
      </c>
      <c r="AJ59" s="39">
        <f t="shared" si="26"/>
        <v>-4.1499702871530779</v>
      </c>
      <c r="AK59" s="39">
        <f t="shared" si="26"/>
        <v>5.239552410151858</v>
      </c>
      <c r="AL59" s="39">
        <f t="shared" si="26"/>
        <v>-5.5344630539731439</v>
      </c>
      <c r="AM59" s="39">
        <f t="shared" si="26"/>
        <v>-0.19179899743269527</v>
      </c>
      <c r="AN59" s="39">
        <f t="shared" si="26"/>
        <v>5.7711994335755517</v>
      </c>
      <c r="AO59" s="39">
        <f t="shared" ref="AO59:AX68" si="27">($F59+$G59*AO$4)*SIN(($A59*AO$5+$B59*AO$6+$C59*AO$7+$D59*AO$8+$E59*AO$9)*Deg2Rad)</f>
        <v>5.8670909115489325</v>
      </c>
      <c r="AP59" s="39">
        <f t="shared" si="27"/>
        <v>4.021624627704556</v>
      </c>
      <c r="AQ59" s="39">
        <f t="shared" si="27"/>
        <v>4.4350089889790878</v>
      </c>
      <c r="AR59" s="39">
        <f t="shared" si="27"/>
        <v>-4.8210434531432984</v>
      </c>
      <c r="AS59" s="39">
        <f t="shared" si="27"/>
        <v>4.8939935874985325</v>
      </c>
      <c r="AT59" s="39">
        <f t="shared" si="27"/>
        <v>-5.9812533985051122</v>
      </c>
      <c r="AU59" s="39">
        <f t="shared" si="27"/>
        <v>-4.9259487420694548</v>
      </c>
      <c r="AV59" s="39">
        <f t="shared" si="27"/>
        <v>2.2460233218531656</v>
      </c>
      <c r="AW59" s="39">
        <f t="shared" si="27"/>
        <v>-0.38857396991796667</v>
      </c>
      <c r="AX59" s="39">
        <f t="shared" si="27"/>
        <v>-1.0690719858692541</v>
      </c>
      <c r="AY59" s="39">
        <f t="shared" ref="AY59:BM68" si="28">($F59+$G59*AY$4)*SIN(($A59*AY$5+$B59*AY$6+$C59*AY$7+$D59*AY$8+$E59*AY$9)*Deg2Rad)</f>
        <v>4.5712187911979649</v>
      </c>
      <c r="AZ59" s="39">
        <f t="shared" si="28"/>
        <v>5.8797838045031519</v>
      </c>
      <c r="BA59" s="39">
        <f t="shared" si="28"/>
        <v>5.5076093810189315</v>
      </c>
      <c r="BB59" s="39">
        <f t="shared" si="28"/>
        <v>-5.9813691168032985</v>
      </c>
      <c r="BC59" s="39">
        <f t="shared" si="28"/>
        <v>4.1136035511542692</v>
      </c>
      <c r="BD59" s="39">
        <f t="shared" si="28"/>
        <v>1.1724011390128473</v>
      </c>
      <c r="BE59" s="39">
        <f t="shared" si="28"/>
        <v>-4.2074819453657835</v>
      </c>
      <c r="BF59" s="39">
        <f t="shared" si="28"/>
        <v>-5.7263311559429066</v>
      </c>
      <c r="BG59" s="39">
        <f t="shared" si="28"/>
        <v>-5.8950985751456235</v>
      </c>
      <c r="BH59" s="39">
        <f t="shared" si="28"/>
        <v>-4.6739943596215774</v>
      </c>
      <c r="BI59" s="39">
        <f t="shared" si="28"/>
        <v>-2.350914986521123</v>
      </c>
      <c r="BJ59" s="39">
        <f t="shared" si="28"/>
        <v>0.52643332946819221</v>
      </c>
      <c r="BK59" s="39">
        <f t="shared" si="28"/>
        <v>3.2796658664164138</v>
      </c>
      <c r="BL59" s="39">
        <f t="shared" si="28"/>
        <v>5.2596603478755934</v>
      </c>
      <c r="BM59" s="39">
        <f t="shared" si="28"/>
        <v>5.4417030855675055</v>
      </c>
    </row>
    <row r="60" spans="1:65" x14ac:dyDescent="0.25">
      <c r="A60" s="7">
        <v>-2</v>
      </c>
      <c r="B60" s="7">
        <v>0</v>
      </c>
      <c r="C60" s="7">
        <v>1</v>
      </c>
      <c r="D60" s="7">
        <v>2</v>
      </c>
      <c r="E60" s="7">
        <v>1</v>
      </c>
      <c r="F60" s="195">
        <v>6</v>
      </c>
      <c r="G60" s="7">
        <v>0</v>
      </c>
      <c r="H60" s="179"/>
      <c r="K60" s="39">
        <f t="shared" si="24"/>
        <v>-3.5585304639698583</v>
      </c>
      <c r="L60" s="39">
        <f t="shared" si="24"/>
        <v>-5.182967497191572</v>
      </c>
      <c r="M60" s="39">
        <f t="shared" si="24"/>
        <v>-3.0768074641039425</v>
      </c>
      <c r="N60" s="39">
        <f t="shared" si="24"/>
        <v>5.9699906922255437</v>
      </c>
      <c r="O60" s="39">
        <f t="shared" si="24"/>
        <v>-4.7221311990801418</v>
      </c>
      <c r="P60" s="39">
        <f t="shared" si="24"/>
        <v>-5.0442051596820168</v>
      </c>
      <c r="Q60" s="39">
        <f t="shared" si="24"/>
        <v>-2.1030912689313563</v>
      </c>
      <c r="R60" s="39">
        <f t="shared" si="24"/>
        <v>-1.2927745269082235E-2</v>
      </c>
      <c r="S60" s="39">
        <f t="shared" si="24"/>
        <v>-5.3862917093888036</v>
      </c>
      <c r="T60" s="39">
        <f t="shared" si="24"/>
        <v>-0.98869559944674557</v>
      </c>
      <c r="U60" s="39">
        <f t="shared" si="25"/>
        <v>5.9403196624493839</v>
      </c>
      <c r="V60" s="39">
        <f t="shared" si="25"/>
        <v>-3.4722563298548192</v>
      </c>
      <c r="W60" s="39">
        <f t="shared" si="25"/>
        <v>-5.9084614378572846</v>
      </c>
      <c r="X60" s="39">
        <f t="shared" si="25"/>
        <v>-5.4329512540560332</v>
      </c>
      <c r="Y60" s="39">
        <f t="shared" si="25"/>
        <v>4.6613733000474911</v>
      </c>
      <c r="Z60" s="39">
        <f t="shared" si="25"/>
        <v>-5.8999348212027911</v>
      </c>
      <c r="AA60" s="39">
        <f t="shared" si="25"/>
        <v>-1.6147648895278106</v>
      </c>
      <c r="AB60" s="39">
        <f t="shared" si="25"/>
        <v>5.9707658228446627</v>
      </c>
      <c r="AC60" s="39">
        <f t="shared" si="25"/>
        <v>-5.7506136839981465</v>
      </c>
      <c r="AD60" s="39">
        <f t="shared" si="25"/>
        <v>4.4836453927486088</v>
      </c>
      <c r="AE60" s="39">
        <f t="shared" si="26"/>
        <v>4.409899105119953</v>
      </c>
      <c r="AF60" s="39">
        <f t="shared" si="26"/>
        <v>5.3223750052252923</v>
      </c>
      <c r="AG60" s="39">
        <f t="shared" si="26"/>
        <v>-2.37384808694729</v>
      </c>
      <c r="AH60" s="39">
        <f t="shared" si="26"/>
        <v>-3.4392573610660069</v>
      </c>
      <c r="AI60" s="39">
        <f t="shared" si="26"/>
        <v>2.4920600903624335</v>
      </c>
      <c r="AJ60" s="39">
        <f t="shared" si="26"/>
        <v>-1.7698389694280494</v>
      </c>
      <c r="AK60" s="39">
        <f t="shared" si="26"/>
        <v>-2.5423724624834838E-2</v>
      </c>
      <c r="AL60" s="39">
        <f t="shared" si="26"/>
        <v>-2.6176054179945707</v>
      </c>
      <c r="AM60" s="39">
        <f t="shared" si="26"/>
        <v>2.8228935825823367</v>
      </c>
      <c r="AN60" s="39">
        <f t="shared" si="26"/>
        <v>5.9749759787696837</v>
      </c>
      <c r="AO60" s="39">
        <f t="shared" si="27"/>
        <v>-3.3843103529335754</v>
      </c>
      <c r="AP60" s="39">
        <f t="shared" si="27"/>
        <v>1.460279649238333</v>
      </c>
      <c r="AQ60" s="39">
        <f t="shared" si="27"/>
        <v>5.1378740386131501</v>
      </c>
      <c r="AR60" s="39">
        <f t="shared" si="27"/>
        <v>0.96160344619643157</v>
      </c>
      <c r="AS60" s="39">
        <f t="shared" si="27"/>
        <v>4.7169151249498995</v>
      </c>
      <c r="AT60" s="39">
        <f t="shared" si="27"/>
        <v>-3.1682431783939569</v>
      </c>
      <c r="AU60" s="39">
        <f t="shared" si="27"/>
        <v>-1.6329558561348176</v>
      </c>
      <c r="AV60" s="39">
        <f t="shared" si="27"/>
        <v>-3.6953828513152565</v>
      </c>
      <c r="AW60" s="39">
        <f t="shared" si="27"/>
        <v>-3.4859124576306293</v>
      </c>
      <c r="AX60" s="39">
        <f t="shared" si="27"/>
        <v>5.5877780127509737</v>
      </c>
      <c r="AY60" s="39">
        <f t="shared" si="28"/>
        <v>-0.67174734064832753</v>
      </c>
      <c r="AZ60" s="39">
        <f t="shared" si="28"/>
        <v>4.4293115877404805</v>
      </c>
      <c r="BA60" s="39">
        <f t="shared" si="28"/>
        <v>-2.7026663189130606</v>
      </c>
      <c r="BB60" s="39">
        <f t="shared" si="28"/>
        <v>-4.7745991332149131</v>
      </c>
      <c r="BC60" s="39">
        <f t="shared" si="28"/>
        <v>-4.5952696698666822</v>
      </c>
      <c r="BD60" s="39">
        <f t="shared" si="28"/>
        <v>-4.9772531400382789</v>
      </c>
      <c r="BE60" s="39">
        <f t="shared" si="28"/>
        <v>3.8360596535701954</v>
      </c>
      <c r="BF60" s="39">
        <f t="shared" si="28"/>
        <v>2.5027895725618539</v>
      </c>
      <c r="BG60" s="39">
        <f t="shared" si="28"/>
        <v>0.99693477625455373</v>
      </c>
      <c r="BH60" s="39">
        <f t="shared" si="28"/>
        <v>-0.57766559357164937</v>
      </c>
      <c r="BI60" s="39">
        <f t="shared" si="28"/>
        <v>-2.1124319105791467</v>
      </c>
      <c r="BJ60" s="39">
        <f t="shared" si="28"/>
        <v>-3.5015313829299495</v>
      </c>
      <c r="BK60" s="39">
        <f t="shared" si="28"/>
        <v>-4.6491759589223012</v>
      </c>
      <c r="BL60" s="39">
        <f t="shared" si="28"/>
        <v>-5.4762275781306027</v>
      </c>
      <c r="BM60" s="39">
        <f t="shared" si="28"/>
        <v>0.21338131070561028</v>
      </c>
    </row>
    <row r="61" spans="1:65" x14ac:dyDescent="0.25">
      <c r="A61" s="7">
        <v>2</v>
      </c>
      <c r="B61" s="7">
        <v>0</v>
      </c>
      <c r="C61" s="7">
        <v>-2</v>
      </c>
      <c r="D61" s="7">
        <v>0</v>
      </c>
      <c r="E61" s="7">
        <v>1</v>
      </c>
      <c r="F61" s="195">
        <v>-6</v>
      </c>
      <c r="G61" s="7">
        <v>0</v>
      </c>
      <c r="H61" s="179"/>
      <c r="K61" s="39">
        <f t="shared" si="24"/>
        <v>-1.5835226888198684</v>
      </c>
      <c r="L61" s="39">
        <f t="shared" si="24"/>
        <v>5.1543050367703485</v>
      </c>
      <c r="M61" s="39">
        <f t="shared" si="24"/>
        <v>-5.9993866147952479</v>
      </c>
      <c r="N61" s="39">
        <f t="shared" si="24"/>
        <v>-2.9313728820751663</v>
      </c>
      <c r="O61" s="39">
        <f t="shared" si="24"/>
        <v>4.0049609059136433</v>
      </c>
      <c r="P61" s="39">
        <f t="shared" si="24"/>
        <v>-5.1761028859872482</v>
      </c>
      <c r="Q61" s="39">
        <f t="shared" si="24"/>
        <v>-2.1110521173292609</v>
      </c>
      <c r="R61" s="39">
        <f t="shared" si="24"/>
        <v>-5.1808088987659024</v>
      </c>
      <c r="S61" s="39">
        <f t="shared" si="24"/>
        <v>-0.7880892166124196</v>
      </c>
      <c r="T61" s="39">
        <f t="shared" si="24"/>
        <v>-5.3647800273113599</v>
      </c>
      <c r="U61" s="39">
        <f t="shared" si="25"/>
        <v>-9.6495273638372486E-2</v>
      </c>
      <c r="V61" s="39">
        <f t="shared" si="25"/>
        <v>-5.5567594323407761</v>
      </c>
      <c r="W61" s="39">
        <f t="shared" si="25"/>
        <v>2.7135416344638381</v>
      </c>
      <c r="X61" s="39">
        <f t="shared" si="25"/>
        <v>2.5439787734005659</v>
      </c>
      <c r="Y61" s="39">
        <f t="shared" si="25"/>
        <v>-5.5412878138997597</v>
      </c>
      <c r="Z61" s="39">
        <f t="shared" si="25"/>
        <v>0.53968037742026675</v>
      </c>
      <c r="AA61" s="39">
        <f t="shared" si="25"/>
        <v>1.4215507902069133</v>
      </c>
      <c r="AB61" s="39">
        <f t="shared" si="25"/>
        <v>2.6441145577937615</v>
      </c>
      <c r="AC61" s="39">
        <f t="shared" si="25"/>
        <v>0.69179506671094004</v>
      </c>
      <c r="AD61" s="39">
        <f t="shared" si="25"/>
        <v>-4.4739231516127989</v>
      </c>
      <c r="AE61" s="39">
        <f t="shared" si="26"/>
        <v>-2.3214357715244631</v>
      </c>
      <c r="AF61" s="39">
        <f t="shared" si="26"/>
        <v>5.1563780454951917</v>
      </c>
      <c r="AG61" s="39">
        <f t="shared" si="26"/>
        <v>-5.9972966602596287</v>
      </c>
      <c r="AH61" s="39">
        <f t="shared" si="26"/>
        <v>-2.6796247679605218</v>
      </c>
      <c r="AI61" s="39">
        <f t="shared" si="26"/>
        <v>4.2245290327193619</v>
      </c>
      <c r="AJ61" s="39">
        <f t="shared" si="26"/>
        <v>4.2924058898498689</v>
      </c>
      <c r="AK61" s="39">
        <f t="shared" si="26"/>
        <v>-1.7627896876523428</v>
      </c>
      <c r="AL61" s="39">
        <f t="shared" si="26"/>
        <v>-3.6792201545171581</v>
      </c>
      <c r="AM61" s="39">
        <f t="shared" si="26"/>
        <v>-2.0206488426307221</v>
      </c>
      <c r="AN61" s="39">
        <f t="shared" si="26"/>
        <v>-3.2877645537409643</v>
      </c>
      <c r="AO61" s="39">
        <f t="shared" si="27"/>
        <v>-2.8536933383659702</v>
      </c>
      <c r="AP61" s="39">
        <f t="shared" si="27"/>
        <v>-2.049047381059685</v>
      </c>
      <c r="AQ61" s="39">
        <f t="shared" si="27"/>
        <v>3.8023856940644953</v>
      </c>
      <c r="AR61" s="39">
        <f t="shared" si="27"/>
        <v>-5.8817568133568319</v>
      </c>
      <c r="AS61" s="39">
        <f t="shared" si="27"/>
        <v>5.8615004332665439</v>
      </c>
      <c r="AT61" s="39">
        <f t="shared" si="27"/>
        <v>5.9296643845228187</v>
      </c>
      <c r="AU61" s="39">
        <f t="shared" si="27"/>
        <v>5.9993211794618588</v>
      </c>
      <c r="AV61" s="39">
        <f t="shared" si="27"/>
        <v>5.7471610037372667</v>
      </c>
      <c r="AW61" s="39">
        <f t="shared" si="27"/>
        <v>5.2271461828001149</v>
      </c>
      <c r="AX61" s="39">
        <f t="shared" si="27"/>
        <v>4.4702298740279423</v>
      </c>
      <c r="AY61" s="39">
        <f t="shared" si="28"/>
        <v>3.3638240623100248</v>
      </c>
      <c r="AZ61" s="39">
        <f t="shared" si="28"/>
        <v>0.8036583330823841</v>
      </c>
      <c r="BA61" s="39">
        <f t="shared" si="28"/>
        <v>4.9908589893832307</v>
      </c>
      <c r="BB61" s="39">
        <f t="shared" si="28"/>
        <v>0.68422217777547978</v>
      </c>
      <c r="BC61" s="39">
        <f t="shared" si="28"/>
        <v>-1.3014035522213565</v>
      </c>
      <c r="BD61" s="39">
        <f t="shared" si="28"/>
        <v>-5.3925714374320446</v>
      </c>
      <c r="BE61" s="39">
        <f t="shared" si="28"/>
        <v>-4.3411110000802386</v>
      </c>
      <c r="BF61" s="39">
        <f t="shared" si="28"/>
        <v>-4.4691676785524947</v>
      </c>
      <c r="BG61" s="39">
        <f t="shared" si="28"/>
        <v>-4.5928067608316017</v>
      </c>
      <c r="BH61" s="39">
        <f t="shared" si="28"/>
        <v>-4.7119060345648052</v>
      </c>
      <c r="BI61" s="39">
        <f t="shared" si="28"/>
        <v>-4.82634777480399</v>
      </c>
      <c r="BJ61" s="39">
        <f t="shared" si="28"/>
        <v>-4.9360188603971729</v>
      </c>
      <c r="BK61" s="39">
        <f t="shared" si="28"/>
        <v>-5.04081088580166</v>
      </c>
      <c r="BL61" s="39">
        <f t="shared" si="28"/>
        <v>-5.1406202682215767</v>
      </c>
      <c r="BM61" s="39">
        <f t="shared" si="28"/>
        <v>-1.7900265364390635</v>
      </c>
    </row>
    <row r="62" spans="1:65" x14ac:dyDescent="0.25">
      <c r="A62" s="7">
        <v>2</v>
      </c>
      <c r="B62" s="7">
        <v>0</v>
      </c>
      <c r="C62" s="7">
        <v>0</v>
      </c>
      <c r="D62" s="7">
        <v>0</v>
      </c>
      <c r="E62" s="7">
        <v>1</v>
      </c>
      <c r="F62" s="195">
        <v>-6</v>
      </c>
      <c r="G62" s="7">
        <v>0</v>
      </c>
      <c r="H62" s="179"/>
      <c r="K62" s="39">
        <f t="shared" si="24"/>
        <v>-5.0220661826669257</v>
      </c>
      <c r="L62" s="39">
        <f t="shared" si="24"/>
        <v>2.4224288081320067</v>
      </c>
      <c r="M62" s="39">
        <f t="shared" si="24"/>
        <v>-7.8039149828044607E-2</v>
      </c>
      <c r="N62" s="39">
        <f t="shared" si="24"/>
        <v>-5.6845283158377704</v>
      </c>
      <c r="O62" s="39">
        <f t="shared" si="24"/>
        <v>4.6500666844421961</v>
      </c>
      <c r="P62" s="39">
        <f t="shared" si="24"/>
        <v>2.0855511254944274</v>
      </c>
      <c r="Q62" s="39">
        <f t="shared" si="24"/>
        <v>0.95026106729670223</v>
      </c>
      <c r="R62" s="39">
        <f t="shared" si="24"/>
        <v>-5.8065882107193607</v>
      </c>
      <c r="S62" s="39">
        <f t="shared" si="24"/>
        <v>5.7323301198284318</v>
      </c>
      <c r="T62" s="39">
        <f t="shared" si="24"/>
        <v>5.1326809506261597</v>
      </c>
      <c r="U62" s="39">
        <f t="shared" si="25"/>
        <v>0.11620486641262098</v>
      </c>
      <c r="V62" s="39">
        <f t="shared" si="25"/>
        <v>3.8841778250607137</v>
      </c>
      <c r="W62" s="39">
        <f t="shared" si="25"/>
        <v>5.9425586885935244</v>
      </c>
      <c r="X62" s="39">
        <f t="shared" si="25"/>
        <v>5.0736359952687904</v>
      </c>
      <c r="Y62" s="39">
        <f t="shared" si="25"/>
        <v>3.1885351721474811</v>
      </c>
      <c r="Z62" s="39">
        <f t="shared" si="25"/>
        <v>5.4060699777740728</v>
      </c>
      <c r="AA62" s="39">
        <f t="shared" si="25"/>
        <v>4.5425765733148484</v>
      </c>
      <c r="AB62" s="39">
        <f t="shared" si="25"/>
        <v>-5.7249623626132093</v>
      </c>
      <c r="AC62" s="39">
        <f t="shared" si="25"/>
        <v>5.7907106178217935</v>
      </c>
      <c r="AD62" s="39">
        <f t="shared" si="25"/>
        <v>-3.6869045383568286</v>
      </c>
      <c r="AE62" s="39">
        <f t="shared" si="26"/>
        <v>-4.998000025841252</v>
      </c>
      <c r="AF62" s="39">
        <f t="shared" si="26"/>
        <v>-1.3107782600625582</v>
      </c>
      <c r="AG62" s="39">
        <f t="shared" si="26"/>
        <v>1.1878977071485772</v>
      </c>
      <c r="AH62" s="39">
        <f t="shared" si="26"/>
        <v>5.9653903919688984</v>
      </c>
      <c r="AI62" s="39">
        <f t="shared" si="26"/>
        <v>-3.7861118393243913</v>
      </c>
      <c r="AJ62" s="39">
        <f t="shared" si="26"/>
        <v>-5.1230760553577079</v>
      </c>
      <c r="AK62" s="39">
        <f t="shared" si="26"/>
        <v>2.0771854620977166</v>
      </c>
      <c r="AL62" s="39">
        <f t="shared" si="26"/>
        <v>-2.7352488550263359</v>
      </c>
      <c r="AM62" s="39">
        <f t="shared" si="26"/>
        <v>5.2710157132036297</v>
      </c>
      <c r="AN62" s="39">
        <f t="shared" si="26"/>
        <v>5.3909538028924713</v>
      </c>
      <c r="AO62" s="39">
        <f t="shared" si="27"/>
        <v>4.8829635210188798</v>
      </c>
      <c r="AP62" s="39">
        <f t="shared" si="27"/>
        <v>-4.9597367767301197</v>
      </c>
      <c r="AQ62" s="39">
        <f t="shared" si="27"/>
        <v>5.7350687990276317</v>
      </c>
      <c r="AR62" s="39">
        <f t="shared" si="27"/>
        <v>4.2563022615167982</v>
      </c>
      <c r="AS62" s="39">
        <f t="shared" si="27"/>
        <v>-0.43426375732912714</v>
      </c>
      <c r="AT62" s="39">
        <f t="shared" si="27"/>
        <v>-1.6416163812669919</v>
      </c>
      <c r="AU62" s="39">
        <f t="shared" si="27"/>
        <v>-1.5749600601853129</v>
      </c>
      <c r="AV62" s="39">
        <f t="shared" si="27"/>
        <v>-4.0593960479554552</v>
      </c>
      <c r="AW62" s="39">
        <f t="shared" si="27"/>
        <v>3.3748622205633363</v>
      </c>
      <c r="AX62" s="39">
        <f t="shared" si="27"/>
        <v>-2.263341529022723</v>
      </c>
      <c r="AY62" s="39">
        <f t="shared" si="28"/>
        <v>3.1863074978963346</v>
      </c>
      <c r="AZ62" s="39">
        <f t="shared" si="28"/>
        <v>2.875988108178245</v>
      </c>
      <c r="BA62" s="39">
        <f t="shared" si="28"/>
        <v>5.9354187689467288</v>
      </c>
      <c r="BB62" s="39">
        <f t="shared" si="28"/>
        <v>-3.8034382979342234</v>
      </c>
      <c r="BC62" s="39">
        <f t="shared" si="28"/>
        <v>5.0927130047226123</v>
      </c>
      <c r="BD62" s="39">
        <f t="shared" si="28"/>
        <v>5.1407586890508821</v>
      </c>
      <c r="BE62" s="39">
        <f t="shared" si="28"/>
        <v>3.7349299739071533</v>
      </c>
      <c r="BF62" s="39">
        <f t="shared" si="28"/>
        <v>5.3377718141984545</v>
      </c>
      <c r="BG62" s="39">
        <f t="shared" si="28"/>
        <v>5.9926056232919294</v>
      </c>
      <c r="BH62" s="39">
        <f t="shared" si="28"/>
        <v>5.5831304929160304</v>
      </c>
      <c r="BI62" s="39">
        <f t="shared" si="28"/>
        <v>4.1820707218398878</v>
      </c>
      <c r="BJ62" s="39">
        <f t="shared" si="28"/>
        <v>2.0382597112260514</v>
      </c>
      <c r="BK62" s="39">
        <f t="shared" si="28"/>
        <v>-0.46755376842352159</v>
      </c>
      <c r="BL62" s="39">
        <f t="shared" si="28"/>
        <v>-2.890327968222663</v>
      </c>
      <c r="BM62" s="39">
        <f t="shared" si="28"/>
        <v>1.7118698450949903</v>
      </c>
    </row>
    <row r="63" spans="1:65" x14ac:dyDescent="0.25">
      <c r="A63" s="7">
        <v>0</v>
      </c>
      <c r="B63" s="7">
        <v>-1</v>
      </c>
      <c r="C63" s="7">
        <v>1</v>
      </c>
      <c r="D63" s="7">
        <v>0</v>
      </c>
      <c r="E63" s="7">
        <v>0</v>
      </c>
      <c r="F63" s="195">
        <v>5</v>
      </c>
      <c r="G63" s="7">
        <v>0</v>
      </c>
      <c r="H63" s="179"/>
      <c r="K63" s="39">
        <f t="shared" si="24"/>
        <v>-4.6434666130827935</v>
      </c>
      <c r="L63" s="39">
        <f t="shared" si="24"/>
        <v>-4.9082035916683662</v>
      </c>
      <c r="M63" s="39">
        <f t="shared" si="24"/>
        <v>3.3821142255630621</v>
      </c>
      <c r="N63" s="39">
        <f t="shared" si="24"/>
        <v>3.372622909928253</v>
      </c>
      <c r="O63" s="39">
        <f t="shared" si="24"/>
        <v>-2.3084681464029009</v>
      </c>
      <c r="P63" s="39">
        <f t="shared" si="24"/>
        <v>-4.9871813810021131</v>
      </c>
      <c r="Q63" s="39">
        <f t="shared" si="24"/>
        <v>4.3933296612989787</v>
      </c>
      <c r="R63" s="39">
        <f t="shared" si="24"/>
        <v>0.60536944098557377</v>
      </c>
      <c r="S63" s="39">
        <f t="shared" si="24"/>
        <v>-4.1613738395525433</v>
      </c>
      <c r="T63" s="39">
        <f t="shared" si="24"/>
        <v>4.9983000164719691</v>
      </c>
      <c r="U63" s="39">
        <f t="shared" si="25"/>
        <v>0.21953553543730475</v>
      </c>
      <c r="V63" s="39">
        <f t="shared" si="25"/>
        <v>-1.3561321114691012</v>
      </c>
      <c r="W63" s="39">
        <f t="shared" si="25"/>
        <v>-0.527554057556744</v>
      </c>
      <c r="X63" s="39">
        <f t="shared" si="25"/>
        <v>-1.556366360697111</v>
      </c>
      <c r="Y63" s="39">
        <f t="shared" si="25"/>
        <v>-4.2712729835128389</v>
      </c>
      <c r="Z63" s="39">
        <f t="shared" si="25"/>
        <v>4.045131994926888</v>
      </c>
      <c r="AA63" s="39">
        <f t="shared" si="25"/>
        <v>-3.0309097619630085</v>
      </c>
      <c r="AB63" s="39">
        <f t="shared" si="25"/>
        <v>-4.1581413116769621</v>
      </c>
      <c r="AC63" s="39">
        <f t="shared" si="25"/>
        <v>3.578511723956646</v>
      </c>
      <c r="AD63" s="39">
        <f t="shared" si="25"/>
        <v>-4.9952726631061752</v>
      </c>
      <c r="AE63" s="39">
        <f t="shared" si="26"/>
        <v>0.70194166220212861</v>
      </c>
      <c r="AF63" s="39">
        <f t="shared" si="26"/>
        <v>-3.1680377699530462</v>
      </c>
      <c r="AG63" s="39">
        <f t="shared" si="26"/>
        <v>3.7508113591734151</v>
      </c>
      <c r="AH63" s="39">
        <f t="shared" si="26"/>
        <v>-4.3218973930809472</v>
      </c>
      <c r="AI63" s="39">
        <f t="shared" si="26"/>
        <v>3.0338711769691722</v>
      </c>
      <c r="AJ63" s="39">
        <f t="shared" si="26"/>
        <v>1.7354652833232511</v>
      </c>
      <c r="AK63" s="39">
        <f t="shared" si="26"/>
        <v>3.6048355895548982</v>
      </c>
      <c r="AL63" s="39">
        <f t="shared" si="26"/>
        <v>4.742040268814427</v>
      </c>
      <c r="AM63" s="39">
        <f t="shared" si="26"/>
        <v>-2.4911867886231804</v>
      </c>
      <c r="AN63" s="39">
        <f t="shared" si="26"/>
        <v>1.6374181450425462</v>
      </c>
      <c r="AO63" s="39">
        <f t="shared" si="27"/>
        <v>3.5579859002956664</v>
      </c>
      <c r="AP63" s="39">
        <f t="shared" si="27"/>
        <v>-3.5964003246841174</v>
      </c>
      <c r="AQ63" s="39">
        <f t="shared" si="27"/>
        <v>-2.8048698795640892</v>
      </c>
      <c r="AR63" s="39">
        <f t="shared" si="27"/>
        <v>-3.3621252596733915</v>
      </c>
      <c r="AS63" s="39">
        <f t="shared" si="27"/>
        <v>4.9999767747563189</v>
      </c>
      <c r="AT63" s="39">
        <f t="shared" si="27"/>
        <v>-2.5764813010916421</v>
      </c>
      <c r="AU63" s="39">
        <f t="shared" si="27"/>
        <v>1.7652265674755578</v>
      </c>
      <c r="AV63" s="39">
        <f t="shared" si="27"/>
        <v>-0.55827313400515854</v>
      </c>
      <c r="AW63" s="39">
        <f t="shared" si="27"/>
        <v>4.9050488265126173</v>
      </c>
      <c r="AX63" s="39">
        <f t="shared" si="27"/>
        <v>1.5286855367185124</v>
      </c>
      <c r="AY63" s="39">
        <f t="shared" si="28"/>
        <v>-4.8616915588984062</v>
      </c>
      <c r="AZ63" s="39">
        <f t="shared" si="28"/>
        <v>4.7948624651127849</v>
      </c>
      <c r="BA63" s="39">
        <f t="shared" si="28"/>
        <v>-1.7504990821030209</v>
      </c>
      <c r="BB63" s="39">
        <f t="shared" si="28"/>
        <v>-4.9277356773987142</v>
      </c>
      <c r="BC63" s="39">
        <f t="shared" si="28"/>
        <v>-3.0191272818913335</v>
      </c>
      <c r="BD63" s="39">
        <f t="shared" si="28"/>
        <v>-3.160672299507794</v>
      </c>
      <c r="BE63" s="39">
        <f t="shared" si="28"/>
        <v>4.8496284209337981</v>
      </c>
      <c r="BF63" s="39">
        <f t="shared" si="28"/>
        <v>4.9969297852269925</v>
      </c>
      <c r="BG63" s="39">
        <f t="shared" si="28"/>
        <v>4.9229527649245401</v>
      </c>
      <c r="BH63" s="39">
        <f t="shared" si="28"/>
        <v>4.6309732746879622</v>
      </c>
      <c r="BI63" s="39">
        <f t="shared" si="28"/>
        <v>4.1339210038881369</v>
      </c>
      <c r="BJ63" s="39">
        <f t="shared" si="28"/>
        <v>3.4538068528721162</v>
      </c>
      <c r="BK63" s="39">
        <f t="shared" si="28"/>
        <v>2.6207482271523723</v>
      </c>
      <c r="BL63" s="39">
        <f t="shared" si="28"/>
        <v>1.6716353523118055</v>
      </c>
      <c r="BM63" s="39">
        <f t="shared" si="28"/>
        <v>3.4926069926957437</v>
      </c>
    </row>
    <row r="64" spans="1:65" x14ac:dyDescent="0.25">
      <c r="A64" s="7">
        <v>-2</v>
      </c>
      <c r="B64" s="7">
        <v>-1</v>
      </c>
      <c r="C64" s="7">
        <v>0</v>
      </c>
      <c r="D64" s="7">
        <v>2</v>
      </c>
      <c r="E64" s="7">
        <v>1</v>
      </c>
      <c r="F64" s="195">
        <v>-5</v>
      </c>
      <c r="G64" s="7">
        <v>0</v>
      </c>
      <c r="H64" s="179"/>
      <c r="K64" s="39">
        <f t="shared" si="24"/>
        <v>4.7910781629347685</v>
      </c>
      <c r="L64" s="39">
        <f t="shared" si="24"/>
        <v>4.1320127919346623</v>
      </c>
      <c r="M64" s="39">
        <f t="shared" si="24"/>
        <v>-4.8971713994047983</v>
      </c>
      <c r="N64" s="39">
        <f t="shared" si="24"/>
        <v>-4.273834057638088</v>
      </c>
      <c r="O64" s="39">
        <f t="shared" si="24"/>
        <v>2.7483044983261844</v>
      </c>
      <c r="P64" s="39">
        <f t="shared" si="24"/>
        <v>-0.20848634962756088</v>
      </c>
      <c r="Q64" s="39">
        <f t="shared" si="24"/>
        <v>3.9641275152999218</v>
      </c>
      <c r="R64" s="39">
        <f t="shared" si="24"/>
        <v>-1.916239833128891</v>
      </c>
      <c r="S64" s="39">
        <f t="shared" si="24"/>
        <v>4.2285266674381852</v>
      </c>
      <c r="T64" s="39">
        <f t="shared" si="24"/>
        <v>4.8165982273685728</v>
      </c>
      <c r="U64" s="39">
        <f t="shared" si="25"/>
        <v>4.9904585987895818</v>
      </c>
      <c r="V64" s="39">
        <f t="shared" si="25"/>
        <v>0.68490743853236125</v>
      </c>
      <c r="W64" s="39">
        <f t="shared" si="25"/>
        <v>-2.870154935339424</v>
      </c>
      <c r="X64" s="39">
        <f t="shared" si="25"/>
        <v>-2.9438977839810594</v>
      </c>
      <c r="Y64" s="39">
        <f t="shared" si="25"/>
        <v>-2.3202312110556238</v>
      </c>
      <c r="Z64" s="39">
        <f t="shared" si="25"/>
        <v>-1.0952297872367136</v>
      </c>
      <c r="AA64" s="39">
        <f t="shared" si="25"/>
        <v>-0.86718333694394401</v>
      </c>
      <c r="AB64" s="39">
        <f t="shared" si="25"/>
        <v>-4.3010614049033506</v>
      </c>
      <c r="AC64" s="39">
        <f t="shared" si="25"/>
        <v>4.7228833828839738</v>
      </c>
      <c r="AD64" s="39">
        <f t="shared" si="25"/>
        <v>-2.4127931045885131</v>
      </c>
      <c r="AE64" s="39">
        <f t="shared" si="26"/>
        <v>-3.2095769664393119</v>
      </c>
      <c r="AF64" s="39">
        <f t="shared" si="26"/>
        <v>2.4966399302593705</v>
      </c>
      <c r="AG64" s="39">
        <f t="shared" si="26"/>
        <v>-4.8878265290700531</v>
      </c>
      <c r="AH64" s="39">
        <f t="shared" si="26"/>
        <v>-4.9848011240315238</v>
      </c>
      <c r="AI64" s="39">
        <f t="shared" si="26"/>
        <v>1.582077890879575</v>
      </c>
      <c r="AJ64" s="39">
        <f t="shared" si="26"/>
        <v>3.0938182207791205</v>
      </c>
      <c r="AK64" s="39">
        <f t="shared" si="26"/>
        <v>-3.4232277667294495</v>
      </c>
      <c r="AL64" s="39">
        <f t="shared" si="26"/>
        <v>4.680543536800319</v>
      </c>
      <c r="AM64" s="39">
        <f t="shared" si="26"/>
        <v>3.2115250073121269</v>
      </c>
      <c r="AN64" s="39">
        <f t="shared" si="26"/>
        <v>2.8618618656753569</v>
      </c>
      <c r="AO64" s="39">
        <f t="shared" si="27"/>
        <v>-1.497494890295711</v>
      </c>
      <c r="AP64" s="39">
        <f t="shared" si="27"/>
        <v>-4.6258351185130397</v>
      </c>
      <c r="AQ64" s="39">
        <f t="shared" si="27"/>
        <v>-2.1339659990086881</v>
      </c>
      <c r="AR64" s="39">
        <f t="shared" si="27"/>
        <v>-1.9678512716676977</v>
      </c>
      <c r="AS64" s="39">
        <f t="shared" si="27"/>
        <v>4.6516776892726064</v>
      </c>
      <c r="AT64" s="39">
        <f t="shared" si="27"/>
        <v>-0.21366766296606921</v>
      </c>
      <c r="AU64" s="39">
        <f t="shared" si="27"/>
        <v>4.9317834287854625</v>
      </c>
      <c r="AV64" s="39">
        <f t="shared" si="27"/>
        <v>-4.4285112929006782</v>
      </c>
      <c r="AW64" s="39">
        <f t="shared" si="27"/>
        <v>-4.6884237388404024</v>
      </c>
      <c r="AX64" s="39">
        <f t="shared" si="27"/>
        <v>-4.868608222189291</v>
      </c>
      <c r="AY64" s="39">
        <f t="shared" si="28"/>
        <v>-4.9805437321644446</v>
      </c>
      <c r="AZ64" s="39">
        <f t="shared" si="28"/>
        <v>-4.9214949215717683</v>
      </c>
      <c r="BA64" s="39">
        <f t="shared" si="28"/>
        <v>-4.7703255299784431</v>
      </c>
      <c r="BB64" s="39">
        <f t="shared" si="28"/>
        <v>4.9935423275991635</v>
      </c>
      <c r="BC64" s="39">
        <f t="shared" si="28"/>
        <v>4.9673404884653944</v>
      </c>
      <c r="BD64" s="39">
        <f t="shared" si="28"/>
        <v>-4.8036480079963759</v>
      </c>
      <c r="BE64" s="39">
        <f t="shared" si="28"/>
        <v>-3.75482603135818</v>
      </c>
      <c r="BF64" s="39">
        <f t="shared" si="28"/>
        <v>-3.694359555105633</v>
      </c>
      <c r="BG64" s="39">
        <f t="shared" si="28"/>
        <v>-3.6326790781633038</v>
      </c>
      <c r="BH64" s="39">
        <f t="shared" si="28"/>
        <v>-3.5698048692956323</v>
      </c>
      <c r="BI64" s="39">
        <f t="shared" si="28"/>
        <v>-3.5057575895593978</v>
      </c>
      <c r="BJ64" s="39">
        <f t="shared" si="28"/>
        <v>-3.4405582854755319</v>
      </c>
      <c r="BK64" s="39">
        <f t="shared" si="28"/>
        <v>-3.3742283821397363</v>
      </c>
      <c r="BL64" s="39">
        <f t="shared" si="28"/>
        <v>-3.3067896761712863</v>
      </c>
      <c r="BM64" s="39">
        <f t="shared" si="28"/>
        <v>-3.4132287557940444</v>
      </c>
    </row>
    <row r="65" spans="1:65" x14ac:dyDescent="0.25">
      <c r="A65" s="7">
        <v>-2</v>
      </c>
      <c r="B65" s="7">
        <v>0</v>
      </c>
      <c r="C65" s="7">
        <v>0</v>
      </c>
      <c r="D65" s="7">
        <v>0</v>
      </c>
      <c r="E65" s="7">
        <v>1</v>
      </c>
      <c r="F65" s="195">
        <v>-5</v>
      </c>
      <c r="G65" s="7">
        <v>0</v>
      </c>
      <c r="H65" s="179"/>
      <c r="K65" s="39">
        <f t="shared" si="24"/>
        <v>3.1513436848389329</v>
      </c>
      <c r="L65" s="39">
        <f t="shared" si="24"/>
        <v>-4.994450406886183</v>
      </c>
      <c r="M65" s="39">
        <f t="shared" si="24"/>
        <v>4.6785698640233768</v>
      </c>
      <c r="N65" s="39">
        <f t="shared" si="24"/>
        <v>1.1868733930164459E-2</v>
      </c>
      <c r="O65" s="39">
        <f t="shared" si="24"/>
        <v>-4.939033554229284</v>
      </c>
      <c r="P65" s="39">
        <f t="shared" si="24"/>
        <v>-0.46188849152664935</v>
      </c>
      <c r="Q65" s="39">
        <f t="shared" si="24"/>
        <v>-1.5061533862753498</v>
      </c>
      <c r="R65" s="39">
        <f t="shared" si="24"/>
        <v>3.923348798787595</v>
      </c>
      <c r="S65" s="39">
        <f t="shared" si="24"/>
        <v>4.9845278638591504</v>
      </c>
      <c r="T65" s="39">
        <f t="shared" si="24"/>
        <v>4.2499475623501901</v>
      </c>
      <c r="U65" s="39">
        <f t="shared" si="25"/>
        <v>-1.9708337935100402</v>
      </c>
      <c r="V65" s="39">
        <f t="shared" si="25"/>
        <v>4.9934839334665</v>
      </c>
      <c r="W65" s="39">
        <f t="shared" si="25"/>
        <v>1.9175341073342842</v>
      </c>
      <c r="X65" s="39">
        <f t="shared" si="25"/>
        <v>3.6559073382443441</v>
      </c>
      <c r="Y65" s="39">
        <f t="shared" si="25"/>
        <v>-2.6610926599867457</v>
      </c>
      <c r="Z65" s="39">
        <f t="shared" si="25"/>
        <v>-4.9011946134858526</v>
      </c>
      <c r="AA65" s="39">
        <f t="shared" si="25"/>
        <v>-1.2304069533292441</v>
      </c>
      <c r="AB65" s="39">
        <f t="shared" si="25"/>
        <v>4.1963357239622852</v>
      </c>
      <c r="AC65" s="39">
        <f t="shared" si="25"/>
        <v>-4.959156027993715</v>
      </c>
      <c r="AD65" s="39">
        <f t="shared" si="25"/>
        <v>-3.6398029857275911</v>
      </c>
      <c r="AE65" s="39">
        <f t="shared" si="26"/>
        <v>4.65503141323655</v>
      </c>
      <c r="AF65" s="39">
        <f t="shared" si="26"/>
        <v>2.0747279391289948</v>
      </c>
      <c r="AG65" s="39">
        <f t="shared" si="26"/>
        <v>4.9458636741200852</v>
      </c>
      <c r="AH65" s="39">
        <f t="shared" si="26"/>
        <v>4.0146646042607141</v>
      </c>
      <c r="AI65" s="39">
        <f t="shared" si="26"/>
        <v>2.2436170580293178</v>
      </c>
      <c r="AJ65" s="39">
        <f t="shared" si="26"/>
        <v>3.2872437804867256</v>
      </c>
      <c r="AK65" s="39">
        <f t="shared" si="26"/>
        <v>2.8256250082801775</v>
      </c>
      <c r="AL65" s="39">
        <f t="shared" si="26"/>
        <v>-0.80231622402809222</v>
      </c>
      <c r="AM65" s="39">
        <f t="shared" si="26"/>
        <v>3.8734272473550337</v>
      </c>
      <c r="AN65" s="39">
        <f t="shared" si="26"/>
        <v>4.4950362090267202</v>
      </c>
      <c r="AO65" s="39">
        <f t="shared" si="27"/>
        <v>3.504878226737981</v>
      </c>
      <c r="AP65" s="39">
        <f t="shared" si="27"/>
        <v>-2.0246003954888177</v>
      </c>
      <c r="AQ65" s="39">
        <f t="shared" si="27"/>
        <v>1.4904333588909571</v>
      </c>
      <c r="AR65" s="39">
        <f t="shared" si="27"/>
        <v>4.5550985524374905</v>
      </c>
      <c r="AS65" s="39">
        <f t="shared" si="27"/>
        <v>-4.8847521348632226</v>
      </c>
      <c r="AT65" s="39">
        <f t="shared" si="27"/>
        <v>-4.8483727796684608</v>
      </c>
      <c r="AU65" s="39">
        <f t="shared" si="27"/>
        <v>-1.5746824945515028</v>
      </c>
      <c r="AV65" s="39">
        <f t="shared" si="27"/>
        <v>-3.7247481435458534</v>
      </c>
      <c r="AW65" s="39">
        <f t="shared" si="27"/>
        <v>4.1332502611177988</v>
      </c>
      <c r="AX65" s="39">
        <f t="shared" si="27"/>
        <v>-4.6056059929443531</v>
      </c>
      <c r="AY65" s="39">
        <f t="shared" si="28"/>
        <v>4.1621468330844991</v>
      </c>
      <c r="AZ65" s="39">
        <f t="shared" si="28"/>
        <v>4.2509192462713612</v>
      </c>
      <c r="BA65" s="39">
        <f t="shared" si="28"/>
        <v>4.9226636306731573</v>
      </c>
      <c r="BB65" s="39">
        <f t="shared" si="28"/>
        <v>1.6866372572909718</v>
      </c>
      <c r="BC65" s="39">
        <f t="shared" si="28"/>
        <v>4.2332618128204933</v>
      </c>
      <c r="BD65" s="39">
        <f t="shared" si="28"/>
        <v>3.4384621556587587</v>
      </c>
      <c r="BE65" s="39">
        <f t="shared" si="28"/>
        <v>3.5477376936321154</v>
      </c>
      <c r="BF65" s="39">
        <f t="shared" si="28"/>
        <v>1.7725700260057067</v>
      </c>
      <c r="BG65" s="39">
        <f t="shared" si="28"/>
        <v>-0.32011776757059468</v>
      </c>
      <c r="BH65" s="39">
        <f t="shared" si="28"/>
        <v>-2.3554629273495662</v>
      </c>
      <c r="BI65" s="39">
        <f t="shared" si="28"/>
        <v>-3.9688744684911441</v>
      </c>
      <c r="BJ65" s="39">
        <f t="shared" si="28"/>
        <v>-4.8713422936585777</v>
      </c>
      <c r="BK65" s="39">
        <f t="shared" si="28"/>
        <v>-4.9012075158662602</v>
      </c>
      <c r="BL65" s="39">
        <f t="shared" si="28"/>
        <v>-4.0531203836346439</v>
      </c>
      <c r="BM65" s="39">
        <f t="shared" si="28"/>
        <v>3.0854829375468622</v>
      </c>
    </row>
    <row r="66" spans="1:65" x14ac:dyDescent="0.25">
      <c r="A66" s="7">
        <v>0</v>
      </c>
      <c r="B66" s="7">
        <v>0</v>
      </c>
      <c r="C66" s="7">
        <v>2</v>
      </c>
      <c r="D66" s="7">
        <v>2</v>
      </c>
      <c r="E66" s="7">
        <v>1</v>
      </c>
      <c r="F66" s="195">
        <v>-5</v>
      </c>
      <c r="G66" s="7">
        <v>0</v>
      </c>
      <c r="H66" s="179"/>
      <c r="K66" s="39">
        <f t="shared" si="24"/>
        <v>-2.0324139814608739</v>
      </c>
      <c r="L66" s="39">
        <f t="shared" si="24"/>
        <v>-4.6838551351917577</v>
      </c>
      <c r="M66" s="39">
        <f t="shared" si="24"/>
        <v>3.3140347675249409</v>
      </c>
      <c r="N66" s="39">
        <f t="shared" si="24"/>
        <v>-4.9284580495925425</v>
      </c>
      <c r="O66" s="39">
        <f t="shared" si="24"/>
        <v>-1.5850958625608094</v>
      </c>
      <c r="P66" s="39">
        <f t="shared" si="24"/>
        <v>-3.1874652102411778</v>
      </c>
      <c r="Q66" s="39">
        <f t="shared" si="24"/>
        <v>4.8730180753408128</v>
      </c>
      <c r="R66" s="39">
        <f t="shared" si="24"/>
        <v>4.7423661706032263</v>
      </c>
      <c r="S66" s="39">
        <f t="shared" si="24"/>
        <v>1.4069022606207494E-2</v>
      </c>
      <c r="T66" s="39">
        <f t="shared" si="24"/>
        <v>-4.9573378565932069</v>
      </c>
      <c r="U66" s="39">
        <f t="shared" si="25"/>
        <v>-0.17001175612600478</v>
      </c>
      <c r="V66" s="39">
        <f t="shared" si="25"/>
        <v>1.2604402157933849</v>
      </c>
      <c r="W66" s="39">
        <f t="shared" si="25"/>
        <v>4.8114003434417807</v>
      </c>
      <c r="X66" s="39">
        <f t="shared" si="25"/>
        <v>1.8468969319577941</v>
      </c>
      <c r="Y66" s="39">
        <f t="shared" si="25"/>
        <v>-2.0789153941532419</v>
      </c>
      <c r="Z66" s="39">
        <f t="shared" si="25"/>
        <v>-1.831301060278552</v>
      </c>
      <c r="AA66" s="39">
        <f t="shared" si="25"/>
        <v>0.97145820165614438</v>
      </c>
      <c r="AB66" s="39">
        <f t="shared" si="25"/>
        <v>-2.4885184085425793</v>
      </c>
      <c r="AC66" s="39">
        <f t="shared" si="25"/>
        <v>-2.982926124343491</v>
      </c>
      <c r="AD66" s="39">
        <f t="shared" si="25"/>
        <v>-0.39060276885571665</v>
      </c>
      <c r="AE66" s="39">
        <f t="shared" si="26"/>
        <v>-4.9356659377708088</v>
      </c>
      <c r="AF66" s="39">
        <f t="shared" si="26"/>
        <v>4.4547327231973499</v>
      </c>
      <c r="AG66" s="39">
        <f t="shared" si="26"/>
        <v>1.3148558097328666</v>
      </c>
      <c r="AH66" s="39">
        <f t="shared" si="26"/>
        <v>0.10146555310808185</v>
      </c>
      <c r="AI66" s="39">
        <f t="shared" si="26"/>
        <v>-4.9766678137029858</v>
      </c>
      <c r="AJ66" s="39">
        <f t="shared" si="26"/>
        <v>-4.9799514845744106</v>
      </c>
      <c r="AK66" s="39">
        <f t="shared" si="26"/>
        <v>4.9790203681422334</v>
      </c>
      <c r="AL66" s="39">
        <f t="shared" si="26"/>
        <v>4.8621519850646395</v>
      </c>
      <c r="AM66" s="39">
        <f t="shared" si="26"/>
        <v>3.7703781310717561</v>
      </c>
      <c r="AN66" s="39">
        <f t="shared" si="26"/>
        <v>-0.87669097776606453</v>
      </c>
      <c r="AO66" s="39">
        <f t="shared" si="27"/>
        <v>-2.7533153980862779</v>
      </c>
      <c r="AP66" s="39">
        <f t="shared" si="27"/>
        <v>-1.5618277520903652</v>
      </c>
      <c r="AQ66" s="39">
        <f t="shared" si="27"/>
        <v>4.531661536002936</v>
      </c>
      <c r="AR66" s="39">
        <f t="shared" si="27"/>
        <v>4.3683098174450175</v>
      </c>
      <c r="AS66" s="39">
        <f t="shared" si="27"/>
        <v>-3.6965303189804204</v>
      </c>
      <c r="AT66" s="39">
        <f t="shared" si="27"/>
        <v>1.6011441751591429</v>
      </c>
      <c r="AU66" s="39">
        <f t="shared" si="27"/>
        <v>-2.9970173011103225</v>
      </c>
      <c r="AV66" s="39">
        <f t="shared" si="27"/>
        <v>-4.7025721235460827</v>
      </c>
      <c r="AW66" s="39">
        <f t="shared" si="27"/>
        <v>-4.3067875040012495</v>
      </c>
      <c r="AX66" s="39">
        <f t="shared" si="27"/>
        <v>-4.1851044745833201</v>
      </c>
      <c r="AY66" s="39">
        <f t="shared" si="28"/>
        <v>-0.58506919389427448</v>
      </c>
      <c r="AZ66" s="39">
        <f t="shared" si="28"/>
        <v>3.4263623691121339</v>
      </c>
      <c r="BA66" s="39">
        <f t="shared" si="28"/>
        <v>1.1488589841224151</v>
      </c>
      <c r="BB66" s="39">
        <f t="shared" si="28"/>
        <v>-4.8251340831617702</v>
      </c>
      <c r="BC66" s="39">
        <f t="shared" si="28"/>
        <v>1.2575216721484042</v>
      </c>
      <c r="BD66" s="39">
        <f t="shared" si="28"/>
        <v>4.0814857481527413</v>
      </c>
      <c r="BE66" s="39">
        <f t="shared" si="28"/>
        <v>5.8552510576361794E-2</v>
      </c>
      <c r="BF66" s="39">
        <f t="shared" si="28"/>
        <v>-3.9327765485221313</v>
      </c>
      <c r="BG66" s="39">
        <f t="shared" si="28"/>
        <v>-4.8429052181772452</v>
      </c>
      <c r="BH66" s="39">
        <f t="shared" si="28"/>
        <v>-1.9587777788971761</v>
      </c>
      <c r="BI66" s="39">
        <f t="shared" si="28"/>
        <v>2.4599872836324228</v>
      </c>
      <c r="BJ66" s="39">
        <f t="shared" si="28"/>
        <v>4.9514336483243753</v>
      </c>
      <c r="BK66" s="39">
        <f t="shared" si="28"/>
        <v>3.5635954675251211</v>
      </c>
      <c r="BL66" s="39">
        <f t="shared" si="28"/>
        <v>-0.61620193265563705</v>
      </c>
      <c r="BM66" s="39">
        <f t="shared" si="28"/>
        <v>4.8680598642085844</v>
      </c>
    </row>
    <row r="67" spans="1:65" x14ac:dyDescent="0.25">
      <c r="A67" s="7">
        <v>-2</v>
      </c>
      <c r="B67" s="7">
        <v>0</v>
      </c>
      <c r="C67" s="7">
        <v>2</v>
      </c>
      <c r="D67" s="7">
        <v>0</v>
      </c>
      <c r="E67" s="7">
        <v>1</v>
      </c>
      <c r="F67" s="195">
        <v>4</v>
      </c>
      <c r="G67" s="7">
        <v>0</v>
      </c>
      <c r="H67" s="179"/>
      <c r="K67" s="39">
        <f t="shared" si="24"/>
        <v>-3.9462083618407586</v>
      </c>
      <c r="L67" s="39">
        <f t="shared" si="24"/>
        <v>-0.67240877938249721</v>
      </c>
      <c r="M67" s="39">
        <f t="shared" si="24"/>
        <v>1.4158740410095543</v>
      </c>
      <c r="N67" s="39">
        <f t="shared" si="24"/>
        <v>-3.9336811358051484</v>
      </c>
      <c r="O67" s="39">
        <f t="shared" si="24"/>
        <v>3.8066204927631038</v>
      </c>
      <c r="P67" s="39">
        <f t="shared" si="24"/>
        <v>-2.8075973131028062</v>
      </c>
      <c r="Q67" s="39">
        <f t="shared" si="24"/>
        <v>-1.9403901590510473</v>
      </c>
      <c r="R67" s="39">
        <f t="shared" si="24"/>
        <v>-2.3503368472285402</v>
      </c>
      <c r="S67" s="39">
        <f t="shared" si="24"/>
        <v>1.9535567660165043</v>
      </c>
      <c r="T67" s="39">
        <f t="shared" si="24"/>
        <v>3.2205179524175493</v>
      </c>
      <c r="U67" s="39">
        <f t="shared" si="25"/>
        <v>1.7059758395809845</v>
      </c>
      <c r="V67" s="39">
        <f t="shared" si="25"/>
        <v>3.6378063299236802</v>
      </c>
      <c r="W67" s="39">
        <f t="shared" si="25"/>
        <v>2.9955859603054424</v>
      </c>
      <c r="X67" s="39">
        <f t="shared" si="25"/>
        <v>3.0727044424737859</v>
      </c>
      <c r="Y67" s="39">
        <f t="shared" si="25"/>
        <v>-3.6956320629733619</v>
      </c>
      <c r="Z67" s="39">
        <f t="shared" si="25"/>
        <v>1.3325836472681503</v>
      </c>
      <c r="AA67" s="39">
        <f t="shared" si="25"/>
        <v>3.0035927156714335</v>
      </c>
      <c r="AB67" s="39">
        <f t="shared" si="25"/>
        <v>2.6593323699870717</v>
      </c>
      <c r="AC67" s="39">
        <f t="shared" si="25"/>
        <v>-1.0948488373793561</v>
      </c>
      <c r="AD67" s="39">
        <f t="shared" si="25"/>
        <v>3.3553111612246633</v>
      </c>
      <c r="AE67" s="39">
        <f t="shared" si="26"/>
        <v>2.1337202855439843</v>
      </c>
      <c r="AF67" s="39">
        <f t="shared" si="26"/>
        <v>2.9421076235022605</v>
      </c>
      <c r="AG67" s="39">
        <f t="shared" si="26"/>
        <v>1.471070519146608</v>
      </c>
      <c r="AH67" s="39">
        <f t="shared" si="26"/>
        <v>3.3530812922183517</v>
      </c>
      <c r="AI67" s="39">
        <f t="shared" si="26"/>
        <v>2.1369620027846712</v>
      </c>
      <c r="AJ67" s="39">
        <f t="shared" si="26"/>
        <v>3.5704364726425903</v>
      </c>
      <c r="AK67" s="39">
        <f t="shared" si="26"/>
        <v>2.4394963107661298</v>
      </c>
      <c r="AL67" s="39">
        <f t="shared" si="26"/>
        <v>3.3047447864189126</v>
      </c>
      <c r="AM67" s="39">
        <f t="shared" si="26"/>
        <v>0.62537673707965369</v>
      </c>
      <c r="AN67" s="39">
        <f t="shared" si="26"/>
        <v>3.9861969342910952</v>
      </c>
      <c r="AO67" s="39">
        <f t="shared" si="27"/>
        <v>2.482712496742089</v>
      </c>
      <c r="AP67" s="39">
        <f t="shared" si="27"/>
        <v>-0.82471260057388029</v>
      </c>
      <c r="AQ67" s="39">
        <f t="shared" si="27"/>
        <v>3.0829988996175266</v>
      </c>
      <c r="AR67" s="39">
        <f t="shared" si="27"/>
        <v>0.65590141626316245</v>
      </c>
      <c r="AS67" s="39">
        <f t="shared" si="27"/>
        <v>-1.9276698787307083</v>
      </c>
      <c r="AT67" s="39">
        <f t="shared" si="27"/>
        <v>-2.5067826299163212</v>
      </c>
      <c r="AU67" s="39">
        <f t="shared" si="27"/>
        <v>-3.9902523337061031</v>
      </c>
      <c r="AV67" s="39">
        <f t="shared" si="27"/>
        <v>-1.1977044702551414</v>
      </c>
      <c r="AW67" s="39">
        <f t="shared" si="27"/>
        <v>-1.9627679061411871</v>
      </c>
      <c r="AX67" s="39">
        <f t="shared" si="27"/>
        <v>-2.6289732278500071</v>
      </c>
      <c r="AY67" s="39">
        <f t="shared" si="28"/>
        <v>-3.2493821046604801</v>
      </c>
      <c r="AZ67" s="39">
        <f t="shared" si="28"/>
        <v>-3.9288334619290866</v>
      </c>
      <c r="BA67" s="39">
        <f t="shared" si="28"/>
        <v>-3.8598737645477521</v>
      </c>
      <c r="BB67" s="39">
        <f t="shared" si="28"/>
        <v>1.7643240410657814</v>
      </c>
      <c r="BC67" s="39">
        <f t="shared" si="28"/>
        <v>-3.132331745630494</v>
      </c>
      <c r="BD67" s="39">
        <f t="shared" si="28"/>
        <v>-0.94043821285744611</v>
      </c>
      <c r="BE67" s="39">
        <f t="shared" si="28"/>
        <v>-3.0622952793170266</v>
      </c>
      <c r="BF67" s="39">
        <f t="shared" si="28"/>
        <v>-2.9848121204251452</v>
      </c>
      <c r="BG67" s="39">
        <f t="shared" si="28"/>
        <v>-2.9047152771464204</v>
      </c>
      <c r="BH67" s="39">
        <f t="shared" si="28"/>
        <v>-2.822074887177576</v>
      </c>
      <c r="BI67" s="39">
        <f t="shared" si="28"/>
        <v>-2.7369633155135724</v>
      </c>
      <c r="BJ67" s="39">
        <f t="shared" si="28"/>
        <v>-2.6494550910615549</v>
      </c>
      <c r="BK67" s="39">
        <f t="shared" si="28"/>
        <v>-2.5596268413804846</v>
      </c>
      <c r="BL67" s="39">
        <f t="shared" si="28"/>
        <v>-2.4675572255958778</v>
      </c>
      <c r="BM67" s="39">
        <f t="shared" si="28"/>
        <v>2.4252921048112861</v>
      </c>
    </row>
    <row r="68" spans="1:65" x14ac:dyDescent="0.25">
      <c r="A68" s="7">
        <v>-2</v>
      </c>
      <c r="B68" s="7">
        <v>1</v>
      </c>
      <c r="C68" s="7">
        <v>0</v>
      </c>
      <c r="D68" s="7">
        <v>2</v>
      </c>
      <c r="E68" s="7">
        <v>1</v>
      </c>
      <c r="F68" s="195">
        <v>4</v>
      </c>
      <c r="G68" s="7">
        <v>0</v>
      </c>
      <c r="H68" s="179"/>
      <c r="K68" s="39">
        <f t="shared" si="24"/>
        <v>3.8706868057483574</v>
      </c>
      <c r="L68" s="39">
        <f t="shared" si="24"/>
        <v>-1.3190873852720049</v>
      </c>
      <c r="M68" s="39">
        <f t="shared" si="24"/>
        <v>3.8335961138637442</v>
      </c>
      <c r="N68" s="39">
        <f t="shared" si="24"/>
        <v>3.2077539775594865</v>
      </c>
      <c r="O68" s="39">
        <f t="shared" si="24"/>
        <v>-3.9317993441258117</v>
      </c>
      <c r="P68" s="39">
        <f t="shared" si="24"/>
        <v>-1.9198031043342043</v>
      </c>
      <c r="Q68" s="39">
        <f t="shared" si="24"/>
        <v>-3.9610789106939706</v>
      </c>
      <c r="R68" s="39">
        <f t="shared" si="24"/>
        <v>-0.49284952349257599</v>
      </c>
      <c r="S68" s="39">
        <f t="shared" si="24"/>
        <v>-3.457363130438333</v>
      </c>
      <c r="T68" s="39">
        <f t="shared" si="24"/>
        <v>-3.9611647248816451</v>
      </c>
      <c r="U68" s="39">
        <f t="shared" si="25"/>
        <v>-3.9316842667172289</v>
      </c>
      <c r="V68" s="39">
        <f t="shared" si="25"/>
        <v>-3.1128444959188921</v>
      </c>
      <c r="W68" s="39">
        <f t="shared" si="25"/>
        <v>3.9904280427486518</v>
      </c>
      <c r="X68" s="39">
        <f t="shared" si="25"/>
        <v>3.9704019550879139</v>
      </c>
      <c r="Y68" s="39">
        <f t="shared" si="25"/>
        <v>-3.7669473056212786</v>
      </c>
      <c r="Z68" s="39">
        <f t="shared" si="25"/>
        <v>-1.7233263642174479</v>
      </c>
      <c r="AA68" s="39">
        <f t="shared" si="25"/>
        <v>-1.4790900868402637</v>
      </c>
      <c r="AB68" s="39">
        <f t="shared" si="25"/>
        <v>-1.8825300091233188</v>
      </c>
      <c r="AC68" s="39">
        <f t="shared" si="25"/>
        <v>3.4942915951713815</v>
      </c>
      <c r="AD68" s="39">
        <f t="shared" si="25"/>
        <v>-2.7854998018891308</v>
      </c>
      <c r="AE68" s="39">
        <f t="shared" si="26"/>
        <v>3.2915982441923455</v>
      </c>
      <c r="AF68" s="39">
        <f t="shared" si="26"/>
        <v>-1.5751019459217175</v>
      </c>
      <c r="AG68" s="39">
        <f t="shared" si="26"/>
        <v>3.8022887711912348</v>
      </c>
      <c r="AH68" s="39">
        <f t="shared" si="26"/>
        <v>3.9860515425437222</v>
      </c>
      <c r="AI68" s="39">
        <f t="shared" si="26"/>
        <v>-3.5284273420097341</v>
      </c>
      <c r="AJ68" s="39">
        <f t="shared" si="26"/>
        <v>0.22005781302357755</v>
      </c>
      <c r="AK68" s="39">
        <f t="shared" si="26"/>
        <v>2.872097342168189</v>
      </c>
      <c r="AL68" s="39">
        <f t="shared" si="26"/>
        <v>-3.9668532571277777</v>
      </c>
      <c r="AM68" s="39">
        <f t="shared" si="26"/>
        <v>3.3903064552329205</v>
      </c>
      <c r="AN68" s="39">
        <f t="shared" si="26"/>
        <v>3.8831774088749098</v>
      </c>
      <c r="AO68" s="39">
        <f t="shared" si="27"/>
        <v>-0.76519229521253229</v>
      </c>
      <c r="AP68" s="39">
        <f t="shared" si="27"/>
        <v>-3.4669320875990826</v>
      </c>
      <c r="AQ68" s="39">
        <f t="shared" si="27"/>
        <v>1.6766572810940623</v>
      </c>
      <c r="AR68" s="39">
        <f t="shared" si="27"/>
        <v>-3.1294291793841458</v>
      </c>
      <c r="AS68" s="39">
        <f t="shared" si="27"/>
        <v>-2.4817033097861412</v>
      </c>
      <c r="AT68" s="39">
        <f t="shared" si="27"/>
        <v>5.975067352255483E-2</v>
      </c>
      <c r="AU68" s="39">
        <f t="shared" si="27"/>
        <v>-2.3774103038063572</v>
      </c>
      <c r="AV68" s="39">
        <f t="shared" si="27"/>
        <v>-2.8000418554941815</v>
      </c>
      <c r="AW68" s="39">
        <f t="shared" si="27"/>
        <v>-3.6445780973876767</v>
      </c>
      <c r="AX68" s="39">
        <f t="shared" si="27"/>
        <v>-3.9922826531410607</v>
      </c>
      <c r="AY68" s="39">
        <f t="shared" si="28"/>
        <v>-3.7602975510939047</v>
      </c>
      <c r="AZ68" s="39">
        <f t="shared" si="28"/>
        <v>-1.7504066073823583</v>
      </c>
      <c r="BA68" s="39">
        <f t="shared" si="28"/>
        <v>0.43746461752771282</v>
      </c>
      <c r="BB68" s="39">
        <f t="shared" si="28"/>
        <v>1.8481873780793336</v>
      </c>
      <c r="BC68" s="39">
        <f t="shared" si="28"/>
        <v>-3.9949813075039282</v>
      </c>
      <c r="BD68" s="39">
        <f t="shared" si="28"/>
        <v>-3.9831588810677738</v>
      </c>
      <c r="BE68" s="39">
        <f t="shared" si="28"/>
        <v>3.6056544054080457</v>
      </c>
      <c r="BF68" s="39">
        <f t="shared" si="28"/>
        <v>3.6916150711167566</v>
      </c>
      <c r="BG68" s="39">
        <f t="shared" si="28"/>
        <v>3.7673907466687062</v>
      </c>
      <c r="BH68" s="39">
        <f t="shared" si="28"/>
        <v>3.832772370588629</v>
      </c>
      <c r="BI68" s="39">
        <f t="shared" si="28"/>
        <v>3.8875795580863226</v>
      </c>
      <c r="BJ68" s="39">
        <f t="shared" si="28"/>
        <v>3.9316610987442848</v>
      </c>
      <c r="BK68" s="39">
        <f t="shared" si="28"/>
        <v>3.9648953736907959</v>
      </c>
      <c r="BL68" s="39">
        <f t="shared" si="28"/>
        <v>3.9871906911440771</v>
      </c>
      <c r="BM68" s="39">
        <f t="shared" si="28"/>
        <v>2.8941136721560357</v>
      </c>
    </row>
    <row r="69" spans="1:65" x14ac:dyDescent="0.25">
      <c r="A69" s="7">
        <v>0</v>
      </c>
      <c r="B69" s="7">
        <v>0</v>
      </c>
      <c r="C69" s="7">
        <v>1</v>
      </c>
      <c r="D69" s="7">
        <v>-2</v>
      </c>
      <c r="E69" s="7">
        <v>0</v>
      </c>
      <c r="F69" s="195">
        <v>4</v>
      </c>
      <c r="G69" s="7">
        <v>0</v>
      </c>
      <c r="H69" s="179"/>
      <c r="K69" s="39">
        <f t="shared" ref="K69:T77" si="29">($F69+$G69*K$4)*SIN(($A69*K$5+$B69*K$6+$C69*K$7+$D69*K$8+$E69*K$9)*Deg2Rad)</f>
        <v>-2.789485249739672</v>
      </c>
      <c r="L69" s="39">
        <f t="shared" si="29"/>
        <v>3.7448919011866231</v>
      </c>
      <c r="M69" s="39">
        <f t="shared" si="29"/>
        <v>-3.1339427941387896</v>
      </c>
      <c r="N69" s="39">
        <f t="shared" si="29"/>
        <v>1.1146727951825306</v>
      </c>
      <c r="O69" s="39">
        <f t="shared" si="29"/>
        <v>-1.3814062309996449</v>
      </c>
      <c r="P69" s="39">
        <f t="shared" si="29"/>
        <v>3.9155581954762804</v>
      </c>
      <c r="Q69" s="39">
        <f t="shared" si="29"/>
        <v>-0.59123986530290185</v>
      </c>
      <c r="R69" s="39">
        <f t="shared" si="29"/>
        <v>-2.3573051605551654</v>
      </c>
      <c r="S69" s="39">
        <f t="shared" si="29"/>
        <v>-3.9941688570953775</v>
      </c>
      <c r="T69" s="39">
        <f t="shared" si="29"/>
        <v>2.7855635604037388</v>
      </c>
      <c r="U69" s="39">
        <f t="shared" ref="U69:AD77" si="30">($F69+$G69*U$4)*SIN(($A69*U$5+$B69*U$6+$C69*U$7+$D69*U$8+$E69*U$9)*Deg2Rad)</f>
        <v>-3.8219935667705101</v>
      </c>
      <c r="V69" s="39">
        <f t="shared" si="30"/>
        <v>-3.9292863864806287</v>
      </c>
      <c r="W69" s="39">
        <f t="shared" si="30"/>
        <v>3.1315742282829993</v>
      </c>
      <c r="X69" s="39">
        <f t="shared" si="30"/>
        <v>3.6228673099470678</v>
      </c>
      <c r="Y69" s="39">
        <f t="shared" si="30"/>
        <v>3.5158854679545986</v>
      </c>
      <c r="Z69" s="39">
        <f t="shared" si="30"/>
        <v>3.466244010191788</v>
      </c>
      <c r="AA69" s="39">
        <f t="shared" si="30"/>
        <v>-2.1818273244831841</v>
      </c>
      <c r="AB69" s="39">
        <f t="shared" si="30"/>
        <v>3.2356063325502826</v>
      </c>
      <c r="AC69" s="39">
        <f t="shared" si="30"/>
        <v>-3.3749679823893248</v>
      </c>
      <c r="AD69" s="39">
        <f t="shared" si="30"/>
        <v>-3.8569121877436365</v>
      </c>
      <c r="AE69" s="39">
        <f t="shared" ref="AE69:AN77" si="31">($F69+$G69*AE$4)*SIN(($A69*AE$5+$B69*AE$6+$C69*AE$7+$D69*AE$8+$E69*AE$9)*Deg2Rad)</f>
        <v>-3.9335693944244183</v>
      </c>
      <c r="AF69" s="39">
        <f t="shared" si="31"/>
        <v>-1.045701394852276</v>
      </c>
      <c r="AG69" s="39">
        <f t="shared" si="31"/>
        <v>-2.822694268454478</v>
      </c>
      <c r="AH69" s="39">
        <f t="shared" si="31"/>
        <v>3.9977255565496681</v>
      </c>
      <c r="AI69" s="39">
        <f t="shared" si="31"/>
        <v>0.5395059668845833</v>
      </c>
      <c r="AJ69" s="39">
        <f t="shared" si="31"/>
        <v>-3.9435044920933096</v>
      </c>
      <c r="AK69" s="39">
        <f t="shared" si="31"/>
        <v>-2.4260422376327355</v>
      </c>
      <c r="AL69" s="39">
        <f t="shared" si="31"/>
        <v>1.9904978396607846</v>
      </c>
      <c r="AM69" s="39">
        <f t="shared" si="31"/>
        <v>-1.3069479440494642</v>
      </c>
      <c r="AN69" s="39">
        <f t="shared" si="31"/>
        <v>-0.69431365012170443</v>
      </c>
      <c r="AO69" s="39">
        <f t="shared" ref="AO69:AX77" si="32">($F69+$G69*AO$4)*SIN(($A69*AO$5+$B69*AO$6+$C69*AO$7+$D69*AO$8+$E69*AO$9)*Deg2Rad)</f>
        <v>3.8190876012020269</v>
      </c>
      <c r="AP69" s="39">
        <f t="shared" si="32"/>
        <v>-0.15268883661720228</v>
      </c>
      <c r="AQ69" s="39">
        <f t="shared" si="32"/>
        <v>0.59011623422298964</v>
      </c>
      <c r="AR69" s="39">
        <f t="shared" si="32"/>
        <v>-1.5031277881174376E-2</v>
      </c>
      <c r="AS69" s="39">
        <f t="shared" si="32"/>
        <v>-3.9467222968196896</v>
      </c>
      <c r="AT69" s="39">
        <f t="shared" si="32"/>
        <v>3.7747399982000212</v>
      </c>
      <c r="AU69" s="39">
        <f t="shared" si="32"/>
        <v>-3.9155836607934096</v>
      </c>
      <c r="AV69" s="39">
        <f t="shared" si="32"/>
        <v>-1.4069744568413176</v>
      </c>
      <c r="AW69" s="39">
        <f t="shared" si="32"/>
        <v>-3.6224515119837988</v>
      </c>
      <c r="AX69" s="39">
        <f t="shared" si="32"/>
        <v>1.8499557471162282</v>
      </c>
      <c r="AY69" s="39">
        <f t="shared" ref="AY69:BM77" si="33">($F69+$G69*AY$4)*SIN(($A69*AY$5+$B69*AY$6+$C69*AY$7+$D69*AY$8+$E69*AY$9)*Deg2Rad)</f>
        <v>2.9677882734484577</v>
      </c>
      <c r="AZ69" s="39">
        <f t="shared" si="33"/>
        <v>-2.0957068420678815</v>
      </c>
      <c r="BA69" s="39">
        <f t="shared" si="33"/>
        <v>2.9733874899356523</v>
      </c>
      <c r="BB69" s="39">
        <f t="shared" si="33"/>
        <v>-1.7882168298964494</v>
      </c>
      <c r="BC69" s="39">
        <f t="shared" si="33"/>
        <v>0.10879238952392727</v>
      </c>
      <c r="BD69" s="39">
        <f t="shared" si="33"/>
        <v>3.7503388862962814</v>
      </c>
      <c r="BE69" s="39">
        <f t="shared" si="33"/>
        <v>0.70938346175499867</v>
      </c>
      <c r="BF69" s="39">
        <f t="shared" si="33"/>
        <v>1.6019660770528079</v>
      </c>
      <c r="BG69" s="39">
        <f t="shared" si="33"/>
        <v>2.4074059819963849</v>
      </c>
      <c r="BH69" s="39">
        <f t="shared" si="33"/>
        <v>3.0818893796902342</v>
      </c>
      <c r="BI69" s="39">
        <f t="shared" si="33"/>
        <v>3.5887261602711651</v>
      </c>
      <c r="BJ69" s="39">
        <f t="shared" si="33"/>
        <v>3.900345745691026</v>
      </c>
      <c r="BK69" s="39">
        <f t="shared" si="33"/>
        <v>3.9997968561055273</v>
      </c>
      <c r="BL69" s="39">
        <f t="shared" si="33"/>
        <v>3.8816696145948906</v>
      </c>
      <c r="BM69" s="39">
        <f t="shared" si="33"/>
        <v>-2.5368810763223246</v>
      </c>
    </row>
    <row r="70" spans="1:65" x14ac:dyDescent="0.25">
      <c r="A70" s="7">
        <v>0</v>
      </c>
      <c r="B70" s="7">
        <v>0</v>
      </c>
      <c r="C70" s="7">
        <v>1</v>
      </c>
      <c r="D70" s="7">
        <v>2</v>
      </c>
      <c r="E70" s="7">
        <v>0</v>
      </c>
      <c r="F70" s="195">
        <v>3</v>
      </c>
      <c r="G70" s="7">
        <v>0</v>
      </c>
      <c r="H70" s="179"/>
      <c r="K70" s="39">
        <f t="shared" si="29"/>
        <v>0.14097799738852707</v>
      </c>
      <c r="L70" s="39">
        <f t="shared" si="29"/>
        <v>1.3876192241515062</v>
      </c>
      <c r="M70" s="39">
        <f t="shared" si="29"/>
        <v>-1.867265251343422</v>
      </c>
      <c r="N70" s="39">
        <f t="shared" si="29"/>
        <v>-2.9856982797353044</v>
      </c>
      <c r="O70" s="39">
        <f t="shared" si="29"/>
        <v>1.4606251423069643</v>
      </c>
      <c r="P70" s="39">
        <f t="shared" si="29"/>
        <v>2.6613856896449861</v>
      </c>
      <c r="Q70" s="39">
        <f t="shared" si="29"/>
        <v>0.15634357223454509</v>
      </c>
      <c r="R70" s="39">
        <f t="shared" si="29"/>
        <v>2.3580108602771439</v>
      </c>
      <c r="S70" s="39">
        <f t="shared" si="29"/>
        <v>-1.1059343375678428</v>
      </c>
      <c r="T70" s="39">
        <f t="shared" si="29"/>
        <v>2.2546880144877433</v>
      </c>
      <c r="U70" s="39">
        <f t="shared" si="30"/>
        <v>2.8960619939736101</v>
      </c>
      <c r="V70" s="39">
        <f t="shared" si="30"/>
        <v>-2.3548071041696366</v>
      </c>
      <c r="W70" s="39">
        <f t="shared" si="30"/>
        <v>-2.5281403580619197</v>
      </c>
      <c r="X70" s="39">
        <f t="shared" si="30"/>
        <v>-0.92227312940519446</v>
      </c>
      <c r="Y70" s="39">
        <f t="shared" si="30"/>
        <v>2.978477123584919</v>
      </c>
      <c r="Z70" s="39">
        <f t="shared" si="30"/>
        <v>-4.8724407374048546E-2</v>
      </c>
      <c r="AA70" s="39">
        <f t="shared" si="30"/>
        <v>1.4935610932105157</v>
      </c>
      <c r="AB70" s="39">
        <f t="shared" si="30"/>
        <v>-1.374967475667628</v>
      </c>
      <c r="AC70" s="39">
        <f t="shared" si="30"/>
        <v>1.2157011579361992</v>
      </c>
      <c r="AD70" s="39">
        <f t="shared" si="30"/>
        <v>2.9882600753562616</v>
      </c>
      <c r="AE70" s="39">
        <f t="shared" si="31"/>
        <v>-1.0890915770537775</v>
      </c>
      <c r="AF70" s="39">
        <f t="shared" si="31"/>
        <v>2.995949490971034</v>
      </c>
      <c r="AG70" s="39">
        <f t="shared" si="31"/>
        <v>-2.5511957146669806</v>
      </c>
      <c r="AH70" s="39">
        <f t="shared" si="31"/>
        <v>0.94877290220276289</v>
      </c>
      <c r="AI70" s="39">
        <f t="shared" si="31"/>
        <v>0.11102304118375195</v>
      </c>
      <c r="AJ70" s="39">
        <f t="shared" si="31"/>
        <v>-1.2178016071515774</v>
      </c>
      <c r="AK70" s="39">
        <f t="shared" si="31"/>
        <v>-1.6848724313215424</v>
      </c>
      <c r="AL70" s="39">
        <f t="shared" si="31"/>
        <v>-1.7250056627727712</v>
      </c>
      <c r="AM70" s="39">
        <f t="shared" si="31"/>
        <v>1.158245448547905</v>
      </c>
      <c r="AN70" s="39">
        <f t="shared" si="31"/>
        <v>1.0622572906097643</v>
      </c>
      <c r="AO70" s="39">
        <f t="shared" si="32"/>
        <v>0.52964970053013793</v>
      </c>
      <c r="AP70" s="39">
        <f t="shared" si="32"/>
        <v>1.8458385175154639</v>
      </c>
      <c r="AQ70" s="39">
        <f t="shared" si="32"/>
        <v>-2.9139980886538259</v>
      </c>
      <c r="AR70" s="39">
        <f t="shared" si="32"/>
        <v>-2.4994659319224057</v>
      </c>
      <c r="AS70" s="39">
        <f t="shared" si="32"/>
        <v>-1.3079102253915984</v>
      </c>
      <c r="AT70" s="39">
        <f t="shared" si="32"/>
        <v>2.083239687159006</v>
      </c>
      <c r="AU70" s="39">
        <f t="shared" si="32"/>
        <v>-0.13421541647893476</v>
      </c>
      <c r="AV70" s="39">
        <f t="shared" si="32"/>
        <v>0.52804011307476084</v>
      </c>
      <c r="AW70" s="39">
        <f t="shared" si="32"/>
        <v>2.9992560506120625</v>
      </c>
      <c r="AX70" s="39">
        <f t="shared" si="32"/>
        <v>8.1004092284673548E-2</v>
      </c>
      <c r="AY70" s="39">
        <f t="shared" si="33"/>
        <v>-2.2954694608276567</v>
      </c>
      <c r="AZ70" s="39">
        <f t="shared" si="33"/>
        <v>0.55451894736619733</v>
      </c>
      <c r="BA70" s="39">
        <f t="shared" si="33"/>
        <v>-2.873740326214691</v>
      </c>
      <c r="BB70" s="39">
        <f t="shared" si="33"/>
        <v>2.860233764829383</v>
      </c>
      <c r="BC70" s="39">
        <f t="shared" si="33"/>
        <v>-2.8558338700348846</v>
      </c>
      <c r="BD70" s="39">
        <f t="shared" si="33"/>
        <v>0.65463500204180891</v>
      </c>
      <c r="BE70" s="39">
        <f t="shared" si="33"/>
        <v>-2.98831317485641</v>
      </c>
      <c r="BF70" s="39">
        <f t="shared" si="33"/>
        <v>-2.1367135888606366</v>
      </c>
      <c r="BG70" s="39">
        <f t="shared" si="33"/>
        <v>-0.30804394131551827</v>
      </c>
      <c r="BH70" s="39">
        <f t="shared" si="33"/>
        <v>1.6614871273765517</v>
      </c>
      <c r="BI70" s="39">
        <f t="shared" si="33"/>
        <v>2.8712582833293148</v>
      </c>
      <c r="BJ70" s="39">
        <f t="shared" si="33"/>
        <v>2.7680689553661177</v>
      </c>
      <c r="BK70" s="39">
        <f t="shared" si="33"/>
        <v>1.3991052537546886</v>
      </c>
      <c r="BL70" s="39">
        <f t="shared" si="33"/>
        <v>-0.60963715452778278</v>
      </c>
      <c r="BM70" s="39">
        <f t="shared" si="33"/>
        <v>-1.9340722015922607</v>
      </c>
    </row>
    <row r="71" spans="1:65" x14ac:dyDescent="0.25">
      <c r="A71" s="7">
        <v>0</v>
      </c>
      <c r="B71" s="7">
        <v>0</v>
      </c>
      <c r="C71" s="7">
        <v>-2</v>
      </c>
      <c r="D71" s="7">
        <v>2</v>
      </c>
      <c r="E71" s="7">
        <v>2</v>
      </c>
      <c r="F71" s="195">
        <v>-3</v>
      </c>
      <c r="G71" s="7">
        <v>0</v>
      </c>
      <c r="H71" s="179"/>
      <c r="K71" s="39">
        <f t="shared" si="29"/>
        <v>1.5414229429613586</v>
      </c>
      <c r="L71" s="39">
        <f t="shared" si="29"/>
        <v>2.2650845435689346</v>
      </c>
      <c r="M71" s="39">
        <f t="shared" si="29"/>
        <v>-0.68979761342690626</v>
      </c>
      <c r="N71" s="39">
        <f t="shared" si="29"/>
        <v>-2.9897870076378985</v>
      </c>
      <c r="O71" s="39">
        <f t="shared" si="29"/>
        <v>0.7511515983766559</v>
      </c>
      <c r="P71" s="39">
        <f t="shared" si="29"/>
        <v>2.1751519640624499</v>
      </c>
      <c r="Q71" s="39">
        <f t="shared" si="29"/>
        <v>2.9845103274054603</v>
      </c>
      <c r="R71" s="39">
        <f t="shared" si="29"/>
        <v>2.3633714509727728</v>
      </c>
      <c r="S71" s="39">
        <f t="shared" si="29"/>
        <v>2.3389992881174306</v>
      </c>
      <c r="T71" s="39">
        <f t="shared" si="29"/>
        <v>-0.76758313261176225</v>
      </c>
      <c r="U71" s="39">
        <f t="shared" si="30"/>
        <v>-2.9827298860521965</v>
      </c>
      <c r="V71" s="39">
        <f t="shared" si="30"/>
        <v>2.0754119967834814</v>
      </c>
      <c r="W71" s="39">
        <f t="shared" si="30"/>
        <v>2.999121329742398</v>
      </c>
      <c r="X71" s="39">
        <f t="shared" si="30"/>
        <v>2.9988162861271439</v>
      </c>
      <c r="Y71" s="39">
        <f t="shared" si="30"/>
        <v>-2.1617263777558477</v>
      </c>
      <c r="Z71" s="39">
        <f t="shared" si="30"/>
        <v>-2.9118204374077563</v>
      </c>
      <c r="AA71" s="39">
        <f t="shared" si="30"/>
        <v>-2.6097828290467273</v>
      </c>
      <c r="AB71" s="39">
        <f t="shared" si="30"/>
        <v>1.0331650429004888</v>
      </c>
      <c r="AC71" s="39">
        <f t="shared" si="30"/>
        <v>1.5345611238113328</v>
      </c>
      <c r="AD71" s="39">
        <f t="shared" si="30"/>
        <v>2.9374502862980747</v>
      </c>
      <c r="AE71" s="39">
        <f t="shared" si="31"/>
        <v>-2.8972149153023601</v>
      </c>
      <c r="AF71" s="39">
        <f t="shared" si="31"/>
        <v>-1.6196758401934352</v>
      </c>
      <c r="AG71" s="39">
        <f t="shared" si="31"/>
        <v>-0.695473092974075</v>
      </c>
      <c r="AH71" s="39">
        <f t="shared" si="31"/>
        <v>-2.6804701228557835</v>
      </c>
      <c r="AI71" s="39">
        <f t="shared" si="31"/>
        <v>2.7608944790635435</v>
      </c>
      <c r="AJ71" s="39">
        <f t="shared" si="31"/>
        <v>2.7192270162899179</v>
      </c>
      <c r="AK71" s="39">
        <f t="shared" si="31"/>
        <v>-2.887457259292237</v>
      </c>
      <c r="AL71" s="39">
        <f t="shared" si="31"/>
        <v>2.1424333640488049</v>
      </c>
      <c r="AM71" s="39">
        <f t="shared" si="31"/>
        <v>2.6168229038328259</v>
      </c>
      <c r="AN71" s="39">
        <f t="shared" si="31"/>
        <v>-0.65575029235324722</v>
      </c>
      <c r="AO71" s="39">
        <f t="shared" si="32"/>
        <v>2.9087029580150849</v>
      </c>
      <c r="AP71" s="39">
        <f t="shared" si="32"/>
        <v>0.83509194139262233</v>
      </c>
      <c r="AQ71" s="39">
        <f t="shared" si="32"/>
        <v>-2.7043416463459202</v>
      </c>
      <c r="AR71" s="39">
        <f t="shared" si="32"/>
        <v>-2.2545042969010005</v>
      </c>
      <c r="AS71" s="39">
        <f t="shared" si="32"/>
        <v>-1.3808119934270728</v>
      </c>
      <c r="AT71" s="39">
        <f t="shared" si="32"/>
        <v>0.41674017560812426</v>
      </c>
      <c r="AU71" s="39">
        <f t="shared" si="32"/>
        <v>1.1669368521682963</v>
      </c>
      <c r="AV71" s="39">
        <f t="shared" si="32"/>
        <v>1.7924752395646484</v>
      </c>
      <c r="AW71" s="39">
        <f t="shared" si="32"/>
        <v>1.8577955212337374</v>
      </c>
      <c r="AX71" s="39">
        <f t="shared" si="32"/>
        <v>1.9203483764998863</v>
      </c>
      <c r="AY71" s="39">
        <f t="shared" si="33"/>
        <v>1.9894190519654706</v>
      </c>
      <c r="AZ71" s="39">
        <f t="shared" si="33"/>
        <v>2.1140986761681559</v>
      </c>
      <c r="BA71" s="39">
        <f t="shared" si="33"/>
        <v>-0.87022689840336209</v>
      </c>
      <c r="BB71" s="39">
        <f t="shared" si="33"/>
        <v>1.1835641517982305</v>
      </c>
      <c r="BC71" s="39">
        <f t="shared" si="33"/>
        <v>2.9721319704535252</v>
      </c>
      <c r="BD71" s="39">
        <f t="shared" si="33"/>
        <v>2.8085682349786985</v>
      </c>
      <c r="BE71" s="39">
        <f t="shared" si="33"/>
        <v>2.3474815639416136</v>
      </c>
      <c r="BF71" s="39">
        <f t="shared" si="33"/>
        <v>2.3547278131636835</v>
      </c>
      <c r="BG71" s="39">
        <f t="shared" si="33"/>
        <v>2.3619384540400552</v>
      </c>
      <c r="BH71" s="39">
        <f t="shared" si="33"/>
        <v>2.3691133775319249</v>
      </c>
      <c r="BI71" s="39">
        <f t="shared" si="33"/>
        <v>2.3762524751377794</v>
      </c>
      <c r="BJ71" s="39">
        <f t="shared" si="33"/>
        <v>2.383355638903498</v>
      </c>
      <c r="BK71" s="39">
        <f t="shared" si="33"/>
        <v>2.3904227614108464</v>
      </c>
      <c r="BL71" s="39">
        <f t="shared" si="33"/>
        <v>2.3974537357940906</v>
      </c>
      <c r="BM71" s="39">
        <f t="shared" si="33"/>
        <v>-2.8879352350138072</v>
      </c>
    </row>
    <row r="72" spans="1:65" x14ac:dyDescent="0.25">
      <c r="A72" s="7">
        <v>-1</v>
      </c>
      <c r="B72" s="7">
        <v>-1</v>
      </c>
      <c r="C72" s="7">
        <v>1</v>
      </c>
      <c r="D72" s="7">
        <v>0</v>
      </c>
      <c r="E72" s="7">
        <v>0</v>
      </c>
      <c r="F72" s="195">
        <v>-3</v>
      </c>
      <c r="G72" s="7">
        <v>0</v>
      </c>
      <c r="H72" s="179"/>
      <c r="K72" s="39">
        <f t="shared" si="29"/>
        <v>-2.656886282158021</v>
      </c>
      <c r="L72" s="39">
        <f t="shared" si="29"/>
        <v>1.933327597716952</v>
      </c>
      <c r="M72" s="39">
        <f t="shared" si="29"/>
        <v>1.0056098515162732</v>
      </c>
      <c r="N72" s="39">
        <f t="shared" si="29"/>
        <v>2.6055230847659874</v>
      </c>
      <c r="O72" s="39">
        <f t="shared" si="29"/>
        <v>-0.28576132309614261</v>
      </c>
      <c r="P72" s="39">
        <f t="shared" si="29"/>
        <v>0.5474137036585115</v>
      </c>
      <c r="Q72" s="39">
        <f t="shared" si="29"/>
        <v>1.7284071339957361</v>
      </c>
      <c r="R72" s="39">
        <f t="shared" si="29"/>
        <v>2.3403160765150748</v>
      </c>
      <c r="S72" s="39">
        <f t="shared" si="29"/>
        <v>2.401114791728141</v>
      </c>
      <c r="T72" s="39">
        <f t="shared" si="29"/>
        <v>2.9991740921389893</v>
      </c>
      <c r="U72" s="39">
        <f t="shared" si="30"/>
        <v>2.2297696414813393</v>
      </c>
      <c r="V72" s="39">
        <f t="shared" si="30"/>
        <v>1.4490610664779258</v>
      </c>
      <c r="W72" s="39">
        <f t="shared" si="30"/>
        <v>-2.8019554705758738</v>
      </c>
      <c r="X72" s="39">
        <f t="shared" si="30"/>
        <v>-2.8040337452301607</v>
      </c>
      <c r="Y72" s="39">
        <f t="shared" si="30"/>
        <v>-0.78951004676800651</v>
      </c>
      <c r="Z72" s="39">
        <f t="shared" si="30"/>
        <v>-1.458625436184581E-2</v>
      </c>
      <c r="AA72" s="39">
        <f t="shared" si="30"/>
        <v>1.0970815567987711</v>
      </c>
      <c r="AB72" s="39">
        <f t="shared" si="30"/>
        <v>6.9201002502548584E-2</v>
      </c>
      <c r="AC72" s="39">
        <f t="shared" si="30"/>
        <v>0.13938940366927674</v>
      </c>
      <c r="AD72" s="39">
        <f t="shared" si="30"/>
        <v>-1.3308168942633845</v>
      </c>
      <c r="AE72" s="39">
        <f t="shared" si="31"/>
        <v>-2.2989510073531276</v>
      </c>
      <c r="AF72" s="39">
        <f t="shared" si="31"/>
        <v>1.5015015373828309</v>
      </c>
      <c r="AG72" s="39">
        <f t="shared" si="31"/>
        <v>1.0083560188064746</v>
      </c>
      <c r="AH72" s="39">
        <f t="shared" si="31"/>
        <v>2.8278965408140739</v>
      </c>
      <c r="AI72" s="39">
        <f t="shared" si="31"/>
        <v>1.0706953861171777</v>
      </c>
      <c r="AJ72" s="39">
        <f t="shared" si="31"/>
        <v>2.112262309426348</v>
      </c>
      <c r="AK72" s="39">
        <f t="shared" si="31"/>
        <v>-2.2871038764028895</v>
      </c>
      <c r="AL72" s="39">
        <f t="shared" si="31"/>
        <v>-2.4391803235930576</v>
      </c>
      <c r="AM72" s="39">
        <f t="shared" si="31"/>
        <v>-2.1877572212349627</v>
      </c>
      <c r="AN72" s="39">
        <f t="shared" si="31"/>
        <v>0.98161859529088424</v>
      </c>
      <c r="AO72" s="39">
        <f t="shared" si="32"/>
        <v>-1.2730363919855026</v>
      </c>
      <c r="AP72" s="39">
        <f t="shared" si="32"/>
        <v>-2.8025210633728292</v>
      </c>
      <c r="AQ72" s="39">
        <f t="shared" si="32"/>
        <v>-2.0068071222448305</v>
      </c>
      <c r="AR72" s="39">
        <f t="shared" si="32"/>
        <v>1.8112540953762608</v>
      </c>
      <c r="AS72" s="39">
        <f t="shared" si="32"/>
        <v>-2.7327185278265742</v>
      </c>
      <c r="AT72" s="39">
        <f t="shared" si="32"/>
        <v>0.46673601654902791</v>
      </c>
      <c r="AU72" s="39">
        <f t="shared" si="32"/>
        <v>-1.6216050171310712</v>
      </c>
      <c r="AV72" s="39">
        <f t="shared" si="32"/>
        <v>0.2623008871677055</v>
      </c>
      <c r="AW72" s="39">
        <f t="shared" si="32"/>
        <v>0.30325554177248054</v>
      </c>
      <c r="AX72" s="39">
        <f t="shared" si="32"/>
        <v>0.3432682526026139</v>
      </c>
      <c r="AY72" s="39">
        <f t="shared" si="33"/>
        <v>0.3884432211176912</v>
      </c>
      <c r="AZ72" s="39">
        <f t="shared" si="33"/>
        <v>0.47300959381803942</v>
      </c>
      <c r="BA72" s="39">
        <f t="shared" si="33"/>
        <v>1.070824996030256</v>
      </c>
      <c r="BB72" s="39">
        <f t="shared" si="33"/>
        <v>2.7295301776509739</v>
      </c>
      <c r="BC72" s="39">
        <f t="shared" si="33"/>
        <v>1.8090712921237162</v>
      </c>
      <c r="BD72" s="39">
        <f t="shared" si="33"/>
        <v>-2.049264784254869</v>
      </c>
      <c r="BE72" s="39">
        <f t="shared" si="33"/>
        <v>0.64483814718098043</v>
      </c>
      <c r="BF72" s="39">
        <f t="shared" si="33"/>
        <v>0.65053124388419203</v>
      </c>
      <c r="BG72" s="39">
        <f t="shared" si="33"/>
        <v>0.65622188332117704</v>
      </c>
      <c r="BH72" s="39">
        <f t="shared" si="33"/>
        <v>0.66191004399207065</v>
      </c>
      <c r="BI72" s="39">
        <f t="shared" si="33"/>
        <v>0.66759570441381877</v>
      </c>
      <c r="BJ72" s="39">
        <f t="shared" si="33"/>
        <v>0.67327884310908837</v>
      </c>
      <c r="BK72" s="39">
        <f t="shared" si="33"/>
        <v>0.67895943861009334</v>
      </c>
      <c r="BL72" s="39">
        <f t="shared" si="33"/>
        <v>0.68463746946158233</v>
      </c>
      <c r="BM72" s="39">
        <f t="shared" si="33"/>
        <v>-2.2876741320536231</v>
      </c>
    </row>
    <row r="73" spans="1:65" x14ac:dyDescent="0.25">
      <c r="A73" s="7">
        <v>0</v>
      </c>
      <c r="B73" s="7">
        <v>1</v>
      </c>
      <c r="C73" s="7">
        <v>1</v>
      </c>
      <c r="D73" s="7">
        <v>0</v>
      </c>
      <c r="E73" s="7">
        <v>0</v>
      </c>
      <c r="F73" s="195">
        <v>-3</v>
      </c>
      <c r="G73" s="7">
        <v>0</v>
      </c>
      <c r="H73" s="179"/>
      <c r="K73" s="39">
        <f t="shared" si="29"/>
        <v>-2.8234387765216695</v>
      </c>
      <c r="L73" s="39">
        <f t="shared" si="29"/>
        <v>-0.21021946462078916</v>
      </c>
      <c r="M73" s="39">
        <f t="shared" si="29"/>
        <v>-2.2121609578231953</v>
      </c>
      <c r="N73" s="39">
        <f t="shared" si="29"/>
        <v>-1.8053980325877328</v>
      </c>
      <c r="O73" s="39">
        <f t="shared" si="29"/>
        <v>-0.95510674502974113</v>
      </c>
      <c r="P73" s="39">
        <f t="shared" si="29"/>
        <v>2.4521718901085556</v>
      </c>
      <c r="Q73" s="39">
        <f t="shared" si="29"/>
        <v>-2.8684420389363274</v>
      </c>
      <c r="R73" s="39">
        <f t="shared" si="29"/>
        <v>1.1557115579094819</v>
      </c>
      <c r="S73" s="39">
        <f t="shared" si="29"/>
        <v>2.5549902840399299</v>
      </c>
      <c r="T73" s="39">
        <f t="shared" si="29"/>
        <v>-2.9831144336135087</v>
      </c>
      <c r="U73" s="39">
        <f t="shared" si="30"/>
        <v>0.23786951337677664</v>
      </c>
      <c r="V73" s="39">
        <f t="shared" si="30"/>
        <v>2.0549018555243221</v>
      </c>
      <c r="W73" s="39">
        <f t="shared" si="30"/>
        <v>2.7186877463953198</v>
      </c>
      <c r="X73" s="39">
        <f t="shared" si="30"/>
        <v>2.9452798476208826</v>
      </c>
      <c r="Y73" s="39">
        <f t="shared" si="30"/>
        <v>1.1880162090470348</v>
      </c>
      <c r="Z73" s="39">
        <f t="shared" si="30"/>
        <v>2.7588120353812537</v>
      </c>
      <c r="AA73" s="39">
        <f t="shared" si="30"/>
        <v>-1.2962595205125014</v>
      </c>
      <c r="AB73" s="39">
        <f t="shared" si="30"/>
        <v>-1.26791649167932</v>
      </c>
      <c r="AC73" s="39">
        <f t="shared" si="30"/>
        <v>1.7524254386856764</v>
      </c>
      <c r="AD73" s="39">
        <f t="shared" si="30"/>
        <v>-2.9255345210621879</v>
      </c>
      <c r="AE73" s="39">
        <f t="shared" si="31"/>
        <v>-2.9965214786231207</v>
      </c>
      <c r="AF73" s="39">
        <f t="shared" si="31"/>
        <v>1.6141442480344306</v>
      </c>
      <c r="AG73" s="39">
        <f t="shared" si="31"/>
        <v>-2.4433980383759843</v>
      </c>
      <c r="AH73" s="39">
        <f t="shared" si="31"/>
        <v>2.316773932965118</v>
      </c>
      <c r="AI73" s="39">
        <f t="shared" si="31"/>
        <v>-2.0455061255055669</v>
      </c>
      <c r="AJ73" s="39">
        <f t="shared" si="31"/>
        <v>2.4688688466562416</v>
      </c>
      <c r="AK73" s="39">
        <f t="shared" si="31"/>
        <v>-2.0446528476718422</v>
      </c>
      <c r="AL73" s="39">
        <f t="shared" si="31"/>
        <v>-2.066659495885788</v>
      </c>
      <c r="AM73" s="39">
        <f t="shared" si="31"/>
        <v>-0.61852583127902394</v>
      </c>
      <c r="AN73" s="39">
        <f t="shared" si="31"/>
        <v>-2.2930593754202993</v>
      </c>
      <c r="AO73" s="39">
        <f t="shared" si="32"/>
        <v>2.3564039066321656</v>
      </c>
      <c r="AP73" s="39">
        <f t="shared" si="32"/>
        <v>-2.9691766636747694</v>
      </c>
      <c r="AQ73" s="39">
        <f t="shared" si="32"/>
        <v>1.6619535920987156</v>
      </c>
      <c r="AR73" s="39">
        <f t="shared" si="32"/>
        <v>-0.72345009512916891</v>
      </c>
      <c r="AS73" s="39">
        <f t="shared" si="32"/>
        <v>-0.86006432468582539</v>
      </c>
      <c r="AT73" s="39">
        <f t="shared" si="32"/>
        <v>-1.6915449078757385</v>
      </c>
      <c r="AU73" s="39">
        <f t="shared" si="32"/>
        <v>-2.981782135671311</v>
      </c>
      <c r="AV73" s="39">
        <f t="shared" si="32"/>
        <v>-1.2355417246710858</v>
      </c>
      <c r="AW73" s="39">
        <f t="shared" si="32"/>
        <v>2.8952390310861671</v>
      </c>
      <c r="AX73" s="39">
        <f t="shared" si="32"/>
        <v>0.42778642892927687</v>
      </c>
      <c r="AY73" s="39">
        <f t="shared" si="33"/>
        <v>-2.9399370495197936</v>
      </c>
      <c r="AZ73" s="39">
        <f t="shared" si="33"/>
        <v>2.3828179789768931</v>
      </c>
      <c r="BA73" s="39">
        <f t="shared" si="33"/>
        <v>-2.1505222838845168</v>
      </c>
      <c r="BB73" s="39">
        <f t="shared" si="33"/>
        <v>-1.6931714372458382</v>
      </c>
      <c r="BC73" s="39">
        <f t="shared" si="33"/>
        <v>1.6541734167640314</v>
      </c>
      <c r="BD73" s="39">
        <f t="shared" si="33"/>
        <v>-0.91898146803254344</v>
      </c>
      <c r="BE73" s="39">
        <f t="shared" si="33"/>
        <v>-0.46574451705015363</v>
      </c>
      <c r="BF73" s="39">
        <f t="shared" si="33"/>
        <v>-1.1713153144799655</v>
      </c>
      <c r="BG73" s="39">
        <f t="shared" si="33"/>
        <v>-1.8067986470426565</v>
      </c>
      <c r="BH73" s="39">
        <f t="shared" si="33"/>
        <v>-2.334169385897634</v>
      </c>
      <c r="BI73" s="39">
        <f t="shared" si="33"/>
        <v>-2.7218714865905702</v>
      </c>
      <c r="BJ73" s="39">
        <f t="shared" si="33"/>
        <v>-2.9467061938199417</v>
      </c>
      <c r="BK73" s="39">
        <f t="shared" si="33"/>
        <v>-2.9952201748661409</v>
      </c>
      <c r="BL73" s="39">
        <f t="shared" si="33"/>
        <v>-2.8645105205806263</v>
      </c>
      <c r="BM73" s="39">
        <f t="shared" si="33"/>
        <v>-2.1246059019588026</v>
      </c>
    </row>
    <row r="74" spans="1:65" x14ac:dyDescent="0.25">
      <c r="A74" s="7">
        <v>0</v>
      </c>
      <c r="B74" s="7">
        <v>-1</v>
      </c>
      <c r="C74" s="7">
        <v>1</v>
      </c>
      <c r="D74" s="7">
        <v>2</v>
      </c>
      <c r="E74" s="7">
        <v>2</v>
      </c>
      <c r="F74" s="195">
        <v>-3</v>
      </c>
      <c r="G74" s="7">
        <v>0</v>
      </c>
      <c r="H74" s="179"/>
      <c r="K74" s="39">
        <f t="shared" si="29"/>
        <v>-0.2201722151796211</v>
      </c>
      <c r="L74" s="39">
        <f t="shared" si="29"/>
        <v>-1.5475439030606437</v>
      </c>
      <c r="M74" s="39">
        <f t="shared" si="29"/>
        <v>1.6805344978551267</v>
      </c>
      <c r="N74" s="39">
        <f t="shared" si="29"/>
        <v>1.3668341234785131</v>
      </c>
      <c r="O74" s="39">
        <f t="shared" si="29"/>
        <v>-1.120340776778701</v>
      </c>
      <c r="P74" s="39">
        <f t="shared" si="29"/>
        <v>2.995637506505954</v>
      </c>
      <c r="Q74" s="39">
        <f t="shared" si="29"/>
        <v>-1.6854107745127913</v>
      </c>
      <c r="R74" s="39">
        <f t="shared" si="29"/>
        <v>2.6169711577493087</v>
      </c>
      <c r="S74" s="39">
        <f t="shared" si="29"/>
        <v>-2.0186251444035253</v>
      </c>
      <c r="T74" s="39">
        <f t="shared" si="29"/>
        <v>2.8544893347245637</v>
      </c>
      <c r="U74" s="39">
        <f t="shared" si="30"/>
        <v>2.9853452351124647</v>
      </c>
      <c r="V74" s="39">
        <f t="shared" si="30"/>
        <v>-2.4733152685514503</v>
      </c>
      <c r="W74" s="39">
        <f t="shared" si="30"/>
        <v>-0.59865244551457997</v>
      </c>
      <c r="X74" s="39">
        <f t="shared" si="30"/>
        <v>1.3583073591064736</v>
      </c>
      <c r="Y74" s="39">
        <f t="shared" si="30"/>
        <v>2.2267789748717597</v>
      </c>
      <c r="Z74" s="39">
        <f t="shared" si="30"/>
        <v>-2.9647153706417928</v>
      </c>
      <c r="AA74" s="39">
        <f t="shared" si="30"/>
        <v>-0.99262232197723488</v>
      </c>
      <c r="AB74" s="39">
        <f t="shared" si="30"/>
        <v>-2.6636974882343663</v>
      </c>
      <c r="AC74" s="39">
        <f t="shared" si="30"/>
        <v>-2.981427236104206</v>
      </c>
      <c r="AD74" s="39">
        <f t="shared" si="30"/>
        <v>-0.20464010263711327</v>
      </c>
      <c r="AE74" s="39">
        <f t="shared" si="31"/>
        <v>1.6750385726620403</v>
      </c>
      <c r="AF74" s="39">
        <f t="shared" si="31"/>
        <v>-2.9398591595730634</v>
      </c>
      <c r="AG74" s="39">
        <f t="shared" si="31"/>
        <v>0.76897071726837574</v>
      </c>
      <c r="AH74" s="39">
        <f t="shared" si="31"/>
        <v>-2.4114482729420175</v>
      </c>
      <c r="AI74" s="39">
        <f t="shared" si="31"/>
        <v>1.731166040590522</v>
      </c>
      <c r="AJ74" s="39">
        <f t="shared" si="31"/>
        <v>1.5445459783799458</v>
      </c>
      <c r="AK74" s="39">
        <f t="shared" si="31"/>
        <v>1.2656064967694372</v>
      </c>
      <c r="AL74" s="39">
        <f t="shared" si="31"/>
        <v>-1.8879858308784345</v>
      </c>
      <c r="AM74" s="39">
        <f t="shared" si="31"/>
        <v>-2.2157463615925446</v>
      </c>
      <c r="AN74" s="39">
        <f t="shared" si="31"/>
        <v>1.2318269614140021</v>
      </c>
      <c r="AO74" s="39">
        <f t="shared" si="32"/>
        <v>-2.7546224014277847</v>
      </c>
      <c r="AP74" s="39">
        <f t="shared" si="32"/>
        <v>-0.31109137198549708</v>
      </c>
      <c r="AQ74" s="39">
        <f t="shared" si="32"/>
        <v>-0.71376372170415081</v>
      </c>
      <c r="AR74" s="39">
        <f t="shared" si="32"/>
        <v>2.2894551152080669</v>
      </c>
      <c r="AS74" s="39">
        <f t="shared" si="32"/>
        <v>-0.57726091836066529</v>
      </c>
      <c r="AT74" s="39">
        <f t="shared" si="32"/>
        <v>2.9065052270672935</v>
      </c>
      <c r="AU74" s="39">
        <f t="shared" si="32"/>
        <v>1.59327031435665</v>
      </c>
      <c r="AV74" s="39">
        <f t="shared" si="32"/>
        <v>2.365980211524496E-2</v>
      </c>
      <c r="AW74" s="39">
        <f t="shared" si="32"/>
        <v>2.9997706078610267</v>
      </c>
      <c r="AX74" s="39">
        <f t="shared" si="32"/>
        <v>-0.20940601273830661</v>
      </c>
      <c r="AY74" s="39">
        <f t="shared" si="33"/>
        <v>-2.6961839217333341</v>
      </c>
      <c r="AZ74" s="39">
        <f t="shared" si="33"/>
        <v>1.9570748855169535</v>
      </c>
      <c r="BA74" s="39">
        <f t="shared" si="33"/>
        <v>1.1077759336463195</v>
      </c>
      <c r="BB74" s="39">
        <f t="shared" si="33"/>
        <v>1.5284709393726907</v>
      </c>
      <c r="BC74" s="39">
        <f t="shared" si="33"/>
        <v>-0.51762143356422807</v>
      </c>
      <c r="BD74" s="39">
        <f t="shared" si="33"/>
        <v>-0.74227873683159484</v>
      </c>
      <c r="BE74" s="39">
        <f t="shared" si="33"/>
        <v>-1.6006631593507121</v>
      </c>
      <c r="BF74" s="39">
        <f t="shared" si="33"/>
        <v>-2.8310238640660046</v>
      </c>
      <c r="BG74" s="39">
        <f t="shared" si="33"/>
        <v>-2.8346702566149764</v>
      </c>
      <c r="BH74" s="39">
        <f t="shared" si="33"/>
        <v>-1.6100223143101053</v>
      </c>
      <c r="BI74" s="39">
        <f t="shared" si="33"/>
        <v>0.31226630879017769</v>
      </c>
      <c r="BJ74" s="39">
        <f t="shared" si="33"/>
        <v>2.0992464468375309</v>
      </c>
      <c r="BK74" s="39">
        <f t="shared" si="33"/>
        <v>2.9765996143040452</v>
      </c>
      <c r="BL74" s="39">
        <f t="shared" si="33"/>
        <v>2.5641588684059142</v>
      </c>
      <c r="BM74" s="39">
        <f t="shared" si="33"/>
        <v>1.5344165308686177</v>
      </c>
    </row>
    <row r="75" spans="1:65" x14ac:dyDescent="0.25">
      <c r="A75" s="7">
        <v>2</v>
      </c>
      <c r="B75" s="7">
        <v>-1</v>
      </c>
      <c r="C75" s="7">
        <v>-1</v>
      </c>
      <c r="D75" s="7">
        <v>2</v>
      </c>
      <c r="E75" s="7">
        <v>2</v>
      </c>
      <c r="F75" s="195">
        <v>-3</v>
      </c>
      <c r="G75" s="7">
        <v>0</v>
      </c>
      <c r="H75" s="179"/>
      <c r="K75" s="39">
        <f t="shared" si="29"/>
        <v>-2.638040951892755</v>
      </c>
      <c r="L75" s="39">
        <f t="shared" si="29"/>
        <v>-0.32856850466898541</v>
      </c>
      <c r="M75" s="39">
        <f t="shared" si="29"/>
        <v>-8.2267736512962181E-3</v>
      </c>
      <c r="N75" s="39">
        <f t="shared" si="29"/>
        <v>-2.9982604316037116</v>
      </c>
      <c r="O75" s="39">
        <f t="shared" si="29"/>
        <v>-2.9440891730363004</v>
      </c>
      <c r="P75" s="39">
        <f t="shared" si="29"/>
        <v>1.7125834042844712</v>
      </c>
      <c r="Q75" s="39">
        <f t="shared" si="29"/>
        <v>-0.48848892984803316</v>
      </c>
      <c r="R75" s="39">
        <f t="shared" si="29"/>
        <v>-2.8436923136432952</v>
      </c>
      <c r="S75" s="39">
        <f t="shared" si="29"/>
        <v>2.7427996792762919</v>
      </c>
      <c r="T75" s="39">
        <f t="shared" si="29"/>
        <v>-2.9227424685441279</v>
      </c>
      <c r="U75" s="39">
        <f t="shared" si="30"/>
        <v>-0.38731180878030391</v>
      </c>
      <c r="V75" s="39">
        <f t="shared" si="30"/>
        <v>2.4370755516012679</v>
      </c>
      <c r="W75" s="39">
        <f t="shared" si="30"/>
        <v>2.7753540404702726</v>
      </c>
      <c r="X75" s="39">
        <f t="shared" si="30"/>
        <v>2.9061413705694941</v>
      </c>
      <c r="Y75" s="39">
        <f t="shared" si="30"/>
        <v>-1.0040398054398514</v>
      </c>
      <c r="Z75" s="39">
        <f t="shared" si="30"/>
        <v>2.9943596799477827</v>
      </c>
      <c r="AA75" s="39">
        <f t="shared" si="30"/>
        <v>2.3151576243024761</v>
      </c>
      <c r="AB75" s="39">
        <f t="shared" si="30"/>
        <v>1.4407554379191871</v>
      </c>
      <c r="AC75" s="39">
        <f t="shared" si="30"/>
        <v>2.9447714927265274</v>
      </c>
      <c r="AD75" s="39">
        <f t="shared" si="30"/>
        <v>-1.6546191102563783</v>
      </c>
      <c r="AE75" s="39">
        <f t="shared" si="31"/>
        <v>-1.4637530268170278</v>
      </c>
      <c r="AF75" s="39">
        <f t="shared" si="31"/>
        <v>-1.2777090703378629</v>
      </c>
      <c r="AG75" s="39">
        <f t="shared" si="31"/>
        <v>-0.95186277453553303</v>
      </c>
      <c r="AH75" s="39">
        <f t="shared" si="31"/>
        <v>2.9370926301939608</v>
      </c>
      <c r="AI75" s="39">
        <f t="shared" si="31"/>
        <v>0.17167146296526459</v>
      </c>
      <c r="AJ75" s="39">
        <f t="shared" si="31"/>
        <v>-2.9904490788962681</v>
      </c>
      <c r="AK75" s="39">
        <f t="shared" si="31"/>
        <v>-1.7293005748475669</v>
      </c>
      <c r="AL75" s="39">
        <f t="shared" si="31"/>
        <v>2.972494454331764</v>
      </c>
      <c r="AM75" s="39">
        <f t="shared" si="31"/>
        <v>2.5081938717951497</v>
      </c>
      <c r="AN75" s="39">
        <f t="shared" si="31"/>
        <v>0.34085365358573932</v>
      </c>
      <c r="AO75" s="39">
        <f t="shared" si="32"/>
        <v>0.52341794217585602</v>
      </c>
      <c r="AP75" s="39">
        <f t="shared" si="32"/>
        <v>-2.9545390687058593</v>
      </c>
      <c r="AQ75" s="39">
        <f t="shared" si="32"/>
        <v>2.8312028993373972</v>
      </c>
      <c r="AR75" s="39">
        <f t="shared" si="32"/>
        <v>-0.1969843232743495</v>
      </c>
      <c r="AS75" s="39">
        <f t="shared" si="32"/>
        <v>-0.69184484871943241</v>
      </c>
      <c r="AT75" s="39">
        <f t="shared" si="32"/>
        <v>-2.9784981064853335</v>
      </c>
      <c r="AU75" s="39">
        <f t="shared" si="32"/>
        <v>1.4840014674254993</v>
      </c>
      <c r="AV75" s="39">
        <f t="shared" si="32"/>
        <v>1.3847959675970163</v>
      </c>
      <c r="AW75" s="39">
        <f t="shared" si="32"/>
        <v>-2.8792073799415179</v>
      </c>
      <c r="AX75" s="39">
        <f t="shared" si="32"/>
        <v>2.4420624086841029E-2</v>
      </c>
      <c r="AY75" s="39">
        <f t="shared" si="33"/>
        <v>2.8852854451751186</v>
      </c>
      <c r="AZ75" s="39">
        <f t="shared" si="33"/>
        <v>-2.9166059493416787</v>
      </c>
      <c r="BA75" s="39">
        <f t="shared" si="33"/>
        <v>-0.14617245850854896</v>
      </c>
      <c r="BB75" s="39">
        <f t="shared" si="33"/>
        <v>2.1937170349302226</v>
      </c>
      <c r="BC75" s="39">
        <f t="shared" si="33"/>
        <v>2.6125124545490235</v>
      </c>
      <c r="BD75" s="39">
        <f t="shared" si="33"/>
        <v>2.9461372448277245</v>
      </c>
      <c r="BE75" s="39">
        <f t="shared" si="33"/>
        <v>-2.4855865628321605</v>
      </c>
      <c r="BF75" s="39">
        <f t="shared" si="33"/>
        <v>-0.9897745010633171</v>
      </c>
      <c r="BG75" s="39">
        <f t="shared" si="33"/>
        <v>0.89809584617423277</v>
      </c>
      <c r="BH75" s="39">
        <f t="shared" si="33"/>
        <v>2.4302226202417976</v>
      </c>
      <c r="BI75" s="39">
        <f t="shared" si="33"/>
        <v>2.999717084858581</v>
      </c>
      <c r="BJ75" s="39">
        <f t="shared" si="33"/>
        <v>2.3809975311164684</v>
      </c>
      <c r="BK75" s="39">
        <f t="shared" si="33"/>
        <v>0.81914415371377802</v>
      </c>
      <c r="BL75" s="39">
        <f t="shared" si="33"/>
        <v>-1.0671793450245919</v>
      </c>
      <c r="BM75" s="39">
        <f t="shared" si="33"/>
        <v>-1.9580847863294075</v>
      </c>
    </row>
    <row r="76" spans="1:65" x14ac:dyDescent="0.25">
      <c r="A76" s="7">
        <v>0</v>
      </c>
      <c r="B76" s="7">
        <v>0</v>
      </c>
      <c r="C76" s="7">
        <v>3</v>
      </c>
      <c r="D76" s="7">
        <v>2</v>
      </c>
      <c r="E76" s="7">
        <v>2</v>
      </c>
      <c r="F76" s="195">
        <v>-3</v>
      </c>
      <c r="G76" s="7">
        <v>0</v>
      </c>
      <c r="H76" s="179"/>
      <c r="K76" s="39">
        <f t="shared" si="29"/>
        <v>-2.131465946091569</v>
      </c>
      <c r="L76" s="39">
        <f t="shared" si="29"/>
        <v>0.69608577122692095</v>
      </c>
      <c r="M76" s="39">
        <f t="shared" si="29"/>
        <v>-2.5573239043791753</v>
      </c>
      <c r="N76" s="39">
        <f t="shared" si="29"/>
        <v>2.9132627524778614</v>
      </c>
      <c r="O76" s="39">
        <f t="shared" si="29"/>
        <v>-0.40870870351691446</v>
      </c>
      <c r="P76" s="39">
        <f t="shared" si="29"/>
        <v>1.8583145010643389</v>
      </c>
      <c r="Q76" s="39">
        <f t="shared" si="29"/>
        <v>1.1670565744965389</v>
      </c>
      <c r="R76" s="39">
        <f t="shared" si="29"/>
        <v>-2.9992969356320023</v>
      </c>
      <c r="S76" s="39">
        <f t="shared" si="29"/>
        <v>-1.1216105384206216</v>
      </c>
      <c r="T76" s="39">
        <f t="shared" si="29"/>
        <v>-2.6895978340015825</v>
      </c>
      <c r="U76" s="39">
        <f t="shared" si="30"/>
        <v>2.9425708020904473</v>
      </c>
      <c r="V76" s="39">
        <f t="shared" si="30"/>
        <v>-1.1486558778075699</v>
      </c>
      <c r="W76" s="39">
        <f t="shared" si="30"/>
        <v>2.9995445802986289</v>
      </c>
      <c r="X76" s="39">
        <f t="shared" si="30"/>
        <v>1.2891989237228147</v>
      </c>
      <c r="Y76" s="39">
        <f t="shared" si="30"/>
        <v>2.2199514526051027</v>
      </c>
      <c r="Z76" s="39">
        <f t="shared" si="30"/>
        <v>-2.080240434473982</v>
      </c>
      <c r="AA76" s="39">
        <f t="shared" si="30"/>
        <v>2.3725429187444158</v>
      </c>
      <c r="AB76" s="39">
        <f t="shared" si="30"/>
        <v>-2.9958206384317196</v>
      </c>
      <c r="AC76" s="39">
        <f t="shared" si="30"/>
        <v>2.9766240296656106</v>
      </c>
      <c r="AD76" s="39">
        <f t="shared" si="30"/>
        <v>2.9104865413043415</v>
      </c>
      <c r="AE76" s="39">
        <f t="shared" si="31"/>
        <v>0.1509537608112021</v>
      </c>
      <c r="AF76" s="39">
        <f t="shared" si="31"/>
        <v>-1.6342316971192603</v>
      </c>
      <c r="AG76" s="39">
        <f t="shared" si="31"/>
        <v>-2.9992836966894769</v>
      </c>
      <c r="AH76" s="39">
        <f t="shared" si="31"/>
        <v>1.0634768852003562</v>
      </c>
      <c r="AI76" s="39">
        <f t="shared" si="31"/>
        <v>0.46691221384189319</v>
      </c>
      <c r="AJ76" s="39">
        <f t="shared" si="31"/>
        <v>1.6868952401875976</v>
      </c>
      <c r="AK76" s="39">
        <f t="shared" si="31"/>
        <v>1.20426689180879</v>
      </c>
      <c r="AL76" s="39">
        <f t="shared" si="31"/>
        <v>2.6505630282576966</v>
      </c>
      <c r="AM76" s="39">
        <f t="shared" si="31"/>
        <v>-2.9001812414145727</v>
      </c>
      <c r="AN76" s="39">
        <f t="shared" si="31"/>
        <v>2.8312877652924805E-2</v>
      </c>
      <c r="AO76" s="39">
        <f t="shared" si="32"/>
        <v>2.9230382723479917</v>
      </c>
      <c r="AP76" s="39">
        <f t="shared" si="32"/>
        <v>2.8891484901933695</v>
      </c>
      <c r="AQ76" s="39">
        <f t="shared" si="32"/>
        <v>2.4196095944422904</v>
      </c>
      <c r="AR76" s="39">
        <f t="shared" si="32"/>
        <v>-9.4322921232459056E-2</v>
      </c>
      <c r="AS76" s="39">
        <f t="shared" si="32"/>
        <v>-2.5663176083942036</v>
      </c>
      <c r="AT76" s="39">
        <f t="shared" si="32"/>
        <v>2.9657504687885834</v>
      </c>
      <c r="AU76" s="39">
        <f t="shared" si="32"/>
        <v>-2.9136344017466542</v>
      </c>
      <c r="AV76" s="39">
        <f t="shared" si="32"/>
        <v>-2.2934611865137602</v>
      </c>
      <c r="AW76" s="39">
        <f t="shared" si="32"/>
        <v>-1.3927953581877364</v>
      </c>
      <c r="AX76" s="39">
        <f t="shared" si="32"/>
        <v>2.7144595832854317</v>
      </c>
      <c r="AY76" s="39">
        <f t="shared" si="33"/>
        <v>-1.783682367308222</v>
      </c>
      <c r="AZ76" s="39">
        <f t="shared" si="33"/>
        <v>2.9765675999296159</v>
      </c>
      <c r="BA76" s="39">
        <f t="shared" si="33"/>
        <v>-2.9554591623983555</v>
      </c>
      <c r="BB76" s="39">
        <f t="shared" si="33"/>
        <v>-2.0091950247337564</v>
      </c>
      <c r="BC76" s="39">
        <f t="shared" si="33"/>
        <v>-2.941859371895641</v>
      </c>
      <c r="BD76" s="39">
        <f t="shared" si="33"/>
        <v>2.5431542222688348</v>
      </c>
      <c r="BE76" s="39">
        <f t="shared" si="33"/>
        <v>-2.981298066546481</v>
      </c>
      <c r="BF76" s="39">
        <f t="shared" si="33"/>
        <v>-1.538520734537884</v>
      </c>
      <c r="BG76" s="39">
        <f t="shared" si="33"/>
        <v>1.707604779945572</v>
      </c>
      <c r="BH76" s="39">
        <f t="shared" si="33"/>
        <v>2.9521934238664271</v>
      </c>
      <c r="BI76" s="39">
        <f t="shared" si="33"/>
        <v>0.73642399411588921</v>
      </c>
      <c r="BJ76" s="39">
        <f t="shared" si="33"/>
        <v>-2.3425309888225319</v>
      </c>
      <c r="BK76" s="39">
        <f t="shared" si="33"/>
        <v>-2.6757322706370195</v>
      </c>
      <c r="BL76" s="39">
        <f t="shared" si="33"/>
        <v>0.12737577296861652</v>
      </c>
      <c r="BM76" s="39">
        <f t="shared" si="33"/>
        <v>0.71352008586757876</v>
      </c>
    </row>
    <row r="77" spans="1:65" x14ac:dyDescent="0.25">
      <c r="A77" s="7">
        <v>2</v>
      </c>
      <c r="B77" s="7">
        <v>-1</v>
      </c>
      <c r="C77" s="7">
        <v>0</v>
      </c>
      <c r="D77" s="7">
        <v>2</v>
      </c>
      <c r="E77" s="7">
        <v>2</v>
      </c>
      <c r="F77" s="195">
        <v>-3</v>
      </c>
      <c r="G77" s="7">
        <v>0</v>
      </c>
      <c r="H77" s="179"/>
      <c r="K77" s="39">
        <f t="shared" si="29"/>
        <v>2.9731260685817404</v>
      </c>
      <c r="L77" s="39">
        <f t="shared" si="29"/>
        <v>2.0152030067530609</v>
      </c>
      <c r="M77" s="39">
        <f t="shared" si="29"/>
        <v>2.1284959963490877</v>
      </c>
      <c r="N77" s="39">
        <f t="shared" si="29"/>
        <v>-2.241330406058621</v>
      </c>
      <c r="O77" s="39">
        <f t="shared" si="29"/>
        <v>-2.9800402089756655</v>
      </c>
      <c r="P77" s="39">
        <f t="shared" si="29"/>
        <v>-1.7442444129832235</v>
      </c>
      <c r="Q77" s="39">
        <f t="shared" si="29"/>
        <v>2.8962153641712352</v>
      </c>
      <c r="R77" s="39">
        <f t="shared" si="29"/>
        <v>2.6864598010473282</v>
      </c>
      <c r="S77" s="39">
        <f t="shared" si="29"/>
        <v>0.45578492866037301</v>
      </c>
      <c r="T77" s="39">
        <f t="shared" si="29"/>
        <v>0.7928850434139032</v>
      </c>
      <c r="U77" s="39">
        <f t="shared" si="30"/>
        <v>0.33452087392757113</v>
      </c>
      <c r="V77" s="39">
        <f t="shared" si="30"/>
        <v>1.1201827906102535</v>
      </c>
      <c r="W77" s="39">
        <f t="shared" si="30"/>
        <v>-2.9206274729503479</v>
      </c>
      <c r="X77" s="39">
        <f t="shared" si="30"/>
        <v>-1.3639383526881785</v>
      </c>
      <c r="Y77" s="39">
        <f t="shared" si="30"/>
        <v>2.9983874497513048</v>
      </c>
      <c r="Z77" s="39">
        <f t="shared" si="30"/>
        <v>-2.5137457961979299</v>
      </c>
      <c r="AA77" s="39">
        <f t="shared" si="30"/>
        <v>-2.8356761798412249</v>
      </c>
      <c r="AB77" s="39">
        <f t="shared" si="30"/>
        <v>2.9351811819987161</v>
      </c>
      <c r="AC77" s="39">
        <f t="shared" si="30"/>
        <v>-2.3553865807058165</v>
      </c>
      <c r="AD77" s="39">
        <f t="shared" si="30"/>
        <v>-1.872585184525478</v>
      </c>
      <c r="AE77" s="39">
        <f t="shared" si="31"/>
        <v>-2.9508907458909706</v>
      </c>
      <c r="AF77" s="39">
        <f t="shared" si="31"/>
        <v>2.6274470533004024</v>
      </c>
      <c r="AG77" s="39">
        <f t="shared" si="31"/>
        <v>2.8203022947577625</v>
      </c>
      <c r="AH77" s="39">
        <f t="shared" si="31"/>
        <v>1.1751514255683568</v>
      </c>
      <c r="AI77" s="39">
        <f t="shared" si="31"/>
        <v>-2.9999011292187241</v>
      </c>
      <c r="AJ77" s="39">
        <f t="shared" si="31"/>
        <v>1.64586830492424</v>
      </c>
      <c r="AK77" s="39">
        <f t="shared" si="31"/>
        <v>2.498318233797395</v>
      </c>
      <c r="AL77" s="39">
        <f t="shared" si="31"/>
        <v>1.2539225133646825</v>
      </c>
      <c r="AM77" s="39">
        <f t="shared" si="31"/>
        <v>0.64329888334413698</v>
      </c>
      <c r="AN77" s="39">
        <f t="shared" si="31"/>
        <v>2.964341724540521</v>
      </c>
      <c r="AO77" s="39">
        <f t="shared" si="32"/>
        <v>1.5624716065656323</v>
      </c>
      <c r="AP77" s="39">
        <f t="shared" si="32"/>
        <v>-2.651797713698234</v>
      </c>
      <c r="AQ77" s="39">
        <f t="shared" si="32"/>
        <v>2.9035172693364779</v>
      </c>
      <c r="AR77" s="39">
        <f t="shared" si="32"/>
        <v>-2.5477641520074625</v>
      </c>
      <c r="AS77" s="39">
        <f t="shared" si="32"/>
        <v>-2.7527614832493783</v>
      </c>
      <c r="AT77" s="39">
        <f t="shared" si="32"/>
        <v>-1.3059686412327829</v>
      </c>
      <c r="AU77" s="39">
        <f t="shared" si="32"/>
        <v>-1.1495153205311379</v>
      </c>
      <c r="AV77" s="39">
        <f t="shared" si="32"/>
        <v>-2.9330805773703483</v>
      </c>
      <c r="AW77" s="39">
        <f t="shared" si="32"/>
        <v>-2.9955270877392803</v>
      </c>
      <c r="AX77" s="39">
        <f t="shared" si="32"/>
        <v>-2.9175163719899633</v>
      </c>
      <c r="AY77" s="39">
        <f t="shared" si="33"/>
        <v>-2.8993432229560163</v>
      </c>
      <c r="AZ77" s="39">
        <f t="shared" si="33"/>
        <v>-2.7403536213910504</v>
      </c>
      <c r="BA77" s="39">
        <f t="shared" si="33"/>
        <v>0.5136014849157049</v>
      </c>
      <c r="BB77" s="39">
        <f t="shared" si="33"/>
        <v>-1.2224511148423836</v>
      </c>
      <c r="BC77" s="39">
        <f t="shared" si="33"/>
        <v>1.2798326776323508</v>
      </c>
      <c r="BD77" s="39">
        <f t="shared" si="33"/>
        <v>1.904049829396675</v>
      </c>
      <c r="BE77" s="39">
        <f t="shared" si="33"/>
        <v>-0.70165987424187082</v>
      </c>
      <c r="BF77" s="39">
        <f t="shared" si="33"/>
        <v>1.7727755107221235</v>
      </c>
      <c r="BG77" s="39">
        <f t="shared" si="33"/>
        <v>2.992587242454158</v>
      </c>
      <c r="BH77" s="39">
        <f t="shared" si="33"/>
        <v>2.0944936240506422</v>
      </c>
      <c r="BI77" s="39">
        <f t="shared" si="33"/>
        <v>-0.28590907769678736</v>
      </c>
      <c r="BJ77" s="39">
        <f t="shared" si="33"/>
        <v>-2.463969018402894</v>
      </c>
      <c r="BK77" s="39">
        <f t="shared" si="33"/>
        <v>-2.8982357982570615</v>
      </c>
      <c r="BL77" s="39">
        <f t="shared" si="33"/>
        <v>-1.281371364290524</v>
      </c>
      <c r="BM77" s="39">
        <f t="shared" si="33"/>
        <v>2.2594762790359044</v>
      </c>
    </row>
    <row r="78" spans="1:65" x14ac:dyDescent="0.25">
      <c r="A78" s="350" t="str">
        <f>A17</f>
        <v>y = D+M+M'+F+Ω</v>
      </c>
      <c r="B78" s="350"/>
      <c r="C78" s="350"/>
      <c r="D78" s="350"/>
      <c r="E78" s="351"/>
      <c r="F78" s="347" t="s">
        <v>261</v>
      </c>
      <c r="G78" s="348"/>
    </row>
    <row r="79" spans="1:65" x14ac:dyDescent="0.25">
      <c r="A79" s="60" t="str">
        <f>A18</f>
        <v>D</v>
      </c>
      <c r="B79" s="60" t="str">
        <f t="shared" ref="B79:E79" si="34">B18</f>
        <v>M</v>
      </c>
      <c r="C79" s="60" t="str">
        <f t="shared" si="34"/>
        <v>M'</v>
      </c>
      <c r="D79" s="60" t="str">
        <f t="shared" si="34"/>
        <v>F</v>
      </c>
      <c r="E79" s="196" t="str">
        <f t="shared" si="34"/>
        <v>Ω</v>
      </c>
      <c r="F79" s="194" t="s">
        <v>259</v>
      </c>
      <c r="G79" s="60" t="s">
        <v>260</v>
      </c>
      <c r="K79" s="90" t="s">
        <v>262</v>
      </c>
      <c r="L79" s="90" t="s">
        <v>262</v>
      </c>
      <c r="M79" s="90" t="s">
        <v>262</v>
      </c>
      <c r="N79" s="90" t="s">
        <v>262</v>
      </c>
      <c r="O79" s="90" t="s">
        <v>262</v>
      </c>
      <c r="P79" s="90" t="s">
        <v>262</v>
      </c>
      <c r="Q79" s="90" t="s">
        <v>262</v>
      </c>
      <c r="R79" s="90" t="s">
        <v>262</v>
      </c>
      <c r="S79" s="90" t="s">
        <v>262</v>
      </c>
      <c r="T79" s="90" t="s">
        <v>262</v>
      </c>
      <c r="U79" s="90" t="s">
        <v>262</v>
      </c>
      <c r="V79" s="90" t="s">
        <v>262</v>
      </c>
      <c r="W79" s="90" t="s">
        <v>262</v>
      </c>
      <c r="X79" s="90" t="s">
        <v>262</v>
      </c>
      <c r="Y79" s="90" t="s">
        <v>262</v>
      </c>
      <c r="Z79" s="90" t="s">
        <v>262</v>
      </c>
      <c r="AA79" s="90" t="s">
        <v>262</v>
      </c>
      <c r="AB79" s="90" t="s">
        <v>262</v>
      </c>
      <c r="AC79" s="90" t="s">
        <v>262</v>
      </c>
      <c r="AD79" s="90" t="s">
        <v>262</v>
      </c>
      <c r="AE79" s="90" t="s">
        <v>262</v>
      </c>
      <c r="AF79" s="90" t="s">
        <v>262</v>
      </c>
      <c r="AG79" s="90" t="s">
        <v>262</v>
      </c>
      <c r="AH79" s="90" t="s">
        <v>262</v>
      </c>
      <c r="AI79" s="90" t="s">
        <v>262</v>
      </c>
      <c r="AJ79" s="90" t="s">
        <v>262</v>
      </c>
      <c r="AK79" s="90" t="s">
        <v>262</v>
      </c>
      <c r="AL79" s="90" t="s">
        <v>262</v>
      </c>
      <c r="AM79" s="90" t="s">
        <v>262</v>
      </c>
      <c r="AN79" s="90" t="s">
        <v>262</v>
      </c>
      <c r="AO79" s="90" t="s">
        <v>262</v>
      </c>
      <c r="AP79" s="90" t="s">
        <v>262</v>
      </c>
      <c r="AQ79" s="90" t="s">
        <v>262</v>
      </c>
      <c r="AR79" s="90" t="s">
        <v>262</v>
      </c>
      <c r="AS79" s="90" t="s">
        <v>262</v>
      </c>
      <c r="AT79" s="90" t="s">
        <v>262</v>
      </c>
      <c r="AU79" s="90" t="s">
        <v>262</v>
      </c>
      <c r="AV79" s="90" t="s">
        <v>262</v>
      </c>
      <c r="AW79" s="90" t="s">
        <v>262</v>
      </c>
      <c r="AX79" s="90" t="s">
        <v>262</v>
      </c>
      <c r="AY79" s="90" t="s">
        <v>262</v>
      </c>
      <c r="AZ79" s="90" t="s">
        <v>262</v>
      </c>
      <c r="BA79" s="90" t="s">
        <v>262</v>
      </c>
      <c r="BB79" s="90" t="s">
        <v>262</v>
      </c>
      <c r="BC79" s="90" t="s">
        <v>262</v>
      </c>
      <c r="BD79" s="90" t="s">
        <v>262</v>
      </c>
      <c r="BE79" s="90" t="s">
        <v>262</v>
      </c>
      <c r="BF79" s="90" t="s">
        <v>262</v>
      </c>
      <c r="BG79" s="90" t="s">
        <v>262</v>
      </c>
      <c r="BH79" s="90" t="s">
        <v>262</v>
      </c>
      <c r="BI79" s="90" t="s">
        <v>262</v>
      </c>
      <c r="BJ79" s="90" t="s">
        <v>262</v>
      </c>
      <c r="BK79" s="90" t="s">
        <v>262</v>
      </c>
      <c r="BL79" s="90" t="s">
        <v>262</v>
      </c>
      <c r="BM79" s="90" t="s">
        <v>262</v>
      </c>
    </row>
    <row r="80" spans="1:65" x14ac:dyDescent="0.25">
      <c r="A80" s="7">
        <f>A19</f>
        <v>0</v>
      </c>
      <c r="B80" s="7">
        <f t="shared" ref="B80:E81" si="35">B19</f>
        <v>0</v>
      </c>
      <c r="C80" s="7">
        <f t="shared" si="35"/>
        <v>0</v>
      </c>
      <c r="D80" s="7">
        <f t="shared" si="35"/>
        <v>0</v>
      </c>
      <c r="E80" s="7">
        <f t="shared" si="35"/>
        <v>1</v>
      </c>
      <c r="F80" s="197">
        <v>92025</v>
      </c>
      <c r="G80">
        <v>8.9</v>
      </c>
      <c r="H80" s="179"/>
      <c r="K80" s="39">
        <f t="shared" ref="K80:T89" si="36">($F80+$G80*K$4)*COS(($A80*K$5+$B80*K$6+$C80*K$7+$D80*K$8+$E80*K$9)*Deg2Rad)</f>
        <v>-68329.077645845711</v>
      </c>
      <c r="L80" s="39">
        <f t="shared" si="36"/>
        <v>75768.925547297215</v>
      </c>
      <c r="M80" s="39">
        <f t="shared" si="36"/>
        <v>-52841.929343400319</v>
      </c>
      <c r="N80" s="39">
        <f t="shared" si="36"/>
        <v>-74824.703514494977</v>
      </c>
      <c r="O80" s="39">
        <f t="shared" si="36"/>
        <v>88838.675215387877</v>
      </c>
      <c r="P80" s="39">
        <f t="shared" si="36"/>
        <v>91232.442040730195</v>
      </c>
      <c r="Q80" s="39">
        <f t="shared" si="36"/>
        <v>91775.696497181663</v>
      </c>
      <c r="R80" s="39">
        <f t="shared" si="36"/>
        <v>90059.100736229229</v>
      </c>
      <c r="S80" s="39">
        <f t="shared" si="36"/>
        <v>-17310.917564864481</v>
      </c>
      <c r="T80" s="39">
        <f t="shared" si="36"/>
        <v>48050.871191795246</v>
      </c>
      <c r="U80" s="39">
        <f t="shared" ref="U80:AD89" si="37">($F80+$G80*U$4)*COS(($A80*U$5+$B80*U$6+$C80*U$7+$D80*U$8+$E80*U$9)*Deg2Rad)</f>
        <v>19379.836586056987</v>
      </c>
      <c r="V80" s="39">
        <f t="shared" si="37"/>
        <v>36455.98447056453</v>
      </c>
      <c r="W80" s="39">
        <f t="shared" si="37"/>
        <v>-56149.795927191488</v>
      </c>
      <c r="X80" s="39">
        <f t="shared" si="37"/>
        <v>-56082.605318043126</v>
      </c>
      <c r="Y80" s="39">
        <f t="shared" si="37"/>
        <v>-91758.040062156651</v>
      </c>
      <c r="Z80" s="39">
        <f t="shared" si="37"/>
        <v>-91044.55020596426</v>
      </c>
      <c r="AA80" s="39">
        <f t="shared" si="37"/>
        <v>-87520.009096264359</v>
      </c>
      <c r="AB80" s="39">
        <f t="shared" si="37"/>
        <v>90590.170170481826</v>
      </c>
      <c r="AC80" s="39">
        <f t="shared" si="37"/>
        <v>90254.688044048802</v>
      </c>
      <c r="AD80" s="39">
        <f t="shared" si="37"/>
        <v>7061.0184617454552</v>
      </c>
      <c r="AE80" s="39">
        <f t="shared" ref="AE80:AN89" si="38">($F80+$G80*AE$4)*COS(($A80*AE$5+$B80*AE$6+$C80*AE$7+$D80*AE$8+$E80*AE$9)*Deg2Rad)</f>
        <v>-81625.50651878702</v>
      </c>
      <c r="AF80" s="39">
        <f t="shared" si="38"/>
        <v>91533.371967161584</v>
      </c>
      <c r="AG80" s="39">
        <f t="shared" si="38"/>
        <v>-52876.739566114287</v>
      </c>
      <c r="AH80" s="39">
        <f t="shared" si="38"/>
        <v>24151.618537169594</v>
      </c>
      <c r="AI80" s="39">
        <f t="shared" si="38"/>
        <v>-91479.350726539822</v>
      </c>
      <c r="AJ80" s="39">
        <f t="shared" si="38"/>
        <v>90949.651746898904</v>
      </c>
      <c r="AK80" s="39">
        <f t="shared" si="38"/>
        <v>-81748.910395661136</v>
      </c>
      <c r="AL80" s="39">
        <f t="shared" si="38"/>
        <v>-14306.504334715886</v>
      </c>
      <c r="AM80" s="39">
        <f t="shared" si="38"/>
        <v>-8568.8990289951125</v>
      </c>
      <c r="AN80" s="39">
        <f t="shared" si="38"/>
        <v>40349.083354233742</v>
      </c>
      <c r="AO80" s="39">
        <f t="shared" ref="AO80:AX89" si="39">($F80+$G80*AO$4)*COS(($A80*AO$5+$B80*AO$6+$C80*AO$7+$D80*AO$8+$E80*AO$9)*Deg2Rad)</f>
        <v>7993.4346540566276</v>
      </c>
      <c r="AP80" s="39">
        <f t="shared" si="39"/>
        <v>-25262.866495338814</v>
      </c>
      <c r="AQ80" s="39">
        <f t="shared" si="39"/>
        <v>64916.353137238024</v>
      </c>
      <c r="AR80" s="39">
        <f t="shared" si="39"/>
        <v>52234.563526864862</v>
      </c>
      <c r="AS80" s="39">
        <f t="shared" si="39"/>
        <v>-55002.824767636295</v>
      </c>
      <c r="AT80" s="39">
        <f t="shared" si="39"/>
        <v>-45995.033800625039</v>
      </c>
      <c r="AU80" s="39">
        <f t="shared" si="39"/>
        <v>-2515.5837477709183</v>
      </c>
      <c r="AV80" s="39">
        <f t="shared" si="39"/>
        <v>64656.698714839658</v>
      </c>
      <c r="AW80" s="39">
        <f t="shared" si="39"/>
        <v>65082.351015233515</v>
      </c>
      <c r="AX80" s="39">
        <f t="shared" si="39"/>
        <v>65496.108412202368</v>
      </c>
      <c r="AY80" s="39">
        <f t="shared" ref="AY80:BM89" si="40">($F80+$G80*AY$4)*COS(($A80*AY$5+$B80*AY$6+$C80*AY$7+$D80*AY$8+$E80*AY$9)*Deg2Rad)</f>
        <v>65960.807838659326</v>
      </c>
      <c r="AZ80" s="39">
        <f t="shared" si="40"/>
        <v>66823.988677790388</v>
      </c>
      <c r="BA80" s="39">
        <f t="shared" si="40"/>
        <v>14795.44149727221</v>
      </c>
      <c r="BB80" s="39">
        <f t="shared" si="40"/>
        <v>-90678.56668067108</v>
      </c>
      <c r="BC80" s="39">
        <f t="shared" si="40"/>
        <v>48810.942981697655</v>
      </c>
      <c r="BD80" s="39">
        <f t="shared" si="40"/>
        <v>-57657.003571624948</v>
      </c>
      <c r="BE80" s="39">
        <f t="shared" si="40"/>
        <v>68552.437267316971</v>
      </c>
      <c r="BF80" s="39">
        <f t="shared" si="40"/>
        <v>68609.151926333856</v>
      </c>
      <c r="BG80" s="39">
        <f t="shared" si="40"/>
        <v>68665.807981276041</v>
      </c>
      <c r="BH80" s="39">
        <f t="shared" si="40"/>
        <v>68722.405383748643</v>
      </c>
      <c r="BI80" s="39">
        <f t="shared" si="40"/>
        <v>68778.94408540742</v>
      </c>
      <c r="BJ80" s="39">
        <f t="shared" si="40"/>
        <v>68835.424037957797</v>
      </c>
      <c r="BK80" s="39">
        <f t="shared" si="40"/>
        <v>68891.845193155867</v>
      </c>
      <c r="BL80" s="39">
        <f t="shared" si="40"/>
        <v>68948.207502807316</v>
      </c>
      <c r="BM80" s="39">
        <f t="shared" si="40"/>
        <v>-81743.006677378798</v>
      </c>
    </row>
    <row r="81" spans="1:65" x14ac:dyDescent="0.25">
      <c r="A81" s="7">
        <f>A20</f>
        <v>-2</v>
      </c>
      <c r="B81" s="7">
        <f t="shared" si="35"/>
        <v>0</v>
      </c>
      <c r="C81" s="7">
        <f t="shared" si="35"/>
        <v>0</v>
      </c>
      <c r="D81" s="7">
        <f t="shared" si="35"/>
        <v>2</v>
      </c>
      <c r="E81" s="7">
        <f t="shared" si="35"/>
        <v>2</v>
      </c>
      <c r="F81" s="195">
        <v>5736</v>
      </c>
      <c r="G81">
        <v>-3.1</v>
      </c>
      <c r="H81" s="179"/>
      <c r="K81" s="39">
        <f t="shared" si="36"/>
        <v>5137.3210176243774</v>
      </c>
      <c r="L81" s="39">
        <f t="shared" si="36"/>
        <v>-1615.2746368980938</v>
      </c>
      <c r="M81" s="39">
        <f t="shared" si="36"/>
        <v>-5357.4481806307267</v>
      </c>
      <c r="N81" s="39">
        <f t="shared" si="36"/>
        <v>-5375.4433600470848</v>
      </c>
      <c r="O81" s="39">
        <f t="shared" si="36"/>
        <v>-1820.8663035420386</v>
      </c>
      <c r="P81" s="39">
        <f t="shared" si="36"/>
        <v>-5708.7529434037679</v>
      </c>
      <c r="Q81" s="39">
        <f t="shared" si="36"/>
        <v>-1866.1202506659245</v>
      </c>
      <c r="R81" s="39">
        <f t="shared" si="36"/>
        <v>-5721.443417394099</v>
      </c>
      <c r="S81" s="39">
        <f t="shared" si="36"/>
        <v>-5379.8941207028829</v>
      </c>
      <c r="T81" s="39">
        <f t="shared" si="36"/>
        <v>-5411.5539313378677</v>
      </c>
      <c r="U81" s="39">
        <f t="shared" si="37"/>
        <v>-5427.4941451124005</v>
      </c>
      <c r="V81" s="39">
        <f t="shared" si="37"/>
        <v>4083.0414743679139</v>
      </c>
      <c r="W81" s="39">
        <f t="shared" si="37"/>
        <v>-5670.9688294060688</v>
      </c>
      <c r="X81" s="39">
        <f t="shared" si="37"/>
        <v>-5625.4719751135963</v>
      </c>
      <c r="Y81" s="39">
        <f t="shared" si="37"/>
        <v>-5428.0235054171699</v>
      </c>
      <c r="Z81" s="39">
        <f t="shared" si="37"/>
        <v>2576.8497588018968</v>
      </c>
      <c r="AA81" s="39">
        <f t="shared" si="37"/>
        <v>166.50946688003106</v>
      </c>
      <c r="AB81" s="39">
        <f t="shared" si="37"/>
        <v>-3489.3835926727752</v>
      </c>
      <c r="AC81" s="39">
        <f t="shared" si="37"/>
        <v>4676.0480380155323</v>
      </c>
      <c r="AD81" s="39">
        <f t="shared" si="37"/>
        <v>4336.0586106455594</v>
      </c>
      <c r="AE81" s="39">
        <f t="shared" si="38"/>
        <v>1941.2767223532121</v>
      </c>
      <c r="AF81" s="39">
        <f t="shared" si="38"/>
        <v>-5367.1140180254606</v>
      </c>
      <c r="AG81" s="39">
        <f t="shared" si="38"/>
        <v>-5391.9066727328491</v>
      </c>
      <c r="AH81" s="39">
        <f t="shared" si="38"/>
        <v>-5540.4305282825389</v>
      </c>
      <c r="AI81" s="39">
        <f t="shared" si="38"/>
        <v>-1532.4641161605532</v>
      </c>
      <c r="AJ81" s="39">
        <f t="shared" si="38"/>
        <v>2820.6446844894135</v>
      </c>
      <c r="AK81" s="39">
        <f t="shared" si="38"/>
        <v>2513.998691966256</v>
      </c>
      <c r="AL81" s="39">
        <f t="shared" si="38"/>
        <v>-5731.4415389391288</v>
      </c>
      <c r="AM81" s="39">
        <f t="shared" si="38"/>
        <v>4153.0715295123737</v>
      </c>
      <c r="AN81" s="39">
        <f t="shared" si="38"/>
        <v>4168.3229368576403</v>
      </c>
      <c r="AO81" s="39">
        <f t="shared" si="39"/>
        <v>5416.8026571662203</v>
      </c>
      <c r="AP81" s="39">
        <f t="shared" si="39"/>
        <v>1205.1013287270016</v>
      </c>
      <c r="AQ81" s="39">
        <f t="shared" si="39"/>
        <v>-5391.826592507</v>
      </c>
      <c r="AR81" s="39">
        <f t="shared" si="39"/>
        <v>5729.7172841629863</v>
      </c>
      <c r="AS81" s="39">
        <f t="shared" si="39"/>
        <v>-3571.0664174005733</v>
      </c>
      <c r="AT81" s="39">
        <f t="shared" si="39"/>
        <v>5007.5239305898649</v>
      </c>
      <c r="AU81" s="39">
        <f t="shared" si="39"/>
        <v>-5432.2237884244678</v>
      </c>
      <c r="AV81" s="39">
        <f t="shared" si="39"/>
        <v>5668.5713045287321</v>
      </c>
      <c r="AW81" s="39">
        <f t="shared" si="39"/>
        <v>5292.6927880620824</v>
      </c>
      <c r="AX81" s="39">
        <f t="shared" si="39"/>
        <v>4624.3522678580321</v>
      </c>
      <c r="AY81" s="39">
        <f t="shared" si="40"/>
        <v>3558.3300170722459</v>
      </c>
      <c r="AZ81" s="39">
        <f t="shared" si="40"/>
        <v>942.20491862791027</v>
      </c>
      <c r="BA81" s="39">
        <f t="shared" si="40"/>
        <v>-4308.2057363549702</v>
      </c>
      <c r="BB81" s="39">
        <f t="shared" si="40"/>
        <v>4419.9362126572287</v>
      </c>
      <c r="BC81" s="39">
        <f t="shared" si="40"/>
        <v>-5097.7952279651436</v>
      </c>
      <c r="BD81" s="39">
        <f t="shared" si="40"/>
        <v>4001.4627967575839</v>
      </c>
      <c r="BE81" s="39">
        <f t="shared" si="40"/>
        <v>-4373.0435717741011</v>
      </c>
      <c r="BF81" s="39">
        <f t="shared" si="40"/>
        <v>-4498.1025334127844</v>
      </c>
      <c r="BG81" s="39">
        <f t="shared" si="40"/>
        <v>-4617.8374139743992</v>
      </c>
      <c r="BH81" s="39">
        <f t="shared" si="40"/>
        <v>-4732.106492142515</v>
      </c>
      <c r="BI81" s="39">
        <f t="shared" si="40"/>
        <v>-4840.7745160576706</v>
      </c>
      <c r="BJ81" s="39">
        <f t="shared" si="40"/>
        <v>-4943.7128634423852</v>
      </c>
      <c r="BK81" s="39">
        <f t="shared" si="40"/>
        <v>-5040.7996938172018</v>
      </c>
      <c r="BL81" s="39">
        <f t="shared" si="40"/>
        <v>-5131.9200927232332</v>
      </c>
      <c r="BM81" s="39">
        <f t="shared" si="40"/>
        <v>2487.1475494344345</v>
      </c>
    </row>
    <row r="82" spans="1:65" x14ac:dyDescent="0.25">
      <c r="A82" s="7">
        <f t="shared" ref="A82:E82" si="41">A21</f>
        <v>0</v>
      </c>
      <c r="B82" s="7">
        <f t="shared" si="41"/>
        <v>0</v>
      </c>
      <c r="C82" s="7">
        <f t="shared" si="41"/>
        <v>0</v>
      </c>
      <c r="D82" s="7">
        <f t="shared" si="41"/>
        <v>2</v>
      </c>
      <c r="E82" s="7">
        <f t="shared" si="41"/>
        <v>2</v>
      </c>
      <c r="F82" s="195">
        <v>977</v>
      </c>
      <c r="G82">
        <v>-0.5</v>
      </c>
      <c r="H82" s="179"/>
      <c r="K82" s="39">
        <f t="shared" si="36"/>
        <v>294.81589333963859</v>
      </c>
      <c r="L82" s="39">
        <f t="shared" si="36"/>
        <v>-659.9572970944979</v>
      </c>
      <c r="M82" s="39">
        <f t="shared" si="36"/>
        <v>225.87259450241947</v>
      </c>
      <c r="N82" s="39">
        <f t="shared" si="36"/>
        <v>-942.31906716473918</v>
      </c>
      <c r="O82" s="39">
        <f t="shared" si="36"/>
        <v>-972.45445449583144</v>
      </c>
      <c r="P82" s="39">
        <f t="shared" si="36"/>
        <v>969.37131749447497</v>
      </c>
      <c r="Q82" s="39">
        <f t="shared" si="36"/>
        <v>96.404503875451624</v>
      </c>
      <c r="R82" s="39">
        <f t="shared" si="36"/>
        <v>371.00475024540538</v>
      </c>
      <c r="S82" s="39">
        <f t="shared" si="36"/>
        <v>-948.28312080078217</v>
      </c>
      <c r="T82" s="39">
        <f t="shared" si="36"/>
        <v>-923.34467495404704</v>
      </c>
      <c r="U82" s="39">
        <f t="shared" si="37"/>
        <v>-139.32973484167158</v>
      </c>
      <c r="V82" s="39">
        <f t="shared" si="37"/>
        <v>315.60873086650275</v>
      </c>
      <c r="W82" s="39">
        <f t="shared" si="37"/>
        <v>941.55080587156328</v>
      </c>
      <c r="X82" s="39">
        <f t="shared" si="37"/>
        <v>976.022244294551</v>
      </c>
      <c r="Y82" s="39">
        <f t="shared" si="37"/>
        <v>974.5776175003873</v>
      </c>
      <c r="Z82" s="39">
        <f t="shared" si="37"/>
        <v>703.95070251841685</v>
      </c>
      <c r="AA82" s="39">
        <f t="shared" si="37"/>
        <v>545.5605276365053</v>
      </c>
      <c r="AB82" s="39">
        <f t="shared" si="37"/>
        <v>-488.0274448402144</v>
      </c>
      <c r="AC82" s="39">
        <f t="shared" si="37"/>
        <v>619.14343065673086</v>
      </c>
      <c r="AD82" s="39">
        <f t="shared" si="37"/>
        <v>-24.206656205302945</v>
      </c>
      <c r="AE82" s="39">
        <f t="shared" si="38"/>
        <v>-879.18537959364448</v>
      </c>
      <c r="AF82" s="39">
        <f t="shared" si="38"/>
        <v>-757.0433241582158</v>
      </c>
      <c r="AG82" s="39">
        <f t="shared" si="38"/>
        <v>436.59952030028819</v>
      </c>
      <c r="AH82" s="39">
        <f t="shared" si="38"/>
        <v>-971.29630918411635</v>
      </c>
      <c r="AI82" s="39">
        <f t="shared" si="38"/>
        <v>292.18924818185553</v>
      </c>
      <c r="AJ82" s="39">
        <f t="shared" si="38"/>
        <v>-960.1406173584943</v>
      </c>
      <c r="AK82" s="39">
        <f t="shared" si="38"/>
        <v>316.71382918318704</v>
      </c>
      <c r="AL82" s="39">
        <f t="shared" si="38"/>
        <v>342.41810785379948</v>
      </c>
      <c r="AM82" s="39">
        <f t="shared" si="38"/>
        <v>211.56543166682346</v>
      </c>
      <c r="AN82" s="39">
        <f t="shared" si="38"/>
        <v>710.37331740815875</v>
      </c>
      <c r="AO82" s="39">
        <f t="shared" si="39"/>
        <v>910.29595516756615</v>
      </c>
      <c r="AP82" s="39">
        <f t="shared" si="39"/>
        <v>602.23130031853032</v>
      </c>
      <c r="AQ82" s="39">
        <f t="shared" si="39"/>
        <v>655.7806865591125</v>
      </c>
      <c r="AR82" s="39">
        <f t="shared" si="39"/>
        <v>968.71360089200834</v>
      </c>
      <c r="AS82" s="39">
        <f t="shared" si="39"/>
        <v>186.37617458723304</v>
      </c>
      <c r="AT82" s="39">
        <f t="shared" si="39"/>
        <v>280.3492582615504</v>
      </c>
      <c r="AU82" s="39">
        <f t="shared" si="39"/>
        <v>597.38317878342684</v>
      </c>
      <c r="AV82" s="39">
        <f t="shared" si="39"/>
        <v>971.60796891669668</v>
      </c>
      <c r="AW82" s="39">
        <f t="shared" si="39"/>
        <v>-955.91857962084998</v>
      </c>
      <c r="AX82" s="39">
        <f t="shared" si="39"/>
        <v>948.68802874817845</v>
      </c>
      <c r="AY82" s="39">
        <f t="shared" si="40"/>
        <v>-753.61150034203115</v>
      </c>
      <c r="AZ82" s="39">
        <f t="shared" si="40"/>
        <v>-401.23302891043824</v>
      </c>
      <c r="BA82" s="39">
        <f t="shared" si="40"/>
        <v>-724.2845678774712</v>
      </c>
      <c r="BB82" s="39">
        <f t="shared" si="40"/>
        <v>348.16864988730794</v>
      </c>
      <c r="BC82" s="39">
        <f t="shared" si="40"/>
        <v>-869.18011673551348</v>
      </c>
      <c r="BD82" s="39">
        <f t="shared" si="40"/>
        <v>580.81584417934039</v>
      </c>
      <c r="BE82" s="39">
        <f t="shared" si="40"/>
        <v>706.64818915549893</v>
      </c>
      <c r="BF82" s="39">
        <f t="shared" si="40"/>
        <v>932.62135246060245</v>
      </c>
      <c r="BG82" s="39">
        <f t="shared" si="40"/>
        <v>964.75438598252219</v>
      </c>
      <c r="BH82" s="39">
        <f t="shared" si="40"/>
        <v>796.36862414948007</v>
      </c>
      <c r="BI82" s="39">
        <f t="shared" si="40"/>
        <v>462.46210986153602</v>
      </c>
      <c r="BJ82" s="39">
        <f t="shared" si="40"/>
        <v>32.435446165455609</v>
      </c>
      <c r="BK82" s="39">
        <f t="shared" si="40"/>
        <v>-404.33273125591029</v>
      </c>
      <c r="BL82" s="39">
        <f t="shared" si="40"/>
        <v>-757.06260336692526</v>
      </c>
      <c r="BM82" s="39">
        <f t="shared" si="40"/>
        <v>251.73533044019135</v>
      </c>
    </row>
    <row r="83" spans="1:65" x14ac:dyDescent="0.25">
      <c r="A83" s="7">
        <f t="shared" ref="A83:E83" si="42">A22</f>
        <v>0</v>
      </c>
      <c r="B83" s="7">
        <f t="shared" si="42"/>
        <v>0</v>
      </c>
      <c r="C83" s="7">
        <f t="shared" si="42"/>
        <v>0</v>
      </c>
      <c r="D83" s="7">
        <f t="shared" si="42"/>
        <v>0</v>
      </c>
      <c r="E83" s="7">
        <f t="shared" si="42"/>
        <v>2</v>
      </c>
      <c r="F83" s="195">
        <v>-895</v>
      </c>
      <c r="G83">
        <v>0.5</v>
      </c>
      <c r="H83" s="179"/>
      <c r="K83" s="39">
        <f t="shared" si="36"/>
        <v>-91.955399215600551</v>
      </c>
      <c r="L83" s="39">
        <f t="shared" si="36"/>
        <v>-325.3788379556035</v>
      </c>
      <c r="M83" s="39">
        <f t="shared" si="36"/>
        <v>304.80067186107112</v>
      </c>
      <c r="N83" s="39">
        <f t="shared" si="36"/>
        <v>-288.40342091845844</v>
      </c>
      <c r="O83" s="39">
        <f t="shared" si="36"/>
        <v>-773.28762046507813</v>
      </c>
      <c r="P83" s="39">
        <f t="shared" si="36"/>
        <v>-864.40350521673054</v>
      </c>
      <c r="Q83" s="39">
        <f t="shared" si="36"/>
        <v>-885.41470595087048</v>
      </c>
      <c r="R83" s="39">
        <f t="shared" si="36"/>
        <v>-819.42959791132944</v>
      </c>
      <c r="S83" s="39">
        <f t="shared" si="36"/>
        <v>832.11183783156901</v>
      </c>
      <c r="T83" s="39">
        <f t="shared" si="36"/>
        <v>407.50370769601437</v>
      </c>
      <c r="U83" s="39">
        <f t="shared" si="37"/>
        <v>817.37100304798525</v>
      </c>
      <c r="V83" s="39">
        <f t="shared" si="37"/>
        <v>617.43415813280308</v>
      </c>
      <c r="W83" s="39">
        <f t="shared" si="37"/>
        <v>228.5294993752959</v>
      </c>
      <c r="X83" s="39">
        <f t="shared" si="37"/>
        <v>230.14896113867894</v>
      </c>
      <c r="Y83" s="39">
        <f t="shared" si="37"/>
        <v>-909.99677801968028</v>
      </c>
      <c r="Z83" s="39">
        <f t="shared" si="37"/>
        <v>-881.80615751350865</v>
      </c>
      <c r="AA83" s="39">
        <f t="shared" si="37"/>
        <v>-745.76564465605895</v>
      </c>
      <c r="AB83" s="39">
        <f t="shared" si="37"/>
        <v>-894.6937016042192</v>
      </c>
      <c r="AC83" s="39">
        <f t="shared" si="37"/>
        <v>-826.89411601509823</v>
      </c>
      <c r="AD83" s="39">
        <f t="shared" si="37"/>
        <v>884.499564668934</v>
      </c>
      <c r="AE83" s="39">
        <f t="shared" si="38"/>
        <v>-513.42136639758883</v>
      </c>
      <c r="AF83" s="39">
        <f t="shared" si="38"/>
        <v>-875.55956968206272</v>
      </c>
      <c r="AG83" s="39">
        <f t="shared" si="38"/>
        <v>304.02281543743419</v>
      </c>
      <c r="AH83" s="39">
        <f t="shared" si="38"/>
        <v>771.89363012327192</v>
      </c>
      <c r="AI83" s="39">
        <f t="shared" si="38"/>
        <v>-874.01129960517926</v>
      </c>
      <c r="AJ83" s="39">
        <f t="shared" si="38"/>
        <v>-853.50602600702427</v>
      </c>
      <c r="AK83" s="39">
        <f t="shared" si="38"/>
        <v>-517.6834700238868</v>
      </c>
      <c r="AL83" s="39">
        <f t="shared" si="38"/>
        <v>851.77068875298028</v>
      </c>
      <c r="AM83" s="39">
        <f t="shared" si="38"/>
        <v>879.51525942768478</v>
      </c>
      <c r="AN83" s="39">
        <f t="shared" si="38"/>
        <v>550.9022617052774</v>
      </c>
      <c r="AO83" s="39">
        <f t="shared" si="39"/>
        <v>881.53254928477929</v>
      </c>
      <c r="AP83" s="39">
        <f t="shared" si="39"/>
        <v>760.12823748021219</v>
      </c>
      <c r="AQ83" s="39">
        <f t="shared" si="39"/>
        <v>3.9531323486118759</v>
      </c>
      <c r="AR83" s="39">
        <f t="shared" si="39"/>
        <v>318.29636713010927</v>
      </c>
      <c r="AS83" s="39">
        <f t="shared" si="39"/>
        <v>255.78915298669489</v>
      </c>
      <c r="AT83" s="39">
        <f t="shared" si="39"/>
        <v>447.83924667387629</v>
      </c>
      <c r="AU83" s="39">
        <f t="shared" si="39"/>
        <v>903.63703187081501</v>
      </c>
      <c r="AV83" s="39">
        <f t="shared" si="39"/>
        <v>11.411514288129023</v>
      </c>
      <c r="AW83" s="39">
        <f t="shared" si="39"/>
        <v>-0.25904251166951225</v>
      </c>
      <c r="AX83" s="39">
        <f t="shared" si="39"/>
        <v>-11.676859189417137</v>
      </c>
      <c r="AY83" s="39">
        <f t="shared" si="40"/>
        <v>-24.586709280776635</v>
      </c>
      <c r="AZ83" s="39">
        <f t="shared" si="40"/>
        <v>-48.809019642255379</v>
      </c>
      <c r="BA83" s="39">
        <f t="shared" si="40"/>
        <v>848.85391854305965</v>
      </c>
      <c r="BB83" s="39">
        <f t="shared" si="40"/>
        <v>-843.022441163233</v>
      </c>
      <c r="BC83" s="39">
        <f t="shared" si="40"/>
        <v>391.49031086156805</v>
      </c>
      <c r="BD83" s="39">
        <f t="shared" si="40"/>
        <v>192.3273660467222</v>
      </c>
      <c r="BE83" s="39">
        <f t="shared" si="40"/>
        <v>-98.258818349887264</v>
      </c>
      <c r="BF83" s="39">
        <f t="shared" si="40"/>
        <v>-99.902783357074142</v>
      </c>
      <c r="BG83" s="39">
        <f t="shared" si="40"/>
        <v>-101.54640697524007</v>
      </c>
      <c r="BH83" s="39">
        <f t="shared" si="40"/>
        <v>-103.1896835886059</v>
      </c>
      <c r="BI83" s="39">
        <f t="shared" si="40"/>
        <v>-104.83260758259394</v>
      </c>
      <c r="BJ83" s="39">
        <f t="shared" si="40"/>
        <v>-106.47517334381727</v>
      </c>
      <c r="BK83" s="39">
        <f t="shared" si="40"/>
        <v>-108.1173752601274</v>
      </c>
      <c r="BL83" s="39">
        <f t="shared" si="40"/>
        <v>-109.75920772060174</v>
      </c>
      <c r="BM83" s="39">
        <f t="shared" si="40"/>
        <v>-517.4794217029264</v>
      </c>
    </row>
    <row r="84" spans="1:65" x14ac:dyDescent="0.25">
      <c r="A84" s="7">
        <f t="shared" ref="A84:E84" si="43">A23</f>
        <v>0</v>
      </c>
      <c r="B84" s="7">
        <f t="shared" si="43"/>
        <v>1</v>
      </c>
      <c r="C84" s="7">
        <f t="shared" si="43"/>
        <v>0</v>
      </c>
      <c r="D84" s="7">
        <f t="shared" si="43"/>
        <v>0</v>
      </c>
      <c r="E84" s="7">
        <f t="shared" si="43"/>
        <v>0</v>
      </c>
      <c r="F84" s="195">
        <v>54</v>
      </c>
      <c r="G84">
        <v>-0.1</v>
      </c>
      <c r="H84" s="179"/>
      <c r="K84" s="39">
        <f t="shared" si="36"/>
        <v>0.94925928675917703</v>
      </c>
      <c r="L84" s="39">
        <f t="shared" si="36"/>
        <v>33.882412568389988</v>
      </c>
      <c r="M84" s="39">
        <f t="shared" si="36"/>
        <v>53.949737229196359</v>
      </c>
      <c r="N84" s="39">
        <f t="shared" si="36"/>
        <v>53.940644403808918</v>
      </c>
      <c r="O84" s="39">
        <f t="shared" si="36"/>
        <v>49.707966333652358</v>
      </c>
      <c r="P84" s="39">
        <f t="shared" si="36"/>
        <v>-52.039050931169498</v>
      </c>
      <c r="Q84" s="39">
        <f t="shared" si="36"/>
        <v>49.800924329327678</v>
      </c>
      <c r="R84" s="39">
        <f t="shared" si="36"/>
        <v>-52.21810356560897</v>
      </c>
      <c r="S84" s="39">
        <f t="shared" si="36"/>
        <v>54.091257742529713</v>
      </c>
      <c r="T84" s="39">
        <f t="shared" si="36"/>
        <v>54.281146362736443</v>
      </c>
      <c r="U84" s="39">
        <f t="shared" si="37"/>
        <v>54.295658253315523</v>
      </c>
      <c r="V84" s="39">
        <f t="shared" si="37"/>
        <v>-27.150961881565902</v>
      </c>
      <c r="W84" s="39">
        <f t="shared" si="37"/>
        <v>48.86228218877838</v>
      </c>
      <c r="X84" s="39">
        <f t="shared" si="37"/>
        <v>48.380177335739276</v>
      </c>
      <c r="Y84" s="39">
        <f t="shared" si="37"/>
        <v>-37.397313216817452</v>
      </c>
      <c r="Z84" s="39">
        <f t="shared" si="37"/>
        <v>-6.3869949703131654</v>
      </c>
      <c r="AA84" s="39">
        <f t="shared" si="37"/>
        <v>-5.8166036941209445</v>
      </c>
      <c r="AB84" s="39">
        <f t="shared" si="37"/>
        <v>16.359850121257907</v>
      </c>
      <c r="AC84" s="39">
        <f t="shared" si="37"/>
        <v>-4.6879868091137702</v>
      </c>
      <c r="AD84" s="39">
        <f t="shared" si="37"/>
        <v>-7.1822190534948103</v>
      </c>
      <c r="AE84" s="39">
        <f t="shared" si="38"/>
        <v>39.928719304674388</v>
      </c>
      <c r="AF84" s="39">
        <f t="shared" si="38"/>
        <v>53.861978710482504</v>
      </c>
      <c r="AG84" s="39">
        <f t="shared" si="38"/>
        <v>53.927708667007984</v>
      </c>
      <c r="AH84" s="39">
        <f t="shared" si="38"/>
        <v>-53.869339691127692</v>
      </c>
      <c r="AI84" s="39">
        <f t="shared" si="38"/>
        <v>34.84813485548969</v>
      </c>
      <c r="AJ84" s="39">
        <f t="shared" si="38"/>
        <v>-16.274090097653282</v>
      </c>
      <c r="AK84" s="39">
        <f t="shared" si="38"/>
        <v>37.898518924026185</v>
      </c>
      <c r="AL84" s="39">
        <f t="shared" si="38"/>
        <v>52.405844944592658</v>
      </c>
      <c r="AM84" s="39">
        <f t="shared" si="38"/>
        <v>8.4416755149425899</v>
      </c>
      <c r="AN84" s="39">
        <f t="shared" si="38"/>
        <v>30.577576469078327</v>
      </c>
      <c r="AO84" s="39">
        <f t="shared" si="39"/>
        <v>3.0143070080214764</v>
      </c>
      <c r="AP84" s="39">
        <f t="shared" si="39"/>
        <v>-23.770339918234608</v>
      </c>
      <c r="AQ84" s="39">
        <f t="shared" si="39"/>
        <v>54.181517197285963</v>
      </c>
      <c r="AR84" s="39">
        <f t="shared" si="39"/>
        <v>-13.203216685948913</v>
      </c>
      <c r="AS84" s="39">
        <f t="shared" si="39"/>
        <v>-44.467881378967292</v>
      </c>
      <c r="AT84" s="39">
        <f t="shared" si="39"/>
        <v>-1.5572654141232825</v>
      </c>
      <c r="AU84" s="39">
        <f t="shared" si="39"/>
        <v>47.744714112080842</v>
      </c>
      <c r="AV84" s="39">
        <f t="shared" si="39"/>
        <v>-8.4021340361362871</v>
      </c>
      <c r="AW84" s="39">
        <f t="shared" si="39"/>
        <v>-1.8848648832185504</v>
      </c>
      <c r="AX84" s="39">
        <f t="shared" si="39"/>
        <v>4.5187879819628094</v>
      </c>
      <c r="AY84" s="39">
        <f t="shared" si="40"/>
        <v>11.679189858649188</v>
      </c>
      <c r="AZ84" s="39">
        <f t="shared" si="40"/>
        <v>24.455812648588864</v>
      </c>
      <c r="BA84" s="39">
        <f t="shared" si="40"/>
        <v>-45.236493754954338</v>
      </c>
      <c r="BB84" s="39">
        <f t="shared" si="40"/>
        <v>-29.171479187068229</v>
      </c>
      <c r="BC84" s="39">
        <f t="shared" si="40"/>
        <v>54.037084889292508</v>
      </c>
      <c r="BD84" s="39">
        <f t="shared" si="40"/>
        <v>-10.019908724791708</v>
      </c>
      <c r="BE84" s="39">
        <f t="shared" si="40"/>
        <v>45.015551538196647</v>
      </c>
      <c r="BF84" s="39">
        <f t="shared" si="40"/>
        <v>45.521218703028133</v>
      </c>
      <c r="BG84" s="39">
        <f t="shared" si="40"/>
        <v>46.013416066980902</v>
      </c>
      <c r="BH84" s="39">
        <f t="shared" si="40"/>
        <v>46.491997989993052</v>
      </c>
      <c r="BI84" s="39">
        <f t="shared" si="40"/>
        <v>46.956822860835921</v>
      </c>
      <c r="BJ84" s="39">
        <f t="shared" si="40"/>
        <v>47.407753139010872</v>
      </c>
      <c r="BK84" s="39">
        <f t="shared" si="40"/>
        <v>47.844655395449749</v>
      </c>
      <c r="BL84" s="39">
        <f t="shared" si="40"/>
        <v>48.267400351997431</v>
      </c>
      <c r="BM84" s="39">
        <f t="shared" si="40"/>
        <v>37.998496267493998</v>
      </c>
    </row>
    <row r="85" spans="1:65" x14ac:dyDescent="0.25">
      <c r="A85" s="7">
        <f t="shared" ref="A85:E85" si="44">A24</f>
        <v>0</v>
      </c>
      <c r="B85" s="7">
        <f t="shared" si="44"/>
        <v>0</v>
      </c>
      <c r="C85" s="7">
        <f t="shared" si="44"/>
        <v>1</v>
      </c>
      <c r="D85" s="7">
        <f t="shared" si="44"/>
        <v>0</v>
      </c>
      <c r="E85" s="7">
        <f t="shared" si="44"/>
        <v>0</v>
      </c>
      <c r="F85" s="195">
        <v>-7</v>
      </c>
      <c r="G85" s="7">
        <v>0</v>
      </c>
      <c r="H85" s="179"/>
      <c r="K85" s="39">
        <f t="shared" si="36"/>
        <v>6.5454483596156221</v>
      </c>
      <c r="L85" s="39">
        <f t="shared" si="36"/>
        <v>-4.6393583939099861</v>
      </c>
      <c r="M85" s="39">
        <f t="shared" si="36"/>
        <v>4.946548300102414</v>
      </c>
      <c r="N85" s="39">
        <f t="shared" si="36"/>
        <v>-5.3851679329933013</v>
      </c>
      <c r="O85" s="39">
        <f t="shared" si="36"/>
        <v>-6.978745370528455</v>
      </c>
      <c r="P85" s="39">
        <f t="shared" si="36"/>
        <v>-2.352716857671846</v>
      </c>
      <c r="Q85" s="39">
        <f t="shared" si="36"/>
        <v>-0.70054621500941616</v>
      </c>
      <c r="R85" s="39">
        <f t="shared" si="36"/>
        <v>6.9343666376957751</v>
      </c>
      <c r="S85" s="39">
        <f t="shared" si="36"/>
        <v>-3.7751935571652848</v>
      </c>
      <c r="T85" s="39">
        <f t="shared" si="36"/>
        <v>0.28017582625098375</v>
      </c>
      <c r="U85" s="39">
        <f t="shared" si="37"/>
        <v>6.9989002945150469</v>
      </c>
      <c r="V85" s="39">
        <f t="shared" si="37"/>
        <v>1.6635505635073484</v>
      </c>
      <c r="W85" s="39">
        <f t="shared" si="37"/>
        <v>5.6971781159167039</v>
      </c>
      <c r="X85" s="39">
        <f t="shared" si="37"/>
        <v>4.6302863954361291</v>
      </c>
      <c r="Y85" s="39">
        <f t="shared" si="37"/>
        <v>2.1252510545789649</v>
      </c>
      <c r="Z85" s="39">
        <f t="shared" si="37"/>
        <v>6.0885506701579146</v>
      </c>
      <c r="AA85" s="39">
        <f t="shared" si="37"/>
        <v>3.6530091326464658</v>
      </c>
      <c r="AB85" s="39">
        <f t="shared" si="37"/>
        <v>-4.5585571305670252</v>
      </c>
      <c r="AC85" s="39">
        <f t="shared" si="37"/>
        <v>4.5666879961998124</v>
      </c>
      <c r="AD85" s="39">
        <f t="shared" si="37"/>
        <v>-6.9717371269293693</v>
      </c>
      <c r="AE85" s="39">
        <f t="shared" si="38"/>
        <v>-4.4605685179120966</v>
      </c>
      <c r="AF85" s="39">
        <f t="shared" si="38"/>
        <v>5.6678673930452224</v>
      </c>
      <c r="AG85" s="39">
        <f t="shared" si="38"/>
        <v>4.3509525287889739</v>
      </c>
      <c r="AH85" s="39">
        <f t="shared" si="38"/>
        <v>-3.9965491356981557</v>
      </c>
      <c r="AI85" s="39">
        <f t="shared" si="38"/>
        <v>0.34381599454920542</v>
      </c>
      <c r="AJ85" s="39">
        <f t="shared" si="38"/>
        <v>4.2947620798390744</v>
      </c>
      <c r="AK85" s="39">
        <f t="shared" si="38"/>
        <v>0.19358455870053096</v>
      </c>
      <c r="AL85" s="39">
        <f t="shared" si="38"/>
        <v>-3.7581459364160619</v>
      </c>
      <c r="AM85" s="39">
        <f t="shared" si="38"/>
        <v>2.4961250665872505</v>
      </c>
      <c r="AN85" s="39">
        <f t="shared" si="38"/>
        <v>-1.854968125707064</v>
      </c>
      <c r="AO85" s="39">
        <f t="shared" si="39"/>
        <v>5.2479081020752076</v>
      </c>
      <c r="AP85" s="39">
        <f t="shared" si="39"/>
        <v>-6.6614500102871643</v>
      </c>
      <c r="AQ85" s="39">
        <f t="shared" si="39"/>
        <v>-5.8113128781043129</v>
      </c>
      <c r="AR85" s="39">
        <f t="shared" si="39"/>
        <v>3.297564609510506</v>
      </c>
      <c r="AS85" s="39">
        <f t="shared" si="39"/>
        <v>-4.1889992234812423</v>
      </c>
      <c r="AT85" s="39">
        <f t="shared" si="39"/>
        <v>-3.7785775287284</v>
      </c>
      <c r="AU85" s="39">
        <f t="shared" si="39"/>
        <v>-4.292463854520439</v>
      </c>
      <c r="AV85" s="39">
        <f t="shared" si="39"/>
        <v>1.854866250667039</v>
      </c>
      <c r="AW85" s="39">
        <f t="shared" si="39"/>
        <v>-6.8154696383918987</v>
      </c>
      <c r="AX85" s="39">
        <f t="shared" si="39"/>
        <v>-1.574691829480344</v>
      </c>
      <c r="AY85" s="39">
        <f t="shared" si="40"/>
        <v>6.9989088005669498</v>
      </c>
      <c r="AZ85" s="39">
        <f t="shared" si="40"/>
        <v>-6.8834043296345886</v>
      </c>
      <c r="BA85" s="39">
        <f t="shared" si="40"/>
        <v>-6.8300709393379995</v>
      </c>
      <c r="BB85" s="39">
        <f t="shared" si="40"/>
        <v>6.4462278380821507</v>
      </c>
      <c r="BC85" s="39">
        <f t="shared" si="40"/>
        <v>-5.7127204995277232</v>
      </c>
      <c r="BD85" s="39">
        <f t="shared" si="40"/>
        <v>-3.3425698777658219</v>
      </c>
      <c r="BE85" s="39">
        <f t="shared" si="40"/>
        <v>-5.1673821235333062</v>
      </c>
      <c r="BF85" s="39">
        <f t="shared" si="40"/>
        <v>-3.9661623528440813</v>
      </c>
      <c r="BG85" s="39">
        <f t="shared" si="40"/>
        <v>-2.5596085375830664</v>
      </c>
      <c r="BH85" s="39">
        <f t="shared" si="40"/>
        <v>-1.0205400326026521</v>
      </c>
      <c r="BI85" s="39">
        <f t="shared" si="40"/>
        <v>0.57136332731003647</v>
      </c>
      <c r="BJ85" s="39">
        <f t="shared" si="40"/>
        <v>2.133686369403919</v>
      </c>
      <c r="BK85" s="39">
        <f t="shared" si="40"/>
        <v>3.5855453373889441</v>
      </c>
      <c r="BL85" s="39">
        <f t="shared" si="40"/>
        <v>4.8517753621698985</v>
      </c>
      <c r="BM85" s="39">
        <f t="shared" si="40"/>
        <v>-4.7666330215015193E-2</v>
      </c>
    </row>
    <row r="86" spans="1:65" x14ac:dyDescent="0.25">
      <c r="A86" s="7">
        <f t="shared" ref="A86:E86" si="45">A25</f>
        <v>-2</v>
      </c>
      <c r="B86" s="7">
        <f t="shared" si="45"/>
        <v>1</v>
      </c>
      <c r="C86" s="7">
        <f t="shared" si="45"/>
        <v>0</v>
      </c>
      <c r="D86" s="7">
        <f t="shared" si="45"/>
        <v>2</v>
      </c>
      <c r="E86" s="7">
        <f t="shared" si="45"/>
        <v>2</v>
      </c>
      <c r="F86" s="195">
        <v>224</v>
      </c>
      <c r="G86">
        <v>-0.6</v>
      </c>
      <c r="H86" s="179"/>
      <c r="K86" s="39">
        <f t="shared" si="36"/>
        <v>103.3528535056121</v>
      </c>
      <c r="L86" s="39">
        <f t="shared" si="36"/>
        <v>138.53594826319903</v>
      </c>
      <c r="M86" s="39">
        <f t="shared" si="36"/>
        <v>-212.47424088301602</v>
      </c>
      <c r="N86" s="39">
        <f t="shared" si="36"/>
        <v>-213.38436738776056</v>
      </c>
      <c r="O86" s="39">
        <f t="shared" si="36"/>
        <v>17.671462596621538</v>
      </c>
      <c r="P86" s="39">
        <f t="shared" si="36"/>
        <v>208.96386885928587</v>
      </c>
      <c r="Q86" s="39">
        <f t="shared" si="36"/>
        <v>14.810672809107977</v>
      </c>
      <c r="R86" s="39">
        <f t="shared" si="36"/>
        <v>211.93942825220378</v>
      </c>
      <c r="S86" s="39">
        <f t="shared" si="36"/>
        <v>-211.91431046163081</v>
      </c>
      <c r="T86" s="39">
        <f t="shared" si="36"/>
        <v>-207.62285196961824</v>
      </c>
      <c r="U86" s="39">
        <f t="shared" si="37"/>
        <v>-208.75577431975699</v>
      </c>
      <c r="V86" s="39">
        <f t="shared" si="37"/>
        <v>-222.53554746109177</v>
      </c>
      <c r="W86" s="39">
        <f t="shared" si="37"/>
        <v>-176.87310271443832</v>
      </c>
      <c r="X86" s="39">
        <f t="shared" si="37"/>
        <v>-168.52095601002014</v>
      </c>
      <c r="Y86" s="39">
        <f t="shared" si="37"/>
        <v>81.288600566997928</v>
      </c>
      <c r="Z86" s="39">
        <f t="shared" si="37"/>
        <v>203.71306762977358</v>
      </c>
      <c r="AA86" s="39">
        <f t="shared" si="37"/>
        <v>-241.34591660446083</v>
      </c>
      <c r="AB86" s="39">
        <f t="shared" si="37"/>
        <v>-247.83449781178149</v>
      </c>
      <c r="AC86" s="39">
        <f t="shared" si="37"/>
        <v>-145.15852850897403</v>
      </c>
      <c r="AD86" s="39">
        <f t="shared" si="37"/>
        <v>-167.89793931660199</v>
      </c>
      <c r="AE86" s="39">
        <f t="shared" si="38"/>
        <v>198.12816510178752</v>
      </c>
      <c r="AF86" s="39">
        <f t="shared" si="38"/>
        <v>-213.68268910255486</v>
      </c>
      <c r="AG86" s="39">
        <f t="shared" si="38"/>
        <v>-214.2335081410726</v>
      </c>
      <c r="AH86" s="39">
        <f t="shared" si="38"/>
        <v>220.56756303933076</v>
      </c>
      <c r="AI86" s="39">
        <f t="shared" si="38"/>
        <v>126.41174831348378</v>
      </c>
      <c r="AJ86" s="39">
        <f t="shared" si="38"/>
        <v>-219.24084667888161</v>
      </c>
      <c r="AK86" s="39">
        <f t="shared" si="38"/>
        <v>212.48168750248496</v>
      </c>
      <c r="AL86" s="39">
        <f t="shared" si="38"/>
        <v>-215.00948048476741</v>
      </c>
      <c r="AM86" s="39">
        <f t="shared" si="38"/>
        <v>177.99798279595856</v>
      </c>
      <c r="AN86" s="39">
        <f t="shared" si="38"/>
        <v>219.05532143544042</v>
      </c>
      <c r="AO86" s="39">
        <f t="shared" si="39"/>
        <v>-61.799436702289952</v>
      </c>
      <c r="AP86" s="39">
        <f t="shared" si="39"/>
        <v>-217.39908048838333</v>
      </c>
      <c r="AQ86" s="39">
        <f t="shared" si="39"/>
        <v>-211.05047168307209</v>
      </c>
      <c r="AR86" s="39">
        <f t="shared" si="39"/>
        <v>-65.105940209719037</v>
      </c>
      <c r="AS86" s="39">
        <f t="shared" si="39"/>
        <v>6.4256023101311328</v>
      </c>
      <c r="AT86" s="39">
        <f t="shared" si="39"/>
        <v>-114.84228156283162</v>
      </c>
      <c r="AU86" s="39">
        <f t="shared" si="39"/>
        <v>-145.40892339635442</v>
      </c>
      <c r="AV86" s="39">
        <f t="shared" si="39"/>
        <v>-0.80811991909643954</v>
      </c>
      <c r="AW86" s="39">
        <f t="shared" si="39"/>
        <v>78.968196295806081</v>
      </c>
      <c r="AX86" s="39">
        <f t="shared" si="39"/>
        <v>147.06356780731562</v>
      </c>
      <c r="AY86" s="39">
        <f t="shared" si="40"/>
        <v>201.46106285019974</v>
      </c>
      <c r="AZ86" s="39">
        <f t="shared" si="40"/>
        <v>213.51868040501046</v>
      </c>
      <c r="BA86" s="39">
        <f t="shared" si="40"/>
        <v>60.02080533909988</v>
      </c>
      <c r="BB86" s="39">
        <f t="shared" si="40"/>
        <v>-213.40134342695933</v>
      </c>
      <c r="BC86" s="39">
        <f t="shared" si="40"/>
        <v>-195.94186594013976</v>
      </c>
      <c r="BD86" s="39">
        <f t="shared" si="40"/>
        <v>-186.92324717681038</v>
      </c>
      <c r="BE86" s="39">
        <f t="shared" si="40"/>
        <v>-62.427882362869362</v>
      </c>
      <c r="BF86" s="39">
        <f t="shared" si="40"/>
        <v>-73.434523889431787</v>
      </c>
      <c r="BG86" s="39">
        <f t="shared" si="40"/>
        <v>-84.245626145111416</v>
      </c>
      <c r="BH86" s="39">
        <f t="shared" si="40"/>
        <v>-94.832401914859247</v>
      </c>
      <c r="BI86" s="39">
        <f t="shared" si="40"/>
        <v>-105.16666131154275</v>
      </c>
      <c r="BJ86" s="39">
        <f t="shared" si="40"/>
        <v>-115.2208868407949</v>
      </c>
      <c r="BK86" s="39">
        <f t="shared" si="40"/>
        <v>-124.96830667142116</v>
      </c>
      <c r="BL86" s="39">
        <f t="shared" si="40"/>
        <v>-134.38296592268401</v>
      </c>
      <c r="BM86" s="39">
        <f t="shared" si="40"/>
        <v>211.91873735156162</v>
      </c>
    </row>
    <row r="87" spans="1:65" x14ac:dyDescent="0.25">
      <c r="A87" s="7">
        <f t="shared" ref="A87:E87" si="46">A26</f>
        <v>0</v>
      </c>
      <c r="B87" s="7">
        <f t="shared" si="46"/>
        <v>0</v>
      </c>
      <c r="C87" s="7">
        <f t="shared" si="46"/>
        <v>0</v>
      </c>
      <c r="D87" s="7">
        <f t="shared" si="46"/>
        <v>2</v>
      </c>
      <c r="E87" s="7">
        <f t="shared" si="46"/>
        <v>1</v>
      </c>
      <c r="F87" s="195">
        <v>200</v>
      </c>
      <c r="G87" s="7">
        <v>0</v>
      </c>
      <c r="H87" s="179"/>
      <c r="K87" s="39">
        <f t="shared" si="36"/>
        <v>82.916129087722965</v>
      </c>
      <c r="L87" s="39">
        <f t="shared" si="36"/>
        <v>-194.46903058151946</v>
      </c>
      <c r="M87" s="39">
        <f t="shared" si="36"/>
        <v>132.75480359251824</v>
      </c>
      <c r="N87" s="39">
        <f t="shared" si="36"/>
        <v>187.59241852901741</v>
      </c>
      <c r="O87" s="39">
        <f t="shared" si="36"/>
        <v>-197.2278819002255</v>
      </c>
      <c r="P87" s="39">
        <f t="shared" si="36"/>
        <v>199.99676350206917</v>
      </c>
      <c r="Q87" s="39">
        <f t="shared" si="36"/>
        <v>5.071564291830204</v>
      </c>
      <c r="R87" s="39">
        <f t="shared" si="36"/>
        <v>112.35128516998213</v>
      </c>
      <c r="S87" s="39">
        <f t="shared" si="36"/>
        <v>84.167271794299722</v>
      </c>
      <c r="T87" s="39">
        <f t="shared" si="36"/>
        <v>-41.847907116965075</v>
      </c>
      <c r="U87" s="39">
        <f t="shared" si="37"/>
        <v>-199.51771320734326</v>
      </c>
      <c r="V87" s="39">
        <f t="shared" si="37"/>
        <v>-148.40246597308737</v>
      </c>
      <c r="W87" s="39">
        <f t="shared" si="37"/>
        <v>-164.34733137507828</v>
      </c>
      <c r="X87" s="39">
        <f t="shared" si="37"/>
        <v>-96.513628887940314</v>
      </c>
      <c r="Y87" s="39">
        <f t="shared" si="37"/>
        <v>-196.47042222291074</v>
      </c>
      <c r="Z87" s="39">
        <f t="shared" si="37"/>
        <v>-158.36062131039964</v>
      </c>
      <c r="AA87" s="39">
        <f t="shared" si="37"/>
        <v>-54.733640170353027</v>
      </c>
      <c r="AB87" s="39">
        <f t="shared" si="37"/>
        <v>-72.051002686771838</v>
      </c>
      <c r="AC87" s="39">
        <f t="shared" si="37"/>
        <v>94.106588308433032</v>
      </c>
      <c r="AD87" s="39">
        <f t="shared" si="37"/>
        <v>198.968966598516</v>
      </c>
      <c r="AE87" s="39">
        <f t="shared" si="38"/>
        <v>199.91920805659532</v>
      </c>
      <c r="AF87" s="39">
        <f t="shared" si="38"/>
        <v>-141.0755721659246</v>
      </c>
      <c r="AG87" s="39">
        <f t="shared" si="38"/>
        <v>95.08021331108948</v>
      </c>
      <c r="AH87" s="39">
        <f t="shared" si="38"/>
        <v>-73.403523262451699</v>
      </c>
      <c r="AI87" s="39">
        <f t="shared" si="38"/>
        <v>-38.737039475599381</v>
      </c>
      <c r="AJ87" s="39">
        <f t="shared" si="38"/>
        <v>-188.59674944502422</v>
      </c>
      <c r="AK87" s="39">
        <f t="shared" si="38"/>
        <v>29.285533888648512</v>
      </c>
      <c r="AL87" s="39">
        <f t="shared" si="38"/>
        <v>-195.93459053247301</v>
      </c>
      <c r="AM87" s="39">
        <f t="shared" si="38"/>
        <v>-198.43912745536579</v>
      </c>
      <c r="AN87" s="39">
        <f t="shared" si="38"/>
        <v>187.16885606475358</v>
      </c>
      <c r="AO87" s="39">
        <f t="shared" si="39"/>
        <v>88.562660639582731</v>
      </c>
      <c r="AP87" s="39">
        <f t="shared" si="39"/>
        <v>117.59533489948649</v>
      </c>
      <c r="AQ87" s="39">
        <f t="shared" si="39"/>
        <v>199.76788902392178</v>
      </c>
      <c r="AR87" s="39">
        <f t="shared" si="39"/>
        <v>91.096388176319294</v>
      </c>
      <c r="AS87" s="39">
        <f t="shared" si="39"/>
        <v>-179.99910965409939</v>
      </c>
      <c r="AT87" s="39">
        <f t="shared" si="39"/>
        <v>137.25802132907779</v>
      </c>
      <c r="AU87" s="39">
        <f t="shared" si="39"/>
        <v>155.83121635133216</v>
      </c>
      <c r="AV87" s="39">
        <f t="shared" si="39"/>
        <v>154.532328484103</v>
      </c>
      <c r="AW87" s="39">
        <f t="shared" si="39"/>
        <v>-167.54511554551539</v>
      </c>
      <c r="AX87" s="39">
        <f t="shared" si="39"/>
        <v>171.74499119304099</v>
      </c>
      <c r="AY87" s="39">
        <f t="shared" si="40"/>
        <v>-199.32850116246371</v>
      </c>
      <c r="AZ87" s="39">
        <f t="shared" si="40"/>
        <v>-185.02497793348994</v>
      </c>
      <c r="BA87" s="39">
        <f t="shared" si="40"/>
        <v>-156.33789518182181</v>
      </c>
      <c r="BB87" s="39">
        <f t="shared" si="40"/>
        <v>-102.07635047138395</v>
      </c>
      <c r="BC87" s="39">
        <f t="shared" si="40"/>
        <v>-16.828016015428908</v>
      </c>
      <c r="BD87" s="39">
        <f t="shared" si="40"/>
        <v>-199.83465214095136</v>
      </c>
      <c r="BE87" s="39">
        <f t="shared" si="40"/>
        <v>15.64033242100121</v>
      </c>
      <c r="BF87" s="39">
        <f t="shared" si="40"/>
        <v>102.6811464515885</v>
      </c>
      <c r="BG87" s="39">
        <f t="shared" si="40"/>
        <v>168.29592917947747</v>
      </c>
      <c r="BH87" s="39">
        <f t="shared" si="40"/>
        <v>198.79312731357709</v>
      </c>
      <c r="BI87" s="39">
        <f t="shared" si="40"/>
        <v>187.80902225080465</v>
      </c>
      <c r="BJ87" s="39">
        <f t="shared" si="40"/>
        <v>137.63561974908271</v>
      </c>
      <c r="BK87" s="39">
        <f t="shared" si="40"/>
        <v>58.742386986448338</v>
      </c>
      <c r="BL87" s="39">
        <f t="shared" si="40"/>
        <v>-32.408365933128572</v>
      </c>
      <c r="BM87" s="39">
        <f t="shared" si="40"/>
        <v>42.985879823230569</v>
      </c>
    </row>
    <row r="88" spans="1:65" x14ac:dyDescent="0.25">
      <c r="A88" s="7">
        <f t="shared" ref="A88:E88" si="47">A27</f>
        <v>0</v>
      </c>
      <c r="B88" s="7">
        <f t="shared" si="47"/>
        <v>0</v>
      </c>
      <c r="C88" s="7">
        <f t="shared" si="47"/>
        <v>1</v>
      </c>
      <c r="D88" s="7">
        <f t="shared" si="47"/>
        <v>2</v>
      </c>
      <c r="E88" s="7">
        <f t="shared" si="47"/>
        <v>2</v>
      </c>
      <c r="F88" s="195">
        <v>129</v>
      </c>
      <c r="G88">
        <v>-0.1</v>
      </c>
      <c r="H88" s="179"/>
      <c r="K88" s="39">
        <f t="shared" si="36"/>
        <v>7.2085123881320161</v>
      </c>
      <c r="L88" s="39">
        <f t="shared" si="36"/>
        <v>14.653200143675779</v>
      </c>
      <c r="M88" s="39">
        <f t="shared" si="36"/>
        <v>-109.87768193752682</v>
      </c>
      <c r="N88" s="39">
        <f t="shared" si="36"/>
        <v>-117.48366568316035</v>
      </c>
      <c r="O88" s="39">
        <f t="shared" si="36"/>
        <v>-128.98906638453545</v>
      </c>
      <c r="P88" s="39">
        <f t="shared" si="36"/>
        <v>27.804052075124979</v>
      </c>
      <c r="Q88" s="39">
        <f t="shared" si="36"/>
        <v>-126.46394473595139</v>
      </c>
      <c r="R88" s="39">
        <f t="shared" si="36"/>
        <v>-32.223252280321105</v>
      </c>
      <c r="S88" s="39">
        <f t="shared" si="36"/>
        <v>-93.925605335077734</v>
      </c>
      <c r="T88" s="39">
        <f t="shared" si="36"/>
        <v>47.858366329462299</v>
      </c>
      <c r="U88" s="39">
        <f t="shared" si="37"/>
        <v>20.683316834427462</v>
      </c>
      <c r="V88" s="39">
        <f t="shared" si="37"/>
        <v>-129.67069325358102</v>
      </c>
      <c r="W88" s="39">
        <f t="shared" si="37"/>
        <v>-124.73570278363405</v>
      </c>
      <c r="X88" s="39">
        <f t="shared" si="37"/>
        <v>-70.695832719247846</v>
      </c>
      <c r="Y88" s="39">
        <f t="shared" si="37"/>
        <v>-15.906419485112414</v>
      </c>
      <c r="Z88" s="39">
        <f t="shared" si="37"/>
        <v>-127.36391191018433</v>
      </c>
      <c r="AA88" s="39">
        <f t="shared" si="37"/>
        <v>56.158784301511986</v>
      </c>
      <c r="AB88" s="39">
        <f t="shared" si="37"/>
        <v>-132.86478981548956</v>
      </c>
      <c r="AC88" s="39">
        <f t="shared" si="37"/>
        <v>-128.97423960256035</v>
      </c>
      <c r="AD88" s="39">
        <f t="shared" si="37"/>
        <v>8.3942467595765979</v>
      </c>
      <c r="AE88" s="39">
        <f t="shared" si="38"/>
        <v>-30.588059798143924</v>
      </c>
      <c r="AF88" s="39">
        <f t="shared" si="38"/>
        <v>33.104028975165555</v>
      </c>
      <c r="AG88" s="39">
        <f t="shared" si="38"/>
        <v>-126.2337171501453</v>
      </c>
      <c r="AH88" s="39">
        <f t="shared" si="38"/>
        <v>-84.884509314956802</v>
      </c>
      <c r="AI88" s="39">
        <f t="shared" si="38"/>
        <v>-124.8637969471619</v>
      </c>
      <c r="AJ88" s="39">
        <f t="shared" si="38"/>
        <v>96.659023748247094</v>
      </c>
      <c r="AK88" s="39">
        <f t="shared" si="38"/>
        <v>120.85394794472053</v>
      </c>
      <c r="AL88" s="39">
        <f t="shared" si="38"/>
        <v>-77.661360171706903</v>
      </c>
      <c r="AM88" s="39">
        <f t="shared" si="38"/>
        <v>107.70554818975127</v>
      </c>
      <c r="AN88" s="39">
        <f t="shared" si="38"/>
        <v>110.26301733471522</v>
      </c>
      <c r="AO88" s="39">
        <f t="shared" si="39"/>
        <v>-121.12325547863436</v>
      </c>
      <c r="AP88" s="39">
        <f t="shared" si="39"/>
        <v>44.462339518645933</v>
      </c>
      <c r="AQ88" s="39">
        <f t="shared" si="39"/>
        <v>125.34197212040959</v>
      </c>
      <c r="AR88" s="39">
        <f t="shared" si="39"/>
        <v>-75.086079677966239</v>
      </c>
      <c r="AS88" s="39">
        <f t="shared" si="39"/>
        <v>-87.784585909965188</v>
      </c>
      <c r="AT88" s="39">
        <f t="shared" si="39"/>
        <v>124.00598626175966</v>
      </c>
      <c r="AU88" s="39">
        <f t="shared" si="39"/>
        <v>130.9923675686685</v>
      </c>
      <c r="AV88" s="39">
        <f t="shared" si="39"/>
        <v>-21.080848184747047</v>
      </c>
      <c r="AW88" s="39">
        <f t="shared" si="39"/>
        <v>-128.94442709676895</v>
      </c>
      <c r="AX88" s="39">
        <f t="shared" si="39"/>
        <v>-1.7999279086577351</v>
      </c>
      <c r="AY88" s="39">
        <f t="shared" si="40"/>
        <v>100.93202441889071</v>
      </c>
      <c r="AZ88" s="39">
        <f t="shared" si="40"/>
        <v>-30.718085878228486</v>
      </c>
      <c r="BA88" s="39">
        <f t="shared" si="40"/>
        <v>-74.349801390313431</v>
      </c>
      <c r="BB88" s="39">
        <f t="shared" si="40"/>
        <v>4.6520533810863576</v>
      </c>
      <c r="BC88" s="39">
        <f t="shared" si="40"/>
        <v>-127.77909786142682</v>
      </c>
      <c r="BD88" s="39">
        <f t="shared" si="40"/>
        <v>-54.55649875057874</v>
      </c>
      <c r="BE88" s="39">
        <f t="shared" si="40"/>
        <v>128.94664769001164</v>
      </c>
      <c r="BF88" s="39">
        <f t="shared" si="40"/>
        <v>101.395113852777</v>
      </c>
      <c r="BG88" s="39">
        <f t="shared" si="40"/>
        <v>27.716207382854567</v>
      </c>
      <c r="BH88" s="39">
        <f t="shared" si="40"/>
        <v>-58.571546718853924</v>
      </c>
      <c r="BI88" s="39">
        <f t="shared" si="40"/>
        <v>-118.2135197915278</v>
      </c>
      <c r="BJ88" s="39">
        <f t="shared" si="40"/>
        <v>-124.07696976302812</v>
      </c>
      <c r="BK88" s="39">
        <f t="shared" si="40"/>
        <v>-73.494457278136167</v>
      </c>
      <c r="BL88" s="39">
        <f t="shared" si="40"/>
        <v>10.522665186759703</v>
      </c>
      <c r="BM88" s="39">
        <f t="shared" si="40"/>
        <v>124.89093719510868</v>
      </c>
    </row>
    <row r="89" spans="1:65" x14ac:dyDescent="0.25">
      <c r="A89" s="7">
        <f t="shared" ref="A89:E89" si="48">A28</f>
        <v>-2</v>
      </c>
      <c r="B89" s="7">
        <f t="shared" si="48"/>
        <v>-1</v>
      </c>
      <c r="C89" s="7">
        <f t="shared" si="48"/>
        <v>0</v>
      </c>
      <c r="D89" s="7">
        <f t="shared" si="48"/>
        <v>2</v>
      </c>
      <c r="E89" s="7">
        <f t="shared" si="48"/>
        <v>2</v>
      </c>
      <c r="F89" s="195">
        <v>-95</v>
      </c>
      <c r="G89">
        <v>0.3</v>
      </c>
      <c r="H89" s="179"/>
      <c r="K89" s="39">
        <f t="shared" si="36"/>
        <v>40.849197787694884</v>
      </c>
      <c r="L89" s="39">
        <f t="shared" si="36"/>
        <v>93.177919126545163</v>
      </c>
      <c r="M89" s="39">
        <f t="shared" si="36"/>
        <v>87.183778627615695</v>
      </c>
      <c r="N89" s="39">
        <f t="shared" si="36"/>
        <v>87.364253580890306</v>
      </c>
      <c r="O89" s="39">
        <f t="shared" si="36"/>
        <v>63.021228054706235</v>
      </c>
      <c r="P89" s="39">
        <f t="shared" si="36"/>
        <v>-93.619693260684826</v>
      </c>
      <c r="Q89" s="39">
        <f t="shared" si="36"/>
        <v>63.293815501787918</v>
      </c>
      <c r="R89" s="39">
        <f t="shared" si="36"/>
        <v>-93.390284543277787</v>
      </c>
      <c r="S89" s="39">
        <f t="shared" si="36"/>
        <v>88.724281822160691</v>
      </c>
      <c r="T89" s="39">
        <f t="shared" si="36"/>
        <v>92.508598099929813</v>
      </c>
      <c r="U89" s="39">
        <f t="shared" si="37"/>
        <v>92.607094825169199</v>
      </c>
      <c r="V89" s="39">
        <f t="shared" si="37"/>
        <v>-26.307407322226393</v>
      </c>
      <c r="W89" s="39">
        <f t="shared" si="37"/>
        <v>96.792559593432472</v>
      </c>
      <c r="X89" s="39">
        <f t="shared" si="37"/>
        <v>97.296098876380299</v>
      </c>
      <c r="Y89" s="39">
        <f t="shared" si="37"/>
        <v>-92.145513544074163</v>
      </c>
      <c r="Z89" s="39">
        <f t="shared" si="37"/>
        <v>97.849419171866714</v>
      </c>
      <c r="AA89" s="39">
        <f t="shared" si="37"/>
        <v>-103.11272602037268</v>
      </c>
      <c r="AB89" s="39">
        <f t="shared" si="37"/>
        <v>-71.548704616846834</v>
      </c>
      <c r="AC89" s="39">
        <f t="shared" si="37"/>
        <v>-48.118503809166086</v>
      </c>
      <c r="AD89" s="39">
        <f t="shared" si="37"/>
        <v>-52.105093215498179</v>
      </c>
      <c r="AE89" s="39">
        <f t="shared" si="38"/>
        <v>36.481413317023097</v>
      </c>
      <c r="AF89" s="39">
        <f t="shared" si="38"/>
        <v>86.661524105103283</v>
      </c>
      <c r="AG89" s="39">
        <f t="shared" si="38"/>
        <v>87.505148860559331</v>
      </c>
      <c r="AH89" s="39">
        <f t="shared" si="38"/>
        <v>-89.576894273035549</v>
      </c>
      <c r="AI89" s="39">
        <f t="shared" si="38"/>
        <v>86.381087765486313</v>
      </c>
      <c r="AJ89" s="39">
        <f t="shared" si="38"/>
        <v>-64.826689160160939</v>
      </c>
      <c r="AK89" s="39">
        <f t="shared" si="38"/>
        <v>31.670911701381254</v>
      </c>
      <c r="AL89" s="39">
        <f t="shared" si="38"/>
        <v>93.064185726680719</v>
      </c>
      <c r="AM89" s="39">
        <f t="shared" si="38"/>
        <v>53.986177798614285</v>
      </c>
      <c r="AN89" s="39">
        <f t="shared" si="38"/>
        <v>14.71807091437555</v>
      </c>
      <c r="AO89" s="39">
        <f t="shared" si="39"/>
        <v>-36.226847912703718</v>
      </c>
      <c r="AP89" s="39">
        <f t="shared" si="39"/>
        <v>-74.631020109853466</v>
      </c>
      <c r="AQ89" s="39">
        <f t="shared" si="39"/>
        <v>89.862205312059089</v>
      </c>
      <c r="AR89" s="39">
        <f t="shared" si="39"/>
        <v>18.795053029006844</v>
      </c>
      <c r="AS89" s="39">
        <f t="shared" si="39"/>
        <v>-95.641967983432053</v>
      </c>
      <c r="AT89" s="39">
        <f t="shared" si="39"/>
        <v>-43.921984070622209</v>
      </c>
      <c r="AU89" s="39">
        <f t="shared" si="39"/>
        <v>99.126195468240084</v>
      </c>
      <c r="AV89" s="39">
        <f t="shared" si="39"/>
        <v>28.867758982078485</v>
      </c>
      <c r="AW89" s="39">
        <f t="shared" si="39"/>
        <v>39.605637305193973</v>
      </c>
      <c r="AX89" s="39">
        <f t="shared" si="39"/>
        <v>49.548036823677251</v>
      </c>
      <c r="AY89" s="39">
        <f t="shared" si="40"/>
        <v>59.943851423500945</v>
      </c>
      <c r="AZ89" s="39">
        <f t="shared" si="40"/>
        <v>76.412928291250282</v>
      </c>
      <c r="BA89" s="39">
        <f t="shared" si="40"/>
        <v>-94.112095505559154</v>
      </c>
      <c r="BB89" s="39">
        <f t="shared" si="40"/>
        <v>-11.413982111518498</v>
      </c>
      <c r="BC89" s="39">
        <f t="shared" si="40"/>
        <v>85.933676155389932</v>
      </c>
      <c r="BD89" s="39">
        <f t="shared" si="40"/>
        <v>-54.689435569340695</v>
      </c>
      <c r="BE89" s="39">
        <f t="shared" si="40"/>
        <v>94.258360546683477</v>
      </c>
      <c r="BF89" s="39">
        <f t="shared" si="40"/>
        <v>94.438502100205454</v>
      </c>
      <c r="BG89" s="39">
        <f t="shared" si="40"/>
        <v>94.590693887546635</v>
      </c>
      <c r="BH89" s="39">
        <f t="shared" si="40"/>
        <v>94.714890871346711</v>
      </c>
      <c r="BI89" s="39">
        <f t="shared" si="40"/>
        <v>94.8110562994611</v>
      </c>
      <c r="BJ89" s="39">
        <f t="shared" si="40"/>
        <v>94.87916171592326</v>
      </c>
      <c r="BK89" s="39">
        <f t="shared" si="40"/>
        <v>94.919186969310729</v>
      </c>
      <c r="BL89" s="39">
        <f t="shared" si="40"/>
        <v>94.931120218728381</v>
      </c>
      <c r="BM89" s="39">
        <f t="shared" si="40"/>
        <v>31.903904538517047</v>
      </c>
    </row>
    <row r="90" spans="1:65" x14ac:dyDescent="0.25">
      <c r="A90" s="7">
        <f t="shared" ref="A90:E90" si="49">A29</f>
        <v>-2</v>
      </c>
      <c r="B90" s="7">
        <f t="shared" si="49"/>
        <v>0</v>
      </c>
      <c r="C90" s="7">
        <f t="shared" si="49"/>
        <v>1</v>
      </c>
      <c r="D90" s="7">
        <f t="shared" si="49"/>
        <v>0</v>
      </c>
      <c r="E90" s="7">
        <f t="shared" si="49"/>
        <v>0</v>
      </c>
      <c r="F90" s="198">
        <v>0</v>
      </c>
      <c r="G90" s="7">
        <v>0</v>
      </c>
      <c r="H90" s="179"/>
      <c r="K90" s="39">
        <f t="shared" ref="K90:T99" si="50">($F90+$G90*K$4)*COS(($A90*K$5+$B90*K$6+$C90*K$7+$D90*K$8+$E90*K$9)*Deg2Rad)</f>
        <v>0</v>
      </c>
      <c r="L90" s="39">
        <f t="shared" si="50"/>
        <v>0</v>
      </c>
      <c r="M90" s="39">
        <f t="shared" si="50"/>
        <v>0</v>
      </c>
      <c r="N90" s="39">
        <f t="shared" si="50"/>
        <v>0</v>
      </c>
      <c r="O90" s="39">
        <f t="shared" si="50"/>
        <v>0</v>
      </c>
      <c r="P90" s="39">
        <f t="shared" si="50"/>
        <v>0</v>
      </c>
      <c r="Q90" s="39">
        <f t="shared" si="50"/>
        <v>0</v>
      </c>
      <c r="R90" s="39">
        <f t="shared" si="50"/>
        <v>0</v>
      </c>
      <c r="S90" s="39">
        <f t="shared" si="50"/>
        <v>0</v>
      </c>
      <c r="T90" s="39">
        <f t="shared" si="50"/>
        <v>0</v>
      </c>
      <c r="U90" s="39">
        <f t="shared" ref="U90:AD99" si="51">($F90+$G90*U$4)*COS(($A90*U$5+$B90*U$6+$C90*U$7+$D90*U$8+$E90*U$9)*Deg2Rad)</f>
        <v>0</v>
      </c>
      <c r="V90" s="39">
        <f t="shared" si="51"/>
        <v>0</v>
      </c>
      <c r="W90" s="39">
        <f t="shared" si="51"/>
        <v>0</v>
      </c>
      <c r="X90" s="39">
        <f t="shared" si="51"/>
        <v>0</v>
      </c>
      <c r="Y90" s="39">
        <f t="shared" si="51"/>
        <v>0</v>
      </c>
      <c r="Z90" s="39">
        <f t="shared" si="51"/>
        <v>0</v>
      </c>
      <c r="AA90" s="39">
        <f t="shared" si="51"/>
        <v>0</v>
      </c>
      <c r="AB90" s="39">
        <f t="shared" si="51"/>
        <v>0</v>
      </c>
      <c r="AC90" s="39">
        <f t="shared" si="51"/>
        <v>0</v>
      </c>
      <c r="AD90" s="39">
        <f t="shared" si="51"/>
        <v>0</v>
      </c>
      <c r="AE90" s="39">
        <f t="shared" ref="AE90:AN99" si="52">($F90+$G90*AE$4)*COS(($A90*AE$5+$B90*AE$6+$C90*AE$7+$D90*AE$8+$E90*AE$9)*Deg2Rad)</f>
        <v>0</v>
      </c>
      <c r="AF90" s="39">
        <f t="shared" si="52"/>
        <v>0</v>
      </c>
      <c r="AG90" s="39">
        <f t="shared" si="52"/>
        <v>0</v>
      </c>
      <c r="AH90" s="39">
        <f t="shared" si="52"/>
        <v>0</v>
      </c>
      <c r="AI90" s="39">
        <f t="shared" si="52"/>
        <v>0</v>
      </c>
      <c r="AJ90" s="39">
        <f t="shared" si="52"/>
        <v>0</v>
      </c>
      <c r="AK90" s="39">
        <f t="shared" si="52"/>
        <v>0</v>
      </c>
      <c r="AL90" s="39">
        <f t="shared" si="52"/>
        <v>0</v>
      </c>
      <c r="AM90" s="39">
        <f t="shared" si="52"/>
        <v>0</v>
      </c>
      <c r="AN90" s="39">
        <f t="shared" si="52"/>
        <v>0</v>
      </c>
      <c r="AO90" s="39">
        <f t="shared" ref="AO90:AX99" si="53">($F90+$G90*AO$4)*COS(($A90*AO$5+$B90*AO$6+$C90*AO$7+$D90*AO$8+$E90*AO$9)*Deg2Rad)</f>
        <v>0</v>
      </c>
      <c r="AP90" s="39">
        <f t="shared" si="53"/>
        <v>0</v>
      </c>
      <c r="AQ90" s="39">
        <f t="shared" si="53"/>
        <v>0</v>
      </c>
      <c r="AR90" s="39">
        <f t="shared" si="53"/>
        <v>0</v>
      </c>
      <c r="AS90" s="39">
        <f t="shared" si="53"/>
        <v>0</v>
      </c>
      <c r="AT90" s="39">
        <f t="shared" si="53"/>
        <v>0</v>
      </c>
      <c r="AU90" s="39">
        <f t="shared" si="53"/>
        <v>0</v>
      </c>
      <c r="AV90" s="39">
        <f t="shared" si="53"/>
        <v>0</v>
      </c>
      <c r="AW90" s="39">
        <f t="shared" si="53"/>
        <v>0</v>
      </c>
      <c r="AX90" s="39">
        <f t="shared" si="53"/>
        <v>0</v>
      </c>
      <c r="AY90" s="39">
        <f t="shared" ref="AY90:BM99" si="54">($F90+$G90*AY$4)*COS(($A90*AY$5+$B90*AY$6+$C90*AY$7+$D90*AY$8+$E90*AY$9)*Deg2Rad)</f>
        <v>0</v>
      </c>
      <c r="AZ90" s="39">
        <f t="shared" si="54"/>
        <v>0</v>
      </c>
      <c r="BA90" s="39">
        <f t="shared" si="54"/>
        <v>0</v>
      </c>
      <c r="BB90" s="39">
        <f t="shared" si="54"/>
        <v>0</v>
      </c>
      <c r="BC90" s="39">
        <f t="shared" si="54"/>
        <v>0</v>
      </c>
      <c r="BD90" s="39">
        <f t="shared" si="54"/>
        <v>0</v>
      </c>
      <c r="BE90" s="39">
        <f t="shared" si="54"/>
        <v>0</v>
      </c>
      <c r="BF90" s="39">
        <f t="shared" si="54"/>
        <v>0</v>
      </c>
      <c r="BG90" s="39">
        <f t="shared" si="54"/>
        <v>0</v>
      </c>
      <c r="BH90" s="39">
        <f t="shared" si="54"/>
        <v>0</v>
      </c>
      <c r="BI90" s="39">
        <f t="shared" si="54"/>
        <v>0</v>
      </c>
      <c r="BJ90" s="39">
        <f t="shared" si="54"/>
        <v>0</v>
      </c>
      <c r="BK90" s="39">
        <f t="shared" si="54"/>
        <v>0</v>
      </c>
      <c r="BL90" s="39">
        <f t="shared" si="54"/>
        <v>0</v>
      </c>
      <c r="BM90" s="39">
        <f t="shared" si="54"/>
        <v>0</v>
      </c>
    </row>
    <row r="91" spans="1:65" x14ac:dyDescent="0.25">
      <c r="A91" s="7">
        <f t="shared" ref="A91:E91" si="55">A30</f>
        <v>-2</v>
      </c>
      <c r="B91" s="7">
        <f t="shared" si="55"/>
        <v>0</v>
      </c>
      <c r="C91" s="7">
        <f t="shared" si="55"/>
        <v>0</v>
      </c>
      <c r="D91" s="7">
        <f t="shared" si="55"/>
        <v>2</v>
      </c>
      <c r="E91" s="7">
        <f t="shared" si="55"/>
        <v>1</v>
      </c>
      <c r="F91" s="195">
        <v>-70</v>
      </c>
      <c r="G91" s="7">
        <v>0</v>
      </c>
      <c r="H91" s="179"/>
      <c r="K91" s="39">
        <f t="shared" si="50"/>
        <v>67.416457627176982</v>
      </c>
      <c r="L91" s="39">
        <f t="shared" si="50"/>
        <v>-21.907554149264016</v>
      </c>
      <c r="M91" s="39">
        <f t="shared" si="50"/>
        <v>-17.067719763656566</v>
      </c>
      <c r="N91" s="39">
        <f t="shared" si="50"/>
        <v>-39.118381465689296</v>
      </c>
      <c r="O91" s="39">
        <f t="shared" si="50"/>
        <v>38.763727099828245</v>
      </c>
      <c r="P91" s="39">
        <f t="shared" si="50"/>
        <v>68.165500125339278</v>
      </c>
      <c r="Q91" s="39">
        <f t="shared" si="50"/>
        <v>17.851868854010547</v>
      </c>
      <c r="R91" s="39">
        <f t="shared" si="50"/>
        <v>69.364110646649308</v>
      </c>
      <c r="S91" s="39">
        <f t="shared" si="50"/>
        <v>-36.285347767610872</v>
      </c>
      <c r="T91" s="39">
        <f t="shared" si="50"/>
        <v>14.288996851122132</v>
      </c>
      <c r="U91" s="39">
        <f t="shared" si="51"/>
        <v>-8.6185488132448143</v>
      </c>
      <c r="V91" s="39">
        <f t="shared" si="51"/>
        <v>25.782271427681835</v>
      </c>
      <c r="W91" s="39">
        <f t="shared" si="51"/>
        <v>-30.137785516038782</v>
      </c>
      <c r="X91" s="39">
        <f t="shared" si="51"/>
        <v>-27.887303827507377</v>
      </c>
      <c r="Y91" s="39">
        <f t="shared" si="51"/>
        <v>-65.196883925999686</v>
      </c>
      <c r="Z91" s="39">
        <f t="shared" si="51"/>
        <v>22.889869105533872</v>
      </c>
      <c r="AA91" s="39">
        <f t="shared" si="51"/>
        <v>-19.112091011283724</v>
      </c>
      <c r="AB91" s="39">
        <f t="shared" si="51"/>
        <v>48.368740684464669</v>
      </c>
      <c r="AC91" s="39">
        <f t="shared" si="51"/>
        <v>-63.876286953613224</v>
      </c>
      <c r="AD91" s="39">
        <f t="shared" si="51"/>
        <v>41.632452565387887</v>
      </c>
      <c r="AE91" s="39">
        <f t="shared" si="52"/>
        <v>-9.4040450727531884</v>
      </c>
      <c r="AF91" s="39">
        <f t="shared" si="52"/>
        <v>62.605784896351985</v>
      </c>
      <c r="AG91" s="39">
        <f t="shared" si="52"/>
        <v>-18.264217849424515</v>
      </c>
      <c r="AH91" s="39">
        <f t="shared" si="52"/>
        <v>0.19407119467954498</v>
      </c>
      <c r="AI91" s="39">
        <f t="shared" si="52"/>
        <v>-25.911370761189215</v>
      </c>
      <c r="AJ91" s="39">
        <f t="shared" si="52"/>
        <v>-24.731577779033763</v>
      </c>
      <c r="AK91" s="39">
        <f t="shared" si="52"/>
        <v>-1.6393315323720521</v>
      </c>
      <c r="AL91" s="39">
        <f t="shared" si="52"/>
        <v>-8.0521337598078233</v>
      </c>
      <c r="AM91" s="39">
        <f t="shared" si="52"/>
        <v>52.794777695705832</v>
      </c>
      <c r="AN91" s="39">
        <f t="shared" si="52"/>
        <v>-65.523574283185667</v>
      </c>
      <c r="AO91" s="39">
        <f t="shared" si="53"/>
        <v>17.204714349087105</v>
      </c>
      <c r="AP91" s="39">
        <f t="shared" si="53"/>
        <v>69.845601682329033</v>
      </c>
      <c r="AQ91" s="39">
        <f t="shared" si="53"/>
        <v>63.429649304061094</v>
      </c>
      <c r="AR91" s="39">
        <f t="shared" si="53"/>
        <v>-42.445302405289993</v>
      </c>
      <c r="AS91" s="39">
        <f t="shared" si="53"/>
        <v>18.199892714631048</v>
      </c>
      <c r="AT91" s="39">
        <f t="shared" si="53"/>
        <v>0.9732600387520961</v>
      </c>
      <c r="AU91" s="39">
        <f t="shared" si="53"/>
        <v>-26.255430817141598</v>
      </c>
      <c r="AV91" s="39">
        <f t="shared" si="53"/>
        <v>-56.184804485209007</v>
      </c>
      <c r="AW91" s="39">
        <f t="shared" si="53"/>
        <v>-64.748513077462164</v>
      </c>
      <c r="AX91" s="39">
        <f t="shared" si="53"/>
        <v>-69.255845985996729</v>
      </c>
      <c r="AY91" s="39">
        <f t="shared" si="54"/>
        <v>-69.410689446685552</v>
      </c>
      <c r="AZ91" s="39">
        <f t="shared" si="54"/>
        <v>-55.825147899512565</v>
      </c>
      <c r="BA91" s="39">
        <f t="shared" si="54"/>
        <v>54.073805818291724</v>
      </c>
      <c r="BB91" s="39">
        <f t="shared" si="54"/>
        <v>60.753164874104215</v>
      </c>
      <c r="BC91" s="39">
        <f t="shared" si="54"/>
        <v>5.7495428177561463</v>
      </c>
      <c r="BD91" s="39">
        <f t="shared" si="54"/>
        <v>69.68641486931223</v>
      </c>
      <c r="BE91" s="39">
        <f t="shared" si="54"/>
        <v>9.5427250164254627</v>
      </c>
      <c r="BF91" s="39">
        <f t="shared" si="54"/>
        <v>11.986258246591188</v>
      </c>
      <c r="BG91" s="39">
        <f t="shared" si="54"/>
        <v>14.414831847459334</v>
      </c>
      <c r="BH91" s="39">
        <f t="shared" si="54"/>
        <v>16.825414801579193</v>
      </c>
      <c r="BI91" s="39">
        <f t="shared" si="54"/>
        <v>19.214998544560569</v>
      </c>
      <c r="BJ91" s="39">
        <f t="shared" si="54"/>
        <v>21.58060072075736</v>
      </c>
      <c r="BK91" s="39">
        <f t="shared" si="54"/>
        <v>23.919268904891602</v>
      </c>
      <c r="BL91" s="39">
        <f t="shared" si="54"/>
        <v>26.228084287096255</v>
      </c>
      <c r="BM91" s="39">
        <f t="shared" si="54"/>
        <v>-2.0130291346993126</v>
      </c>
    </row>
    <row r="92" spans="1:65" x14ac:dyDescent="0.25">
      <c r="A92" s="7">
        <f t="shared" ref="A92:E92" si="56">A31</f>
        <v>0</v>
      </c>
      <c r="B92" s="7">
        <f t="shared" si="56"/>
        <v>0</v>
      </c>
      <c r="C92" s="7">
        <f t="shared" si="56"/>
        <v>-1</v>
      </c>
      <c r="D92" s="7">
        <f t="shared" si="56"/>
        <v>2</v>
      </c>
      <c r="E92" s="7">
        <f t="shared" si="56"/>
        <v>2</v>
      </c>
      <c r="F92" s="195">
        <v>-53</v>
      </c>
      <c r="G92" s="7">
        <v>0</v>
      </c>
      <c r="H92" s="179"/>
      <c r="K92" s="39">
        <f t="shared" si="50"/>
        <v>32.863317514491754</v>
      </c>
      <c r="L92" s="39">
        <f t="shared" si="50"/>
        <v>52.997655181502999</v>
      </c>
      <c r="M92" s="39">
        <f t="shared" si="50"/>
        <v>-27.826288583444281</v>
      </c>
      <c r="N92" s="39">
        <f t="shared" si="50"/>
        <v>30.383619388590528</v>
      </c>
      <c r="O92" s="39">
        <f t="shared" si="50"/>
        <v>52.189314461613719</v>
      </c>
      <c r="P92" s="39">
        <f t="shared" si="50"/>
        <v>-23.924143106321125</v>
      </c>
      <c r="Q92" s="39">
        <f t="shared" si="50"/>
        <v>-52.999946786209897</v>
      </c>
      <c r="R92" s="39">
        <f t="shared" si="50"/>
        <v>26.63471245665065</v>
      </c>
      <c r="S92" s="39">
        <f t="shared" si="50"/>
        <v>16.898824889026351</v>
      </c>
      <c r="T92" s="39">
        <f t="shared" si="50"/>
        <v>15.600488563030865</v>
      </c>
      <c r="U92" s="39">
        <f t="shared" si="51"/>
        <v>-6.6118658205601619</v>
      </c>
      <c r="V92" s="39">
        <f t="shared" si="51"/>
        <v>-44.710165453804109</v>
      </c>
      <c r="W92" s="39">
        <f t="shared" si="51"/>
        <v>31.82947165756466</v>
      </c>
      <c r="X92" s="39">
        <f t="shared" si="51"/>
        <v>40.717574330730116</v>
      </c>
      <c r="Y92" s="39">
        <f t="shared" si="51"/>
        <v>25.230551940774209</v>
      </c>
      <c r="Z92" s="39">
        <f t="shared" si="51"/>
        <v>14.287742869902754</v>
      </c>
      <c r="AA92" s="39">
        <f t="shared" si="51"/>
        <v>52.970639480455667</v>
      </c>
      <c r="AB92" s="39">
        <f t="shared" si="51"/>
        <v>-18.551780557420606</v>
      </c>
      <c r="AC92" s="39">
        <f t="shared" si="51"/>
        <v>-9.1636624810797915</v>
      </c>
      <c r="AD92" s="39">
        <f t="shared" si="51"/>
        <v>6.0641960862310231</v>
      </c>
      <c r="AE92" s="39">
        <f t="shared" si="52"/>
        <v>48.211177854531158</v>
      </c>
      <c r="AF92" s="39">
        <f t="shared" si="52"/>
        <v>-52.914362649255771</v>
      </c>
      <c r="AG92" s="39">
        <f t="shared" si="52"/>
        <v>-22.420546079614898</v>
      </c>
      <c r="AH92" s="39">
        <f t="shared" si="52"/>
        <v>25.28912249097538</v>
      </c>
      <c r="AI92" s="39">
        <f t="shared" si="52"/>
        <v>-49.735342083003012</v>
      </c>
      <c r="AJ92" s="39">
        <f t="shared" si="52"/>
        <v>-24.199859977171776</v>
      </c>
      <c r="AK92" s="39">
        <f t="shared" si="52"/>
        <v>50.594539603387524</v>
      </c>
      <c r="AL92" s="39">
        <f t="shared" si="52"/>
        <v>-51.850363661569986</v>
      </c>
      <c r="AM92" s="39">
        <f t="shared" si="52"/>
        <v>52.433444422377988</v>
      </c>
      <c r="AN92" s="39">
        <f t="shared" si="52"/>
        <v>24.875888992046395</v>
      </c>
      <c r="AO92" s="39">
        <f t="shared" si="53"/>
        <v>24.278909013028422</v>
      </c>
      <c r="AP92" s="39">
        <f t="shared" si="53"/>
        <v>-43.910581786187755</v>
      </c>
      <c r="AQ92" s="39">
        <f t="shared" si="53"/>
        <v>-7.5876645984209645</v>
      </c>
      <c r="AR92" s="39">
        <f t="shared" si="53"/>
        <v>18.66157946606479</v>
      </c>
      <c r="AS92" s="39">
        <f t="shared" si="53"/>
        <v>-47.701586218681392</v>
      </c>
      <c r="AT92" s="39">
        <f t="shared" si="53"/>
        <v>34.529492409192578</v>
      </c>
      <c r="AU92" s="39">
        <f t="shared" si="53"/>
        <v>13.655680767239451</v>
      </c>
      <c r="AV92" s="39">
        <f t="shared" si="53"/>
        <v>19.273557882732291</v>
      </c>
      <c r="AW92" s="39">
        <f t="shared" si="53"/>
        <v>48.003987103148965</v>
      </c>
      <c r="AX92" s="39">
        <f t="shared" si="53"/>
        <v>-23.89666640353002</v>
      </c>
      <c r="AY92" s="39">
        <f t="shared" si="54"/>
        <v>-40.284643650961264</v>
      </c>
      <c r="AZ92" s="39">
        <f t="shared" si="54"/>
        <v>30.18900426054854</v>
      </c>
      <c r="BA92" s="39">
        <f t="shared" si="54"/>
        <v>46.122972939490907</v>
      </c>
      <c r="BB92" s="39">
        <f t="shared" si="54"/>
        <v>36.697185753384744</v>
      </c>
      <c r="BC92" s="39">
        <f t="shared" si="54"/>
        <v>24.462628233527198</v>
      </c>
      <c r="BD92" s="39">
        <f t="shared" si="54"/>
        <v>-52.491384129228926</v>
      </c>
      <c r="BE92" s="39">
        <f t="shared" si="54"/>
        <v>-3.6153217270876752</v>
      </c>
      <c r="BF92" s="39">
        <f t="shared" si="54"/>
        <v>-15.671810533710719</v>
      </c>
      <c r="BG92" s="39">
        <f t="shared" si="54"/>
        <v>-26.889162771311934</v>
      </c>
      <c r="BH92" s="39">
        <f t="shared" si="54"/>
        <v>-36.666752848579272</v>
      </c>
      <c r="BI92" s="39">
        <f t="shared" si="54"/>
        <v>-44.481046271949857</v>
      </c>
      <c r="BJ92" s="39">
        <f t="shared" si="54"/>
        <v>-49.91363194864379</v>
      </c>
      <c r="BK92" s="39">
        <f t="shared" si="54"/>
        <v>-52.673625727405579</v>
      </c>
      <c r="BL92" s="39">
        <f t="shared" si="54"/>
        <v>-52.613245595139311</v>
      </c>
      <c r="BM92" s="39">
        <f t="shared" si="54"/>
        <v>51.116726461533645</v>
      </c>
    </row>
    <row r="93" spans="1:65" x14ac:dyDescent="0.25">
      <c r="A93" s="7">
        <f t="shared" ref="A93:E93" si="57">A32</f>
        <v>2</v>
      </c>
      <c r="B93" s="7">
        <f t="shared" si="57"/>
        <v>0</v>
      </c>
      <c r="C93" s="7">
        <f t="shared" si="57"/>
        <v>0</v>
      </c>
      <c r="D93" s="7">
        <f t="shared" si="57"/>
        <v>0</v>
      </c>
      <c r="E93" s="7">
        <f t="shared" si="57"/>
        <v>0</v>
      </c>
      <c r="F93" s="198">
        <v>0</v>
      </c>
      <c r="G93" s="7">
        <v>0</v>
      </c>
      <c r="H93" s="179"/>
      <c r="K93" s="39">
        <f t="shared" si="50"/>
        <v>0</v>
      </c>
      <c r="L93" s="39">
        <f t="shared" si="50"/>
        <v>0</v>
      </c>
      <c r="M93" s="39">
        <f t="shared" si="50"/>
        <v>0</v>
      </c>
      <c r="N93" s="39">
        <f t="shared" si="50"/>
        <v>0</v>
      </c>
      <c r="O93" s="39">
        <f t="shared" si="50"/>
        <v>0</v>
      </c>
      <c r="P93" s="39">
        <f t="shared" si="50"/>
        <v>0</v>
      </c>
      <c r="Q93" s="39">
        <f t="shared" si="50"/>
        <v>0</v>
      </c>
      <c r="R93" s="39">
        <f t="shared" si="50"/>
        <v>0</v>
      </c>
      <c r="S93" s="39">
        <f t="shared" si="50"/>
        <v>0</v>
      </c>
      <c r="T93" s="39">
        <f t="shared" si="50"/>
        <v>0</v>
      </c>
      <c r="U93" s="39">
        <f t="shared" si="51"/>
        <v>0</v>
      </c>
      <c r="V93" s="39">
        <f t="shared" si="51"/>
        <v>0</v>
      </c>
      <c r="W93" s="39">
        <f t="shared" si="51"/>
        <v>0</v>
      </c>
      <c r="X93" s="39">
        <f t="shared" si="51"/>
        <v>0</v>
      </c>
      <c r="Y93" s="39">
        <f t="shared" si="51"/>
        <v>0</v>
      </c>
      <c r="Z93" s="39">
        <f t="shared" si="51"/>
        <v>0</v>
      </c>
      <c r="AA93" s="39">
        <f t="shared" si="51"/>
        <v>0</v>
      </c>
      <c r="AB93" s="39">
        <f t="shared" si="51"/>
        <v>0</v>
      </c>
      <c r="AC93" s="39">
        <f t="shared" si="51"/>
        <v>0</v>
      </c>
      <c r="AD93" s="39">
        <f t="shared" si="51"/>
        <v>0</v>
      </c>
      <c r="AE93" s="39">
        <f t="shared" si="52"/>
        <v>0</v>
      </c>
      <c r="AF93" s="39">
        <f t="shared" si="52"/>
        <v>0</v>
      </c>
      <c r="AG93" s="39">
        <f t="shared" si="52"/>
        <v>0</v>
      </c>
      <c r="AH93" s="39">
        <f t="shared" si="52"/>
        <v>0</v>
      </c>
      <c r="AI93" s="39">
        <f t="shared" si="52"/>
        <v>0</v>
      </c>
      <c r="AJ93" s="39">
        <f t="shared" si="52"/>
        <v>0</v>
      </c>
      <c r="AK93" s="39">
        <f t="shared" si="52"/>
        <v>0</v>
      </c>
      <c r="AL93" s="39">
        <f t="shared" si="52"/>
        <v>0</v>
      </c>
      <c r="AM93" s="39">
        <f t="shared" si="52"/>
        <v>0</v>
      </c>
      <c r="AN93" s="39">
        <f t="shared" si="52"/>
        <v>0</v>
      </c>
      <c r="AO93" s="39">
        <f t="shared" si="53"/>
        <v>0</v>
      </c>
      <c r="AP93" s="39">
        <f t="shared" si="53"/>
        <v>0</v>
      </c>
      <c r="AQ93" s="39">
        <f t="shared" si="53"/>
        <v>0</v>
      </c>
      <c r="AR93" s="39">
        <f t="shared" si="53"/>
        <v>0</v>
      </c>
      <c r="AS93" s="39">
        <f t="shared" si="53"/>
        <v>0</v>
      </c>
      <c r="AT93" s="39">
        <f t="shared" si="53"/>
        <v>0</v>
      </c>
      <c r="AU93" s="39">
        <f t="shared" si="53"/>
        <v>0</v>
      </c>
      <c r="AV93" s="39">
        <f t="shared" si="53"/>
        <v>0</v>
      </c>
      <c r="AW93" s="39">
        <f t="shared" si="53"/>
        <v>0</v>
      </c>
      <c r="AX93" s="39">
        <f t="shared" si="53"/>
        <v>0</v>
      </c>
      <c r="AY93" s="39">
        <f t="shared" si="54"/>
        <v>0</v>
      </c>
      <c r="AZ93" s="39">
        <f t="shared" si="54"/>
        <v>0</v>
      </c>
      <c r="BA93" s="39">
        <f t="shared" si="54"/>
        <v>0</v>
      </c>
      <c r="BB93" s="39">
        <f t="shared" si="54"/>
        <v>0</v>
      </c>
      <c r="BC93" s="39">
        <f t="shared" si="54"/>
        <v>0</v>
      </c>
      <c r="BD93" s="39">
        <f t="shared" si="54"/>
        <v>0</v>
      </c>
      <c r="BE93" s="39">
        <f t="shared" si="54"/>
        <v>0</v>
      </c>
      <c r="BF93" s="39">
        <f t="shared" si="54"/>
        <v>0</v>
      </c>
      <c r="BG93" s="39">
        <f t="shared" si="54"/>
        <v>0</v>
      </c>
      <c r="BH93" s="39">
        <f t="shared" si="54"/>
        <v>0</v>
      </c>
      <c r="BI93" s="39">
        <f t="shared" si="54"/>
        <v>0</v>
      </c>
      <c r="BJ93" s="39">
        <f t="shared" si="54"/>
        <v>0</v>
      </c>
      <c r="BK93" s="39">
        <f t="shared" si="54"/>
        <v>0</v>
      </c>
      <c r="BL93" s="39">
        <f t="shared" si="54"/>
        <v>0</v>
      </c>
      <c r="BM93" s="39">
        <f t="shared" si="54"/>
        <v>0</v>
      </c>
    </row>
    <row r="94" spans="1:65" x14ac:dyDescent="0.25">
      <c r="A94" s="7">
        <f t="shared" ref="A94:E94" si="58">A33</f>
        <v>0</v>
      </c>
      <c r="B94" s="7">
        <f t="shared" si="58"/>
        <v>0</v>
      </c>
      <c r="C94" s="7">
        <f t="shared" si="58"/>
        <v>1</v>
      </c>
      <c r="D94" s="7">
        <f t="shared" si="58"/>
        <v>0</v>
      </c>
      <c r="E94" s="7">
        <f t="shared" si="58"/>
        <v>1</v>
      </c>
      <c r="F94" s="195">
        <v>-33</v>
      </c>
      <c r="G94" s="7">
        <v>0</v>
      </c>
      <c r="H94" s="179"/>
      <c r="K94" s="39">
        <f t="shared" si="50"/>
        <v>-30.747775313355142</v>
      </c>
      <c r="L94" s="39">
        <f t="shared" si="50"/>
        <v>-4.0601533132824734</v>
      </c>
      <c r="M94" s="39">
        <f t="shared" si="50"/>
        <v>5.7261357498236816</v>
      </c>
      <c r="N94" s="39">
        <f t="shared" si="50"/>
        <v>32.915249912551033</v>
      </c>
      <c r="O94" s="39">
        <f t="shared" si="50"/>
        <v>-32.431275593096885</v>
      </c>
      <c r="P94" s="39">
        <f t="shared" si="50"/>
        <v>-6.9285329342688158</v>
      </c>
      <c r="Q94" s="39">
        <f t="shared" si="50"/>
        <v>-5.7037768242385116</v>
      </c>
      <c r="R94" s="39">
        <f t="shared" si="50"/>
        <v>31.065919224190935</v>
      </c>
      <c r="S94" s="39">
        <f t="shared" si="50"/>
        <v>30.641469241880138</v>
      </c>
      <c r="T94" s="39">
        <f t="shared" si="50"/>
        <v>-27.427596174900398</v>
      </c>
      <c r="U94" s="39">
        <f t="shared" si="51"/>
        <v>7.5229634239606096</v>
      </c>
      <c r="V94" s="39">
        <f t="shared" si="51"/>
        <v>-26.315535087936301</v>
      </c>
      <c r="W94" s="39">
        <f t="shared" si="51"/>
        <v>-31.5939903049116</v>
      </c>
      <c r="X94" s="39">
        <f t="shared" si="51"/>
        <v>-32.928465268695035</v>
      </c>
      <c r="Y94" s="39">
        <f t="shared" si="51"/>
        <v>-10.033816680116141</v>
      </c>
      <c r="Z94" s="39">
        <f t="shared" si="51"/>
        <v>-30.506557300249661</v>
      </c>
      <c r="AA94" s="39">
        <f t="shared" si="51"/>
        <v>-24.882182437507208</v>
      </c>
      <c r="AB94" s="39">
        <f t="shared" si="51"/>
        <v>-17.91164648011971</v>
      </c>
      <c r="AC94" s="39">
        <f t="shared" si="51"/>
        <v>16.234186484662398</v>
      </c>
      <c r="AD94" s="39">
        <f t="shared" si="51"/>
        <v>-5.4755684212724915</v>
      </c>
      <c r="AE94" s="39">
        <f t="shared" si="52"/>
        <v>6.9091480706428756</v>
      </c>
      <c r="AF94" s="39">
        <f t="shared" si="52"/>
        <v>28.583080194573828</v>
      </c>
      <c r="AG94" s="39">
        <f t="shared" si="52"/>
        <v>9.3716888303685408</v>
      </c>
      <c r="AH94" s="39">
        <f t="shared" si="52"/>
        <v>-31.08798440547065</v>
      </c>
      <c r="AI94" s="39">
        <f t="shared" si="52"/>
        <v>1.966567312600332</v>
      </c>
      <c r="AJ94" s="39">
        <f t="shared" si="52"/>
        <v>16.040148894874662</v>
      </c>
      <c r="AK94" s="39">
        <f t="shared" si="52"/>
        <v>-15.957221604141418</v>
      </c>
      <c r="AL94" s="39">
        <f t="shared" si="52"/>
        <v>-24.747918076802033</v>
      </c>
      <c r="AM94" s="39">
        <f t="shared" si="52"/>
        <v>29.600939241142854</v>
      </c>
      <c r="AN94" s="39">
        <f t="shared" si="52"/>
        <v>-32.432718115569052</v>
      </c>
      <c r="AO94" s="39">
        <f t="shared" si="53"/>
        <v>23.905065787504753</v>
      </c>
      <c r="AP94" s="39">
        <f t="shared" si="53"/>
        <v>18.370159071784386</v>
      </c>
      <c r="AQ94" s="39">
        <f t="shared" si="53"/>
        <v>-32.366541525728969</v>
      </c>
      <c r="AR94" s="39">
        <f t="shared" si="53"/>
        <v>-15.141195464170069</v>
      </c>
      <c r="AS94" s="39">
        <f t="shared" si="53"/>
        <v>-9.3618068967134676</v>
      </c>
      <c r="AT94" s="39">
        <f t="shared" si="53"/>
        <v>-15.157314919751702</v>
      </c>
      <c r="AU94" s="39">
        <f t="shared" si="53"/>
        <v>-25.503363648776631</v>
      </c>
      <c r="AV94" s="39">
        <f t="shared" si="53"/>
        <v>-16.49975453861332</v>
      </c>
      <c r="AW94" s="39">
        <f t="shared" si="53"/>
        <v>-28.044433032718135</v>
      </c>
      <c r="AX94" s="39">
        <f t="shared" si="53"/>
        <v>17.304233727585288</v>
      </c>
      <c r="AY94" s="39">
        <f t="shared" si="54"/>
        <v>24.055522352917468</v>
      </c>
      <c r="AZ94" s="39">
        <f t="shared" si="54"/>
        <v>-19.439373530924225</v>
      </c>
      <c r="BA94" s="39">
        <f t="shared" si="54"/>
        <v>1.9560868880641316</v>
      </c>
      <c r="BB94" s="39">
        <f t="shared" si="54"/>
        <v>-27.752449860468335</v>
      </c>
      <c r="BC94" s="39">
        <f t="shared" si="54"/>
        <v>1.881240978691221</v>
      </c>
      <c r="BD94" s="39">
        <f t="shared" si="54"/>
        <v>-12.724356217554295</v>
      </c>
      <c r="BE94" s="39">
        <f t="shared" si="54"/>
        <v>-3.2947430713242918</v>
      </c>
      <c r="BF94" s="39">
        <f t="shared" si="54"/>
        <v>4.182872657734749</v>
      </c>
      <c r="BG94" s="39">
        <f t="shared" si="54"/>
        <v>11.445679264309506</v>
      </c>
      <c r="BH94" s="39">
        <f t="shared" si="54"/>
        <v>18.120699313582559</v>
      </c>
      <c r="BI94" s="39">
        <f t="shared" si="54"/>
        <v>23.865140825772841</v>
      </c>
      <c r="BJ94" s="39">
        <f t="shared" si="54"/>
        <v>28.384001169569359</v>
      </c>
      <c r="BK94" s="39">
        <f t="shared" si="54"/>
        <v>31.44521675982902</v>
      </c>
      <c r="BL94" s="39">
        <f t="shared" si="54"/>
        <v>32.891580555218276</v>
      </c>
      <c r="BM94" s="39">
        <f t="shared" si="54"/>
        <v>-14.956428214934638</v>
      </c>
    </row>
    <row r="95" spans="1:65" x14ac:dyDescent="0.25">
      <c r="A95" s="7">
        <f t="shared" ref="A95:E95" si="59">A34</f>
        <v>2</v>
      </c>
      <c r="B95" s="7">
        <f t="shared" si="59"/>
        <v>0</v>
      </c>
      <c r="C95" s="7">
        <f t="shared" si="59"/>
        <v>-1</v>
      </c>
      <c r="D95" s="7">
        <f t="shared" si="59"/>
        <v>2</v>
      </c>
      <c r="E95" s="7">
        <f t="shared" si="59"/>
        <v>2</v>
      </c>
      <c r="F95" s="195">
        <v>26</v>
      </c>
      <c r="G95" s="7">
        <v>0</v>
      </c>
      <c r="H95" s="179"/>
      <c r="K95" s="39">
        <f t="shared" si="50"/>
        <v>22.642025267041777</v>
      </c>
      <c r="L95" s="39">
        <f t="shared" si="50"/>
        <v>13.470692693216602</v>
      </c>
      <c r="M95" s="39">
        <f t="shared" si="50"/>
        <v>-25.972626194131902</v>
      </c>
      <c r="N95" s="39">
        <f t="shared" si="50"/>
        <v>0.34391739146525074</v>
      </c>
      <c r="O95" s="39">
        <f t="shared" si="50"/>
        <v>-14.580150048206644</v>
      </c>
      <c r="P95" s="39">
        <f t="shared" si="50"/>
        <v>-16.591800941341109</v>
      </c>
      <c r="Q95" s="39">
        <f t="shared" si="50"/>
        <v>-25.291825017571565</v>
      </c>
      <c r="R95" s="39">
        <f t="shared" si="50"/>
        <v>-14.306089796636522</v>
      </c>
      <c r="S95" s="39">
        <f t="shared" si="50"/>
        <v>-10.958529961829445</v>
      </c>
      <c r="T95" s="39">
        <f t="shared" si="50"/>
        <v>-7.5231640325454681</v>
      </c>
      <c r="U95" s="39">
        <f t="shared" si="51"/>
        <v>-25.940232065110255</v>
      </c>
      <c r="V95" s="39">
        <f t="shared" si="51"/>
        <v>25.848520225305549</v>
      </c>
      <c r="W95" s="39">
        <f t="shared" si="51"/>
        <v>3.2372941641843584</v>
      </c>
      <c r="X95" s="39">
        <f t="shared" si="51"/>
        <v>18.327524423541711</v>
      </c>
      <c r="Y95" s="39">
        <f t="shared" si="51"/>
        <v>22.64178740696028</v>
      </c>
      <c r="Z95" s="39">
        <f t="shared" si="51"/>
        <v>25.966249232084895</v>
      </c>
      <c r="AA95" s="39">
        <f t="shared" si="51"/>
        <v>-21.647277446744802</v>
      </c>
      <c r="AB95" s="39">
        <f t="shared" si="51"/>
        <v>18.169960402874501</v>
      </c>
      <c r="AC95" s="39">
        <f t="shared" si="51"/>
        <v>25.856056465058249</v>
      </c>
      <c r="AD95" s="39">
        <f t="shared" si="51"/>
        <v>-17.096826306690001</v>
      </c>
      <c r="AE95" s="39">
        <f t="shared" si="52"/>
        <v>8.2291095338257865</v>
      </c>
      <c r="AF95" s="39">
        <f t="shared" si="52"/>
        <v>24.136437526510544</v>
      </c>
      <c r="AG95" s="39">
        <f t="shared" si="52"/>
        <v>-24.196831103331025</v>
      </c>
      <c r="AH95" s="39">
        <f t="shared" si="52"/>
        <v>-3.2256556160778653</v>
      </c>
      <c r="AI95" s="39">
        <f t="shared" si="52"/>
        <v>15.607823872643023</v>
      </c>
      <c r="AJ95" s="39">
        <f t="shared" si="52"/>
        <v>-25.337396995972934</v>
      </c>
      <c r="AK95" s="39">
        <f t="shared" si="52"/>
        <v>-25.585038505098083</v>
      </c>
      <c r="AL95" s="39">
        <f t="shared" si="52"/>
        <v>-2.8179080626835438</v>
      </c>
      <c r="AM95" s="39">
        <f t="shared" si="52"/>
        <v>-19.24087565981479</v>
      </c>
      <c r="AN95" s="39">
        <f t="shared" si="52"/>
        <v>-12.189782806940295</v>
      </c>
      <c r="AO95" s="39">
        <f t="shared" si="53"/>
        <v>5.95808533564567</v>
      </c>
      <c r="AP95" s="39">
        <f t="shared" si="53"/>
        <v>-24.977062354594569</v>
      </c>
      <c r="AQ95" s="39">
        <f t="shared" si="53"/>
        <v>8.7015352578958929</v>
      </c>
      <c r="AR95" s="39">
        <f t="shared" si="53"/>
        <v>-4.6868960099517123</v>
      </c>
      <c r="AS95" s="39">
        <f t="shared" si="53"/>
        <v>23.888658809716926</v>
      </c>
      <c r="AT95" s="39">
        <f t="shared" si="53"/>
        <v>-25.892524234592436</v>
      </c>
      <c r="AU95" s="39">
        <f t="shared" si="53"/>
        <v>25.986351202323483</v>
      </c>
      <c r="AV95" s="39">
        <f t="shared" si="53"/>
        <v>-8.2650685873037517</v>
      </c>
      <c r="AW95" s="39">
        <f t="shared" si="53"/>
        <v>25.192948126542984</v>
      </c>
      <c r="AX95" s="39">
        <f t="shared" si="53"/>
        <v>1.9656560107123549</v>
      </c>
      <c r="AY95" s="39">
        <f t="shared" si="54"/>
        <v>-22.872636952509158</v>
      </c>
      <c r="AZ95" s="39">
        <f t="shared" si="54"/>
        <v>19.775732625676426</v>
      </c>
      <c r="BA95" s="39">
        <f t="shared" si="54"/>
        <v>-22.436588525805114</v>
      </c>
      <c r="BB95" s="39">
        <f t="shared" si="54"/>
        <v>-6.4192674121586304</v>
      </c>
      <c r="BC95" s="39">
        <f t="shared" si="54"/>
        <v>-12.046887160359397</v>
      </c>
      <c r="BD95" s="39">
        <f t="shared" si="54"/>
        <v>25.999858959304866</v>
      </c>
      <c r="BE95" s="39">
        <f t="shared" si="54"/>
        <v>-0.25473749084070413</v>
      </c>
      <c r="BF95" s="39">
        <f t="shared" si="54"/>
        <v>-16.089552475632246</v>
      </c>
      <c r="BG95" s="39">
        <f t="shared" si="54"/>
        <v>-25.216668633165117</v>
      </c>
      <c r="BH95" s="39">
        <f t="shared" si="54"/>
        <v>-23.831011432062645</v>
      </c>
      <c r="BI95" s="39">
        <f t="shared" si="54"/>
        <v>-12.510258293563375</v>
      </c>
      <c r="BJ95" s="39">
        <f t="shared" si="54"/>
        <v>4.0259938472371877</v>
      </c>
      <c r="BK95" s="39">
        <f t="shared" si="54"/>
        <v>18.883818061031249</v>
      </c>
      <c r="BL95" s="39">
        <f t="shared" si="54"/>
        <v>25.86902030768217</v>
      </c>
      <c r="BM95" s="39">
        <f t="shared" si="54"/>
        <v>-25.917835495940039</v>
      </c>
    </row>
    <row r="96" spans="1:65" x14ac:dyDescent="0.25">
      <c r="A96" s="7">
        <f t="shared" ref="A96:E96" si="60">A35</f>
        <v>0</v>
      </c>
      <c r="B96" s="7">
        <f t="shared" si="60"/>
        <v>0</v>
      </c>
      <c r="C96" s="7">
        <f t="shared" si="60"/>
        <v>-1</v>
      </c>
      <c r="D96" s="7">
        <f t="shared" si="60"/>
        <v>0</v>
      </c>
      <c r="E96" s="7">
        <f t="shared" si="60"/>
        <v>1</v>
      </c>
      <c r="F96" s="195">
        <v>32</v>
      </c>
      <c r="G96" s="7">
        <v>0</v>
      </c>
      <c r="H96" s="179"/>
      <c r="K96" s="39">
        <f t="shared" si="50"/>
        <v>14.620369531742796</v>
      </c>
      <c r="L96" s="39">
        <f t="shared" si="50"/>
        <v>31.043368529371161</v>
      </c>
      <c r="M96" s="39">
        <f t="shared" si="50"/>
        <v>31.521724210271699</v>
      </c>
      <c r="N96" s="39">
        <f t="shared" si="50"/>
        <v>-8.1154259303787413</v>
      </c>
      <c r="O96" s="39">
        <f t="shared" si="50"/>
        <v>30.148689459695873</v>
      </c>
      <c r="P96" s="39">
        <f t="shared" si="50"/>
        <v>14.606977369994938</v>
      </c>
      <c r="Q96" s="39">
        <f t="shared" si="50"/>
        <v>0.85678089512023703</v>
      </c>
      <c r="R96" s="39">
        <f t="shared" si="50"/>
        <v>-31.921696623453439</v>
      </c>
      <c r="S96" s="39">
        <f t="shared" si="50"/>
        <v>23.219461136732555</v>
      </c>
      <c r="T96" s="39">
        <f t="shared" si="50"/>
        <v>-27.934518388832466</v>
      </c>
      <c r="U96" s="39">
        <f t="shared" si="51"/>
        <v>-6.1860527712873967</v>
      </c>
      <c r="V96" s="39">
        <f t="shared" si="51"/>
        <v>-31.550209054716394</v>
      </c>
      <c r="W96" s="39">
        <f t="shared" si="51"/>
        <v>1.2109709926880365</v>
      </c>
      <c r="X96" s="39">
        <f t="shared" si="51"/>
        <v>-6.0780272686123515</v>
      </c>
      <c r="Y96" s="39">
        <f t="shared" si="51"/>
        <v>9.7011030096069959</v>
      </c>
      <c r="Z96" s="39">
        <f t="shared" si="51"/>
        <v>25.65179433811419</v>
      </c>
      <c r="AA96" s="39">
        <f t="shared" si="51"/>
        <v>7.7281903637717901</v>
      </c>
      <c r="AB96" s="39">
        <f t="shared" si="51"/>
        <v>23.927600195474842</v>
      </c>
      <c r="AC96" s="39">
        <f t="shared" si="51"/>
        <v>-25.207632099426995</v>
      </c>
      <c r="AD96" s="39">
        <f t="shared" si="51"/>
        <v>-0.41875428537222142</v>
      </c>
      <c r="AE96" s="39">
        <f t="shared" si="52"/>
        <v>-29.474660365142434</v>
      </c>
      <c r="AF96" s="39">
        <f t="shared" si="52"/>
        <v>-23.824540134170224</v>
      </c>
      <c r="AG96" s="39">
        <f t="shared" si="52"/>
        <v>31.945008428834075</v>
      </c>
      <c r="AH96" s="39">
        <f t="shared" si="52"/>
        <v>-20.555747343218425</v>
      </c>
      <c r="AI96" s="39">
        <f t="shared" si="52"/>
        <v>5.0318600437243486</v>
      </c>
      <c r="AJ96" s="39">
        <f t="shared" si="52"/>
        <v>-23.253908057248665</v>
      </c>
      <c r="AK96" s="39">
        <f t="shared" si="52"/>
        <v>-13.901358631508053</v>
      </c>
      <c r="AL96" s="39">
        <f t="shared" si="52"/>
        <v>-29.339764058051522</v>
      </c>
      <c r="AM96" s="39">
        <f t="shared" si="52"/>
        <v>30.82899770612033</v>
      </c>
      <c r="AN96" s="39">
        <f t="shared" si="52"/>
        <v>-24.013727600930796</v>
      </c>
      <c r="AO96" s="39">
        <f t="shared" si="53"/>
        <v>19.012945246182309</v>
      </c>
      <c r="AP96" s="39">
        <f t="shared" si="53"/>
        <v>1.0937171634099705</v>
      </c>
      <c r="AQ96" s="39">
        <f t="shared" si="53"/>
        <v>6.1012837347651336</v>
      </c>
      <c r="AR96" s="39">
        <f t="shared" si="53"/>
        <v>-31.795573896768314</v>
      </c>
      <c r="AS96" s="39">
        <f t="shared" si="53"/>
        <v>-31.99999990045016</v>
      </c>
      <c r="AT96" s="39">
        <f t="shared" si="53"/>
        <v>-31.964938289426247</v>
      </c>
      <c r="AU96" s="39">
        <f t="shared" si="53"/>
        <v>-25.805419310674576</v>
      </c>
      <c r="AV96" s="39">
        <f t="shared" si="53"/>
        <v>-27.914724631893687</v>
      </c>
      <c r="AW96" s="39">
        <f t="shared" si="53"/>
        <v>16.873624680790538</v>
      </c>
      <c r="AX96" s="39">
        <f t="shared" si="53"/>
        <v>27.02641184103647</v>
      </c>
      <c r="AY96" s="39">
        <f t="shared" si="54"/>
        <v>-22.538584666924478</v>
      </c>
      <c r="AZ96" s="39">
        <f t="shared" si="54"/>
        <v>26.848224526619617</v>
      </c>
      <c r="BA96" s="39">
        <f t="shared" si="54"/>
        <v>11.936966540927244</v>
      </c>
      <c r="BB96" s="39">
        <f t="shared" si="54"/>
        <v>31.163288466544152</v>
      </c>
      <c r="BC96" s="39">
        <f t="shared" si="54"/>
        <v>29.529579775491431</v>
      </c>
      <c r="BD96" s="39">
        <f t="shared" si="54"/>
        <v>-31.486910482894825</v>
      </c>
      <c r="BE96" s="39">
        <f t="shared" si="54"/>
        <v>31.998395222644216</v>
      </c>
      <c r="BF96" s="39">
        <f t="shared" si="54"/>
        <v>31.090661238370004</v>
      </c>
      <c r="BG96" s="39">
        <f t="shared" si="54"/>
        <v>28.56030100283348</v>
      </c>
      <c r="BH96" s="39">
        <f t="shared" si="54"/>
        <v>24.53937439444211</v>
      </c>
      <c r="BI96" s="39">
        <f t="shared" si="54"/>
        <v>19.237734173142648</v>
      </c>
      <c r="BJ96" s="39">
        <f t="shared" si="54"/>
        <v>12.932073733525478</v>
      </c>
      <c r="BK96" s="39">
        <f t="shared" si="54"/>
        <v>5.9514864352227006</v>
      </c>
      <c r="BL96" s="39">
        <f t="shared" si="54"/>
        <v>-1.3397098285721099</v>
      </c>
      <c r="BM96" s="39">
        <f t="shared" si="54"/>
        <v>-14.890325282683127</v>
      </c>
    </row>
    <row r="97" spans="1:65" x14ac:dyDescent="0.25">
      <c r="A97" s="7">
        <f t="shared" ref="A97:E97" si="61">A36</f>
        <v>0</v>
      </c>
      <c r="B97" s="7">
        <f t="shared" si="61"/>
        <v>0</v>
      </c>
      <c r="C97" s="7">
        <f t="shared" si="61"/>
        <v>1</v>
      </c>
      <c r="D97" s="7">
        <f t="shared" si="61"/>
        <v>2</v>
      </c>
      <c r="E97" s="7">
        <f t="shared" si="61"/>
        <v>1</v>
      </c>
      <c r="F97" s="195">
        <v>27</v>
      </c>
      <c r="G97" s="7">
        <v>0</v>
      </c>
      <c r="H97" s="179"/>
      <c r="K97" s="39">
        <f t="shared" si="50"/>
        <v>-19.176469850471243</v>
      </c>
      <c r="L97" s="39">
        <f t="shared" si="50"/>
        <v>-12.677833141834403</v>
      </c>
      <c r="M97" s="39">
        <f t="shared" si="50"/>
        <v>1.6241710372132176</v>
      </c>
      <c r="N97" s="39">
        <f t="shared" si="50"/>
        <v>13.501643284592504</v>
      </c>
      <c r="O97" s="39">
        <f t="shared" si="50"/>
        <v>-26.19608141324904</v>
      </c>
      <c r="P97" s="39">
        <f t="shared" si="50"/>
        <v>9.2192853761913014</v>
      </c>
      <c r="Q97" s="39">
        <f t="shared" si="50"/>
        <v>-26.787290865636962</v>
      </c>
      <c r="R97" s="39">
        <f t="shared" si="50"/>
        <v>-11.973551124609015</v>
      </c>
      <c r="S97" s="39">
        <f t="shared" si="50"/>
        <v>-14.497426197100332</v>
      </c>
      <c r="T97" s="39">
        <f t="shared" si="50"/>
        <v>26.607302959664104</v>
      </c>
      <c r="U97" s="39">
        <f t="shared" si="51"/>
        <v>26.963875351209477</v>
      </c>
      <c r="V97" s="39">
        <f t="shared" si="51"/>
        <v>-12.82070527443453</v>
      </c>
      <c r="W97" s="39">
        <f t="shared" si="51"/>
        <v>9.1175611981180911</v>
      </c>
      <c r="X97" s="39">
        <f t="shared" si="51"/>
        <v>-9.1169621508752776</v>
      </c>
      <c r="Y97" s="39">
        <f t="shared" si="51"/>
        <v>3.2410024862888096</v>
      </c>
      <c r="Z97" s="39">
        <f t="shared" si="51"/>
        <v>26.731948341665404</v>
      </c>
      <c r="AA97" s="39">
        <f t="shared" si="51"/>
        <v>-18.296572124844428</v>
      </c>
      <c r="AB97" s="39">
        <f t="shared" si="51"/>
        <v>-25.448491554068351</v>
      </c>
      <c r="AC97" s="39">
        <f t="shared" si="51"/>
        <v>-26.344324942096083</v>
      </c>
      <c r="AD97" s="39">
        <f t="shared" si="51"/>
        <v>26.998154649986944</v>
      </c>
      <c r="AE97" s="39">
        <f t="shared" si="52"/>
        <v>17.789494265046542</v>
      </c>
      <c r="AF97" s="39">
        <f t="shared" si="52"/>
        <v>4.189403453557782</v>
      </c>
      <c r="AG97" s="39">
        <f t="shared" si="52"/>
        <v>10.629522613471224</v>
      </c>
      <c r="AH97" s="39">
        <f t="shared" si="52"/>
        <v>14.962251979347707</v>
      </c>
      <c r="AI97" s="39">
        <f t="shared" si="52"/>
        <v>26.713605374713474</v>
      </c>
      <c r="AJ97" s="39">
        <f t="shared" si="52"/>
        <v>22.717453818321221</v>
      </c>
      <c r="AK97" s="39">
        <f t="shared" si="52"/>
        <v>-26.808096934228704</v>
      </c>
      <c r="AL97" s="39">
        <f t="shared" si="52"/>
        <v>-18.770512585085878</v>
      </c>
      <c r="AM97" s="39">
        <f t="shared" si="52"/>
        <v>12.698105579506114</v>
      </c>
      <c r="AN97" s="39">
        <f t="shared" si="52"/>
        <v>-2.4791510796879308</v>
      </c>
      <c r="AO97" s="39">
        <f t="shared" si="53"/>
        <v>7.0572694296250473</v>
      </c>
      <c r="AP97" s="39">
        <f t="shared" si="53"/>
        <v>21.817352468161243</v>
      </c>
      <c r="AQ97" s="39">
        <f t="shared" si="53"/>
        <v>23.114016846793906</v>
      </c>
      <c r="AR97" s="39">
        <f t="shared" si="53"/>
        <v>-26.995817401234682</v>
      </c>
      <c r="AS97" s="39">
        <f t="shared" si="53"/>
        <v>-5.1124758390076961</v>
      </c>
      <c r="AT97" s="39">
        <f t="shared" si="53"/>
        <v>-6.5287096965937552</v>
      </c>
      <c r="AU97" s="39">
        <f t="shared" si="53"/>
        <v>-0.46872781540631064</v>
      </c>
      <c r="AV97" s="39">
        <f t="shared" si="53"/>
        <v>-22.055388061709056</v>
      </c>
      <c r="AW97" s="39">
        <f t="shared" si="53"/>
        <v>-18.65916871832064</v>
      </c>
      <c r="AX97" s="39">
        <f t="shared" si="53"/>
        <v>18.696900147974208</v>
      </c>
      <c r="AY97" s="39">
        <f t="shared" si="54"/>
        <v>26.866120708351893</v>
      </c>
      <c r="AZ97" s="39">
        <f t="shared" si="54"/>
        <v>-22.699146450817185</v>
      </c>
      <c r="BA97" s="39">
        <f t="shared" si="54"/>
        <v>-24.281045589832704</v>
      </c>
      <c r="BB97" s="39">
        <f t="shared" si="54"/>
        <v>3.6389946671993183</v>
      </c>
      <c r="BC97" s="39">
        <f t="shared" si="54"/>
        <v>-17.402154688571649</v>
      </c>
      <c r="BD97" s="39">
        <f t="shared" si="54"/>
        <v>-11.917665533387293</v>
      </c>
      <c r="BE97" s="39">
        <f t="shared" si="54"/>
        <v>19.71667175790315</v>
      </c>
      <c r="BF97" s="39">
        <f t="shared" si="54"/>
        <v>26.946064345597286</v>
      </c>
      <c r="BG97" s="39">
        <f t="shared" si="54"/>
        <v>21.885320368869376</v>
      </c>
      <c r="BH97" s="39">
        <f t="shared" si="54"/>
        <v>6.842652032404744</v>
      </c>
      <c r="BI97" s="39">
        <f t="shared" si="54"/>
        <v>-11.320959194330566</v>
      </c>
      <c r="BJ97" s="39">
        <f t="shared" si="54"/>
        <v>-24.321065548755982</v>
      </c>
      <c r="BK97" s="39">
        <f t="shared" si="54"/>
        <v>-26.22830085703913</v>
      </c>
      <c r="BL97" s="39">
        <f t="shared" si="54"/>
        <v>-16.172772503352796</v>
      </c>
      <c r="BM97" s="39">
        <f t="shared" si="54"/>
        <v>-26.328871508192023</v>
      </c>
    </row>
    <row r="98" spans="1:65" x14ac:dyDescent="0.25">
      <c r="A98" s="7">
        <f t="shared" ref="A98:E98" si="62">A37</f>
        <v>-2</v>
      </c>
      <c r="B98" s="7">
        <f t="shared" si="62"/>
        <v>0</v>
      </c>
      <c r="C98" s="7">
        <f t="shared" si="62"/>
        <v>2</v>
      </c>
      <c r="D98" s="7">
        <f t="shared" si="62"/>
        <v>0</v>
      </c>
      <c r="E98" s="7">
        <f t="shared" si="62"/>
        <v>0</v>
      </c>
      <c r="F98" s="198">
        <v>0</v>
      </c>
      <c r="G98" s="7">
        <v>0</v>
      </c>
      <c r="H98" s="179"/>
      <c r="K98" s="39">
        <f t="shared" si="50"/>
        <v>0</v>
      </c>
      <c r="L98" s="39">
        <f t="shared" si="50"/>
        <v>0</v>
      </c>
      <c r="M98" s="39">
        <f t="shared" si="50"/>
        <v>0</v>
      </c>
      <c r="N98" s="39">
        <f t="shared" si="50"/>
        <v>0</v>
      </c>
      <c r="O98" s="39">
        <f t="shared" si="50"/>
        <v>0</v>
      </c>
      <c r="P98" s="39">
        <f t="shared" si="50"/>
        <v>0</v>
      </c>
      <c r="Q98" s="39">
        <f t="shared" si="50"/>
        <v>0</v>
      </c>
      <c r="R98" s="39">
        <f t="shared" si="50"/>
        <v>0</v>
      </c>
      <c r="S98" s="39">
        <f t="shared" si="50"/>
        <v>0</v>
      </c>
      <c r="T98" s="39">
        <f t="shared" si="50"/>
        <v>0</v>
      </c>
      <c r="U98" s="39">
        <f t="shared" si="51"/>
        <v>0</v>
      </c>
      <c r="V98" s="39">
        <f t="shared" si="51"/>
        <v>0</v>
      </c>
      <c r="W98" s="39">
        <f t="shared" si="51"/>
        <v>0</v>
      </c>
      <c r="X98" s="39">
        <f t="shared" si="51"/>
        <v>0</v>
      </c>
      <c r="Y98" s="39">
        <f t="shared" si="51"/>
        <v>0</v>
      </c>
      <c r="Z98" s="39">
        <f t="shared" si="51"/>
        <v>0</v>
      </c>
      <c r="AA98" s="39">
        <f t="shared" si="51"/>
        <v>0</v>
      </c>
      <c r="AB98" s="39">
        <f t="shared" si="51"/>
        <v>0</v>
      </c>
      <c r="AC98" s="39">
        <f t="shared" si="51"/>
        <v>0</v>
      </c>
      <c r="AD98" s="39">
        <f t="shared" si="51"/>
        <v>0</v>
      </c>
      <c r="AE98" s="39">
        <f t="shared" si="52"/>
        <v>0</v>
      </c>
      <c r="AF98" s="39">
        <f t="shared" si="52"/>
        <v>0</v>
      </c>
      <c r="AG98" s="39">
        <f t="shared" si="52"/>
        <v>0</v>
      </c>
      <c r="AH98" s="39">
        <f t="shared" si="52"/>
        <v>0</v>
      </c>
      <c r="AI98" s="39">
        <f t="shared" si="52"/>
        <v>0</v>
      </c>
      <c r="AJ98" s="39">
        <f t="shared" si="52"/>
        <v>0</v>
      </c>
      <c r="AK98" s="39">
        <f t="shared" si="52"/>
        <v>0</v>
      </c>
      <c r="AL98" s="39">
        <f t="shared" si="52"/>
        <v>0</v>
      </c>
      <c r="AM98" s="39">
        <f t="shared" si="52"/>
        <v>0</v>
      </c>
      <c r="AN98" s="39">
        <f t="shared" si="52"/>
        <v>0</v>
      </c>
      <c r="AO98" s="39">
        <f t="shared" si="53"/>
        <v>0</v>
      </c>
      <c r="AP98" s="39">
        <f t="shared" si="53"/>
        <v>0</v>
      </c>
      <c r="AQ98" s="39">
        <f t="shared" si="53"/>
        <v>0</v>
      </c>
      <c r="AR98" s="39">
        <f t="shared" si="53"/>
        <v>0</v>
      </c>
      <c r="AS98" s="39">
        <f t="shared" si="53"/>
        <v>0</v>
      </c>
      <c r="AT98" s="39">
        <f t="shared" si="53"/>
        <v>0</v>
      </c>
      <c r="AU98" s="39">
        <f t="shared" si="53"/>
        <v>0</v>
      </c>
      <c r="AV98" s="39">
        <f t="shared" si="53"/>
        <v>0</v>
      </c>
      <c r="AW98" s="39">
        <f t="shared" si="53"/>
        <v>0</v>
      </c>
      <c r="AX98" s="39">
        <f t="shared" si="53"/>
        <v>0</v>
      </c>
      <c r="AY98" s="39">
        <f t="shared" si="54"/>
        <v>0</v>
      </c>
      <c r="AZ98" s="39">
        <f t="shared" si="54"/>
        <v>0</v>
      </c>
      <c r="BA98" s="39">
        <f t="shared" si="54"/>
        <v>0</v>
      </c>
      <c r="BB98" s="39">
        <f t="shared" si="54"/>
        <v>0</v>
      </c>
      <c r="BC98" s="39">
        <f t="shared" si="54"/>
        <v>0</v>
      </c>
      <c r="BD98" s="39">
        <f t="shared" si="54"/>
        <v>0</v>
      </c>
      <c r="BE98" s="39">
        <f t="shared" si="54"/>
        <v>0</v>
      </c>
      <c r="BF98" s="39">
        <f t="shared" si="54"/>
        <v>0</v>
      </c>
      <c r="BG98" s="39">
        <f t="shared" si="54"/>
        <v>0</v>
      </c>
      <c r="BH98" s="39">
        <f t="shared" si="54"/>
        <v>0</v>
      </c>
      <c r="BI98" s="39">
        <f t="shared" si="54"/>
        <v>0</v>
      </c>
      <c r="BJ98" s="39">
        <f t="shared" si="54"/>
        <v>0</v>
      </c>
      <c r="BK98" s="39">
        <f t="shared" si="54"/>
        <v>0</v>
      </c>
      <c r="BL98" s="39">
        <f t="shared" si="54"/>
        <v>0</v>
      </c>
      <c r="BM98" s="39">
        <f t="shared" si="54"/>
        <v>0</v>
      </c>
    </row>
    <row r="99" spans="1:65" x14ac:dyDescent="0.25">
      <c r="A99" s="7">
        <f t="shared" ref="A99:E99" si="63">A38</f>
        <v>0</v>
      </c>
      <c r="B99" s="7">
        <f t="shared" si="63"/>
        <v>0</v>
      </c>
      <c r="C99" s="7">
        <f t="shared" si="63"/>
        <v>-2</v>
      </c>
      <c r="D99" s="7">
        <f t="shared" si="63"/>
        <v>2</v>
      </c>
      <c r="E99" s="7">
        <f t="shared" si="63"/>
        <v>1</v>
      </c>
      <c r="F99" s="195">
        <v>-24</v>
      </c>
      <c r="G99" s="7">
        <v>0</v>
      </c>
      <c r="H99" s="179"/>
      <c r="K99" s="39">
        <f t="shared" si="50"/>
        <v>7.0289767905018081</v>
      </c>
      <c r="L99" s="39">
        <f t="shared" si="50"/>
        <v>2.7286679630538941</v>
      </c>
      <c r="M99" s="39">
        <f t="shared" si="50"/>
        <v>-17.929795363560878</v>
      </c>
      <c r="N99" s="39">
        <f t="shared" si="50"/>
        <v>-12.314851802042327</v>
      </c>
      <c r="O99" s="39">
        <f t="shared" si="50"/>
        <v>23.998601753181497</v>
      </c>
      <c r="P99" s="39">
        <f t="shared" si="50"/>
        <v>18.663828465596261</v>
      </c>
      <c r="Q99" s="39">
        <f t="shared" si="50"/>
        <v>-4.1816948090838943</v>
      </c>
      <c r="R99" s="39">
        <f t="shared" si="50"/>
        <v>-18.353184778598404</v>
      </c>
      <c r="S99" s="39">
        <f t="shared" si="50"/>
        <v>-15.550544044883065</v>
      </c>
      <c r="T99" s="39">
        <f t="shared" si="50"/>
        <v>-6.8828322921350829</v>
      </c>
      <c r="U99" s="39">
        <f t="shared" si="51"/>
        <v>23.868040850977177</v>
      </c>
      <c r="V99" s="39">
        <f t="shared" si="51"/>
        <v>-8.3686120973251477</v>
      </c>
      <c r="W99" s="39">
        <f t="shared" si="51"/>
        <v>19.341045899885749</v>
      </c>
      <c r="X99" s="39">
        <f t="shared" si="51"/>
        <v>19.409219642772719</v>
      </c>
      <c r="Y99" s="39">
        <f t="shared" si="51"/>
        <v>-16.632907139513428</v>
      </c>
      <c r="Z99" s="39">
        <f t="shared" si="51"/>
        <v>-2.8319157197505711</v>
      </c>
      <c r="AA99" s="39">
        <f t="shared" si="51"/>
        <v>17.561435588444638</v>
      </c>
      <c r="AB99" s="39">
        <f t="shared" si="51"/>
        <v>-23.441615744267068</v>
      </c>
      <c r="AC99" s="39">
        <f t="shared" si="51"/>
        <v>22.621707447447243</v>
      </c>
      <c r="AD99" s="39">
        <f t="shared" si="51"/>
        <v>-23.056240924244406</v>
      </c>
      <c r="AE99" s="39">
        <f t="shared" si="52"/>
        <v>5.1775183118032615</v>
      </c>
      <c r="AF99" s="39">
        <f t="shared" si="52"/>
        <v>21.435692376066999</v>
      </c>
      <c r="AG99" s="39">
        <f t="shared" si="52"/>
        <v>-17.968135607830074</v>
      </c>
      <c r="AH99" s="39">
        <f t="shared" si="52"/>
        <v>17.863248607308282</v>
      </c>
      <c r="AI99" s="39">
        <f t="shared" si="52"/>
        <v>-6.9361762929306003</v>
      </c>
      <c r="AJ99" s="39">
        <f t="shared" si="52"/>
        <v>-13.33358775835546</v>
      </c>
      <c r="AK99" s="39">
        <f t="shared" si="52"/>
        <v>4.821515480561537</v>
      </c>
      <c r="AL99" s="39">
        <f t="shared" si="52"/>
        <v>-14.319282914395814</v>
      </c>
      <c r="AM99" s="39">
        <f t="shared" si="52"/>
        <v>-19.750786985334106</v>
      </c>
      <c r="AN99" s="39">
        <f t="shared" si="52"/>
        <v>14.983456191725246</v>
      </c>
      <c r="AO99" s="39">
        <f t="shared" si="53"/>
        <v>-22.671290379272573</v>
      </c>
      <c r="AP99" s="39">
        <f t="shared" si="53"/>
        <v>-9.5907732026745796E-2</v>
      </c>
      <c r="AQ99" s="39">
        <f t="shared" si="53"/>
        <v>-8.0016351486941613</v>
      </c>
      <c r="AR99" s="39">
        <f t="shared" si="53"/>
        <v>23.836334092710967</v>
      </c>
      <c r="AS99" s="39">
        <f t="shared" si="53"/>
        <v>3.9022058843342018</v>
      </c>
      <c r="AT99" s="39">
        <f t="shared" si="53"/>
        <v>-8.9915142902705014</v>
      </c>
      <c r="AU99" s="39">
        <f t="shared" si="53"/>
        <v>-9.9375573259812491</v>
      </c>
      <c r="AV99" s="39">
        <f t="shared" si="53"/>
        <v>23.7254440147431</v>
      </c>
      <c r="AW99" s="39">
        <f t="shared" si="53"/>
        <v>23.834664780334208</v>
      </c>
      <c r="AX99" s="39">
        <f t="shared" si="53"/>
        <v>23.914925401883817</v>
      </c>
      <c r="AY99" s="39">
        <f t="shared" si="54"/>
        <v>23.973886229862817</v>
      </c>
      <c r="AZ99" s="39">
        <f t="shared" si="54"/>
        <v>23.993153794264828</v>
      </c>
      <c r="BA99" s="39">
        <f t="shared" si="54"/>
        <v>10.564063321351624</v>
      </c>
      <c r="BB99" s="39">
        <f t="shared" si="54"/>
        <v>23.344315208211885</v>
      </c>
      <c r="BC99" s="39">
        <f t="shared" si="54"/>
        <v>-21.887498035670795</v>
      </c>
      <c r="BD99" s="39">
        <f t="shared" si="54"/>
        <v>-12.225725323064957</v>
      </c>
      <c r="BE99" s="39">
        <f t="shared" si="54"/>
        <v>23.661007585850641</v>
      </c>
      <c r="BF99" s="39">
        <f t="shared" si="54"/>
        <v>23.64138784304528</v>
      </c>
      <c r="BG99" s="39">
        <f t="shared" si="54"/>
        <v>23.621220465369543</v>
      </c>
      <c r="BH99" s="39">
        <f t="shared" si="54"/>
        <v>23.60050591998349</v>
      </c>
      <c r="BI99" s="39">
        <f t="shared" si="54"/>
        <v>23.579244686728661</v>
      </c>
      <c r="BJ99" s="39">
        <f t="shared" si="54"/>
        <v>23.557437258096659</v>
      </c>
      <c r="BK99" s="39">
        <f t="shared" si="54"/>
        <v>23.535084139249413</v>
      </c>
      <c r="BL99" s="39">
        <f t="shared" si="54"/>
        <v>23.512185847970667</v>
      </c>
      <c r="BM99" s="39">
        <f t="shared" si="54"/>
        <v>4.8386185054189292</v>
      </c>
    </row>
    <row r="100" spans="1:65" x14ac:dyDescent="0.25">
      <c r="A100" s="7">
        <f t="shared" ref="A100:E100" si="64">A39</f>
        <v>2</v>
      </c>
      <c r="B100" s="7">
        <f t="shared" si="64"/>
        <v>0</v>
      </c>
      <c r="C100" s="7">
        <f t="shared" si="64"/>
        <v>0</v>
      </c>
      <c r="D100" s="7">
        <f t="shared" si="64"/>
        <v>2</v>
      </c>
      <c r="E100" s="7">
        <f t="shared" si="64"/>
        <v>2</v>
      </c>
      <c r="F100" s="195">
        <v>16</v>
      </c>
      <c r="G100" s="7">
        <v>0</v>
      </c>
      <c r="H100" s="179"/>
      <c r="K100" s="39">
        <f t="shared" ref="K100:T109" si="65">($F100+$G100*K$4)*COS(($A100*K$5+$B100*K$6+$C100*K$7+$D100*K$8+$E100*K$9)*Deg2Rad)</f>
        <v>-15.816692722696629</v>
      </c>
      <c r="L100" s="39">
        <f t="shared" si="65"/>
        <v>15.741860993280739</v>
      </c>
      <c r="M100" s="39">
        <f t="shared" si="65"/>
        <v>10.775134112735081</v>
      </c>
      <c r="N100" s="39">
        <f t="shared" si="65"/>
        <v>-10.05830429032801</v>
      </c>
      <c r="O100" s="39">
        <f t="shared" si="65"/>
        <v>-7.9135917248376257</v>
      </c>
      <c r="P100" s="39">
        <f t="shared" si="65"/>
        <v>-15.033731413396984</v>
      </c>
      <c r="Q100" s="39">
        <f t="shared" si="65"/>
        <v>2.132610286484411</v>
      </c>
      <c r="R100" s="39">
        <f t="shared" si="65"/>
        <v>10.546440956500856</v>
      </c>
      <c r="S100" s="39">
        <f t="shared" si="65"/>
        <v>-15.855404516753332</v>
      </c>
      <c r="T100" s="39">
        <f t="shared" si="65"/>
        <v>-15.117987364042143</v>
      </c>
      <c r="U100" s="39">
        <f t="shared" ref="U100:AD109" si="66">($F100+$G100*U$4)*COS(($A100*U$5+$B100*U$6+$C100*U$7+$D100*U$8+$E100*U$9)*Deg2Rad)</f>
        <v>15.979930412678007</v>
      </c>
      <c r="V100" s="39">
        <f t="shared" si="66"/>
        <v>-2.1050417931927643</v>
      </c>
      <c r="W100" s="39">
        <f t="shared" si="66"/>
        <v>-10.845528043114591</v>
      </c>
      <c r="X100" s="39">
        <f t="shared" si="66"/>
        <v>-15.971674515809591</v>
      </c>
      <c r="Y100" s="39">
        <f t="shared" si="66"/>
        <v>-11.724151303043559</v>
      </c>
      <c r="Z100" s="39">
        <f t="shared" si="66"/>
        <v>-14.300748830886212</v>
      </c>
      <c r="AA100" s="39">
        <f t="shared" si="66"/>
        <v>14.511707491058855</v>
      </c>
      <c r="AB100" s="39">
        <f t="shared" si="66"/>
        <v>15.966639994001754</v>
      </c>
      <c r="AC100" s="39">
        <f t="shared" si="66"/>
        <v>-11.654585412515294</v>
      </c>
      <c r="AD100" s="39">
        <f t="shared" si="66"/>
        <v>-11.560768258509952</v>
      </c>
      <c r="AE100" s="39">
        <f t="shared" ref="AE100:AN109" si="67">($F100+$G100*AE$4)*COS(($A100*AE$5+$B100*AE$6+$C100*AE$7+$D100*AE$8+$E100*AE$9)*Deg2Rad)</f>
        <v>-8.4699959195062462</v>
      </c>
      <c r="AF100" s="39">
        <f t="shared" si="67"/>
        <v>-8.5357781179474124</v>
      </c>
      <c r="AG100" s="39">
        <f t="shared" si="67"/>
        <v>4.66898275957191</v>
      </c>
      <c r="AH100" s="39">
        <f t="shared" si="67"/>
        <v>-14.167750871436084</v>
      </c>
      <c r="AI100" s="39">
        <f t="shared" si="67"/>
        <v>12.309187444154878</v>
      </c>
      <c r="AJ100" s="39">
        <f t="shared" si="67"/>
        <v>12.400645234050318</v>
      </c>
      <c r="AK100" s="39">
        <f t="shared" si="67"/>
        <v>3.28149158658207</v>
      </c>
      <c r="AL100" s="39">
        <f t="shared" si="67"/>
        <v>12.488045384546201</v>
      </c>
      <c r="AM100" s="39">
        <f t="shared" si="67"/>
        <v>-5.8314851700167569</v>
      </c>
      <c r="AN100" s="39">
        <f t="shared" si="67"/>
        <v>11.639466979079009</v>
      </c>
      <c r="AO100" s="39">
        <f t="shared" ref="AO100:AX109" si="68">($F100+$G100*AO$4)*COS(($A100*AO$5+$B100*AO$6+$C100*AO$7+$D100*AO$8+$E100*AO$9)*Deg2Rad)</f>
        <v>7.5578707797887361</v>
      </c>
      <c r="AP100" s="39">
        <f t="shared" si="68"/>
        <v>-15.992392442020835</v>
      </c>
      <c r="AQ100" s="39">
        <f t="shared" si="68"/>
        <v>-3.9598985393709891</v>
      </c>
      <c r="AR100" s="39">
        <f t="shared" si="68"/>
        <v>15.240947781942847</v>
      </c>
      <c r="AS100" s="39">
        <f t="shared" si="68"/>
        <v>13.857375299312732</v>
      </c>
      <c r="AT100" s="39">
        <f t="shared" si="68"/>
        <v>-7.3776685832897524</v>
      </c>
      <c r="AU100" s="39">
        <f t="shared" si="68"/>
        <v>9.3967255843971049</v>
      </c>
      <c r="AV100" s="39">
        <f t="shared" si="68"/>
        <v>15.975527174871896</v>
      </c>
      <c r="AW100" s="39">
        <f t="shared" si="68"/>
        <v>15.996899405623108</v>
      </c>
      <c r="AX100" s="39">
        <f t="shared" si="68"/>
        <v>15.817400020898981</v>
      </c>
      <c r="AY100" s="39">
        <f t="shared" ref="AY100:BM109" si="69">($F100+$G100*AY$4)*COS(($A100*AY$5+$B100*AY$6+$C100*AY$7+$D100*AY$8+$E100*AY$9)*Deg2Rad)</f>
        <v>14.207603732700283</v>
      </c>
      <c r="AZ100" s="39">
        <f t="shared" si="69"/>
        <v>10.078987561873021</v>
      </c>
      <c r="BA100" s="39">
        <f t="shared" si="69"/>
        <v>-11.701380032314121</v>
      </c>
      <c r="BB100" s="39">
        <f t="shared" si="69"/>
        <v>-2.4062759819469832</v>
      </c>
      <c r="BC100" s="39">
        <f t="shared" si="69"/>
        <v>-14.244218484401136</v>
      </c>
      <c r="BD100" s="39">
        <f t="shared" si="69"/>
        <v>7.6864228766490017</v>
      </c>
      <c r="BE100" s="39">
        <f t="shared" si="69"/>
        <v>-10.9085582613491</v>
      </c>
      <c r="BF100" s="39">
        <f t="shared" si="69"/>
        <v>-15.966332519730024</v>
      </c>
      <c r="BG100" s="39">
        <f t="shared" si="69"/>
        <v>-9.3021881478138813</v>
      </c>
      <c r="BH100" s="39">
        <f t="shared" si="69"/>
        <v>4.1912949227229781</v>
      </c>
      <c r="BI100" s="39">
        <f t="shared" si="69"/>
        <v>14.607676975917524</v>
      </c>
      <c r="BJ100" s="39">
        <f t="shared" si="69"/>
        <v>14.299617415663631</v>
      </c>
      <c r="BK100" s="39">
        <f t="shared" si="69"/>
        <v>3.4932827140608618</v>
      </c>
      <c r="BL100" s="39">
        <f t="shared" si="69"/>
        <v>-9.8776970415207774</v>
      </c>
      <c r="BM100" s="39">
        <f t="shared" si="69"/>
        <v>1.1623675933412516</v>
      </c>
    </row>
    <row r="101" spans="1:65" x14ac:dyDescent="0.25">
      <c r="A101" s="7">
        <f t="shared" ref="A101:E101" si="70">A40</f>
        <v>0</v>
      </c>
      <c r="B101" s="7">
        <f t="shared" si="70"/>
        <v>0</v>
      </c>
      <c r="C101" s="7">
        <f t="shared" si="70"/>
        <v>2</v>
      </c>
      <c r="D101" s="7">
        <f t="shared" si="70"/>
        <v>2</v>
      </c>
      <c r="E101" s="7">
        <f t="shared" si="70"/>
        <v>2</v>
      </c>
      <c r="F101" s="195">
        <v>13</v>
      </c>
      <c r="G101" s="7">
        <v>0</v>
      </c>
      <c r="H101" s="179"/>
      <c r="K101" s="39">
        <f t="shared" si="65"/>
        <v>-5.2800736051863328</v>
      </c>
      <c r="L101" s="39">
        <f t="shared" si="65"/>
        <v>10.639553712337383</v>
      </c>
      <c r="M101" s="39">
        <f t="shared" si="65"/>
        <v>12.643917826694231</v>
      </c>
      <c r="N101" s="39">
        <f t="shared" si="65"/>
        <v>-5.6777796604859878</v>
      </c>
      <c r="O101" s="39">
        <f t="shared" si="65"/>
        <v>-12.977599046175227</v>
      </c>
      <c r="P101" s="39">
        <f t="shared" si="65"/>
        <v>-11.014357823394047</v>
      </c>
      <c r="Q101" s="39">
        <f t="shared" si="65"/>
        <v>-3.8333224969827016</v>
      </c>
      <c r="R101" s="39">
        <f t="shared" si="65"/>
        <v>1.4968268045703896</v>
      </c>
      <c r="S101" s="39">
        <f t="shared" si="65"/>
        <v>2.4097439313129065</v>
      </c>
      <c r="T101" s="39">
        <f t="shared" si="65"/>
        <v>11.876077624012209</v>
      </c>
      <c r="U101" s="39">
        <f t="shared" si="66"/>
        <v>-2.3050746196543521</v>
      </c>
      <c r="V101" s="39">
        <f t="shared" si="66"/>
        <v>1.980885129049246</v>
      </c>
      <c r="W101" s="39">
        <f t="shared" si="66"/>
        <v>7.7365876491324972</v>
      </c>
      <c r="X101" s="39">
        <f t="shared" si="66"/>
        <v>-3.5748715546843632</v>
      </c>
      <c r="Y101" s="39">
        <f t="shared" si="66"/>
        <v>-11.820487993758386</v>
      </c>
      <c r="Z101" s="39">
        <f t="shared" si="66"/>
        <v>12.595211770411774</v>
      </c>
      <c r="AA101" s="39">
        <f t="shared" si="66"/>
        <v>-12.922034028630053</v>
      </c>
      <c r="AB101" s="39">
        <f t="shared" si="66"/>
        <v>-10.298501023259757</v>
      </c>
      <c r="AC101" s="39">
        <f t="shared" si="66"/>
        <v>8.7191135933408201</v>
      </c>
      <c r="AD101" s="39">
        <f t="shared" si="66"/>
        <v>2.0070138164202045</v>
      </c>
      <c r="AE101" s="39">
        <f t="shared" si="67"/>
        <v>7.7692930584567064</v>
      </c>
      <c r="AF101" s="39">
        <f t="shared" si="67"/>
        <v>4.6712809168216536</v>
      </c>
      <c r="AG101" s="39">
        <f t="shared" si="67"/>
        <v>10.004719997973599</v>
      </c>
      <c r="AH101" s="39">
        <f t="shared" si="67"/>
        <v>3.1566869819130199</v>
      </c>
      <c r="AI101" s="39">
        <f t="shared" si="67"/>
        <v>-2.6515788915434655</v>
      </c>
      <c r="AJ101" s="39">
        <f t="shared" si="67"/>
        <v>0.82325724277806922</v>
      </c>
      <c r="AK101" s="39">
        <f t="shared" si="67"/>
        <v>-4.8872173928467388</v>
      </c>
      <c r="AL101" s="39">
        <f t="shared" si="67"/>
        <v>-12.959184527359286</v>
      </c>
      <c r="AM101" s="39">
        <f t="shared" si="67"/>
        <v>-10.555435038526387</v>
      </c>
      <c r="AN101" s="39">
        <f t="shared" si="67"/>
        <v>-3.5630903416943029</v>
      </c>
      <c r="AO101" s="39">
        <f t="shared" si="68"/>
        <v>6.1889811903516581</v>
      </c>
      <c r="AP101" s="39">
        <f t="shared" si="68"/>
        <v>0.51450946175876844</v>
      </c>
      <c r="AQ101" s="39">
        <f t="shared" si="68"/>
        <v>12.225527311630348</v>
      </c>
      <c r="AR101" s="39">
        <f t="shared" si="68"/>
        <v>-5.7604818467713113</v>
      </c>
      <c r="AS101" s="39">
        <f t="shared" si="68"/>
        <v>-12.93871293698537</v>
      </c>
      <c r="AT101" s="39">
        <f t="shared" si="68"/>
        <v>9.7610707761853828</v>
      </c>
      <c r="AU101" s="39">
        <f t="shared" si="68"/>
        <v>8.0743247032156145</v>
      </c>
      <c r="AV101" s="39">
        <f t="shared" si="68"/>
        <v>-11.803694325382807</v>
      </c>
      <c r="AW101" s="39">
        <f t="shared" si="68"/>
        <v>-12.587188677214177</v>
      </c>
      <c r="AX101" s="39">
        <f t="shared" si="68"/>
        <v>-12.706374100877653</v>
      </c>
      <c r="AY101" s="39">
        <f t="shared" si="69"/>
        <v>-10.314558081418012</v>
      </c>
      <c r="AZ101" s="39">
        <f t="shared" si="69"/>
        <v>-0.74974909711244231</v>
      </c>
      <c r="BA101" s="39">
        <f t="shared" si="69"/>
        <v>-4.982395796421633</v>
      </c>
      <c r="BB101" s="39">
        <f t="shared" si="69"/>
        <v>-5.496122142556902</v>
      </c>
      <c r="BC101" s="39">
        <f t="shared" si="69"/>
        <v>-9.445772510341504</v>
      </c>
      <c r="BD101" s="39">
        <f t="shared" si="69"/>
        <v>-12.975575259378894</v>
      </c>
      <c r="BE101" s="39">
        <f t="shared" si="69"/>
        <v>9.7848130632704233</v>
      </c>
      <c r="BF101" s="39">
        <f t="shared" si="69"/>
        <v>-0.82983928347514802</v>
      </c>
      <c r="BG101" s="39">
        <f t="shared" si="69"/>
        <v>-10.795557068162166</v>
      </c>
      <c r="BH101" s="39">
        <f t="shared" si="69"/>
        <v>-12.31914607225891</v>
      </c>
      <c r="BI101" s="39">
        <f t="shared" si="69"/>
        <v>-4.2091592495235668</v>
      </c>
      <c r="BJ101" s="39">
        <f t="shared" si="69"/>
        <v>7.1923913357939009</v>
      </c>
      <c r="BK101" s="39">
        <f t="shared" si="69"/>
        <v>12.96948979568859</v>
      </c>
      <c r="BL101" s="39">
        <f t="shared" si="69"/>
        <v>8.6044434470334021</v>
      </c>
      <c r="BM101" s="39">
        <f t="shared" si="69"/>
        <v>-3.1778316401485451</v>
      </c>
    </row>
    <row r="102" spans="1:65" x14ac:dyDescent="0.25">
      <c r="A102" s="7">
        <f t="shared" ref="A102:E102" si="71">A41</f>
        <v>0</v>
      </c>
      <c r="B102" s="7">
        <f t="shared" si="71"/>
        <v>0</v>
      </c>
      <c r="C102" s="7">
        <f t="shared" si="71"/>
        <v>2</v>
      </c>
      <c r="D102" s="7">
        <f t="shared" si="71"/>
        <v>0</v>
      </c>
      <c r="E102" s="7">
        <f t="shared" si="71"/>
        <v>0</v>
      </c>
      <c r="F102" s="198">
        <v>0</v>
      </c>
      <c r="G102" s="7">
        <v>0</v>
      </c>
      <c r="H102" s="179"/>
      <c r="K102" s="39">
        <f t="shared" si="65"/>
        <v>0</v>
      </c>
      <c r="L102" s="39">
        <f t="shared" si="65"/>
        <v>0</v>
      </c>
      <c r="M102" s="39">
        <f t="shared" si="65"/>
        <v>0</v>
      </c>
      <c r="N102" s="39">
        <f t="shared" si="65"/>
        <v>0</v>
      </c>
      <c r="O102" s="39">
        <f t="shared" si="65"/>
        <v>0</v>
      </c>
      <c r="P102" s="39">
        <f t="shared" si="65"/>
        <v>0</v>
      </c>
      <c r="Q102" s="39">
        <f t="shared" si="65"/>
        <v>0</v>
      </c>
      <c r="R102" s="39">
        <f t="shared" si="65"/>
        <v>0</v>
      </c>
      <c r="S102" s="39">
        <f t="shared" si="65"/>
        <v>0</v>
      </c>
      <c r="T102" s="39">
        <f t="shared" si="65"/>
        <v>0</v>
      </c>
      <c r="U102" s="39">
        <f t="shared" si="66"/>
        <v>0</v>
      </c>
      <c r="V102" s="39">
        <f t="shared" si="66"/>
        <v>0</v>
      </c>
      <c r="W102" s="39">
        <f t="shared" si="66"/>
        <v>0</v>
      </c>
      <c r="X102" s="39">
        <f t="shared" si="66"/>
        <v>0</v>
      </c>
      <c r="Y102" s="39">
        <f t="shared" si="66"/>
        <v>0</v>
      </c>
      <c r="Z102" s="39">
        <f t="shared" si="66"/>
        <v>0</v>
      </c>
      <c r="AA102" s="39">
        <f t="shared" si="66"/>
        <v>0</v>
      </c>
      <c r="AB102" s="39">
        <f t="shared" si="66"/>
        <v>0</v>
      </c>
      <c r="AC102" s="39">
        <f t="shared" si="66"/>
        <v>0</v>
      </c>
      <c r="AD102" s="39">
        <f t="shared" si="66"/>
        <v>0</v>
      </c>
      <c r="AE102" s="39">
        <f t="shared" si="67"/>
        <v>0</v>
      </c>
      <c r="AF102" s="39">
        <f t="shared" si="67"/>
        <v>0</v>
      </c>
      <c r="AG102" s="39">
        <f t="shared" si="67"/>
        <v>0</v>
      </c>
      <c r="AH102" s="39">
        <f t="shared" si="67"/>
        <v>0</v>
      </c>
      <c r="AI102" s="39">
        <f t="shared" si="67"/>
        <v>0</v>
      </c>
      <c r="AJ102" s="39">
        <f t="shared" si="67"/>
        <v>0</v>
      </c>
      <c r="AK102" s="39">
        <f t="shared" si="67"/>
        <v>0</v>
      </c>
      <c r="AL102" s="39">
        <f t="shared" si="67"/>
        <v>0</v>
      </c>
      <c r="AM102" s="39">
        <f t="shared" si="67"/>
        <v>0</v>
      </c>
      <c r="AN102" s="39">
        <f t="shared" si="67"/>
        <v>0</v>
      </c>
      <c r="AO102" s="39">
        <f t="shared" si="68"/>
        <v>0</v>
      </c>
      <c r="AP102" s="39">
        <f t="shared" si="68"/>
        <v>0</v>
      </c>
      <c r="AQ102" s="39">
        <f t="shared" si="68"/>
        <v>0</v>
      </c>
      <c r="AR102" s="39">
        <f t="shared" si="68"/>
        <v>0</v>
      </c>
      <c r="AS102" s="39">
        <f t="shared" si="68"/>
        <v>0</v>
      </c>
      <c r="AT102" s="39">
        <f t="shared" si="68"/>
        <v>0</v>
      </c>
      <c r="AU102" s="39">
        <f t="shared" si="68"/>
        <v>0</v>
      </c>
      <c r="AV102" s="39">
        <f t="shared" si="68"/>
        <v>0</v>
      </c>
      <c r="AW102" s="39">
        <f t="shared" si="68"/>
        <v>0</v>
      </c>
      <c r="AX102" s="39">
        <f t="shared" si="68"/>
        <v>0</v>
      </c>
      <c r="AY102" s="39">
        <f t="shared" si="69"/>
        <v>0</v>
      </c>
      <c r="AZ102" s="39">
        <f t="shared" si="69"/>
        <v>0</v>
      </c>
      <c r="BA102" s="39">
        <f t="shared" si="69"/>
        <v>0</v>
      </c>
      <c r="BB102" s="39">
        <f t="shared" si="69"/>
        <v>0</v>
      </c>
      <c r="BC102" s="39">
        <f t="shared" si="69"/>
        <v>0</v>
      </c>
      <c r="BD102" s="39">
        <f t="shared" si="69"/>
        <v>0</v>
      </c>
      <c r="BE102" s="39">
        <f t="shared" si="69"/>
        <v>0</v>
      </c>
      <c r="BF102" s="39">
        <f t="shared" si="69"/>
        <v>0</v>
      </c>
      <c r="BG102" s="39">
        <f t="shared" si="69"/>
        <v>0</v>
      </c>
      <c r="BH102" s="39">
        <f t="shared" si="69"/>
        <v>0</v>
      </c>
      <c r="BI102" s="39">
        <f t="shared" si="69"/>
        <v>0</v>
      </c>
      <c r="BJ102" s="39">
        <f t="shared" si="69"/>
        <v>0</v>
      </c>
      <c r="BK102" s="39">
        <f t="shared" si="69"/>
        <v>0</v>
      </c>
      <c r="BL102" s="39">
        <f t="shared" si="69"/>
        <v>0</v>
      </c>
      <c r="BM102" s="39">
        <f t="shared" si="69"/>
        <v>0</v>
      </c>
    </row>
    <row r="103" spans="1:65" x14ac:dyDescent="0.25">
      <c r="A103" s="7">
        <f t="shared" ref="A103:E103" si="72">A42</f>
        <v>-2</v>
      </c>
      <c r="B103" s="7">
        <f t="shared" si="72"/>
        <v>0</v>
      </c>
      <c r="C103" s="7">
        <f t="shared" si="72"/>
        <v>1</v>
      </c>
      <c r="D103" s="7">
        <f t="shared" si="72"/>
        <v>2</v>
      </c>
      <c r="E103" s="7">
        <f t="shared" si="72"/>
        <v>2</v>
      </c>
      <c r="F103" s="195">
        <v>-12</v>
      </c>
      <c r="G103" s="7">
        <v>0</v>
      </c>
      <c r="H103" s="179"/>
      <c r="K103" s="39">
        <f t="shared" si="65"/>
        <v>11.941172637498202</v>
      </c>
      <c r="L103" s="39">
        <f t="shared" si="65"/>
        <v>10.84851611741481</v>
      </c>
      <c r="M103" s="39">
        <f t="shared" si="65"/>
        <v>-10.953592746870887</v>
      </c>
      <c r="N103" s="39">
        <f t="shared" si="65"/>
        <v>5.9760457433907561</v>
      </c>
      <c r="O103" s="39">
        <f t="shared" si="65"/>
        <v>4.6836112873280786</v>
      </c>
      <c r="P103" s="39">
        <f t="shared" si="65"/>
        <v>5.121847083418956</v>
      </c>
      <c r="Q103" s="39">
        <f t="shared" si="65"/>
        <v>-10.899624320522591</v>
      </c>
      <c r="R103" s="39">
        <f t="shared" si="65"/>
        <v>-11.738437370089571</v>
      </c>
      <c r="S103" s="39">
        <f t="shared" si="65"/>
        <v>9.5856084329837312</v>
      </c>
      <c r="T103" s="39">
        <f t="shared" si="65"/>
        <v>-4.4963594790495272</v>
      </c>
      <c r="U103" s="39">
        <f t="shared" si="66"/>
        <v>-11.258308547851026</v>
      </c>
      <c r="V103" s="39">
        <f t="shared" si="66"/>
        <v>10.256285733997512</v>
      </c>
      <c r="W103" s="39">
        <f t="shared" si="66"/>
        <v>-8.074154241693396</v>
      </c>
      <c r="X103" s="39">
        <f t="shared" si="66"/>
        <v>-5.4946432438130524</v>
      </c>
      <c r="Y103" s="39">
        <f t="shared" si="66"/>
        <v>-7.5599345959759798</v>
      </c>
      <c r="Z103" s="39">
        <f t="shared" si="66"/>
        <v>-0.69685121415486628</v>
      </c>
      <c r="AA103" s="39">
        <f t="shared" si="66"/>
        <v>-10.053321199116802</v>
      </c>
      <c r="AB103" s="39">
        <f t="shared" si="66"/>
        <v>-2.7848890487136617</v>
      </c>
      <c r="AC103" s="39">
        <f t="shared" si="66"/>
        <v>1.1135002375351271</v>
      </c>
      <c r="AD103" s="39">
        <f t="shared" si="66"/>
        <v>-8.3289955010953687</v>
      </c>
      <c r="AE103" s="39">
        <f t="shared" si="67"/>
        <v>-11.290144580869555</v>
      </c>
      <c r="AF103" s="39">
        <f t="shared" si="67"/>
        <v>-6.6131361597450553</v>
      </c>
      <c r="AG103" s="39">
        <f t="shared" si="67"/>
        <v>-10.218195671994984</v>
      </c>
      <c r="AH103" s="39">
        <f t="shared" si="67"/>
        <v>4.0566547519214309</v>
      </c>
      <c r="AI103" s="39">
        <f t="shared" si="67"/>
        <v>11.39250142297659</v>
      </c>
      <c r="AJ103" s="39">
        <f t="shared" si="67"/>
        <v>11.871497883642624</v>
      </c>
      <c r="AK103" s="39">
        <f t="shared" si="67"/>
        <v>-10.63679753803274</v>
      </c>
      <c r="AL103" s="39">
        <f t="shared" si="67"/>
        <v>6.8502315356096553</v>
      </c>
      <c r="AM103" s="39">
        <f t="shared" si="67"/>
        <v>-4.6352654244986118</v>
      </c>
      <c r="AN103" s="39">
        <f t="shared" si="67"/>
        <v>-10.259978434960253</v>
      </c>
      <c r="AO103" s="39">
        <f t="shared" si="68"/>
        <v>5.8823309728114666</v>
      </c>
      <c r="AP103" s="39">
        <f t="shared" si="68"/>
        <v>-6.0035794025020728</v>
      </c>
      <c r="AQ103" s="39">
        <f t="shared" si="68"/>
        <v>11.654678992668828</v>
      </c>
      <c r="AR103" s="39">
        <f t="shared" si="68"/>
        <v>5.140006371464759</v>
      </c>
      <c r="AS103" s="39">
        <f t="shared" si="68"/>
        <v>11.996363147134588</v>
      </c>
      <c r="AT103" s="39">
        <f t="shared" si="68"/>
        <v>-10.581632362906232</v>
      </c>
      <c r="AU103" s="39">
        <f t="shared" si="68"/>
        <v>3.5809459872867295</v>
      </c>
      <c r="AV103" s="39">
        <f t="shared" si="68"/>
        <v>1.3828944396266083</v>
      </c>
      <c r="AW103" s="39">
        <f t="shared" si="68"/>
        <v>-11.836399681092574</v>
      </c>
      <c r="AX103" s="39">
        <f t="shared" si="68"/>
        <v>4.7396162232799064</v>
      </c>
      <c r="AY103" s="39">
        <f t="shared" si="69"/>
        <v>7.6101285723825889</v>
      </c>
      <c r="AZ103" s="39">
        <f t="shared" si="69"/>
        <v>0.21290373235356957</v>
      </c>
      <c r="BA103" s="39">
        <f t="shared" si="69"/>
        <v>7.0575565170014229</v>
      </c>
      <c r="BB103" s="39">
        <f t="shared" si="69"/>
        <v>5.533530562621225</v>
      </c>
      <c r="BC103" s="39">
        <f t="shared" si="69"/>
        <v>11.883815873276129</v>
      </c>
      <c r="BD103" s="39">
        <f t="shared" si="69"/>
        <v>3.5594586638743815</v>
      </c>
      <c r="BE103" s="39">
        <f t="shared" si="69"/>
        <v>11.991900558166126</v>
      </c>
      <c r="BF103" s="39">
        <f t="shared" si="69"/>
        <v>11.466956519233312</v>
      </c>
      <c r="BG103" s="39">
        <f t="shared" si="69"/>
        <v>10.156794555844021</v>
      </c>
      <c r="BH103" s="39">
        <f t="shared" si="69"/>
        <v>8.1511300737892469</v>
      </c>
      <c r="BI103" s="39">
        <f t="shared" si="69"/>
        <v>5.5873041102901482</v>
      </c>
      <c r="BJ103" s="39">
        <f t="shared" si="69"/>
        <v>2.6408786898569181</v>
      </c>
      <c r="BK103" s="39">
        <f t="shared" si="69"/>
        <v>-0.48638506202074416</v>
      </c>
      <c r="BL103" s="39">
        <f t="shared" si="69"/>
        <v>-3.5803428300261428</v>
      </c>
      <c r="BM103" s="39">
        <f t="shared" si="69"/>
        <v>-10.84873298949833</v>
      </c>
    </row>
    <row r="104" spans="1:65" x14ac:dyDescent="0.25">
      <c r="A104" s="7">
        <f t="shared" ref="A104:E104" si="73">A43</f>
        <v>0</v>
      </c>
      <c r="B104" s="7">
        <f t="shared" si="73"/>
        <v>0</v>
      </c>
      <c r="C104" s="7">
        <f t="shared" si="73"/>
        <v>0</v>
      </c>
      <c r="D104" s="7">
        <f t="shared" si="73"/>
        <v>2</v>
      </c>
      <c r="E104" s="7">
        <f t="shared" si="73"/>
        <v>0</v>
      </c>
      <c r="F104" s="198">
        <v>0</v>
      </c>
      <c r="G104" s="7">
        <v>0</v>
      </c>
      <c r="H104" s="179"/>
      <c r="K104" s="39">
        <f t="shared" si="65"/>
        <v>0</v>
      </c>
      <c r="L104" s="39">
        <f t="shared" si="65"/>
        <v>0</v>
      </c>
      <c r="M104" s="39">
        <f t="shared" si="65"/>
        <v>0</v>
      </c>
      <c r="N104" s="39">
        <f t="shared" si="65"/>
        <v>0</v>
      </c>
      <c r="O104" s="39">
        <f t="shared" si="65"/>
        <v>0</v>
      </c>
      <c r="P104" s="39">
        <f t="shared" si="65"/>
        <v>0</v>
      </c>
      <c r="Q104" s="39">
        <f t="shared" si="65"/>
        <v>0</v>
      </c>
      <c r="R104" s="39">
        <f t="shared" si="65"/>
        <v>0</v>
      </c>
      <c r="S104" s="39">
        <f t="shared" si="65"/>
        <v>0</v>
      </c>
      <c r="T104" s="39">
        <f t="shared" si="65"/>
        <v>0</v>
      </c>
      <c r="U104" s="39">
        <f t="shared" si="66"/>
        <v>0</v>
      </c>
      <c r="V104" s="39">
        <f t="shared" si="66"/>
        <v>0</v>
      </c>
      <c r="W104" s="39">
        <f t="shared" si="66"/>
        <v>0</v>
      </c>
      <c r="X104" s="39">
        <f t="shared" si="66"/>
        <v>0</v>
      </c>
      <c r="Y104" s="39">
        <f t="shared" si="66"/>
        <v>0</v>
      </c>
      <c r="Z104" s="39">
        <f t="shared" si="66"/>
        <v>0</v>
      </c>
      <c r="AA104" s="39">
        <f t="shared" si="66"/>
        <v>0</v>
      </c>
      <c r="AB104" s="39">
        <f t="shared" si="66"/>
        <v>0</v>
      </c>
      <c r="AC104" s="39">
        <f t="shared" si="66"/>
        <v>0</v>
      </c>
      <c r="AD104" s="39">
        <f t="shared" si="66"/>
        <v>0</v>
      </c>
      <c r="AE104" s="39">
        <f t="shared" si="67"/>
        <v>0</v>
      </c>
      <c r="AF104" s="39">
        <f t="shared" si="67"/>
        <v>0</v>
      </c>
      <c r="AG104" s="39">
        <f t="shared" si="67"/>
        <v>0</v>
      </c>
      <c r="AH104" s="39">
        <f t="shared" si="67"/>
        <v>0</v>
      </c>
      <c r="AI104" s="39">
        <f t="shared" si="67"/>
        <v>0</v>
      </c>
      <c r="AJ104" s="39">
        <f t="shared" si="67"/>
        <v>0</v>
      </c>
      <c r="AK104" s="39">
        <f t="shared" si="67"/>
        <v>0</v>
      </c>
      <c r="AL104" s="39">
        <f t="shared" si="67"/>
        <v>0</v>
      </c>
      <c r="AM104" s="39">
        <f t="shared" si="67"/>
        <v>0</v>
      </c>
      <c r="AN104" s="39">
        <f t="shared" si="67"/>
        <v>0</v>
      </c>
      <c r="AO104" s="39">
        <f t="shared" si="68"/>
        <v>0</v>
      </c>
      <c r="AP104" s="39">
        <f t="shared" si="68"/>
        <v>0</v>
      </c>
      <c r="AQ104" s="39">
        <f t="shared" si="68"/>
        <v>0</v>
      </c>
      <c r="AR104" s="39">
        <f t="shared" si="68"/>
        <v>0</v>
      </c>
      <c r="AS104" s="39">
        <f t="shared" si="68"/>
        <v>0</v>
      </c>
      <c r="AT104" s="39">
        <f t="shared" si="68"/>
        <v>0</v>
      </c>
      <c r="AU104" s="39">
        <f t="shared" si="68"/>
        <v>0</v>
      </c>
      <c r="AV104" s="39">
        <f t="shared" si="68"/>
        <v>0</v>
      </c>
      <c r="AW104" s="39">
        <f t="shared" si="68"/>
        <v>0</v>
      </c>
      <c r="AX104" s="39">
        <f t="shared" si="68"/>
        <v>0</v>
      </c>
      <c r="AY104" s="39">
        <f t="shared" si="69"/>
        <v>0</v>
      </c>
      <c r="AZ104" s="39">
        <f t="shared" si="69"/>
        <v>0</v>
      </c>
      <c r="BA104" s="39">
        <f t="shared" si="69"/>
        <v>0</v>
      </c>
      <c r="BB104" s="39">
        <f t="shared" si="69"/>
        <v>0</v>
      </c>
      <c r="BC104" s="39">
        <f t="shared" si="69"/>
        <v>0</v>
      </c>
      <c r="BD104" s="39">
        <f t="shared" si="69"/>
        <v>0</v>
      </c>
      <c r="BE104" s="39">
        <f t="shared" si="69"/>
        <v>0</v>
      </c>
      <c r="BF104" s="39">
        <f t="shared" si="69"/>
        <v>0</v>
      </c>
      <c r="BG104" s="39">
        <f t="shared" si="69"/>
        <v>0</v>
      </c>
      <c r="BH104" s="39">
        <f t="shared" si="69"/>
        <v>0</v>
      </c>
      <c r="BI104" s="39">
        <f t="shared" si="69"/>
        <v>0</v>
      </c>
      <c r="BJ104" s="39">
        <f t="shared" si="69"/>
        <v>0</v>
      </c>
      <c r="BK104" s="39">
        <f t="shared" si="69"/>
        <v>0</v>
      </c>
      <c r="BL104" s="39">
        <f t="shared" si="69"/>
        <v>0</v>
      </c>
      <c r="BM104" s="39">
        <f t="shared" si="69"/>
        <v>0</v>
      </c>
    </row>
    <row r="105" spans="1:65" x14ac:dyDescent="0.25">
      <c r="A105" s="7">
        <f t="shared" ref="A105:E105" si="74">A44</f>
        <v>0</v>
      </c>
      <c r="B105" s="7">
        <f t="shared" si="74"/>
        <v>0</v>
      </c>
      <c r="C105" s="7">
        <f t="shared" si="74"/>
        <v>-1</v>
      </c>
      <c r="D105" s="7">
        <f t="shared" si="74"/>
        <v>2</v>
      </c>
      <c r="E105" s="7">
        <f t="shared" si="74"/>
        <v>1</v>
      </c>
      <c r="F105" s="195">
        <v>-10</v>
      </c>
      <c r="G105" s="7">
        <v>0</v>
      </c>
      <c r="H105" s="179"/>
      <c r="K105" s="39">
        <f t="shared" si="65"/>
        <v>0.65079291799762928</v>
      </c>
      <c r="L105" s="39">
        <f t="shared" si="65"/>
        <v>8.193242377654034</v>
      </c>
      <c r="M105" s="39">
        <f t="shared" si="65"/>
        <v>9.9826598006117955</v>
      </c>
      <c r="N105" s="39">
        <f t="shared" si="65"/>
        <v>-9.4310581865785146</v>
      </c>
      <c r="O105" s="39">
        <f t="shared" si="65"/>
        <v>9.960650021155887</v>
      </c>
      <c r="P105" s="39">
        <f t="shared" si="65"/>
        <v>-3.3073892459652994</v>
      </c>
      <c r="Q105" s="39">
        <f t="shared" si="65"/>
        <v>-9.9719740558224075</v>
      </c>
      <c r="R105" s="39">
        <f t="shared" si="65"/>
        <v>6.695137200824794</v>
      </c>
      <c r="S105" s="39">
        <f t="shared" si="65"/>
        <v>-9.9086705700684661</v>
      </c>
      <c r="T105" s="39">
        <f t="shared" si="65"/>
        <v>9.6870599095488092</v>
      </c>
      <c r="U105" s="39">
        <f t="shared" si="66"/>
        <v>-9.9620163813859062</v>
      </c>
      <c r="V105" s="39">
        <f t="shared" si="66"/>
        <v>-8.2751951591977626</v>
      </c>
      <c r="W105" s="39">
        <f t="shared" si="66"/>
        <v>-9.9990686210311246</v>
      </c>
      <c r="X105" s="39">
        <f t="shared" si="66"/>
        <v>-9.7607346882510235</v>
      </c>
      <c r="Y105" s="39">
        <f t="shared" si="66"/>
        <v>-4.7646140228487592</v>
      </c>
      <c r="Z105" s="39">
        <f t="shared" si="66"/>
        <v>-3.8733736342600888</v>
      </c>
      <c r="AA105" s="39">
        <f t="shared" si="66"/>
        <v>-9.6328294432477808</v>
      </c>
      <c r="AB105" s="39">
        <f t="shared" si="66"/>
        <v>-4.7332442127862855</v>
      </c>
      <c r="AC105" s="39">
        <f t="shared" si="66"/>
        <v>-3.6177941403700284</v>
      </c>
      <c r="AD105" s="39">
        <f t="shared" si="66"/>
        <v>-9.8172453421338943</v>
      </c>
      <c r="AE105" s="39">
        <f t="shared" si="67"/>
        <v>-6.1506316429596311</v>
      </c>
      <c r="AF105" s="39">
        <f t="shared" si="67"/>
        <v>-9.8711924546434968</v>
      </c>
      <c r="AG105" s="39">
        <f t="shared" si="67"/>
        <v>9.8467101492641369</v>
      </c>
      <c r="AH105" s="39">
        <f t="shared" si="67"/>
        <v>9.732443199348829</v>
      </c>
      <c r="AI105" s="39">
        <f t="shared" si="67"/>
        <v>9.7036648629434747</v>
      </c>
      <c r="AJ105" s="39">
        <f t="shared" si="67"/>
        <v>-3.1572448996880889</v>
      </c>
      <c r="AK105" s="39">
        <f t="shared" si="67"/>
        <v>-9.8479358311107106</v>
      </c>
      <c r="AL105" s="39">
        <f t="shared" si="67"/>
        <v>3.5672552334337371</v>
      </c>
      <c r="AM105" s="39">
        <f t="shared" si="67"/>
        <v>-2.3731247939861575</v>
      </c>
      <c r="AN105" s="39">
        <f t="shared" si="67"/>
        <v>-5.878093562520271</v>
      </c>
      <c r="AO105" s="39">
        <f t="shared" si="68"/>
        <v>9.2533564111948667</v>
      </c>
      <c r="AP105" s="39">
        <f t="shared" si="68"/>
        <v>-3.1102911555220158</v>
      </c>
      <c r="AQ105" s="39">
        <f t="shared" si="68"/>
        <v>-8.023734535681708</v>
      </c>
      <c r="AR105" s="39">
        <f t="shared" si="68"/>
        <v>-5.7070762364252747</v>
      </c>
      <c r="AS105" s="39">
        <f t="shared" si="68"/>
        <v>8.8781494383930788</v>
      </c>
      <c r="AT105" s="39">
        <f t="shared" si="68"/>
        <v>-9.8271845573933305</v>
      </c>
      <c r="AU105" s="39">
        <f t="shared" si="68"/>
        <v>-9.7293152317200118</v>
      </c>
      <c r="AV105" s="39">
        <f t="shared" si="68"/>
        <v>-4.0738508058998448</v>
      </c>
      <c r="AW105" s="39">
        <f t="shared" si="68"/>
        <v>9.4020346004463953</v>
      </c>
      <c r="AX105" s="39">
        <f t="shared" si="68"/>
        <v>3.0612716270691811</v>
      </c>
      <c r="AY105" s="39">
        <f t="shared" si="69"/>
        <v>-9.9793277941162746</v>
      </c>
      <c r="AZ105" s="39">
        <f t="shared" si="69"/>
        <v>9.7872192104547775</v>
      </c>
      <c r="BA105" s="39">
        <f t="shared" si="69"/>
        <v>6.2612903604692356</v>
      </c>
      <c r="BB105" s="39">
        <f t="shared" si="69"/>
        <v>-8.0523300833112117</v>
      </c>
      <c r="BC105" s="39">
        <f t="shared" si="69"/>
        <v>-5.0719031621375654</v>
      </c>
      <c r="BD105" s="39">
        <f t="shared" si="69"/>
        <v>5.1283539278836674</v>
      </c>
      <c r="BE105" s="39">
        <f t="shared" si="69"/>
        <v>6.147905676328957</v>
      </c>
      <c r="BF105" s="39">
        <f t="shared" si="69"/>
        <v>4.1621652973691994</v>
      </c>
      <c r="BG105" s="39">
        <f t="shared" si="69"/>
        <v>1.9517928225742811</v>
      </c>
      <c r="BH105" s="39">
        <f t="shared" si="69"/>
        <v>-0.36391792714739296</v>
      </c>
      <c r="BI105" s="39">
        <f t="shared" si="69"/>
        <v>-2.6599880232899982</v>
      </c>
      <c r="BJ105" s="39">
        <f t="shared" si="69"/>
        <v>-4.8124985436192746</v>
      </c>
      <c r="BK105" s="39">
        <f t="shared" si="69"/>
        <v>-6.7052784773722696</v>
      </c>
      <c r="BL105" s="39">
        <f t="shared" si="69"/>
        <v>-8.236174475738542</v>
      </c>
      <c r="BM105" s="39">
        <f t="shared" si="69"/>
        <v>-9.7807050225258845</v>
      </c>
    </row>
    <row r="106" spans="1:65" x14ac:dyDescent="0.25">
      <c r="A106" s="7">
        <f t="shared" ref="A106:E106" si="75">A45</f>
        <v>0</v>
      </c>
      <c r="B106" s="7">
        <f t="shared" si="75"/>
        <v>2</v>
      </c>
      <c r="C106" s="7">
        <f t="shared" si="75"/>
        <v>0</v>
      </c>
      <c r="D106" s="7">
        <f t="shared" si="75"/>
        <v>0</v>
      </c>
      <c r="E106" s="7">
        <f t="shared" si="75"/>
        <v>0</v>
      </c>
      <c r="F106" s="198">
        <v>0</v>
      </c>
      <c r="G106" s="7">
        <v>0</v>
      </c>
      <c r="H106" s="179"/>
      <c r="K106" s="39">
        <f t="shared" si="65"/>
        <v>0</v>
      </c>
      <c r="L106" s="39">
        <f t="shared" si="65"/>
        <v>0</v>
      </c>
      <c r="M106" s="39">
        <f t="shared" si="65"/>
        <v>0</v>
      </c>
      <c r="N106" s="39">
        <f t="shared" si="65"/>
        <v>0</v>
      </c>
      <c r="O106" s="39">
        <f t="shared" si="65"/>
        <v>0</v>
      </c>
      <c r="P106" s="39">
        <f t="shared" si="65"/>
        <v>0</v>
      </c>
      <c r="Q106" s="39">
        <f t="shared" si="65"/>
        <v>0</v>
      </c>
      <c r="R106" s="39">
        <f t="shared" si="65"/>
        <v>0</v>
      </c>
      <c r="S106" s="39">
        <f t="shared" si="65"/>
        <v>0</v>
      </c>
      <c r="T106" s="39">
        <f t="shared" si="65"/>
        <v>0</v>
      </c>
      <c r="U106" s="39">
        <f t="shared" si="66"/>
        <v>0</v>
      </c>
      <c r="V106" s="39">
        <f t="shared" si="66"/>
        <v>0</v>
      </c>
      <c r="W106" s="39">
        <f t="shared" si="66"/>
        <v>0</v>
      </c>
      <c r="X106" s="39">
        <f t="shared" si="66"/>
        <v>0</v>
      </c>
      <c r="Y106" s="39">
        <f t="shared" si="66"/>
        <v>0</v>
      </c>
      <c r="Z106" s="39">
        <f t="shared" si="66"/>
        <v>0</v>
      </c>
      <c r="AA106" s="39">
        <f t="shared" si="66"/>
        <v>0</v>
      </c>
      <c r="AB106" s="39">
        <f t="shared" si="66"/>
        <v>0</v>
      </c>
      <c r="AC106" s="39">
        <f t="shared" si="66"/>
        <v>0</v>
      </c>
      <c r="AD106" s="39">
        <f t="shared" si="66"/>
        <v>0</v>
      </c>
      <c r="AE106" s="39">
        <f t="shared" si="67"/>
        <v>0</v>
      </c>
      <c r="AF106" s="39">
        <f t="shared" si="67"/>
        <v>0</v>
      </c>
      <c r="AG106" s="39">
        <f t="shared" si="67"/>
        <v>0</v>
      </c>
      <c r="AH106" s="39">
        <f t="shared" si="67"/>
        <v>0</v>
      </c>
      <c r="AI106" s="39">
        <f t="shared" si="67"/>
        <v>0</v>
      </c>
      <c r="AJ106" s="39">
        <f t="shared" si="67"/>
        <v>0</v>
      </c>
      <c r="AK106" s="39">
        <f t="shared" si="67"/>
        <v>0</v>
      </c>
      <c r="AL106" s="39">
        <f t="shared" si="67"/>
        <v>0</v>
      </c>
      <c r="AM106" s="39">
        <f t="shared" si="67"/>
        <v>0</v>
      </c>
      <c r="AN106" s="39">
        <f t="shared" si="67"/>
        <v>0</v>
      </c>
      <c r="AO106" s="39">
        <f t="shared" si="68"/>
        <v>0</v>
      </c>
      <c r="AP106" s="39">
        <f t="shared" si="68"/>
        <v>0</v>
      </c>
      <c r="AQ106" s="39">
        <f t="shared" si="68"/>
        <v>0</v>
      </c>
      <c r="AR106" s="39">
        <f t="shared" si="68"/>
        <v>0</v>
      </c>
      <c r="AS106" s="39">
        <f t="shared" si="68"/>
        <v>0</v>
      </c>
      <c r="AT106" s="39">
        <f t="shared" si="68"/>
        <v>0</v>
      </c>
      <c r="AU106" s="39">
        <f t="shared" si="68"/>
        <v>0</v>
      </c>
      <c r="AV106" s="39">
        <f t="shared" si="68"/>
        <v>0</v>
      </c>
      <c r="AW106" s="39">
        <f t="shared" si="68"/>
        <v>0</v>
      </c>
      <c r="AX106" s="39">
        <f t="shared" si="68"/>
        <v>0</v>
      </c>
      <c r="AY106" s="39">
        <f t="shared" si="69"/>
        <v>0</v>
      </c>
      <c r="AZ106" s="39">
        <f t="shared" si="69"/>
        <v>0</v>
      </c>
      <c r="BA106" s="39">
        <f t="shared" si="69"/>
        <v>0</v>
      </c>
      <c r="BB106" s="39">
        <f t="shared" si="69"/>
        <v>0</v>
      </c>
      <c r="BC106" s="39">
        <f t="shared" si="69"/>
        <v>0</v>
      </c>
      <c r="BD106" s="39">
        <f t="shared" si="69"/>
        <v>0</v>
      </c>
      <c r="BE106" s="39">
        <f t="shared" si="69"/>
        <v>0</v>
      </c>
      <c r="BF106" s="39">
        <f t="shared" si="69"/>
        <v>0</v>
      </c>
      <c r="BG106" s="39">
        <f t="shared" si="69"/>
        <v>0</v>
      </c>
      <c r="BH106" s="39">
        <f t="shared" si="69"/>
        <v>0</v>
      </c>
      <c r="BI106" s="39">
        <f t="shared" si="69"/>
        <v>0</v>
      </c>
      <c r="BJ106" s="39">
        <f t="shared" si="69"/>
        <v>0</v>
      </c>
      <c r="BK106" s="39">
        <f t="shared" si="69"/>
        <v>0</v>
      </c>
      <c r="BL106" s="39">
        <f t="shared" si="69"/>
        <v>0</v>
      </c>
      <c r="BM106" s="39">
        <f t="shared" si="69"/>
        <v>0</v>
      </c>
    </row>
    <row r="107" spans="1:65" x14ac:dyDescent="0.25">
      <c r="A107" s="7">
        <f t="shared" ref="A107:E107" si="76">A46</f>
        <v>2</v>
      </c>
      <c r="B107" s="7">
        <f t="shared" si="76"/>
        <v>0</v>
      </c>
      <c r="C107" s="7">
        <f t="shared" si="76"/>
        <v>-1</v>
      </c>
      <c r="D107" s="7">
        <f t="shared" si="76"/>
        <v>0</v>
      </c>
      <c r="E107" s="7">
        <f t="shared" si="76"/>
        <v>1</v>
      </c>
      <c r="F107" s="195">
        <v>-8</v>
      </c>
      <c r="G107" s="7">
        <v>0</v>
      </c>
      <c r="H107" s="179"/>
      <c r="K107" s="39">
        <f t="shared" si="65"/>
        <v>-6.4668531026268532</v>
      </c>
      <c r="L107" s="39">
        <f t="shared" si="65"/>
        <v>2.4321382111876928</v>
      </c>
      <c r="M107" s="39">
        <f t="shared" si="65"/>
        <v>5.5790963224535313</v>
      </c>
      <c r="N107" s="39">
        <f t="shared" si="65"/>
        <v>-2.8729156792033845</v>
      </c>
      <c r="O107" s="39">
        <f t="shared" si="65"/>
        <v>-5.5230229367941899</v>
      </c>
      <c r="P107" s="39">
        <f t="shared" si="65"/>
        <v>5.1401272854458151</v>
      </c>
      <c r="Q107" s="39">
        <f t="shared" si="65"/>
        <v>2.0511731834277165</v>
      </c>
      <c r="R107" s="39">
        <f t="shared" si="65"/>
        <v>-3.0536695544372221</v>
      </c>
      <c r="S107" s="39">
        <f t="shared" si="65"/>
        <v>-5.1619992973488893</v>
      </c>
      <c r="T107" s="39">
        <f t="shared" si="65"/>
        <v>7.0039197423079855</v>
      </c>
      <c r="U107" s="39">
        <f t="shared" si="66"/>
        <v>-7.9999892058223168</v>
      </c>
      <c r="V107" s="39">
        <f t="shared" si="66"/>
        <v>6.4795931220652063</v>
      </c>
      <c r="W107" s="39">
        <f t="shared" si="66"/>
        <v>-3.7049383971990282</v>
      </c>
      <c r="X107" s="39">
        <f t="shared" si="66"/>
        <v>-2.2486679085703249</v>
      </c>
      <c r="Y107" s="39">
        <f t="shared" si="66"/>
        <v>6.1082060775609692</v>
      </c>
      <c r="Z107" s="39">
        <f t="shared" si="66"/>
        <v>6.5750886399793949</v>
      </c>
      <c r="AA107" s="39">
        <f t="shared" si="66"/>
        <v>2.4391624413744082</v>
      </c>
      <c r="AB107" s="39">
        <f t="shared" si="66"/>
        <v>7.3520634326742531</v>
      </c>
      <c r="AC107" s="39">
        <f t="shared" si="66"/>
        <v>-4.485193565153363</v>
      </c>
      <c r="AD107" s="39">
        <f t="shared" si="66"/>
        <v>5.8446489041027618</v>
      </c>
      <c r="AE107" s="39">
        <f t="shared" si="67"/>
        <v>-2.3153311990859264</v>
      </c>
      <c r="AF107" s="39">
        <f t="shared" si="67"/>
        <v>7.346739736063534</v>
      </c>
      <c r="AG107" s="39">
        <f t="shared" si="67"/>
        <v>6.114828450377777</v>
      </c>
      <c r="AH107" s="39">
        <f t="shared" si="67"/>
        <v>7.01995074420969</v>
      </c>
      <c r="AI107" s="39">
        <f t="shared" si="67"/>
        <v>-5.3468806502134276</v>
      </c>
      <c r="AJ107" s="39">
        <f t="shared" si="67"/>
        <v>-7.9489187729649071</v>
      </c>
      <c r="AK107" s="39">
        <f t="shared" si="67"/>
        <v>2.5609629269909835</v>
      </c>
      <c r="AL107" s="39">
        <f t="shared" si="67"/>
        <v>0.74593352300940963</v>
      </c>
      <c r="AM107" s="39">
        <f t="shared" si="67"/>
        <v>-5.2031588896326664</v>
      </c>
      <c r="AN107" s="39">
        <f t="shared" si="67"/>
        <v>6.0003259088573007</v>
      </c>
      <c r="AO107" s="39">
        <f t="shared" si="68"/>
        <v>-7.7938261820993544</v>
      </c>
      <c r="AP107" s="39">
        <f t="shared" si="68"/>
        <v>6.3160105024100766</v>
      </c>
      <c r="AQ107" s="39">
        <f t="shared" si="68"/>
        <v>-2.3111962995187976</v>
      </c>
      <c r="AR107" s="39">
        <f t="shared" si="68"/>
        <v>7.6621489705862125</v>
      </c>
      <c r="AS107" s="39">
        <f t="shared" si="68"/>
        <v>5.2387675576529702</v>
      </c>
      <c r="AT107" s="39">
        <f t="shared" si="68"/>
        <v>5.9961372549382741</v>
      </c>
      <c r="AU107" s="39">
        <f t="shared" si="68"/>
        <v>-6.3924409016505921</v>
      </c>
      <c r="AV107" s="39">
        <f t="shared" si="68"/>
        <v>6.780067271539127</v>
      </c>
      <c r="AW107" s="39">
        <f t="shared" si="68"/>
        <v>5.4137426191433189</v>
      </c>
      <c r="AX107" s="39">
        <f t="shared" si="68"/>
        <v>-4.6071333662879059</v>
      </c>
      <c r="AY107" s="39">
        <f t="shared" si="69"/>
        <v>-6.7026494632591147</v>
      </c>
      <c r="AZ107" s="39">
        <f t="shared" si="69"/>
        <v>7.6011000691087256</v>
      </c>
      <c r="BA107" s="39">
        <f t="shared" si="69"/>
        <v>-2.8753465648786389</v>
      </c>
      <c r="BB107" s="39">
        <f t="shared" si="69"/>
        <v>-7.6746924337232949</v>
      </c>
      <c r="BC107" s="39">
        <f t="shared" si="69"/>
        <v>-7.3761825033655581</v>
      </c>
      <c r="BD107" s="39">
        <f t="shared" si="69"/>
        <v>7.9922714531315595</v>
      </c>
      <c r="BE107" s="39">
        <f t="shared" si="69"/>
        <v>7.981247187418739</v>
      </c>
      <c r="BF107" s="39">
        <f t="shared" si="69"/>
        <v>7.9344490000086045</v>
      </c>
      <c r="BG107" s="39">
        <f t="shared" si="69"/>
        <v>7.5820017283439318</v>
      </c>
      <c r="BH107" s="39">
        <f t="shared" si="69"/>
        <v>6.9374822680452839</v>
      </c>
      <c r="BI107" s="39">
        <f t="shared" si="69"/>
        <v>6.0257186547833115</v>
      </c>
      <c r="BJ107" s="39">
        <f t="shared" si="69"/>
        <v>4.8818336442073962</v>
      </c>
      <c r="BK107" s="39">
        <f t="shared" si="69"/>
        <v>3.5498917209503036</v>
      </c>
      <c r="BL107" s="39">
        <f t="shared" si="69"/>
        <v>2.0812016563033304</v>
      </c>
      <c r="BM107" s="39">
        <f t="shared" si="69"/>
        <v>2.3346517160016815</v>
      </c>
    </row>
    <row r="108" spans="1:65" x14ac:dyDescent="0.25">
      <c r="A108" s="7">
        <f t="shared" ref="A108:E108" si="77">A47</f>
        <v>-2</v>
      </c>
      <c r="B108" s="7">
        <f t="shared" si="77"/>
        <v>2</v>
      </c>
      <c r="C108" s="7">
        <f t="shared" si="77"/>
        <v>0</v>
      </c>
      <c r="D108" s="7">
        <f t="shared" si="77"/>
        <v>2</v>
      </c>
      <c r="E108" s="7">
        <f t="shared" si="77"/>
        <v>2</v>
      </c>
      <c r="F108" s="195">
        <v>7</v>
      </c>
      <c r="G108" s="7">
        <v>0</v>
      </c>
      <c r="H108" s="179"/>
      <c r="K108" s="39">
        <f t="shared" si="65"/>
        <v>-6.1546289246978887</v>
      </c>
      <c r="L108" s="39">
        <f t="shared" si="65"/>
        <v>6.9984859412349749</v>
      </c>
      <c r="M108" s="39">
        <f t="shared" si="65"/>
        <v>-6.7292499626348699</v>
      </c>
      <c r="N108" s="39">
        <f t="shared" si="65"/>
        <v>-6.7613051476749328</v>
      </c>
      <c r="O108" s="39">
        <f t="shared" si="65"/>
        <v>3.2380477417324118</v>
      </c>
      <c r="P108" s="39">
        <f t="shared" si="65"/>
        <v>-5.6125518636385427</v>
      </c>
      <c r="Q108" s="39">
        <f t="shared" si="65"/>
        <v>3.1304219281192172</v>
      </c>
      <c r="R108" s="39">
        <f t="shared" si="65"/>
        <v>-5.8206232026394957</v>
      </c>
      <c r="S108" s="39">
        <f t="shared" si="65"/>
        <v>-6.6452533224440877</v>
      </c>
      <c r="T108" s="39">
        <f t="shared" si="65"/>
        <v>-6.2210097616281139</v>
      </c>
      <c r="U108" s="39">
        <f t="shared" si="66"/>
        <v>-6.2754887993547062</v>
      </c>
      <c r="V108" s="39">
        <f t="shared" si="66"/>
        <v>1.6872838784351445</v>
      </c>
      <c r="W108" s="39">
        <f t="shared" si="66"/>
        <v>-2.2648020628795451</v>
      </c>
      <c r="X108" s="39">
        <f t="shared" si="66"/>
        <v>-1.804042715302502</v>
      </c>
      <c r="Y108" s="39">
        <f t="shared" si="66"/>
        <v>3.4330420405179138</v>
      </c>
      <c r="Z108" s="39">
        <f t="shared" si="66"/>
        <v>-4.4150778798500383</v>
      </c>
      <c r="AA108" s="39">
        <f t="shared" si="66"/>
        <v>1.2247981885005621</v>
      </c>
      <c r="AB108" s="39">
        <f t="shared" si="66"/>
        <v>0.57136440290425627</v>
      </c>
      <c r="AC108" s="39">
        <f t="shared" si="66"/>
        <v>-4.9189185022892596</v>
      </c>
      <c r="AD108" s="39">
        <f t="shared" si="66"/>
        <v>-3.8961369848451097</v>
      </c>
      <c r="AE108" s="39">
        <f t="shared" si="67"/>
        <v>6.7780038607587008</v>
      </c>
      <c r="AF108" s="39">
        <f t="shared" si="67"/>
        <v>-6.7962430767896667</v>
      </c>
      <c r="AG108" s="39">
        <f t="shared" si="67"/>
        <v>-6.7915870833537433</v>
      </c>
      <c r="AH108" s="39">
        <f t="shared" si="67"/>
        <v>-6.9641369951684267</v>
      </c>
      <c r="AI108" s="39">
        <f t="shared" si="67"/>
        <v>6.9636975277331263</v>
      </c>
      <c r="AJ108" s="39">
        <f t="shared" si="67"/>
        <v>0.68538746265576755</v>
      </c>
      <c r="AK108" s="39">
        <f t="shared" si="67"/>
        <v>6.2430432623744956</v>
      </c>
      <c r="AL108" s="39">
        <f t="shared" si="67"/>
        <v>-6.043056338946462</v>
      </c>
      <c r="AM108" s="39">
        <f t="shared" si="67"/>
        <v>-3.3295023648114639</v>
      </c>
      <c r="AN108" s="39">
        <f t="shared" si="67"/>
        <v>2.6627980432203389</v>
      </c>
      <c r="AO108" s="39">
        <f t="shared" si="68"/>
        <v>-6.8257155638754021</v>
      </c>
      <c r="AP108" s="39">
        <f t="shared" si="68"/>
        <v>4.5086616849061851</v>
      </c>
      <c r="AQ108" s="39">
        <f t="shared" si="68"/>
        <v>-6.5530287133287528</v>
      </c>
      <c r="AR108" s="39">
        <f t="shared" si="68"/>
        <v>-5.99748383183484</v>
      </c>
      <c r="AS108" s="39">
        <f t="shared" si="68"/>
        <v>4.0147849267092299</v>
      </c>
      <c r="AT108" s="39">
        <f t="shared" si="68"/>
        <v>-5.9040105770109994</v>
      </c>
      <c r="AU108" s="39">
        <f t="shared" si="68"/>
        <v>-0.79625254130209178</v>
      </c>
      <c r="AV108" s="39">
        <f t="shared" si="68"/>
        <v>-6.9106957200288255</v>
      </c>
      <c r="AW108" s="39">
        <f t="shared" si="68"/>
        <v>-6.6322500565858951</v>
      </c>
      <c r="AX108" s="39">
        <f t="shared" si="68"/>
        <v>-4.8741331197495699</v>
      </c>
      <c r="AY108" s="39">
        <f t="shared" si="69"/>
        <v>-1.6169075108395194</v>
      </c>
      <c r="AZ108" s="39">
        <f t="shared" si="69"/>
        <v>4.9000015336225653</v>
      </c>
      <c r="BA108" s="39">
        <f t="shared" si="69"/>
        <v>2.1180870090541588</v>
      </c>
      <c r="BB108" s="39">
        <f t="shared" si="69"/>
        <v>1.8105118886300853</v>
      </c>
      <c r="BC108" s="39">
        <f t="shared" si="69"/>
        <v>-5.9998010079924331</v>
      </c>
      <c r="BD108" s="39">
        <f t="shared" si="69"/>
        <v>-2.7185267262499808</v>
      </c>
      <c r="BE108" s="39">
        <f t="shared" si="69"/>
        <v>2.0814047965554909</v>
      </c>
      <c r="BF108" s="39">
        <f t="shared" si="69"/>
        <v>1.6169609420167277</v>
      </c>
      <c r="BG108" s="39">
        <f t="shared" si="69"/>
        <v>1.1448642010688603</v>
      </c>
      <c r="BH108" s="39">
        <f t="shared" si="69"/>
        <v>0.6673489521764141</v>
      </c>
      <c r="BI108" s="39">
        <f t="shared" si="69"/>
        <v>0.18667521900466652</v>
      </c>
      <c r="BJ108" s="39">
        <f t="shared" si="69"/>
        <v>-0.29488202607629715</v>
      </c>
      <c r="BK108" s="39">
        <f t="shared" si="69"/>
        <v>-0.7750436291319196</v>
      </c>
      <c r="BL108" s="39">
        <f t="shared" si="69"/>
        <v>-1.2515370416296063</v>
      </c>
      <c r="BM108" s="39">
        <f t="shared" si="69"/>
        <v>6.275636167578365</v>
      </c>
    </row>
    <row r="109" spans="1:65" x14ac:dyDescent="0.25">
      <c r="A109" s="7">
        <f t="shared" ref="A109:E109" si="78">A48</f>
        <v>0</v>
      </c>
      <c r="B109" s="7">
        <f t="shared" si="78"/>
        <v>1</v>
      </c>
      <c r="C109" s="7">
        <f t="shared" si="78"/>
        <v>0</v>
      </c>
      <c r="D109" s="7">
        <f t="shared" si="78"/>
        <v>0</v>
      </c>
      <c r="E109" s="7">
        <f t="shared" si="78"/>
        <v>1</v>
      </c>
      <c r="F109" s="195">
        <v>9</v>
      </c>
      <c r="G109" s="7">
        <v>0</v>
      </c>
      <c r="H109" s="179"/>
      <c r="K109" s="39">
        <f t="shared" si="65"/>
        <v>-6.1447107549490756</v>
      </c>
      <c r="L109" s="39">
        <f t="shared" si="65"/>
        <v>8.556434442494929</v>
      </c>
      <c r="M109" s="39">
        <f t="shared" si="65"/>
        <v>-4.8452629566182814</v>
      </c>
      <c r="N109" s="39">
        <f t="shared" si="65"/>
        <v>-7.0620076210475382</v>
      </c>
      <c r="O109" s="39">
        <f t="shared" si="65"/>
        <v>7.0776546579306849</v>
      </c>
      <c r="P109" s="39">
        <f t="shared" si="65"/>
        <v>-8.9120594894465537</v>
      </c>
      <c r="Q109" s="39">
        <f t="shared" si="65"/>
        <v>8.5316644716979706</v>
      </c>
      <c r="R109" s="39">
        <f t="shared" si="65"/>
        <v>-8.0426338893787168</v>
      </c>
      <c r="S109" s="39">
        <f t="shared" si="65"/>
        <v>-1.851778674105937</v>
      </c>
      <c r="T109" s="39">
        <f t="shared" si="65"/>
        <v>5.1979207383915984</v>
      </c>
      <c r="U109" s="39">
        <f t="shared" si="66"/>
        <v>2.4344973568419315</v>
      </c>
      <c r="V109" s="39">
        <f t="shared" si="66"/>
        <v>5.4350232672803314</v>
      </c>
      <c r="W109" s="39">
        <f t="shared" si="66"/>
        <v>-8.2942161162786157</v>
      </c>
      <c r="X109" s="39">
        <f t="shared" si="66"/>
        <v>-8.3499843327446968</v>
      </c>
      <c r="Y109" s="39">
        <f t="shared" si="66"/>
        <v>5.9017046017327308</v>
      </c>
      <c r="Z109" s="39">
        <f t="shared" si="66"/>
        <v>2.1137316625110842</v>
      </c>
      <c r="AA109" s="39">
        <f t="shared" si="66"/>
        <v>-1.8134876541483798</v>
      </c>
      <c r="AB109" s="39">
        <f t="shared" si="66"/>
        <v>3.5733898531272863</v>
      </c>
      <c r="AC109" s="39">
        <f t="shared" si="66"/>
        <v>-2.5157894127897102</v>
      </c>
      <c r="AD109" s="39">
        <f t="shared" si="66"/>
        <v>8.8019299061772251</v>
      </c>
      <c r="AE109" s="39">
        <f t="shared" si="67"/>
        <v>-3.1011438673235734</v>
      </c>
      <c r="AF109" s="39">
        <f t="shared" si="67"/>
        <v>8.8809000109483751</v>
      </c>
      <c r="AG109" s="39">
        <f t="shared" si="67"/>
        <v>-4.7833745048368348</v>
      </c>
      <c r="AH109" s="39">
        <f t="shared" si="67"/>
        <v>-1.6537915806078172</v>
      </c>
      <c r="AI109" s="39">
        <f t="shared" si="67"/>
        <v>-5.0249425833777108</v>
      </c>
      <c r="AJ109" s="39">
        <f t="shared" si="67"/>
        <v>-1.3726289000581184</v>
      </c>
      <c r="AK109" s="39">
        <f t="shared" si="67"/>
        <v>-2.6638823507441143</v>
      </c>
      <c r="AL109" s="39">
        <f t="shared" si="67"/>
        <v>-3.5065041816065188</v>
      </c>
      <c r="AM109" s="39">
        <f t="shared" si="67"/>
        <v>-8.9817469340548204</v>
      </c>
      <c r="AN109" s="39">
        <f t="shared" si="67"/>
        <v>8.9016753866111227</v>
      </c>
      <c r="AO109" s="39">
        <f t="shared" si="68"/>
        <v>8.99563942080324</v>
      </c>
      <c r="AP109" s="39">
        <f t="shared" si="68"/>
        <v>8.8583438327539845</v>
      </c>
      <c r="AQ109" s="39">
        <f t="shared" si="68"/>
        <v>6.3230005073868307</v>
      </c>
      <c r="AR109" s="39">
        <f t="shared" si="68"/>
        <v>-8.433661837540539</v>
      </c>
      <c r="AS109" s="39">
        <f t="shared" si="68"/>
        <v>8.6224192327842815</v>
      </c>
      <c r="AT109" s="39">
        <f t="shared" si="68"/>
        <v>-7.6622496805068829</v>
      </c>
      <c r="AU109" s="39">
        <f t="shared" si="68"/>
        <v>4.4911465714709395</v>
      </c>
      <c r="AV109" s="39">
        <f t="shared" si="68"/>
        <v>5.3420613060715425</v>
      </c>
      <c r="AW109" s="39">
        <f t="shared" si="68"/>
        <v>6.1368999628529846</v>
      </c>
      <c r="AX109" s="39">
        <f t="shared" si="68"/>
        <v>6.8363446382580992</v>
      </c>
      <c r="AY109" s="39">
        <f t="shared" si="69"/>
        <v>7.5230317713764734</v>
      </c>
      <c r="AZ109" s="39">
        <f t="shared" si="69"/>
        <v>8.4773560791705442</v>
      </c>
      <c r="BA109" s="39">
        <f t="shared" si="69"/>
        <v>3.6450737126982662</v>
      </c>
      <c r="BB109" s="39">
        <f t="shared" si="69"/>
        <v>6.0813443408911443</v>
      </c>
      <c r="BC109" s="39">
        <f t="shared" si="69"/>
        <v>5.0166182435610995</v>
      </c>
      <c r="BD109" s="39">
        <f t="shared" si="69"/>
        <v>7.9382489149261097</v>
      </c>
      <c r="BE109" s="39">
        <f t="shared" si="69"/>
        <v>8.9044266395902945</v>
      </c>
      <c r="BF109" s="39">
        <f t="shared" si="69"/>
        <v>8.881954618484512</v>
      </c>
      <c r="BG109" s="39">
        <f t="shared" si="69"/>
        <v>8.8571292401044666</v>
      </c>
      <c r="BH109" s="39">
        <f t="shared" si="69"/>
        <v>8.8299570821673203</v>
      </c>
      <c r="BI109" s="39">
        <f t="shared" si="69"/>
        <v>8.8004453441913917</v>
      </c>
      <c r="BJ109" s="39">
        <f t="shared" si="69"/>
        <v>8.7686018455887353</v>
      </c>
      <c r="BK109" s="39">
        <f t="shared" si="69"/>
        <v>8.7344350235934023</v>
      </c>
      <c r="BL109" s="39">
        <f t="shared" si="69"/>
        <v>8.697953931025495</v>
      </c>
      <c r="BM109" s="39">
        <f t="shared" si="69"/>
        <v>-2.6850265388861874</v>
      </c>
    </row>
    <row r="110" spans="1:65" x14ac:dyDescent="0.25">
      <c r="A110" s="7">
        <f t="shared" ref="A110:E110" si="79">A49</f>
        <v>-2</v>
      </c>
      <c r="B110" s="7">
        <f t="shared" si="79"/>
        <v>0</v>
      </c>
      <c r="C110" s="7">
        <f t="shared" si="79"/>
        <v>1</v>
      </c>
      <c r="D110" s="7">
        <f t="shared" si="79"/>
        <v>0</v>
      </c>
      <c r="E110" s="7">
        <f t="shared" si="79"/>
        <v>1</v>
      </c>
      <c r="F110" s="195">
        <v>7</v>
      </c>
      <c r="G110" s="7">
        <v>0</v>
      </c>
      <c r="H110" s="179"/>
      <c r="K110" s="39">
        <f t="shared" ref="K110:T119" si="80">($F110+$G110*K$4)*COS(($A110*K$5+$B110*K$6+$C110*K$7+$D110*K$8+$E110*K$9)*Deg2Rad)</f>
        <v>-3.517817529099279</v>
      </c>
      <c r="L110" s="39">
        <f t="shared" si="80"/>
        <v>5.4544946095521896</v>
      </c>
      <c r="M110" s="39">
        <f t="shared" si="80"/>
        <v>6.3794820207498644</v>
      </c>
      <c r="N110" s="39">
        <f t="shared" si="80"/>
        <v>-5.3745370517245723</v>
      </c>
      <c r="O110" s="39">
        <f t="shared" si="80"/>
        <v>1.624922277782946</v>
      </c>
      <c r="P110" s="39">
        <f t="shared" si="80"/>
        <v>-2.9516823994789028</v>
      </c>
      <c r="Q110" s="39">
        <f t="shared" si="80"/>
        <v>-2.7660353867592402</v>
      </c>
      <c r="R110" s="39">
        <f t="shared" si="80"/>
        <v>5.0491110220028856</v>
      </c>
      <c r="S110" s="39">
        <f t="shared" si="80"/>
        <v>-6.1732571485367576</v>
      </c>
      <c r="T110" s="39">
        <f t="shared" si="80"/>
        <v>5.7975622399381237</v>
      </c>
      <c r="U110" s="39">
        <f t="shared" ref="U110:AD119" si="81">($F110+$G110*U$4)*COS(($A110*U$5+$B110*U$6+$C110*U$7+$D110*U$8+$E110*U$9)*Deg2Rad)</f>
        <v>-6.3833555427654156</v>
      </c>
      <c r="V110" s="39">
        <f t="shared" si="81"/>
        <v>6.8754965462914397</v>
      </c>
      <c r="W110" s="39">
        <f t="shared" si="81"/>
        <v>-6.8213618285512032</v>
      </c>
      <c r="X110" s="39">
        <f t="shared" si="81"/>
        <v>-6.9972625195099987</v>
      </c>
      <c r="Y110" s="39">
        <f t="shared" si="81"/>
        <v>-5.3489269457088859</v>
      </c>
      <c r="Z110" s="39">
        <f t="shared" si="81"/>
        <v>-4.5900852243827561</v>
      </c>
      <c r="AA110" s="39">
        <f t="shared" si="81"/>
        <v>2.0712687861287313</v>
      </c>
      <c r="AB110" s="39">
        <f t="shared" si="81"/>
        <v>-6.9369373003420867</v>
      </c>
      <c r="AC110" s="39">
        <f t="shared" si="81"/>
        <v>5.8443971864627891</v>
      </c>
      <c r="AD110" s="39">
        <f t="shared" si="81"/>
        <v>4.3225077431354038</v>
      </c>
      <c r="AE110" s="39">
        <f t="shared" ref="AE110:AN119" si="82">($F110+$G110*AE$4)*COS(($A110*AE$5+$B110*AE$6+$C110*AE$7+$D110*AE$8+$E110*AE$9)*Deg2Rad)</f>
        <v>6.6506677969839263</v>
      </c>
      <c r="AF110" s="39">
        <f t="shared" si="82"/>
        <v>-6.8614648113103751</v>
      </c>
      <c r="AG110" s="39">
        <f t="shared" si="82"/>
        <v>6.0626964135135299</v>
      </c>
      <c r="AH110" s="39">
        <f t="shared" si="82"/>
        <v>6.9966472043970009</v>
      </c>
      <c r="AI110" s="39">
        <f t="shared" si="82"/>
        <v>3.4445310598900818</v>
      </c>
      <c r="AJ110" s="39">
        <f t="shared" si="82"/>
        <v>6.8702528547937067</v>
      </c>
      <c r="AK110" s="39">
        <f t="shared" si="82"/>
        <v>4.1140702899279127</v>
      </c>
      <c r="AL110" s="39">
        <f t="shared" si="82"/>
        <v>2.7618123580855838</v>
      </c>
      <c r="AM110" s="39">
        <f t="shared" si="82"/>
        <v>-3.4878934927183693</v>
      </c>
      <c r="AN110" s="39">
        <f t="shared" si="82"/>
        <v>6.8804251801374008</v>
      </c>
      <c r="AO110" s="39">
        <f t="shared" ref="AO110:AX119" si="83">($F110+$G110*AO$4)*COS(($A110*AO$5+$B110*AO$6+$C110*AO$7+$D110*AO$8+$E110*AO$9)*Deg2Rad)</f>
        <v>-6.9899550522071756</v>
      </c>
      <c r="AP110" s="39">
        <f t="shared" si="83"/>
        <v>6.9617321271295936</v>
      </c>
      <c r="AQ110" s="39">
        <f t="shared" si="83"/>
        <v>-6.7103739210637041</v>
      </c>
      <c r="AR110" s="39">
        <f t="shared" si="83"/>
        <v>4.2654175122383711</v>
      </c>
      <c r="AS110" s="39">
        <f t="shared" si="83"/>
        <v>6.3731765160836957</v>
      </c>
      <c r="AT110" s="39">
        <f t="shared" si="83"/>
        <v>6.6373563243071114</v>
      </c>
      <c r="AU110" s="39">
        <f t="shared" si="83"/>
        <v>-5.8154559721684898</v>
      </c>
      <c r="AV110" s="39">
        <f t="shared" si="83"/>
        <v>3.7908231544101469</v>
      </c>
      <c r="AW110" s="39">
        <f t="shared" si="83"/>
        <v>-5.1550683349922863</v>
      </c>
      <c r="AX110" s="39">
        <f t="shared" si="83"/>
        <v>-5.6695935258932675</v>
      </c>
      <c r="AY110" s="39">
        <f t="shared" ref="AY110:BM119" si="84">($F110+$G110*AY$4)*COS(($A110*AY$5+$B110*AY$6+$C110*AY$7+$D110*AY$8+$E110*AY$9)*Deg2Rad)</f>
        <v>3.9811971917353812</v>
      </c>
      <c r="AZ110" s="39">
        <f t="shared" si="84"/>
        <v>-2.5423273603899483</v>
      </c>
      <c r="BA110" s="39">
        <f t="shared" si="84"/>
        <v>-0.31266842990556715</v>
      </c>
      <c r="BB110" s="39">
        <f t="shared" si="84"/>
        <v>6.9888841213297148</v>
      </c>
      <c r="BC110" s="39">
        <f t="shared" si="84"/>
        <v>-0.38499820032472537</v>
      </c>
      <c r="BD110" s="39">
        <f t="shared" si="84"/>
        <v>1.8028597938734485</v>
      </c>
      <c r="BE110" s="39">
        <f t="shared" si="84"/>
        <v>-0.29068548556636614</v>
      </c>
      <c r="BF110" s="39">
        <f t="shared" si="84"/>
        <v>-1.6637343505505593</v>
      </c>
      <c r="BG110" s="39">
        <f t="shared" si="84"/>
        <v>-2.9714862850151662</v>
      </c>
      <c r="BH110" s="39">
        <f t="shared" si="84"/>
        <v>-4.162615674880481</v>
      </c>
      <c r="BI110" s="39">
        <f t="shared" si="84"/>
        <v>-5.1903740155149096</v>
      </c>
      <c r="BJ110" s="39">
        <f t="shared" si="84"/>
        <v>-6.014424660062164</v>
      </c>
      <c r="BK110" s="39">
        <f t="shared" si="84"/>
        <v>-6.6024259202808713</v>
      </c>
      <c r="BL110" s="39">
        <f t="shared" si="84"/>
        <v>-6.9313003875634518</v>
      </c>
      <c r="BM110" s="39">
        <f t="shared" si="84"/>
        <v>4.2820679266615915</v>
      </c>
    </row>
    <row r="111" spans="1:65" x14ac:dyDescent="0.25">
      <c r="A111" s="7">
        <f t="shared" ref="A111:E111" si="85">A50</f>
        <v>0</v>
      </c>
      <c r="B111" s="7">
        <f t="shared" si="85"/>
        <v>-1</v>
      </c>
      <c r="C111" s="7">
        <f t="shared" si="85"/>
        <v>0</v>
      </c>
      <c r="D111" s="7">
        <f t="shared" si="85"/>
        <v>0</v>
      </c>
      <c r="E111" s="7">
        <f t="shared" si="85"/>
        <v>1</v>
      </c>
      <c r="F111" s="195">
        <v>6</v>
      </c>
      <c r="G111" s="7">
        <v>0</v>
      </c>
      <c r="H111" s="179"/>
      <c r="K111" s="39">
        <f t="shared" si="80"/>
        <v>3.9399609065493726</v>
      </c>
      <c r="L111" s="39">
        <f t="shared" si="80"/>
        <v>0.31915049055099443</v>
      </c>
      <c r="M111" s="39">
        <f t="shared" si="80"/>
        <v>-3.6539641571114476</v>
      </c>
      <c r="N111" s="39">
        <f t="shared" si="80"/>
        <v>-5.0381915173008274</v>
      </c>
      <c r="O111" s="39">
        <f t="shared" si="80"/>
        <v>5.9428886689793661</v>
      </c>
      <c r="P111" s="39">
        <f t="shared" si="80"/>
        <v>-5.5207424746759131</v>
      </c>
      <c r="Q111" s="39">
        <f t="shared" si="80"/>
        <v>5.3468041496035239</v>
      </c>
      <c r="R111" s="39">
        <f t="shared" si="80"/>
        <v>-5.9920757003134515</v>
      </c>
      <c r="S111" s="39">
        <f t="shared" si="80"/>
        <v>-1.0226668284458205</v>
      </c>
      <c r="T111" s="39">
        <f t="shared" si="80"/>
        <v>2.7892525178327534</v>
      </c>
      <c r="U111" s="39">
        <f t="shared" si="81"/>
        <v>0.90029302172917824</v>
      </c>
      <c r="V111" s="39">
        <f t="shared" si="81"/>
        <v>-5.9658113419264431</v>
      </c>
      <c r="W111" s="39">
        <f t="shared" si="81"/>
        <v>-0.85840107051570513</v>
      </c>
      <c r="X111" s="39">
        <f t="shared" si="81"/>
        <v>-0.75062735889588839</v>
      </c>
      <c r="Y111" s="39">
        <f t="shared" si="81"/>
        <v>3.9387258707835278</v>
      </c>
      <c r="Z111" s="39">
        <f t="shared" si="81"/>
        <v>-7.4974554540142208E-2</v>
      </c>
      <c r="AA111" s="39">
        <f t="shared" si="81"/>
        <v>2.3769756379525488</v>
      </c>
      <c r="AB111" s="39">
        <f t="shared" si="81"/>
        <v>0.82172064275253875</v>
      </c>
      <c r="AC111" s="39">
        <f t="shared" si="81"/>
        <v>0.65568724884323215</v>
      </c>
      <c r="AD111" s="39">
        <f t="shared" si="81"/>
        <v>-5.9904004533513664</v>
      </c>
      <c r="AE111" s="39">
        <f t="shared" si="82"/>
        <v>-5.7997418725502508</v>
      </c>
      <c r="AF111" s="39">
        <f t="shared" si="82"/>
        <v>5.9939857755293993</v>
      </c>
      <c r="AG111" s="39">
        <f t="shared" si="82"/>
        <v>-3.6969452060675212</v>
      </c>
      <c r="AH111" s="39">
        <f t="shared" si="82"/>
        <v>-2.0367000686662822</v>
      </c>
      <c r="AI111" s="39">
        <f t="shared" si="82"/>
        <v>-4.3452970182607977</v>
      </c>
      <c r="AJ111" s="39">
        <f t="shared" si="82"/>
        <v>-2.6583852481839019</v>
      </c>
      <c r="AK111" s="39">
        <f t="shared" si="82"/>
        <v>-5.7025285856419572</v>
      </c>
      <c r="AL111" s="39">
        <f t="shared" si="82"/>
        <v>0.52740793555637899</v>
      </c>
      <c r="AM111" s="39">
        <f t="shared" si="82"/>
        <v>5.8131765711986931</v>
      </c>
      <c r="AN111" s="39">
        <f t="shared" si="82"/>
        <v>-2.955583873131697</v>
      </c>
      <c r="AO111" s="39">
        <f t="shared" si="83"/>
        <v>-5.938916996967027</v>
      </c>
      <c r="AP111" s="39">
        <f t="shared" si="83"/>
        <v>-4.4556265487621793</v>
      </c>
      <c r="AQ111" s="39">
        <f t="shared" si="83"/>
        <v>4.2511316726625807</v>
      </c>
      <c r="AR111" s="39">
        <f t="shared" si="83"/>
        <v>3.9573093653157954</v>
      </c>
      <c r="AS111" s="39">
        <f t="shared" si="83"/>
        <v>1.8761046090821847E-2</v>
      </c>
      <c r="AT111" s="39">
        <f t="shared" si="83"/>
        <v>5.281131056429289</v>
      </c>
      <c r="AU111" s="39">
        <f t="shared" si="83"/>
        <v>-3.2743182517729839</v>
      </c>
      <c r="AV111" s="39">
        <f t="shared" si="83"/>
        <v>-4.8737496883151081</v>
      </c>
      <c r="AW111" s="39">
        <f t="shared" si="83"/>
        <v>-4.3876123082307084</v>
      </c>
      <c r="AX111" s="39">
        <f t="shared" si="83"/>
        <v>-3.8425850077489345</v>
      </c>
      <c r="AY111" s="39">
        <f t="shared" si="84"/>
        <v>-3.1543213347850036</v>
      </c>
      <c r="AZ111" s="39">
        <f t="shared" si="84"/>
        <v>-1.7036335608858022</v>
      </c>
      <c r="BA111" s="39">
        <f t="shared" si="84"/>
        <v>-4.0455080942172437</v>
      </c>
      <c r="BB111" s="39">
        <f t="shared" si="84"/>
        <v>2.3332124096306122</v>
      </c>
      <c r="BC111" s="39">
        <f t="shared" si="84"/>
        <v>3.01761769652934</v>
      </c>
      <c r="BD111" s="39">
        <f t="shared" si="84"/>
        <v>-3.8981362021154125</v>
      </c>
      <c r="BE111" s="39">
        <f t="shared" si="84"/>
        <v>1.5186158720856551</v>
      </c>
      <c r="BF111" s="39">
        <f t="shared" si="84"/>
        <v>1.6235765689636865</v>
      </c>
      <c r="BG111" s="39">
        <f t="shared" si="84"/>
        <v>1.728003840306394</v>
      </c>
      <c r="BH111" s="39">
        <f t="shared" si="84"/>
        <v>1.8318633765687871</v>
      </c>
      <c r="BI111" s="39">
        <f t="shared" si="84"/>
        <v>1.9351210547358555</v>
      </c>
      <c r="BJ111" s="39">
        <f t="shared" si="84"/>
        <v>2.0377429495312445</v>
      </c>
      <c r="BK111" s="39">
        <f t="shared" si="84"/>
        <v>2.1396953445667894</v>
      </c>
      <c r="BL111" s="39">
        <f t="shared" si="84"/>
        <v>2.2409447434169603</v>
      </c>
      <c r="BM111" s="39">
        <f t="shared" si="84"/>
        <v>-5.7076192633780964</v>
      </c>
    </row>
    <row r="112" spans="1:65" x14ac:dyDescent="0.25">
      <c r="A112" s="7">
        <f t="shared" ref="A112:E112" si="86">A51</f>
        <v>0</v>
      </c>
      <c r="B112" s="7">
        <f t="shared" si="86"/>
        <v>0</v>
      </c>
      <c r="C112" s="7">
        <f t="shared" si="86"/>
        <v>2</v>
      </c>
      <c r="D112" s="7">
        <f t="shared" si="86"/>
        <v>-2</v>
      </c>
      <c r="E112" s="7">
        <f t="shared" si="86"/>
        <v>0</v>
      </c>
      <c r="F112" s="198">
        <v>0</v>
      </c>
      <c r="G112" s="7">
        <v>0</v>
      </c>
      <c r="H112" s="179"/>
      <c r="K112" s="39">
        <f t="shared" si="80"/>
        <v>0</v>
      </c>
      <c r="L112" s="39">
        <f t="shared" si="80"/>
        <v>0</v>
      </c>
      <c r="M112" s="39">
        <f t="shared" si="80"/>
        <v>0</v>
      </c>
      <c r="N112" s="39">
        <f t="shared" si="80"/>
        <v>0</v>
      </c>
      <c r="O112" s="39">
        <f t="shared" si="80"/>
        <v>0</v>
      </c>
      <c r="P112" s="39">
        <f t="shared" si="80"/>
        <v>0</v>
      </c>
      <c r="Q112" s="39">
        <f t="shared" si="80"/>
        <v>0</v>
      </c>
      <c r="R112" s="39">
        <f t="shared" si="80"/>
        <v>0</v>
      </c>
      <c r="S112" s="39">
        <f t="shared" si="80"/>
        <v>0</v>
      </c>
      <c r="T112" s="39">
        <f t="shared" si="80"/>
        <v>0</v>
      </c>
      <c r="U112" s="39">
        <f t="shared" si="81"/>
        <v>0</v>
      </c>
      <c r="V112" s="39">
        <f t="shared" si="81"/>
        <v>0</v>
      </c>
      <c r="W112" s="39">
        <f t="shared" si="81"/>
        <v>0</v>
      </c>
      <c r="X112" s="39">
        <f t="shared" si="81"/>
        <v>0</v>
      </c>
      <c r="Y112" s="39">
        <f t="shared" si="81"/>
        <v>0</v>
      </c>
      <c r="Z112" s="39">
        <f t="shared" si="81"/>
        <v>0</v>
      </c>
      <c r="AA112" s="39">
        <f t="shared" si="81"/>
        <v>0</v>
      </c>
      <c r="AB112" s="39">
        <f t="shared" si="81"/>
        <v>0</v>
      </c>
      <c r="AC112" s="39">
        <f t="shared" si="81"/>
        <v>0</v>
      </c>
      <c r="AD112" s="39">
        <f t="shared" si="81"/>
        <v>0</v>
      </c>
      <c r="AE112" s="39">
        <f t="shared" si="82"/>
        <v>0</v>
      </c>
      <c r="AF112" s="39">
        <f t="shared" si="82"/>
        <v>0</v>
      </c>
      <c r="AG112" s="39">
        <f t="shared" si="82"/>
        <v>0</v>
      </c>
      <c r="AH112" s="39">
        <f t="shared" si="82"/>
        <v>0</v>
      </c>
      <c r="AI112" s="39">
        <f t="shared" si="82"/>
        <v>0</v>
      </c>
      <c r="AJ112" s="39">
        <f t="shared" si="82"/>
        <v>0</v>
      </c>
      <c r="AK112" s="39">
        <f t="shared" si="82"/>
        <v>0</v>
      </c>
      <c r="AL112" s="39">
        <f t="shared" si="82"/>
        <v>0</v>
      </c>
      <c r="AM112" s="39">
        <f t="shared" si="82"/>
        <v>0</v>
      </c>
      <c r="AN112" s="39">
        <f t="shared" si="82"/>
        <v>0</v>
      </c>
      <c r="AO112" s="39">
        <f t="shared" si="83"/>
        <v>0</v>
      </c>
      <c r="AP112" s="39">
        <f t="shared" si="83"/>
        <v>0</v>
      </c>
      <c r="AQ112" s="39">
        <f t="shared" si="83"/>
        <v>0</v>
      </c>
      <c r="AR112" s="39">
        <f t="shared" si="83"/>
        <v>0</v>
      </c>
      <c r="AS112" s="39">
        <f t="shared" si="83"/>
        <v>0</v>
      </c>
      <c r="AT112" s="39">
        <f t="shared" si="83"/>
        <v>0</v>
      </c>
      <c r="AU112" s="39">
        <f t="shared" si="83"/>
        <v>0</v>
      </c>
      <c r="AV112" s="39">
        <f t="shared" si="83"/>
        <v>0</v>
      </c>
      <c r="AW112" s="39">
        <f t="shared" si="83"/>
        <v>0</v>
      </c>
      <c r="AX112" s="39">
        <f t="shared" si="83"/>
        <v>0</v>
      </c>
      <c r="AY112" s="39">
        <f t="shared" si="84"/>
        <v>0</v>
      </c>
      <c r="AZ112" s="39">
        <f t="shared" si="84"/>
        <v>0</v>
      </c>
      <c r="BA112" s="39">
        <f t="shared" si="84"/>
        <v>0</v>
      </c>
      <c r="BB112" s="39">
        <f t="shared" si="84"/>
        <v>0</v>
      </c>
      <c r="BC112" s="39">
        <f t="shared" si="84"/>
        <v>0</v>
      </c>
      <c r="BD112" s="39">
        <f t="shared" si="84"/>
        <v>0</v>
      </c>
      <c r="BE112" s="39">
        <f t="shared" si="84"/>
        <v>0</v>
      </c>
      <c r="BF112" s="39">
        <f t="shared" si="84"/>
        <v>0</v>
      </c>
      <c r="BG112" s="39">
        <f t="shared" si="84"/>
        <v>0</v>
      </c>
      <c r="BH112" s="39">
        <f t="shared" si="84"/>
        <v>0</v>
      </c>
      <c r="BI112" s="39">
        <f t="shared" si="84"/>
        <v>0</v>
      </c>
      <c r="BJ112" s="39">
        <f t="shared" si="84"/>
        <v>0</v>
      </c>
      <c r="BK112" s="39">
        <f t="shared" si="84"/>
        <v>0</v>
      </c>
      <c r="BL112" s="39">
        <f t="shared" si="84"/>
        <v>0</v>
      </c>
      <c r="BM112" s="39">
        <f t="shared" si="84"/>
        <v>0</v>
      </c>
    </row>
    <row r="113" spans="1:65" x14ac:dyDescent="0.25">
      <c r="A113" s="7">
        <f t="shared" ref="A113:E113" si="87">A52</f>
        <v>2</v>
      </c>
      <c r="B113" s="7">
        <f t="shared" si="87"/>
        <v>0</v>
      </c>
      <c r="C113" s="7">
        <f t="shared" si="87"/>
        <v>-1</v>
      </c>
      <c r="D113" s="7">
        <f t="shared" si="87"/>
        <v>2</v>
      </c>
      <c r="E113" s="7">
        <f t="shared" si="87"/>
        <v>1</v>
      </c>
      <c r="F113" s="195">
        <v>5</v>
      </c>
      <c r="G113" s="7">
        <v>0</v>
      </c>
      <c r="H113" s="179"/>
      <c r="K113" s="39">
        <f t="shared" si="80"/>
        <v>-4.8794059022353808</v>
      </c>
      <c r="L113" s="39">
        <f t="shared" si="80"/>
        <v>-0.28248011758619807</v>
      </c>
      <c r="M113" s="39">
        <f t="shared" si="80"/>
        <v>3.0558341312024617</v>
      </c>
      <c r="N113" s="39">
        <f t="shared" si="80"/>
        <v>2.8566463171993979</v>
      </c>
      <c r="O113" s="39">
        <f t="shared" si="80"/>
        <v>-1.6270735656486788</v>
      </c>
      <c r="P113" s="39">
        <f t="shared" si="80"/>
        <v>-2.6594971914552241</v>
      </c>
      <c r="Q113" s="39">
        <f t="shared" si="80"/>
        <v>-4.7656173923579628</v>
      </c>
      <c r="R113" s="39">
        <f t="shared" si="80"/>
        <v>-1.8342794427111904</v>
      </c>
      <c r="S113" s="39">
        <f t="shared" si="80"/>
        <v>4.8496882557035876</v>
      </c>
      <c r="T113" s="39">
        <f t="shared" si="80"/>
        <v>-4.8369808637217853</v>
      </c>
      <c r="U113" s="39">
        <f t="shared" si="81"/>
        <v>-1.382176927425153</v>
      </c>
      <c r="V113" s="39">
        <f t="shared" si="81"/>
        <v>2.4661864299267373</v>
      </c>
      <c r="W113" s="39">
        <f t="shared" si="81"/>
        <v>-4.3064088805054297</v>
      </c>
      <c r="X113" s="39">
        <f t="shared" si="81"/>
        <v>-4.9607583568844209</v>
      </c>
      <c r="Y113" s="39">
        <f t="shared" si="81"/>
        <v>-4.3553445338226258</v>
      </c>
      <c r="Z113" s="39">
        <f t="shared" si="81"/>
        <v>-4.9863803906425108</v>
      </c>
      <c r="AA113" s="39">
        <f t="shared" si="81"/>
        <v>4.8026117529318508</v>
      </c>
      <c r="AB113" s="39">
        <f t="shared" si="81"/>
        <v>2.9792634745448385</v>
      </c>
      <c r="AC113" s="39">
        <f t="shared" si="81"/>
        <v>4.7741958824515169</v>
      </c>
      <c r="AD113" s="39">
        <f t="shared" si="81"/>
        <v>-4.0081374372212766</v>
      </c>
      <c r="AE113" s="39">
        <f t="shared" si="82"/>
        <v>-3.5937549656208456</v>
      </c>
      <c r="AF113" s="39">
        <f t="shared" si="82"/>
        <v>4.42398578595638</v>
      </c>
      <c r="AG113" s="39">
        <f t="shared" si="82"/>
        <v>4.171116341517938</v>
      </c>
      <c r="AH113" s="39">
        <f t="shared" si="82"/>
        <v>-4.9502502177157766</v>
      </c>
      <c r="AI113" s="39">
        <f t="shared" si="82"/>
        <v>-3.417847240413324</v>
      </c>
      <c r="AJ113" s="39">
        <f t="shared" si="82"/>
        <v>-4.6448102294642606</v>
      </c>
      <c r="AK113" s="39">
        <f t="shared" si="82"/>
        <v>4.7794087297071224</v>
      </c>
      <c r="AL113" s="39">
        <f t="shared" si="82"/>
        <v>4.9943597105851296</v>
      </c>
      <c r="AM113" s="39">
        <f t="shared" si="82"/>
        <v>3.6927817544626347</v>
      </c>
      <c r="AN113" s="39">
        <f t="shared" si="82"/>
        <v>2.941421552488797</v>
      </c>
      <c r="AO113" s="39">
        <f t="shared" si="83"/>
        <v>-4.7490263255781038</v>
      </c>
      <c r="AP113" s="39">
        <f t="shared" si="83"/>
        <v>2.6539610989233964</v>
      </c>
      <c r="AQ113" s="39">
        <f t="shared" si="83"/>
        <v>-2.1583559871372335</v>
      </c>
      <c r="AR113" s="39">
        <f t="shared" si="83"/>
        <v>3.53741627984</v>
      </c>
      <c r="AS113" s="39">
        <f t="shared" si="83"/>
        <v>-1.1682818978075309</v>
      </c>
      <c r="AT113" s="39">
        <f t="shared" si="83"/>
        <v>2.8820798540939467</v>
      </c>
      <c r="AU113" s="39">
        <f t="shared" si="83"/>
        <v>-0.29880157294466103</v>
      </c>
      <c r="AV113" s="39">
        <f t="shared" si="83"/>
        <v>2.2567337108790904</v>
      </c>
      <c r="AW113" s="39">
        <f t="shared" si="83"/>
        <v>4.300210967462351</v>
      </c>
      <c r="AX113" s="39">
        <f t="shared" si="83"/>
        <v>-3.233307123167926</v>
      </c>
      <c r="AY113" s="39">
        <f t="shared" si="84"/>
        <v>-4.810589950640491</v>
      </c>
      <c r="AZ113" s="39">
        <f t="shared" si="84"/>
        <v>4.9933549070439556</v>
      </c>
      <c r="BA113" s="39">
        <f t="shared" si="84"/>
        <v>-3.1873382054640116</v>
      </c>
      <c r="BB113" s="39">
        <f t="shared" si="84"/>
        <v>2.0421492471440219</v>
      </c>
      <c r="BC113" s="39">
        <f t="shared" si="84"/>
        <v>2.5272819448024952</v>
      </c>
      <c r="BD113" s="39">
        <f t="shared" si="84"/>
        <v>-3.1199584055053533</v>
      </c>
      <c r="BE113" s="39">
        <f t="shared" si="84"/>
        <v>3.2991378751340883</v>
      </c>
      <c r="BF113" s="39">
        <f t="shared" si="84"/>
        <v>0.31085827267666627</v>
      </c>
      <c r="BG113" s="39">
        <f t="shared" si="84"/>
        <v>-2.8073688063953655</v>
      </c>
      <c r="BH113" s="39">
        <f t="shared" si="84"/>
        <v>-4.7520369861436187</v>
      </c>
      <c r="BI113" s="39">
        <f t="shared" si="84"/>
        <v>-4.7102204253542377</v>
      </c>
      <c r="BJ113" s="39">
        <f t="shared" si="84"/>
        <v>-2.699399619265908</v>
      </c>
      <c r="BK113" s="39">
        <f t="shared" si="84"/>
        <v>0.43984593770642944</v>
      </c>
      <c r="BL113" s="39">
        <f t="shared" si="84"/>
        <v>3.3952235563633959</v>
      </c>
      <c r="BM113" s="39">
        <f t="shared" si="84"/>
        <v>4.6098330126295366</v>
      </c>
    </row>
    <row r="114" spans="1:65" x14ac:dyDescent="0.25">
      <c r="A114" s="7">
        <f t="shared" ref="A114:E114" si="88">A53</f>
        <v>2</v>
      </c>
      <c r="B114" s="7">
        <f t="shared" si="88"/>
        <v>0</v>
      </c>
      <c r="C114" s="7">
        <f t="shared" si="88"/>
        <v>1</v>
      </c>
      <c r="D114" s="7">
        <f t="shared" si="88"/>
        <v>2</v>
      </c>
      <c r="E114" s="7">
        <f t="shared" si="88"/>
        <v>2</v>
      </c>
      <c r="F114" s="195">
        <v>3</v>
      </c>
      <c r="G114" s="7">
        <v>0</v>
      </c>
      <c r="H114" s="179"/>
      <c r="K114" s="39">
        <f t="shared" si="80"/>
        <v>2.9335664142636881</v>
      </c>
      <c r="L114" s="39">
        <f t="shared" si="80"/>
        <v>2.3581251046321672</v>
      </c>
      <c r="M114" s="39">
        <f t="shared" si="80"/>
        <v>0.14149926989944159</v>
      </c>
      <c r="N114" s="39">
        <f t="shared" si="80"/>
        <v>-2.9414144397540216</v>
      </c>
      <c r="O114" s="39">
        <f t="shared" si="80"/>
        <v>-1.276261152329798</v>
      </c>
      <c r="P114" s="39">
        <f t="shared" si="80"/>
        <v>1.9611070331578776E-2</v>
      </c>
      <c r="Q114" s="39">
        <f t="shared" si="80"/>
        <v>2.9983227911856201</v>
      </c>
      <c r="R114" s="39">
        <f t="shared" si="80"/>
        <v>-2.2671306337575059</v>
      </c>
      <c r="S114" s="39">
        <f t="shared" si="80"/>
        <v>-1.9421910732652279</v>
      </c>
      <c r="T114" s="39">
        <f t="shared" si="80"/>
        <v>1.0949695990957955</v>
      </c>
      <c r="U114" s="39">
        <f t="shared" si="81"/>
        <v>-2.9984287825849516</v>
      </c>
      <c r="V114" s="39">
        <f t="shared" si="81"/>
        <v>-2.7949228076567536</v>
      </c>
      <c r="W114" s="39">
        <f t="shared" si="81"/>
        <v>2.9365859700516364</v>
      </c>
      <c r="X114" s="39">
        <f t="shared" si="81"/>
        <v>1.8470763875344716</v>
      </c>
      <c r="Y114" s="39">
        <f t="shared" si="81"/>
        <v>-1.2776872398947203</v>
      </c>
      <c r="Z114" s="39">
        <f t="shared" si="81"/>
        <v>1.6684032769143751</v>
      </c>
      <c r="AA114" s="39">
        <f t="shared" si="81"/>
        <v>-0.34213364620580566</v>
      </c>
      <c r="AB114" s="39">
        <f t="shared" si="81"/>
        <v>1.8026539964242059</v>
      </c>
      <c r="AC114" s="39">
        <f t="shared" si="81"/>
        <v>-0.13216673929357509</v>
      </c>
      <c r="AD114" s="39">
        <f t="shared" si="81"/>
        <v>-2.3450734125031056</v>
      </c>
      <c r="AE114" s="39">
        <f t="shared" si="82"/>
        <v>-2.9734946284495969</v>
      </c>
      <c r="AF114" s="39">
        <f t="shared" si="82"/>
        <v>-0.19320614277339856</v>
      </c>
      <c r="AG114" s="39">
        <f t="shared" si="82"/>
        <v>1.7036640676362347</v>
      </c>
      <c r="AH114" s="39">
        <f t="shared" si="82"/>
        <v>-2.6611364227337191</v>
      </c>
      <c r="AI114" s="39">
        <f t="shared" si="82"/>
        <v>-2.0276221575687501</v>
      </c>
      <c r="AJ114" s="39">
        <f t="shared" si="82"/>
        <v>7.0448258117182735E-2</v>
      </c>
      <c r="AK114" s="39">
        <f t="shared" si="82"/>
        <v>2.918088786404589</v>
      </c>
      <c r="AL114" s="39">
        <f t="shared" si="82"/>
        <v>2.8393520067001083</v>
      </c>
      <c r="AM114" s="39">
        <f t="shared" si="82"/>
        <v>2.9998929827578751</v>
      </c>
      <c r="AN114" s="39">
        <f t="shared" si="82"/>
        <v>2.5631655568578333</v>
      </c>
      <c r="AO114" s="39">
        <f t="shared" si="83"/>
        <v>-2.8122755616529314</v>
      </c>
      <c r="AP114" s="39">
        <f t="shared" si="83"/>
        <v>-2.8251307023533694</v>
      </c>
      <c r="AQ114" s="39">
        <f t="shared" si="83"/>
        <v>-2.2368202299287856</v>
      </c>
      <c r="AR114" s="39">
        <f t="shared" si="83"/>
        <v>-2.1515977005340368</v>
      </c>
      <c r="AS114" s="39">
        <f t="shared" si="83"/>
        <v>0.3533592039040151</v>
      </c>
      <c r="AT114" s="39">
        <f t="shared" si="83"/>
        <v>1.4941832685439995</v>
      </c>
      <c r="AU114" s="39">
        <f t="shared" si="83"/>
        <v>-0.83761594615678936</v>
      </c>
      <c r="AV114" s="39">
        <f t="shared" si="83"/>
        <v>-0.63379178599400376</v>
      </c>
      <c r="AW114" s="39">
        <f t="shared" si="83"/>
        <v>2.9338204168423205</v>
      </c>
      <c r="AX114" s="39">
        <f t="shared" si="83"/>
        <v>1.1075255323981605</v>
      </c>
      <c r="AY114" s="39">
        <f t="shared" si="84"/>
        <v>-2.6878704466746202</v>
      </c>
      <c r="AZ114" s="39">
        <f t="shared" si="84"/>
        <v>1.4348496946322489</v>
      </c>
      <c r="BA114" s="39">
        <f t="shared" si="84"/>
        <v>-1.6926587039480898</v>
      </c>
      <c r="BB114" s="39">
        <f t="shared" si="84"/>
        <v>1.571652731095861</v>
      </c>
      <c r="BC114" s="39">
        <f t="shared" si="84"/>
        <v>-2.9692552156833547</v>
      </c>
      <c r="BD114" s="39">
        <f t="shared" si="84"/>
        <v>-1.6236048559763214</v>
      </c>
      <c r="BE114" s="39">
        <f t="shared" si="84"/>
        <v>-2.9903584065184834</v>
      </c>
      <c r="BF114" s="39">
        <f t="shared" si="84"/>
        <v>-1.535927476926068</v>
      </c>
      <c r="BG114" s="39">
        <f t="shared" si="84"/>
        <v>1.6340820293008578</v>
      </c>
      <c r="BH114" s="39">
        <f t="shared" si="84"/>
        <v>2.9788776735146762</v>
      </c>
      <c r="BI114" s="39">
        <f t="shared" si="84"/>
        <v>0.99636861364300477</v>
      </c>
      <c r="BJ114" s="39">
        <f t="shared" si="84"/>
        <v>-2.099050185575563</v>
      </c>
      <c r="BK114" s="39">
        <f t="shared" si="84"/>
        <v>-2.8499015597270341</v>
      </c>
      <c r="BL114" s="39">
        <f t="shared" si="84"/>
        <v>-0.41751014744884918</v>
      </c>
      <c r="BM114" s="39">
        <f t="shared" si="84"/>
        <v>2.9934876480255084</v>
      </c>
    </row>
    <row r="115" spans="1:65" x14ac:dyDescent="0.25">
      <c r="A115" s="7">
        <f t="shared" ref="A115:E115" si="89">A54</f>
        <v>0</v>
      </c>
      <c r="B115" s="7">
        <f t="shared" si="89"/>
        <v>1</v>
      </c>
      <c r="C115" s="7">
        <f t="shared" si="89"/>
        <v>0</v>
      </c>
      <c r="D115" s="7">
        <f t="shared" si="89"/>
        <v>2</v>
      </c>
      <c r="E115" s="7">
        <f t="shared" si="89"/>
        <v>2</v>
      </c>
      <c r="F115" s="195">
        <v>-3</v>
      </c>
      <c r="G115" s="7">
        <v>0</v>
      </c>
      <c r="H115" s="179"/>
      <c r="K115" s="39">
        <f t="shared" si="80"/>
        <v>2.8438782061635908</v>
      </c>
      <c r="L115" s="39">
        <f t="shared" si="80"/>
        <v>2.9905157424121644</v>
      </c>
      <c r="M115" s="39">
        <f t="shared" si="80"/>
        <v>-0.81882659095238708</v>
      </c>
      <c r="N115" s="39">
        <f t="shared" si="80"/>
        <v>2.8528109857316721</v>
      </c>
      <c r="O115" s="39">
        <f t="shared" si="80"/>
        <v>2.6339871987165147</v>
      </c>
      <c r="P115" s="39">
        <f t="shared" si="80"/>
        <v>2.9682583962470983</v>
      </c>
      <c r="Q115" s="39">
        <f t="shared" si="80"/>
        <v>0.88272210082373403</v>
      </c>
      <c r="R115" s="39">
        <f t="shared" si="80"/>
        <v>0.39208925831190311</v>
      </c>
      <c r="S115" s="39">
        <f t="shared" si="80"/>
        <v>2.9229474708012027</v>
      </c>
      <c r="T115" s="39">
        <f t="shared" si="80"/>
        <v>2.7573980240782738</v>
      </c>
      <c r="U115" s="39">
        <f t="shared" si="81"/>
        <v>0.60908950881343915</v>
      </c>
      <c r="V115" s="39">
        <f t="shared" si="81"/>
        <v>2.9473120894604441</v>
      </c>
      <c r="W115" s="39">
        <f t="shared" si="81"/>
        <v>-2.935536801938825</v>
      </c>
      <c r="X115" s="39">
        <f t="shared" si="81"/>
        <v>-2.3235924647269792</v>
      </c>
      <c r="Y115" s="39">
        <f t="shared" si="81"/>
        <v>2.3561553261201511</v>
      </c>
      <c r="Z115" s="39">
        <f t="shared" si="81"/>
        <v>2.3389644136798591</v>
      </c>
      <c r="AA115" s="39">
        <f t="shared" si="81"/>
        <v>2.6608566676840448</v>
      </c>
      <c r="AB115" s="39">
        <f t="shared" si="81"/>
        <v>-2.1394089244962795</v>
      </c>
      <c r="AC115" s="39">
        <f t="shared" si="81"/>
        <v>-2.1470350181591646</v>
      </c>
      <c r="AD115" s="39">
        <f t="shared" si="81"/>
        <v>-2.9823257595778636</v>
      </c>
      <c r="AE115" s="39">
        <f t="shared" si="82"/>
        <v>1.1133386916196668</v>
      </c>
      <c r="AF115" s="39">
        <f t="shared" si="82"/>
        <v>2.432934082099818</v>
      </c>
      <c r="AG115" s="39">
        <f t="shared" si="82"/>
        <v>-1.4776633376545274</v>
      </c>
      <c r="AH115" s="39">
        <f t="shared" si="82"/>
        <v>-2.9454468769719986</v>
      </c>
      <c r="AI115" s="39">
        <f t="shared" si="82"/>
        <v>-2.7661522356410466</v>
      </c>
      <c r="AJ115" s="39">
        <f t="shared" si="82"/>
        <v>-1.4182905342326642</v>
      </c>
      <c r="AK115" s="39">
        <f t="shared" si="82"/>
        <v>-2.7046669871578159</v>
      </c>
      <c r="AL115" s="39">
        <f t="shared" si="82"/>
        <v>-1.699324853348211</v>
      </c>
      <c r="AM115" s="39">
        <f t="shared" si="82"/>
        <v>-2.9943621199181925</v>
      </c>
      <c r="AN115" s="39">
        <f t="shared" si="82"/>
        <v>-2.9327116706792897</v>
      </c>
      <c r="AO115" s="39">
        <f t="shared" si="83"/>
        <v>-1.2440742071200923</v>
      </c>
      <c r="AP115" s="39">
        <f t="shared" si="83"/>
        <v>-1.307321823201208</v>
      </c>
      <c r="AQ115" s="39">
        <f t="shared" si="83"/>
        <v>-2.0023962755935272</v>
      </c>
      <c r="AR115" s="39">
        <f t="shared" si="83"/>
        <v>0.34802102244404942</v>
      </c>
      <c r="AS115" s="39">
        <f t="shared" si="83"/>
        <v>2.2119105428748282</v>
      </c>
      <c r="AT115" s="39">
        <f t="shared" si="83"/>
        <v>2.8974673725673972</v>
      </c>
      <c r="AU115" s="39">
        <f t="shared" si="83"/>
        <v>-2.7960533525843041</v>
      </c>
      <c r="AV115" s="39">
        <f t="shared" si="83"/>
        <v>0.15681327161899813</v>
      </c>
      <c r="AW115" s="39">
        <f t="shared" si="83"/>
        <v>0.51533718500402925</v>
      </c>
      <c r="AX115" s="39">
        <f t="shared" si="83"/>
        <v>-0.95698346022413028</v>
      </c>
      <c r="AY115" s="39">
        <f t="shared" si="84"/>
        <v>2.3644338154562483</v>
      </c>
      <c r="AZ115" s="39">
        <f t="shared" si="84"/>
        <v>2.9966923180372302</v>
      </c>
      <c r="BA115" s="39">
        <f t="shared" si="84"/>
        <v>-0.76091100250262289</v>
      </c>
      <c r="BB115" s="39">
        <f t="shared" si="84"/>
        <v>2.9363915468050887</v>
      </c>
      <c r="BC115" s="39">
        <f t="shared" si="84"/>
        <v>2.6225954435656273</v>
      </c>
      <c r="BD115" s="39">
        <f t="shared" si="84"/>
        <v>2.7013643805873739</v>
      </c>
      <c r="BE115" s="39">
        <f t="shared" si="84"/>
        <v>-0.66681936087557281</v>
      </c>
      <c r="BF115" s="39">
        <f t="shared" si="84"/>
        <v>-1.9356120095220528</v>
      </c>
      <c r="BG115" s="39">
        <f t="shared" si="84"/>
        <v>-2.7720264775589238</v>
      </c>
      <c r="BH115" s="39">
        <f t="shared" si="84"/>
        <v>-2.9892239955704936</v>
      </c>
      <c r="BI115" s="39">
        <f t="shared" si="84"/>
        <v>-2.5386868507069993</v>
      </c>
      <c r="BJ115" s="39">
        <f t="shared" si="84"/>
        <v>-1.5210563026991719</v>
      </c>
      <c r="BK115" s="39">
        <f t="shared" si="84"/>
        <v>-0.16365127843894545</v>
      </c>
      <c r="BL115" s="39">
        <f t="shared" si="84"/>
        <v>1.230310267314251</v>
      </c>
      <c r="BM115" s="39">
        <f t="shared" si="84"/>
        <v>-2.6041003294807661</v>
      </c>
    </row>
    <row r="116" spans="1:65" x14ac:dyDescent="0.25">
      <c r="A116" s="7">
        <f t="shared" ref="A116:E116" si="90">A55</f>
        <v>-2</v>
      </c>
      <c r="B116" s="7">
        <f t="shared" si="90"/>
        <v>1</v>
      </c>
      <c r="C116" s="7">
        <f t="shared" si="90"/>
        <v>1</v>
      </c>
      <c r="D116" s="7">
        <f t="shared" si="90"/>
        <v>0</v>
      </c>
      <c r="E116" s="7">
        <f t="shared" si="90"/>
        <v>0</v>
      </c>
      <c r="F116" s="198">
        <v>0</v>
      </c>
      <c r="G116" s="7">
        <v>0</v>
      </c>
      <c r="H116" s="179"/>
      <c r="K116" s="39">
        <f t="shared" si="80"/>
        <v>0</v>
      </c>
      <c r="L116" s="39">
        <f t="shared" si="80"/>
        <v>0</v>
      </c>
      <c r="M116" s="39">
        <f t="shared" si="80"/>
        <v>0</v>
      </c>
      <c r="N116" s="39">
        <f t="shared" si="80"/>
        <v>0</v>
      </c>
      <c r="O116" s="39">
        <f t="shared" si="80"/>
        <v>0</v>
      </c>
      <c r="P116" s="39">
        <f t="shared" si="80"/>
        <v>0</v>
      </c>
      <c r="Q116" s="39">
        <f t="shared" si="80"/>
        <v>0</v>
      </c>
      <c r="R116" s="39">
        <f t="shared" si="80"/>
        <v>0</v>
      </c>
      <c r="S116" s="39">
        <f t="shared" si="80"/>
        <v>0</v>
      </c>
      <c r="T116" s="39">
        <f t="shared" si="80"/>
        <v>0</v>
      </c>
      <c r="U116" s="39">
        <f t="shared" si="81"/>
        <v>0</v>
      </c>
      <c r="V116" s="39">
        <f t="shared" si="81"/>
        <v>0</v>
      </c>
      <c r="W116" s="39">
        <f t="shared" si="81"/>
        <v>0</v>
      </c>
      <c r="X116" s="39">
        <f t="shared" si="81"/>
        <v>0</v>
      </c>
      <c r="Y116" s="39">
        <f t="shared" si="81"/>
        <v>0</v>
      </c>
      <c r="Z116" s="39">
        <f t="shared" si="81"/>
        <v>0</v>
      </c>
      <c r="AA116" s="39">
        <f t="shared" si="81"/>
        <v>0</v>
      </c>
      <c r="AB116" s="39">
        <f t="shared" si="81"/>
        <v>0</v>
      </c>
      <c r="AC116" s="39">
        <f t="shared" si="81"/>
        <v>0</v>
      </c>
      <c r="AD116" s="39">
        <f t="shared" si="81"/>
        <v>0</v>
      </c>
      <c r="AE116" s="39">
        <f t="shared" si="82"/>
        <v>0</v>
      </c>
      <c r="AF116" s="39">
        <f t="shared" si="82"/>
        <v>0</v>
      </c>
      <c r="AG116" s="39">
        <f t="shared" si="82"/>
        <v>0</v>
      </c>
      <c r="AH116" s="39">
        <f t="shared" si="82"/>
        <v>0</v>
      </c>
      <c r="AI116" s="39">
        <f t="shared" si="82"/>
        <v>0</v>
      </c>
      <c r="AJ116" s="39">
        <f t="shared" si="82"/>
        <v>0</v>
      </c>
      <c r="AK116" s="39">
        <f t="shared" si="82"/>
        <v>0</v>
      </c>
      <c r="AL116" s="39">
        <f t="shared" si="82"/>
        <v>0</v>
      </c>
      <c r="AM116" s="39">
        <f t="shared" si="82"/>
        <v>0</v>
      </c>
      <c r="AN116" s="39">
        <f t="shared" si="82"/>
        <v>0</v>
      </c>
      <c r="AO116" s="39">
        <f t="shared" si="83"/>
        <v>0</v>
      </c>
      <c r="AP116" s="39">
        <f t="shared" si="83"/>
        <v>0</v>
      </c>
      <c r="AQ116" s="39">
        <f t="shared" si="83"/>
        <v>0</v>
      </c>
      <c r="AR116" s="39">
        <f t="shared" si="83"/>
        <v>0</v>
      </c>
      <c r="AS116" s="39">
        <f t="shared" si="83"/>
        <v>0</v>
      </c>
      <c r="AT116" s="39">
        <f t="shared" si="83"/>
        <v>0</v>
      </c>
      <c r="AU116" s="39">
        <f t="shared" si="83"/>
        <v>0</v>
      </c>
      <c r="AV116" s="39">
        <f t="shared" si="83"/>
        <v>0</v>
      </c>
      <c r="AW116" s="39">
        <f t="shared" si="83"/>
        <v>0</v>
      </c>
      <c r="AX116" s="39">
        <f t="shared" si="83"/>
        <v>0</v>
      </c>
      <c r="AY116" s="39">
        <f t="shared" si="84"/>
        <v>0</v>
      </c>
      <c r="AZ116" s="39">
        <f t="shared" si="84"/>
        <v>0</v>
      </c>
      <c r="BA116" s="39">
        <f t="shared" si="84"/>
        <v>0</v>
      </c>
      <c r="BB116" s="39">
        <f t="shared" si="84"/>
        <v>0</v>
      </c>
      <c r="BC116" s="39">
        <f t="shared" si="84"/>
        <v>0</v>
      </c>
      <c r="BD116" s="39">
        <f t="shared" si="84"/>
        <v>0</v>
      </c>
      <c r="BE116" s="39">
        <f t="shared" si="84"/>
        <v>0</v>
      </c>
      <c r="BF116" s="39">
        <f t="shared" si="84"/>
        <v>0</v>
      </c>
      <c r="BG116" s="39">
        <f t="shared" si="84"/>
        <v>0</v>
      </c>
      <c r="BH116" s="39">
        <f t="shared" si="84"/>
        <v>0</v>
      </c>
      <c r="BI116" s="39">
        <f t="shared" si="84"/>
        <v>0</v>
      </c>
      <c r="BJ116" s="39">
        <f t="shared" si="84"/>
        <v>0</v>
      </c>
      <c r="BK116" s="39">
        <f t="shared" si="84"/>
        <v>0</v>
      </c>
      <c r="BL116" s="39">
        <f t="shared" si="84"/>
        <v>0</v>
      </c>
      <c r="BM116" s="39">
        <f t="shared" si="84"/>
        <v>0</v>
      </c>
    </row>
    <row r="117" spans="1:65" x14ac:dyDescent="0.25">
      <c r="A117" s="7">
        <f t="shared" ref="A117:E117" si="91">A56</f>
        <v>0</v>
      </c>
      <c r="B117" s="7">
        <f t="shared" si="91"/>
        <v>-1</v>
      </c>
      <c r="C117" s="7">
        <f t="shared" si="91"/>
        <v>0</v>
      </c>
      <c r="D117" s="7">
        <f t="shared" si="91"/>
        <v>2</v>
      </c>
      <c r="E117" s="7">
        <f t="shared" si="91"/>
        <v>2</v>
      </c>
      <c r="F117" s="195">
        <v>3</v>
      </c>
      <c r="G117" s="7">
        <v>0</v>
      </c>
      <c r="H117" s="179"/>
      <c r="K117" s="39">
        <f t="shared" si="80"/>
        <v>2.8756736729198145</v>
      </c>
      <c r="L117" s="39">
        <f t="shared" si="80"/>
        <v>0.54449140306930321</v>
      </c>
      <c r="M117" s="39">
        <f t="shared" si="80"/>
        <v>0.56702205236416003</v>
      </c>
      <c r="N117" s="39">
        <f t="shared" si="80"/>
        <v>-2.9277070974474526</v>
      </c>
      <c r="O117" s="39">
        <f t="shared" si="80"/>
        <v>-2.8617440072600866</v>
      </c>
      <c r="P117" s="39">
        <f t="shared" si="80"/>
        <v>-2.7670104780540989</v>
      </c>
      <c r="Q117" s="39">
        <f t="shared" si="80"/>
        <v>1.4285744722827443</v>
      </c>
      <c r="R117" s="39">
        <f t="shared" si="80"/>
        <v>-1.8105587448377358</v>
      </c>
      <c r="S117" s="39">
        <f t="shared" si="80"/>
        <v>-2.8967757876094886</v>
      </c>
      <c r="T117" s="39">
        <f t="shared" si="80"/>
        <v>-2.8891443100909209</v>
      </c>
      <c r="U117" s="39">
        <f t="shared" si="81"/>
        <v>-0.24320332426643648</v>
      </c>
      <c r="V117" s="39">
        <f t="shared" si="81"/>
        <v>1.9989614683390977</v>
      </c>
      <c r="W117" s="39">
        <f t="shared" si="81"/>
        <v>2.0447054174503991</v>
      </c>
      <c r="X117" s="39">
        <f t="shared" si="81"/>
        <v>2.7880463295587798</v>
      </c>
      <c r="Y117" s="39">
        <f t="shared" si="81"/>
        <v>-1.5113158807293807</v>
      </c>
      <c r="Z117" s="39">
        <f t="shared" si="81"/>
        <v>1.8618687563373824</v>
      </c>
      <c r="AA117" s="39">
        <f t="shared" si="81"/>
        <v>2.3241328637394507</v>
      </c>
      <c r="AB117" s="39">
        <f t="shared" si="81"/>
        <v>-2.9202065860063247</v>
      </c>
      <c r="AC117" s="39">
        <f t="shared" si="81"/>
        <v>-2.4770319631400026</v>
      </c>
      <c r="AD117" s="39">
        <f t="shared" si="81"/>
        <v>-2.9625571050234552</v>
      </c>
      <c r="AE117" s="39">
        <f t="shared" si="82"/>
        <v>-2.8768550359971208</v>
      </c>
      <c r="AF117" s="39">
        <f t="shared" si="82"/>
        <v>-2.2092009544841007</v>
      </c>
      <c r="AG117" s="39">
        <f t="shared" si="82"/>
        <v>1.2000133339124073</v>
      </c>
      <c r="AH117" s="39">
        <f t="shared" si="82"/>
        <v>2.9986974853221073</v>
      </c>
      <c r="AI117" s="39">
        <f t="shared" si="82"/>
        <v>-1.6087353619508808</v>
      </c>
      <c r="AJ117" s="39">
        <f t="shared" si="82"/>
        <v>0.35824725021724013</v>
      </c>
      <c r="AK117" s="39">
        <f t="shared" si="82"/>
        <v>-1.3403430552313433</v>
      </c>
      <c r="AL117" s="39">
        <f t="shared" si="82"/>
        <v>0.34113096568932122</v>
      </c>
      <c r="AM117" s="39">
        <f t="shared" si="82"/>
        <v>-2.7912844381450617</v>
      </c>
      <c r="AN117" s="39">
        <f t="shared" si="82"/>
        <v>-0.46291102510989801</v>
      </c>
      <c r="AO117" s="39">
        <f t="shared" si="83"/>
        <v>-0.93207502851276702</v>
      </c>
      <c r="AP117" s="39">
        <f t="shared" si="83"/>
        <v>-2.9350923112964398</v>
      </c>
      <c r="AQ117" s="39">
        <f t="shared" si="83"/>
        <v>2.0211327937914878</v>
      </c>
      <c r="AR117" s="39">
        <f t="shared" si="83"/>
        <v>-1.1062414405954677</v>
      </c>
      <c r="AS117" s="39">
        <f t="shared" si="83"/>
        <v>1.299248435983055</v>
      </c>
      <c r="AT117" s="39">
        <f t="shared" si="83"/>
        <v>2.8478164113652573</v>
      </c>
      <c r="AU117" s="39">
        <f t="shared" si="83"/>
        <v>0.30018744264985364</v>
      </c>
      <c r="AV117" s="39">
        <f t="shared" si="83"/>
        <v>-0.77210390551152752</v>
      </c>
      <c r="AW117" s="39">
        <f t="shared" si="83"/>
        <v>0.72035785318081036</v>
      </c>
      <c r="AX117" s="39">
        <f t="shared" si="83"/>
        <v>-0.46918312094130055</v>
      </c>
      <c r="AY117" s="39">
        <f t="shared" si="84"/>
        <v>1.362919485114938</v>
      </c>
      <c r="AZ117" s="39">
        <f t="shared" si="84"/>
        <v>1.8801476058674116</v>
      </c>
      <c r="BA117" s="39">
        <f t="shared" si="84"/>
        <v>2.9629052637234636</v>
      </c>
      <c r="BB117" s="39">
        <f t="shared" si="84"/>
        <v>1.7813779863798525</v>
      </c>
      <c r="BC117" s="39">
        <f t="shared" si="84"/>
        <v>-2.7107269287518818</v>
      </c>
      <c r="BD117" s="39">
        <f t="shared" si="84"/>
        <v>2.0401735459654144</v>
      </c>
      <c r="BE117" s="39">
        <f t="shared" si="84"/>
        <v>2.9528092595233391</v>
      </c>
      <c r="BF117" s="39">
        <f t="shared" si="84"/>
        <v>2.895170116128023</v>
      </c>
      <c r="BG117" s="39">
        <f t="shared" si="84"/>
        <v>2.2792307193995534</v>
      </c>
      <c r="BH117" s="39">
        <f t="shared" si="84"/>
        <v>1.2237678967567194</v>
      </c>
      <c r="BI117" s="39">
        <f t="shared" si="84"/>
        <v>-6.7684487593149933E-2</v>
      </c>
      <c r="BJ117" s="39">
        <f t="shared" si="84"/>
        <v>-1.3460846970976581</v>
      </c>
      <c r="BK117" s="39">
        <f t="shared" si="84"/>
        <v>-2.364907956972885</v>
      </c>
      <c r="BL117" s="39">
        <f t="shared" si="84"/>
        <v>-2.9276859212278703</v>
      </c>
      <c r="BM117" s="39">
        <f t="shared" si="84"/>
        <v>-1.5168268115871633</v>
      </c>
    </row>
    <row r="118" spans="1:65" x14ac:dyDescent="0.25">
      <c r="A118" s="7">
        <f t="shared" ref="A118:E118" si="92">A57</f>
        <v>2</v>
      </c>
      <c r="B118" s="7">
        <f t="shared" si="92"/>
        <v>0</v>
      </c>
      <c r="C118" s="7">
        <f t="shared" si="92"/>
        <v>0</v>
      </c>
      <c r="D118" s="7">
        <f t="shared" si="92"/>
        <v>2</v>
      </c>
      <c r="E118" s="7">
        <f t="shared" si="92"/>
        <v>1</v>
      </c>
      <c r="F118" s="195">
        <v>3</v>
      </c>
      <c r="G118" s="7">
        <v>0</v>
      </c>
      <c r="H118" s="179"/>
      <c r="K118" s="39">
        <f t="shared" si="80"/>
        <v>2.5053835516621201</v>
      </c>
      <c r="L118" s="39">
        <f t="shared" si="80"/>
        <v>2.1305622039456731</v>
      </c>
      <c r="M118" s="39">
        <f t="shared" si="80"/>
        <v>-2.9757560583019407</v>
      </c>
      <c r="N118" s="39">
        <f t="shared" si="80"/>
        <v>2.8916042551038155</v>
      </c>
      <c r="O118" s="39">
        <f t="shared" si="80"/>
        <v>-0.75238869932433416</v>
      </c>
      <c r="P118" s="39">
        <f t="shared" si="80"/>
        <v>-2.928952677030491</v>
      </c>
      <c r="Q118" s="39">
        <f t="shared" si="80"/>
        <v>0.61702743810387184</v>
      </c>
      <c r="R118" s="39">
        <f t="shared" si="80"/>
        <v>1.4715265826856081</v>
      </c>
      <c r="S118" s="39">
        <f t="shared" si="80"/>
        <v>0.95451316515385853</v>
      </c>
      <c r="T118" s="39">
        <f t="shared" si="80"/>
        <v>-0.6430345049197389</v>
      </c>
      <c r="U118" s="39">
        <f t="shared" si="81"/>
        <v>0.77807286566393929</v>
      </c>
      <c r="V118" s="39">
        <f t="shared" si="81"/>
        <v>-2.8865727838051249</v>
      </c>
      <c r="W118" s="39">
        <f t="shared" si="81"/>
        <v>2.9886579820895198</v>
      </c>
      <c r="X118" s="39">
        <f t="shared" si="81"/>
        <v>1.6875041048498354</v>
      </c>
      <c r="Y118" s="39">
        <f t="shared" si="81"/>
        <v>2.1973186895889212</v>
      </c>
      <c r="Z118" s="39">
        <f t="shared" si="81"/>
        <v>2.4930889669359879</v>
      </c>
      <c r="AA118" s="39">
        <f t="shared" si="81"/>
        <v>-2.2157179369878985</v>
      </c>
      <c r="AB118" s="39">
        <f t="shared" si="81"/>
        <v>2.992469917561098</v>
      </c>
      <c r="AC118" s="39">
        <f t="shared" si="81"/>
        <v>-2.5443240658676163</v>
      </c>
      <c r="AD118" s="39">
        <f t="shared" si="81"/>
        <v>-2.2341711597202059</v>
      </c>
      <c r="AE118" s="39">
        <f t="shared" si="82"/>
        <v>0.23346719715289388</v>
      </c>
      <c r="AF118" s="39">
        <f t="shared" si="82"/>
        <v>-1.3288730545406215</v>
      </c>
      <c r="AG118" s="39">
        <f t="shared" si="82"/>
        <v>-2.8514729681591668</v>
      </c>
      <c r="AH118" s="39">
        <f t="shared" si="82"/>
        <v>-2.0423450433070762</v>
      </c>
      <c r="AI118" s="39">
        <f t="shared" si="82"/>
        <v>-2.0862898704418966</v>
      </c>
      <c r="AJ118" s="39">
        <f t="shared" si="82"/>
        <v>2.5868023692952691</v>
      </c>
      <c r="AK118" s="39">
        <f t="shared" si="82"/>
        <v>0.80161363267576458</v>
      </c>
      <c r="AL118" s="39">
        <f t="shared" si="82"/>
        <v>1.4886330332761912</v>
      </c>
      <c r="AM118" s="39">
        <f t="shared" si="82"/>
        <v>-2.6796975394314506</v>
      </c>
      <c r="AN118" s="39">
        <f t="shared" si="82"/>
        <v>2.8069115302838763</v>
      </c>
      <c r="AO118" s="39">
        <f t="shared" si="83"/>
        <v>2.7573042953308655</v>
      </c>
      <c r="AP118" s="39">
        <f t="shared" si="83"/>
        <v>0.73423173979276801</v>
      </c>
      <c r="AQ118" s="39">
        <f t="shared" si="83"/>
        <v>-2.5837082867179695</v>
      </c>
      <c r="AR118" s="39">
        <f t="shared" si="83"/>
        <v>0.87035393747037748</v>
      </c>
      <c r="AS118" s="39">
        <f t="shared" si="83"/>
        <v>-2.756477109100421</v>
      </c>
      <c r="AT118" s="39">
        <f t="shared" si="83"/>
        <v>2.997077938059717</v>
      </c>
      <c r="AU118" s="39">
        <f t="shared" si="83"/>
        <v>-2.475463200848091</v>
      </c>
      <c r="AV118" s="39">
        <f t="shared" si="83"/>
        <v>2.2225565830385863</v>
      </c>
      <c r="AW118" s="39">
        <f t="shared" si="83"/>
        <v>2.1629703741670649</v>
      </c>
      <c r="AX118" s="39">
        <f t="shared" si="83"/>
        <v>1.7932680490292121</v>
      </c>
      <c r="AY118" s="39">
        <f t="shared" si="84"/>
        <v>2.8714628905748771</v>
      </c>
      <c r="AZ118" s="39">
        <f t="shared" si="84"/>
        <v>2.9742125170911371</v>
      </c>
      <c r="BA118" s="39">
        <f t="shared" si="84"/>
        <v>-2.3721862262079405</v>
      </c>
      <c r="BB118" s="39">
        <f t="shared" si="84"/>
        <v>-6.0876520727846703E-2</v>
      </c>
      <c r="BC118" s="39">
        <f t="shared" si="84"/>
        <v>-0.25843048203495617</v>
      </c>
      <c r="BD118" s="39">
        <f t="shared" si="84"/>
        <v>-2.9536442667535621</v>
      </c>
      <c r="BE118" s="39">
        <f t="shared" si="84"/>
        <v>-5.9434248962152395E-2</v>
      </c>
      <c r="BF118" s="39">
        <f t="shared" si="84"/>
        <v>-2.361529540151154</v>
      </c>
      <c r="BG118" s="39">
        <f t="shared" si="84"/>
        <v>-2.9264922260357986</v>
      </c>
      <c r="BH118" s="39">
        <f t="shared" si="84"/>
        <v>-1.338737794235195</v>
      </c>
      <c r="BI118" s="39">
        <f t="shared" si="84"/>
        <v>1.2337873265470758</v>
      </c>
      <c r="BJ118" s="39">
        <f t="shared" si="84"/>
        <v>2.8987429435382577</v>
      </c>
      <c r="BK118" s="39">
        <f t="shared" si="84"/>
        <v>2.4313937148857998</v>
      </c>
      <c r="BL118" s="39">
        <f t="shared" si="84"/>
        <v>0.17552004619035172</v>
      </c>
      <c r="BM118" s="39">
        <f t="shared" si="84"/>
        <v>1.1806155745763713</v>
      </c>
    </row>
    <row r="119" spans="1:65" x14ac:dyDescent="0.25">
      <c r="A119" s="7">
        <f t="shared" ref="A119:E119" si="93">A58</f>
        <v>2</v>
      </c>
      <c r="B119" s="7">
        <f t="shared" si="93"/>
        <v>0</v>
      </c>
      <c r="C119" s="7">
        <f t="shared" si="93"/>
        <v>1</v>
      </c>
      <c r="D119" s="7">
        <f t="shared" si="93"/>
        <v>0</v>
      </c>
      <c r="E119" s="7">
        <f t="shared" si="93"/>
        <v>0</v>
      </c>
      <c r="F119" s="198">
        <v>0</v>
      </c>
      <c r="G119" s="7">
        <v>0</v>
      </c>
      <c r="H119" s="179"/>
      <c r="K119" s="39">
        <f t="shared" si="80"/>
        <v>0</v>
      </c>
      <c r="L119" s="39">
        <f t="shared" si="80"/>
        <v>0</v>
      </c>
      <c r="M119" s="39">
        <f t="shared" si="80"/>
        <v>0</v>
      </c>
      <c r="N119" s="39">
        <f t="shared" si="80"/>
        <v>0</v>
      </c>
      <c r="O119" s="39">
        <f t="shared" si="80"/>
        <v>0</v>
      </c>
      <c r="P119" s="39">
        <f t="shared" si="80"/>
        <v>0</v>
      </c>
      <c r="Q119" s="39">
        <f t="shared" si="80"/>
        <v>0</v>
      </c>
      <c r="R119" s="39">
        <f t="shared" si="80"/>
        <v>0</v>
      </c>
      <c r="S119" s="39">
        <f t="shared" si="80"/>
        <v>0</v>
      </c>
      <c r="T119" s="39">
        <f t="shared" si="80"/>
        <v>0</v>
      </c>
      <c r="U119" s="39">
        <f t="shared" si="81"/>
        <v>0</v>
      </c>
      <c r="V119" s="39">
        <f t="shared" si="81"/>
        <v>0</v>
      </c>
      <c r="W119" s="39">
        <f t="shared" si="81"/>
        <v>0</v>
      </c>
      <c r="X119" s="39">
        <f t="shared" si="81"/>
        <v>0</v>
      </c>
      <c r="Y119" s="39">
        <f t="shared" si="81"/>
        <v>0</v>
      </c>
      <c r="Z119" s="39">
        <f t="shared" si="81"/>
        <v>0</v>
      </c>
      <c r="AA119" s="39">
        <f t="shared" si="81"/>
        <v>0</v>
      </c>
      <c r="AB119" s="39">
        <f t="shared" si="81"/>
        <v>0</v>
      </c>
      <c r="AC119" s="39">
        <f t="shared" si="81"/>
        <v>0</v>
      </c>
      <c r="AD119" s="39">
        <f t="shared" si="81"/>
        <v>0</v>
      </c>
      <c r="AE119" s="39">
        <f t="shared" si="82"/>
        <v>0</v>
      </c>
      <c r="AF119" s="39">
        <f t="shared" si="82"/>
        <v>0</v>
      </c>
      <c r="AG119" s="39">
        <f t="shared" si="82"/>
        <v>0</v>
      </c>
      <c r="AH119" s="39">
        <f t="shared" si="82"/>
        <v>0</v>
      </c>
      <c r="AI119" s="39">
        <f t="shared" si="82"/>
        <v>0</v>
      </c>
      <c r="AJ119" s="39">
        <f t="shared" si="82"/>
        <v>0</v>
      </c>
      <c r="AK119" s="39">
        <f t="shared" si="82"/>
        <v>0</v>
      </c>
      <c r="AL119" s="39">
        <f t="shared" si="82"/>
        <v>0</v>
      </c>
      <c r="AM119" s="39">
        <f t="shared" si="82"/>
        <v>0</v>
      </c>
      <c r="AN119" s="39">
        <f t="shared" si="82"/>
        <v>0</v>
      </c>
      <c r="AO119" s="39">
        <f t="shared" si="83"/>
        <v>0</v>
      </c>
      <c r="AP119" s="39">
        <f t="shared" si="83"/>
        <v>0</v>
      </c>
      <c r="AQ119" s="39">
        <f t="shared" si="83"/>
        <v>0</v>
      </c>
      <c r="AR119" s="39">
        <f t="shared" si="83"/>
        <v>0</v>
      </c>
      <c r="AS119" s="39">
        <f t="shared" si="83"/>
        <v>0</v>
      </c>
      <c r="AT119" s="39">
        <f t="shared" si="83"/>
        <v>0</v>
      </c>
      <c r="AU119" s="39">
        <f t="shared" si="83"/>
        <v>0</v>
      </c>
      <c r="AV119" s="39">
        <f t="shared" si="83"/>
        <v>0</v>
      </c>
      <c r="AW119" s="39">
        <f t="shared" si="83"/>
        <v>0</v>
      </c>
      <c r="AX119" s="39">
        <f t="shared" si="83"/>
        <v>0</v>
      </c>
      <c r="AY119" s="39">
        <f t="shared" si="84"/>
        <v>0</v>
      </c>
      <c r="AZ119" s="39">
        <f t="shared" si="84"/>
        <v>0</v>
      </c>
      <c r="BA119" s="39">
        <f t="shared" si="84"/>
        <v>0</v>
      </c>
      <c r="BB119" s="39">
        <f t="shared" si="84"/>
        <v>0</v>
      </c>
      <c r="BC119" s="39">
        <f t="shared" si="84"/>
        <v>0</v>
      </c>
      <c r="BD119" s="39">
        <f t="shared" si="84"/>
        <v>0</v>
      </c>
      <c r="BE119" s="39">
        <f t="shared" si="84"/>
        <v>0</v>
      </c>
      <c r="BF119" s="39">
        <f t="shared" si="84"/>
        <v>0</v>
      </c>
      <c r="BG119" s="39">
        <f t="shared" si="84"/>
        <v>0</v>
      </c>
      <c r="BH119" s="39">
        <f t="shared" si="84"/>
        <v>0</v>
      </c>
      <c r="BI119" s="39">
        <f t="shared" si="84"/>
        <v>0</v>
      </c>
      <c r="BJ119" s="39">
        <f t="shared" si="84"/>
        <v>0</v>
      </c>
      <c r="BK119" s="39">
        <f t="shared" si="84"/>
        <v>0</v>
      </c>
      <c r="BL119" s="39">
        <f t="shared" si="84"/>
        <v>0</v>
      </c>
      <c r="BM119" s="39">
        <f t="shared" si="84"/>
        <v>0</v>
      </c>
    </row>
    <row r="120" spans="1:65" x14ac:dyDescent="0.25">
      <c r="A120" s="7">
        <f t="shared" ref="A120:E120" si="94">A59</f>
        <v>-2</v>
      </c>
      <c r="B120" s="7">
        <f t="shared" si="94"/>
        <v>0</v>
      </c>
      <c r="C120" s="7">
        <f t="shared" si="94"/>
        <v>2</v>
      </c>
      <c r="D120" s="7">
        <f t="shared" si="94"/>
        <v>2</v>
      </c>
      <c r="E120" s="7">
        <f t="shared" si="94"/>
        <v>2</v>
      </c>
      <c r="F120" s="195">
        <v>-3</v>
      </c>
      <c r="G120" s="7">
        <v>0</v>
      </c>
      <c r="H120" s="179"/>
      <c r="K120" s="39">
        <f t="shared" ref="K120:T129" si="95">($F120+$G120*K$4)*COS(($A120*K$5+$B120*K$6+$C120*K$7+$D120*K$8+$E120*K$9)*Deg2Rad)</f>
        <v>-2.8966105098160106</v>
      </c>
      <c r="L120" s="39">
        <f t="shared" si="95"/>
        <v>2.7577447518088678</v>
      </c>
      <c r="M120" s="39">
        <f t="shared" si="95"/>
        <v>1.068164180515774</v>
      </c>
      <c r="N120" s="39">
        <f t="shared" si="95"/>
        <v>-0.51269415383170702</v>
      </c>
      <c r="O120" s="39">
        <f t="shared" si="95"/>
        <v>1.3824256509773756</v>
      </c>
      <c r="P120" s="39">
        <f t="shared" si="95"/>
        <v>-2.1248145958575591</v>
      </c>
      <c r="Q120" s="39">
        <f t="shared" si="95"/>
        <v>-1.5213478589368985</v>
      </c>
      <c r="R120" s="39">
        <f t="shared" si="95"/>
        <v>2.8219875520095257</v>
      </c>
      <c r="S120" s="39">
        <f t="shared" si="95"/>
        <v>-0.22740894416530599</v>
      </c>
      <c r="T120" s="39">
        <f t="shared" si="95"/>
        <v>-2.7342217530807549</v>
      </c>
      <c r="U120" s="39">
        <f t="shared" ref="U120:AD129" si="96">($F120+$G120*U$4)*COS(($A120*U$5+$B120*U$6+$C120*U$7+$D120*U$8+$E120*U$9)*Deg2Rad)</f>
        <v>2.7957303035752155</v>
      </c>
      <c r="V120" s="39">
        <f t="shared" si="96"/>
        <v>0.90344338931525281</v>
      </c>
      <c r="W120" s="39">
        <f t="shared" si="96"/>
        <v>0.35334746278935353</v>
      </c>
      <c r="X120" s="39">
        <f t="shared" si="96"/>
        <v>-1.0915643044899079</v>
      </c>
      <c r="Y120" s="39">
        <f t="shared" si="96"/>
        <v>-1.646012952377137</v>
      </c>
      <c r="Z120" s="39">
        <f t="shared" si="96"/>
        <v>1.6292817306850542</v>
      </c>
      <c r="AA120" s="39">
        <f t="shared" si="96"/>
        <v>2.7089022432921612</v>
      </c>
      <c r="AB120" s="39">
        <f t="shared" si="96"/>
        <v>-2.667899125816751</v>
      </c>
      <c r="AC120" s="39">
        <f t="shared" si="96"/>
        <v>2.0822487096653894</v>
      </c>
      <c r="AD120" s="39">
        <f t="shared" si="96"/>
        <v>-1.8799649286648057</v>
      </c>
      <c r="AE120" s="39">
        <f t="shared" ref="AE120:AN129" si="97">($F120+$G120*AE$4)*COS(($A120*AE$5+$B120*AE$6+$C120*AE$7+$D120*AE$8+$E120*AE$9)*Deg2Rad)</f>
        <v>-2.5819893802515201</v>
      </c>
      <c r="AF120" s="39">
        <f t="shared" si="97"/>
        <v>-0.13042287781271864</v>
      </c>
      <c r="AG120" s="39">
        <f t="shared" si="97"/>
        <v>0.35559974295352992</v>
      </c>
      <c r="AH120" s="39">
        <f t="shared" si="97"/>
        <v>-1.7389579284321448</v>
      </c>
      <c r="AI120" s="39">
        <f t="shared" si="97"/>
        <v>-1.0811867424586983</v>
      </c>
      <c r="AJ120" s="39">
        <f t="shared" si="97"/>
        <v>-2.1666648688564298</v>
      </c>
      <c r="AK120" s="39">
        <f t="shared" si="97"/>
        <v>1.4617703770832011</v>
      </c>
      <c r="AL120" s="39">
        <f t="shared" si="97"/>
        <v>-1.1586326752045126</v>
      </c>
      <c r="AM120" s="39">
        <f t="shared" si="97"/>
        <v>2.9984668225854949</v>
      </c>
      <c r="AN120" s="39">
        <f t="shared" si="97"/>
        <v>0.82055729505885788</v>
      </c>
      <c r="AO120" s="39">
        <f t="shared" ref="AO120:AX129" si="98">($F120+$G120*AO$4)*COS(($A120*AO$5+$B120*AO$6+$C120*AO$7+$D120*AO$8+$E120*AO$9)*Deg2Rad)</f>
        <v>0.62794192319431952</v>
      </c>
      <c r="AP120" s="39">
        <f t="shared" si="98"/>
        <v>-2.2263498912929314</v>
      </c>
      <c r="AQ120" s="39">
        <f t="shared" si="98"/>
        <v>2.0205627475826313</v>
      </c>
      <c r="AR120" s="39">
        <f t="shared" si="98"/>
        <v>1.7858849363063773</v>
      </c>
      <c r="AS120" s="39">
        <f t="shared" si="98"/>
        <v>1.7355709986574479</v>
      </c>
      <c r="AT120" s="39">
        <f t="shared" si="98"/>
        <v>-0.2369640177701311</v>
      </c>
      <c r="AU120" s="39">
        <f t="shared" si="98"/>
        <v>-1.7128214289954715</v>
      </c>
      <c r="AV120" s="39">
        <f t="shared" si="98"/>
        <v>2.7818779285624515</v>
      </c>
      <c r="AW120" s="39">
        <f t="shared" si="98"/>
        <v>-2.9937021507617532</v>
      </c>
      <c r="AX120" s="39">
        <f t="shared" si="98"/>
        <v>2.9519944566779577</v>
      </c>
      <c r="AY120" s="39">
        <f t="shared" ref="AY120:BM129" si="99">($F120+$G120*AY$4)*COS(($A120*AY$5+$B120*AY$6+$C120*AY$7+$D120*AY$8+$E120*AY$9)*Deg2Rad)</f>
        <v>-1.9431905955797679</v>
      </c>
      <c r="AZ120" s="39">
        <f t="shared" si="99"/>
        <v>0.59752456273831234</v>
      </c>
      <c r="BA120" s="39">
        <f t="shared" si="99"/>
        <v>1.1901931467321032</v>
      </c>
      <c r="BB120" s="39">
        <f t="shared" si="99"/>
        <v>-0.23623266526442122</v>
      </c>
      <c r="BC120" s="39">
        <f t="shared" si="99"/>
        <v>2.1839337114442703</v>
      </c>
      <c r="BD120" s="39">
        <f t="shared" si="99"/>
        <v>2.9421707789165374</v>
      </c>
      <c r="BE120" s="39">
        <f t="shared" si="99"/>
        <v>2.138755226727743</v>
      </c>
      <c r="BF120" s="39">
        <f t="shared" si="99"/>
        <v>0.89570244675304544</v>
      </c>
      <c r="BG120" s="39">
        <f t="shared" si="99"/>
        <v>-0.55852770506843097</v>
      </c>
      <c r="BH120" s="39">
        <f t="shared" si="99"/>
        <v>-1.8810752726981499</v>
      </c>
      <c r="BI120" s="39">
        <f t="shared" si="99"/>
        <v>-2.7601267509912648</v>
      </c>
      <c r="BJ120" s="39">
        <f t="shared" si="99"/>
        <v>-2.9884305224325125</v>
      </c>
      <c r="BK120" s="39">
        <f t="shared" si="99"/>
        <v>-2.5121600170303182</v>
      </c>
      <c r="BL120" s="39">
        <f t="shared" si="99"/>
        <v>-1.4436042588764759</v>
      </c>
      <c r="BM120" s="39">
        <f t="shared" si="99"/>
        <v>1.2637115502088578</v>
      </c>
    </row>
    <row r="121" spans="1:65" x14ac:dyDescent="0.25">
      <c r="A121" s="7">
        <f t="shared" ref="A121:E121" si="100">A60</f>
        <v>-2</v>
      </c>
      <c r="B121" s="7">
        <f t="shared" si="100"/>
        <v>0</v>
      </c>
      <c r="C121" s="7">
        <f t="shared" si="100"/>
        <v>1</v>
      </c>
      <c r="D121" s="7">
        <f t="shared" si="100"/>
        <v>2</v>
      </c>
      <c r="E121" s="7">
        <f t="shared" si="100"/>
        <v>1</v>
      </c>
      <c r="F121" s="195">
        <v>-3</v>
      </c>
      <c r="G121" s="7">
        <v>0</v>
      </c>
      <c r="H121" s="179"/>
      <c r="K121" s="39">
        <f t="shared" si="95"/>
        <v>-2.4154120216330828</v>
      </c>
      <c r="L121" s="39">
        <f t="shared" si="95"/>
        <v>1.5113609697103909</v>
      </c>
      <c r="M121" s="39">
        <f t="shared" si="95"/>
        <v>2.5755220746886573</v>
      </c>
      <c r="N121" s="39">
        <f t="shared" si="95"/>
        <v>0.29967112587817335</v>
      </c>
      <c r="O121" s="39">
        <f t="shared" si="95"/>
        <v>1.85077530636987</v>
      </c>
      <c r="P121" s="39">
        <f t="shared" si="95"/>
        <v>1.6244994849981738</v>
      </c>
      <c r="Q121" s="39">
        <f t="shared" si="95"/>
        <v>-2.8096711157422276</v>
      </c>
      <c r="R121" s="39">
        <f t="shared" si="95"/>
        <v>-2.9999930363836786</v>
      </c>
      <c r="S121" s="39">
        <f t="shared" si="95"/>
        <v>1.3217281889035881</v>
      </c>
      <c r="T121" s="39">
        <f t="shared" si="95"/>
        <v>-2.958989735181361</v>
      </c>
      <c r="U121" s="39">
        <f t="shared" si="96"/>
        <v>0.42207887530568222</v>
      </c>
      <c r="V121" s="39">
        <f t="shared" si="96"/>
        <v>2.4466015194440196</v>
      </c>
      <c r="W121" s="39">
        <f t="shared" si="96"/>
        <v>-0.5220353046857632</v>
      </c>
      <c r="X121" s="39">
        <f t="shared" si="96"/>
        <v>-1.2730907932126223</v>
      </c>
      <c r="Y121" s="39">
        <f t="shared" si="96"/>
        <v>1.8888884931093974</v>
      </c>
      <c r="Z121" s="39">
        <f t="shared" si="96"/>
        <v>0.54561183673899272</v>
      </c>
      <c r="AA121" s="39">
        <f t="shared" si="96"/>
        <v>2.8893136880385728</v>
      </c>
      <c r="AB121" s="39">
        <f t="shared" si="96"/>
        <v>-0.29578517912080177</v>
      </c>
      <c r="AC121" s="39">
        <f t="shared" si="96"/>
        <v>0.85592672837884742</v>
      </c>
      <c r="AD121" s="39">
        <f t="shared" si="96"/>
        <v>1.9935473403009629</v>
      </c>
      <c r="AE121" s="39">
        <f t="shared" si="97"/>
        <v>2.0342559992944738</v>
      </c>
      <c r="AF121" s="39">
        <f t="shared" si="97"/>
        <v>-1.3849480408803316</v>
      </c>
      <c r="AG121" s="39">
        <f t="shared" si="97"/>
        <v>2.7552152937700121</v>
      </c>
      <c r="AH121" s="39">
        <f t="shared" si="97"/>
        <v>-2.4582264340553173</v>
      </c>
      <c r="AI121" s="39">
        <f t="shared" si="97"/>
        <v>-2.7289941602183205</v>
      </c>
      <c r="AJ121" s="39">
        <f t="shared" si="97"/>
        <v>2.8665166152620611</v>
      </c>
      <c r="AK121" s="39">
        <f t="shared" si="97"/>
        <v>2.9999730679718692</v>
      </c>
      <c r="AL121" s="39">
        <f t="shared" si="97"/>
        <v>-2.6994509569394602</v>
      </c>
      <c r="AM121" s="39">
        <f t="shared" si="97"/>
        <v>-2.6472283534583609</v>
      </c>
      <c r="AN121" s="39">
        <f t="shared" si="97"/>
        <v>0.27370698434879959</v>
      </c>
      <c r="AO121" s="39">
        <f t="shared" si="98"/>
        <v>-2.4772183712294429</v>
      </c>
      <c r="AP121" s="39">
        <f t="shared" si="98"/>
        <v>2.9097930917000081</v>
      </c>
      <c r="AQ121" s="39">
        <f t="shared" si="98"/>
        <v>1.5493749032549387</v>
      </c>
      <c r="AR121" s="39">
        <f t="shared" si="98"/>
        <v>2.9612209818022341</v>
      </c>
      <c r="AS121" s="39">
        <f t="shared" si="98"/>
        <v>-1.8540976042281907</v>
      </c>
      <c r="AT121" s="39">
        <f t="shared" si="98"/>
        <v>2.5476575104672214</v>
      </c>
      <c r="AU121" s="39">
        <f t="shared" si="98"/>
        <v>-2.8867566217086522</v>
      </c>
      <c r="AV121" s="39">
        <f t="shared" si="98"/>
        <v>2.3634797218405073</v>
      </c>
      <c r="AW121" s="39">
        <f t="shared" si="98"/>
        <v>-2.4417419160169027</v>
      </c>
      <c r="AX121" s="39">
        <f t="shared" si="98"/>
        <v>-1.0927873626896476</v>
      </c>
      <c r="AY121" s="39">
        <f t="shared" si="99"/>
        <v>2.9811388558037639</v>
      </c>
      <c r="AZ121" s="39">
        <f t="shared" si="99"/>
        <v>-2.0236846875630046</v>
      </c>
      <c r="BA121" s="39">
        <f t="shared" si="99"/>
        <v>2.6784134654965488</v>
      </c>
      <c r="BB121" s="39">
        <f t="shared" si="99"/>
        <v>-1.8168106063307341</v>
      </c>
      <c r="BC121" s="39">
        <f t="shared" si="99"/>
        <v>1.9289567556844915</v>
      </c>
      <c r="BD121" s="39">
        <f t="shared" si="99"/>
        <v>1.675332144679011</v>
      </c>
      <c r="BE121" s="39">
        <f t="shared" si="99"/>
        <v>2.3067643103626185</v>
      </c>
      <c r="BF121" s="39">
        <f t="shared" si="99"/>
        <v>2.7265382977080872</v>
      </c>
      <c r="BG121" s="39">
        <f t="shared" si="99"/>
        <v>2.9582985418942376</v>
      </c>
      <c r="BH121" s="39">
        <f t="shared" si="99"/>
        <v>2.986063565214391</v>
      </c>
      <c r="BI121" s="39">
        <f t="shared" si="99"/>
        <v>2.8079187765659697</v>
      </c>
      <c r="BJ121" s="39">
        <f t="shared" si="99"/>
        <v>2.4361484958001163</v>
      </c>
      <c r="BK121" s="39">
        <f t="shared" si="99"/>
        <v>1.8963888645909952</v>
      </c>
      <c r="BL121" s="39">
        <f t="shared" si="99"/>
        <v>1.225860056503375</v>
      </c>
      <c r="BM121" s="39">
        <f t="shared" si="99"/>
        <v>2.9981022504344961</v>
      </c>
    </row>
    <row r="122" spans="1:65" x14ac:dyDescent="0.25">
      <c r="A122" s="7">
        <f t="shared" ref="A122:E122" si="101">A61</f>
        <v>2</v>
      </c>
      <c r="B122" s="7">
        <f t="shared" si="101"/>
        <v>0</v>
      </c>
      <c r="C122" s="7">
        <f t="shared" si="101"/>
        <v>-2</v>
      </c>
      <c r="D122" s="7">
        <f t="shared" si="101"/>
        <v>0</v>
      </c>
      <c r="E122" s="7">
        <f t="shared" si="101"/>
        <v>1</v>
      </c>
      <c r="F122" s="195">
        <v>3</v>
      </c>
      <c r="G122" s="7">
        <v>0</v>
      </c>
      <c r="H122" s="179"/>
      <c r="K122" s="39">
        <f t="shared" si="95"/>
        <v>-2.893633351601093</v>
      </c>
      <c r="L122" s="39">
        <f t="shared" si="95"/>
        <v>1.5356708296314525</v>
      </c>
      <c r="M122" s="39">
        <f t="shared" si="95"/>
        <v>-4.2895938664435071E-2</v>
      </c>
      <c r="N122" s="39">
        <f t="shared" si="95"/>
        <v>2.6175872968362648</v>
      </c>
      <c r="O122" s="39">
        <f t="shared" si="95"/>
        <v>2.23384691407577</v>
      </c>
      <c r="P122" s="39">
        <f t="shared" si="95"/>
        <v>1.5172309410299474</v>
      </c>
      <c r="Q122" s="39">
        <f t="shared" si="95"/>
        <v>2.8081781886981303</v>
      </c>
      <c r="R122" s="39">
        <f t="shared" si="95"/>
        <v>-1.5132100940110758</v>
      </c>
      <c r="S122" s="39">
        <f t="shared" si="95"/>
        <v>2.9740088847656132</v>
      </c>
      <c r="T122" s="39">
        <f t="shared" si="95"/>
        <v>-1.3434224259853191</v>
      </c>
      <c r="U122" s="39">
        <f t="shared" si="96"/>
        <v>-2.9996120024998838</v>
      </c>
      <c r="V122" s="39">
        <f t="shared" si="96"/>
        <v>-1.1316387024015013</v>
      </c>
      <c r="W122" s="39">
        <f t="shared" si="96"/>
        <v>-2.6756630859485711</v>
      </c>
      <c r="X122" s="39">
        <f t="shared" si="96"/>
        <v>-2.7169915347902425</v>
      </c>
      <c r="Y122" s="39">
        <f t="shared" si="96"/>
        <v>-1.1504487563040366</v>
      </c>
      <c r="Z122" s="39">
        <f t="shared" si="96"/>
        <v>2.9878397334122324</v>
      </c>
      <c r="AA122" s="39">
        <f t="shared" si="96"/>
        <v>2.9145837331796671</v>
      </c>
      <c r="AB122" s="39">
        <f t="shared" si="96"/>
        <v>-2.6929843206591038</v>
      </c>
      <c r="AC122" s="39">
        <f t="shared" si="96"/>
        <v>-2.9799924322753912</v>
      </c>
      <c r="AD122" s="39">
        <f t="shared" si="96"/>
        <v>-1.9990004773300454</v>
      </c>
      <c r="AE122" s="39">
        <f t="shared" si="97"/>
        <v>2.766357531063484</v>
      </c>
      <c r="AF122" s="39">
        <f t="shared" si="97"/>
        <v>1.5339300384906074</v>
      </c>
      <c r="AG122" s="39">
        <f t="shared" si="97"/>
        <v>-9.004550077419185E-2</v>
      </c>
      <c r="AH122" s="39">
        <f t="shared" si="97"/>
        <v>-2.6841949958475686</v>
      </c>
      <c r="AI122" s="39">
        <f t="shared" si="97"/>
        <v>2.1303376757987929</v>
      </c>
      <c r="AJ122" s="39">
        <f t="shared" si="97"/>
        <v>-2.0961423900096903</v>
      </c>
      <c r="AK122" s="39">
        <f t="shared" si="97"/>
        <v>2.8676023310906693</v>
      </c>
      <c r="AL122" s="39">
        <f t="shared" si="97"/>
        <v>2.3697752559364536</v>
      </c>
      <c r="AM122" s="39">
        <f t="shared" si="97"/>
        <v>-2.8247556644237006</v>
      </c>
      <c r="AN122" s="39">
        <f t="shared" si="97"/>
        <v>-2.5095121158884885</v>
      </c>
      <c r="AO122" s="39">
        <f t="shared" si="98"/>
        <v>-2.6389597538881531</v>
      </c>
      <c r="AP122" s="39">
        <f t="shared" si="98"/>
        <v>-2.819636715526153</v>
      </c>
      <c r="AQ122" s="39">
        <f t="shared" si="98"/>
        <v>2.3206606297331405</v>
      </c>
      <c r="AR122" s="39">
        <f t="shared" si="98"/>
        <v>0.59265014733198251</v>
      </c>
      <c r="AS122" s="39">
        <f t="shared" si="98"/>
        <v>0.6408612702481169</v>
      </c>
      <c r="AT122" s="39">
        <f t="shared" si="98"/>
        <v>0.45800662847867729</v>
      </c>
      <c r="AU122" s="39">
        <f t="shared" si="98"/>
        <v>4.5125895172203535E-2</v>
      </c>
      <c r="AV122" s="39">
        <f t="shared" si="98"/>
        <v>-0.86170476340821733</v>
      </c>
      <c r="AW122" s="39">
        <f t="shared" si="98"/>
        <v>-1.472832541706472</v>
      </c>
      <c r="AX122" s="39">
        <f t="shared" si="98"/>
        <v>-2.0010650210168164</v>
      </c>
      <c r="AY122" s="39">
        <f t="shared" si="99"/>
        <v>-2.4841843569783664</v>
      </c>
      <c r="AZ122" s="39">
        <f t="shared" si="99"/>
        <v>-2.9729670904530394</v>
      </c>
      <c r="BA122" s="39">
        <f t="shared" si="99"/>
        <v>1.6651821633152175</v>
      </c>
      <c r="BB122" s="39">
        <f t="shared" si="99"/>
        <v>-2.9804294997298704</v>
      </c>
      <c r="BC122" s="39">
        <f t="shared" si="99"/>
        <v>2.9285810896347755</v>
      </c>
      <c r="BD122" s="39">
        <f t="shared" si="99"/>
        <v>-1.3153111126452259</v>
      </c>
      <c r="BE122" s="39">
        <f t="shared" si="99"/>
        <v>-2.0709149719980267</v>
      </c>
      <c r="BF122" s="39">
        <f t="shared" si="99"/>
        <v>-2.0016580790048599</v>
      </c>
      <c r="BG122" s="39">
        <f t="shared" si="99"/>
        <v>-1.9304226258555102</v>
      </c>
      <c r="BH122" s="39">
        <f t="shared" si="99"/>
        <v>-1.8572790259834258</v>
      </c>
      <c r="BI122" s="39">
        <f t="shared" si="99"/>
        <v>-1.7822995789600422</v>
      </c>
      <c r="BJ122" s="39">
        <f t="shared" si="99"/>
        <v>-1.7055583990150698</v>
      </c>
      <c r="BK122" s="39">
        <f t="shared" si="99"/>
        <v>-1.6271313417778757</v>
      </c>
      <c r="BL122" s="39">
        <f t="shared" si="99"/>
        <v>-1.547095929309938</v>
      </c>
      <c r="BM122" s="39">
        <f t="shared" si="99"/>
        <v>2.8633810870561733</v>
      </c>
    </row>
    <row r="123" spans="1:65" x14ac:dyDescent="0.25">
      <c r="A123" s="7">
        <f t="shared" ref="A123:E123" si="102">A62</f>
        <v>2</v>
      </c>
      <c r="B123" s="7">
        <f t="shared" si="102"/>
        <v>0</v>
      </c>
      <c r="C123" s="7">
        <f t="shared" si="102"/>
        <v>0</v>
      </c>
      <c r="D123" s="7">
        <f t="shared" si="102"/>
        <v>0</v>
      </c>
      <c r="E123" s="7">
        <f t="shared" si="102"/>
        <v>1</v>
      </c>
      <c r="F123" s="195">
        <v>3</v>
      </c>
      <c r="G123" s="7">
        <v>0</v>
      </c>
      <c r="H123" s="179"/>
      <c r="K123" s="39">
        <f t="shared" si="95"/>
        <v>-1.6415580447332081</v>
      </c>
      <c r="L123" s="39">
        <f t="shared" si="95"/>
        <v>-2.7446237751981668</v>
      </c>
      <c r="M123" s="39">
        <f t="shared" si="95"/>
        <v>2.9997462347294528</v>
      </c>
      <c r="N123" s="39">
        <f t="shared" si="95"/>
        <v>-0.95996586221055313</v>
      </c>
      <c r="O123" s="39">
        <f t="shared" si="95"/>
        <v>1.8958428092962221</v>
      </c>
      <c r="P123" s="39">
        <f t="shared" si="95"/>
        <v>-2.8129378104994132</v>
      </c>
      <c r="Q123" s="39">
        <f t="shared" si="95"/>
        <v>-2.962136218338892</v>
      </c>
      <c r="R123" s="39">
        <f t="shared" si="95"/>
        <v>-0.75556822179319649</v>
      </c>
      <c r="S123" s="39">
        <f t="shared" si="95"/>
        <v>-0.88605747518258671</v>
      </c>
      <c r="T123" s="39">
        <f t="shared" si="95"/>
        <v>1.5536719617634334</v>
      </c>
      <c r="U123" s="39">
        <f t="shared" si="96"/>
        <v>-2.9994372984370763</v>
      </c>
      <c r="V123" s="39">
        <f t="shared" si="96"/>
        <v>2.2865455726546662</v>
      </c>
      <c r="W123" s="39">
        <f t="shared" si="96"/>
        <v>0.41412444766688428</v>
      </c>
      <c r="X123" s="39">
        <f t="shared" si="96"/>
        <v>1.6014226321862131</v>
      </c>
      <c r="Y123" s="39">
        <f t="shared" si="96"/>
        <v>2.5413206928671181</v>
      </c>
      <c r="Z123" s="39">
        <f t="shared" si="96"/>
        <v>1.3013845891405271</v>
      </c>
      <c r="AA123" s="39">
        <f t="shared" si="96"/>
        <v>-1.9599105895149358</v>
      </c>
      <c r="AB123" s="39">
        <f t="shared" si="96"/>
        <v>-0.89788723493852296</v>
      </c>
      <c r="AC123" s="39">
        <f t="shared" si="96"/>
        <v>0.7854410449941398</v>
      </c>
      <c r="AD123" s="39">
        <f t="shared" si="96"/>
        <v>-2.3667876396628733</v>
      </c>
      <c r="AE123" s="39">
        <f t="shared" si="97"/>
        <v>-1.6598189465790267</v>
      </c>
      <c r="AF123" s="39">
        <f t="shared" si="97"/>
        <v>2.9275356681408415</v>
      </c>
      <c r="AG123" s="39">
        <f t="shared" si="97"/>
        <v>2.9406163910543972</v>
      </c>
      <c r="AH123" s="39">
        <f t="shared" si="97"/>
        <v>-0.32175979837650359</v>
      </c>
      <c r="AI123" s="39">
        <f t="shared" si="97"/>
        <v>-2.3273030067079619</v>
      </c>
      <c r="AJ123" s="39">
        <f t="shared" si="97"/>
        <v>-1.5615770659032895</v>
      </c>
      <c r="AK123" s="39">
        <f t="shared" si="97"/>
        <v>-2.814484879869223</v>
      </c>
      <c r="AL123" s="39">
        <f t="shared" si="97"/>
        <v>-2.67013172432921</v>
      </c>
      <c r="AM123" s="39">
        <f t="shared" si="97"/>
        <v>1.4332125933685163</v>
      </c>
      <c r="AN123" s="39">
        <f t="shared" si="97"/>
        <v>1.3169678332327635</v>
      </c>
      <c r="AO123" s="39">
        <f t="shared" si="98"/>
        <v>-1.7433206283124534</v>
      </c>
      <c r="AP123" s="39">
        <f t="shared" si="98"/>
        <v>-1.6882691658582414</v>
      </c>
      <c r="AQ123" s="39">
        <f t="shared" si="98"/>
        <v>-0.88161582767378843</v>
      </c>
      <c r="AR123" s="39">
        <f t="shared" si="98"/>
        <v>2.1144674896180713</v>
      </c>
      <c r="AS123" s="39">
        <f t="shared" si="98"/>
        <v>-2.9921319735712859</v>
      </c>
      <c r="AT123" s="39">
        <f t="shared" si="98"/>
        <v>-2.8855283596230632</v>
      </c>
      <c r="AU123" s="39">
        <f t="shared" si="98"/>
        <v>2.8948014098043529</v>
      </c>
      <c r="AV123" s="39">
        <f t="shared" si="98"/>
        <v>2.2091459733256444</v>
      </c>
      <c r="AW123" s="39">
        <f t="shared" si="98"/>
        <v>-2.4804387208825731</v>
      </c>
      <c r="AX123" s="39">
        <f t="shared" si="98"/>
        <v>2.7783666570037635</v>
      </c>
      <c r="AY123" s="39">
        <f t="shared" si="99"/>
        <v>-2.5420191053987771</v>
      </c>
      <c r="AZ123" s="39">
        <f t="shared" si="99"/>
        <v>-2.6329020301569006</v>
      </c>
      <c r="BA123" s="39">
        <f t="shared" si="99"/>
        <v>0.4389772309684471</v>
      </c>
      <c r="BB123" s="39">
        <f t="shared" si="99"/>
        <v>-2.3202293590185872</v>
      </c>
      <c r="BC123" s="39">
        <f t="shared" si="99"/>
        <v>1.5862120170022338</v>
      </c>
      <c r="BD123" s="39">
        <f t="shared" si="99"/>
        <v>-1.5469809388731854</v>
      </c>
      <c r="BE123" s="39">
        <f t="shared" si="99"/>
        <v>-2.3478872465479421</v>
      </c>
      <c r="BF123" s="39">
        <f t="shared" si="99"/>
        <v>-1.3700540189668198</v>
      </c>
      <c r="BG123" s="39">
        <f t="shared" si="99"/>
        <v>-0.14889412655470574</v>
      </c>
      <c r="BH123" s="39">
        <f t="shared" si="99"/>
        <v>1.0987099138388619</v>
      </c>
      <c r="BI123" s="39">
        <f t="shared" si="99"/>
        <v>2.1511790068198415</v>
      </c>
      <c r="BJ123" s="39">
        <f t="shared" si="99"/>
        <v>2.8215907459087992</v>
      </c>
      <c r="BK123" s="39">
        <f t="shared" si="99"/>
        <v>2.9908775248091053</v>
      </c>
      <c r="BL123" s="39">
        <f t="shared" si="99"/>
        <v>2.628973384997928</v>
      </c>
      <c r="BM123" s="39">
        <f t="shared" si="99"/>
        <v>-2.8753044027308854</v>
      </c>
    </row>
    <row r="124" spans="1:65" x14ac:dyDescent="0.25">
      <c r="A124" s="7">
        <f t="shared" ref="A124:E124" si="103">A63</f>
        <v>0</v>
      </c>
      <c r="B124" s="7">
        <f t="shared" si="103"/>
        <v>-1</v>
      </c>
      <c r="C124" s="7">
        <f t="shared" si="103"/>
        <v>1</v>
      </c>
      <c r="D124" s="7">
        <f t="shared" si="103"/>
        <v>0</v>
      </c>
      <c r="E124" s="7">
        <f t="shared" si="103"/>
        <v>0</v>
      </c>
      <c r="F124" s="198">
        <v>0</v>
      </c>
      <c r="G124" s="7">
        <v>0</v>
      </c>
      <c r="H124" s="179"/>
      <c r="K124" s="39">
        <f t="shared" si="95"/>
        <v>0</v>
      </c>
      <c r="L124" s="39">
        <f t="shared" si="95"/>
        <v>0</v>
      </c>
      <c r="M124" s="39">
        <f t="shared" si="95"/>
        <v>0</v>
      </c>
      <c r="N124" s="39">
        <f t="shared" si="95"/>
        <v>0</v>
      </c>
      <c r="O124" s="39">
        <f t="shared" si="95"/>
        <v>0</v>
      </c>
      <c r="P124" s="39">
        <f t="shared" si="95"/>
        <v>0</v>
      </c>
      <c r="Q124" s="39">
        <f t="shared" si="95"/>
        <v>0</v>
      </c>
      <c r="R124" s="39">
        <f t="shared" si="95"/>
        <v>0</v>
      </c>
      <c r="S124" s="39">
        <f t="shared" si="95"/>
        <v>0</v>
      </c>
      <c r="T124" s="39">
        <f t="shared" si="95"/>
        <v>0</v>
      </c>
      <c r="U124" s="39">
        <f t="shared" si="96"/>
        <v>0</v>
      </c>
      <c r="V124" s="39">
        <f t="shared" si="96"/>
        <v>0</v>
      </c>
      <c r="W124" s="39">
        <f t="shared" si="96"/>
        <v>0</v>
      </c>
      <c r="X124" s="39">
        <f t="shared" si="96"/>
        <v>0</v>
      </c>
      <c r="Y124" s="39">
        <f t="shared" si="96"/>
        <v>0</v>
      </c>
      <c r="Z124" s="39">
        <f t="shared" si="96"/>
        <v>0</v>
      </c>
      <c r="AA124" s="39">
        <f t="shared" si="96"/>
        <v>0</v>
      </c>
      <c r="AB124" s="39">
        <f t="shared" si="96"/>
        <v>0</v>
      </c>
      <c r="AC124" s="39">
        <f t="shared" si="96"/>
        <v>0</v>
      </c>
      <c r="AD124" s="39">
        <f t="shared" si="96"/>
        <v>0</v>
      </c>
      <c r="AE124" s="39">
        <f t="shared" si="97"/>
        <v>0</v>
      </c>
      <c r="AF124" s="39">
        <f t="shared" si="97"/>
        <v>0</v>
      </c>
      <c r="AG124" s="39">
        <f t="shared" si="97"/>
        <v>0</v>
      </c>
      <c r="AH124" s="39">
        <f t="shared" si="97"/>
        <v>0</v>
      </c>
      <c r="AI124" s="39">
        <f t="shared" si="97"/>
        <v>0</v>
      </c>
      <c r="AJ124" s="39">
        <f t="shared" si="97"/>
        <v>0</v>
      </c>
      <c r="AK124" s="39">
        <f t="shared" si="97"/>
        <v>0</v>
      </c>
      <c r="AL124" s="39">
        <f t="shared" si="97"/>
        <v>0</v>
      </c>
      <c r="AM124" s="39">
        <f t="shared" si="97"/>
        <v>0</v>
      </c>
      <c r="AN124" s="39">
        <f t="shared" si="97"/>
        <v>0</v>
      </c>
      <c r="AO124" s="39">
        <f t="shared" si="98"/>
        <v>0</v>
      </c>
      <c r="AP124" s="39">
        <f t="shared" si="98"/>
        <v>0</v>
      </c>
      <c r="AQ124" s="39">
        <f t="shared" si="98"/>
        <v>0</v>
      </c>
      <c r="AR124" s="39">
        <f t="shared" si="98"/>
        <v>0</v>
      </c>
      <c r="AS124" s="39">
        <f t="shared" si="98"/>
        <v>0</v>
      </c>
      <c r="AT124" s="39">
        <f t="shared" si="98"/>
        <v>0</v>
      </c>
      <c r="AU124" s="39">
        <f t="shared" si="98"/>
        <v>0</v>
      </c>
      <c r="AV124" s="39">
        <f t="shared" si="98"/>
        <v>0</v>
      </c>
      <c r="AW124" s="39">
        <f t="shared" si="98"/>
        <v>0</v>
      </c>
      <c r="AX124" s="39">
        <f t="shared" si="98"/>
        <v>0</v>
      </c>
      <c r="AY124" s="39">
        <f t="shared" si="99"/>
        <v>0</v>
      </c>
      <c r="AZ124" s="39">
        <f t="shared" si="99"/>
        <v>0</v>
      </c>
      <c r="BA124" s="39">
        <f t="shared" si="99"/>
        <v>0</v>
      </c>
      <c r="BB124" s="39">
        <f t="shared" si="99"/>
        <v>0</v>
      </c>
      <c r="BC124" s="39">
        <f t="shared" si="99"/>
        <v>0</v>
      </c>
      <c r="BD124" s="39">
        <f t="shared" si="99"/>
        <v>0</v>
      </c>
      <c r="BE124" s="39">
        <f t="shared" si="99"/>
        <v>0</v>
      </c>
      <c r="BF124" s="39">
        <f t="shared" si="99"/>
        <v>0</v>
      </c>
      <c r="BG124" s="39">
        <f t="shared" si="99"/>
        <v>0</v>
      </c>
      <c r="BH124" s="39">
        <f t="shared" si="99"/>
        <v>0</v>
      </c>
      <c r="BI124" s="39">
        <f t="shared" si="99"/>
        <v>0</v>
      </c>
      <c r="BJ124" s="39">
        <f t="shared" si="99"/>
        <v>0</v>
      </c>
      <c r="BK124" s="39">
        <f t="shared" si="99"/>
        <v>0</v>
      </c>
      <c r="BL124" s="39">
        <f t="shared" si="99"/>
        <v>0</v>
      </c>
      <c r="BM124" s="39">
        <f t="shared" si="99"/>
        <v>0</v>
      </c>
    </row>
    <row r="125" spans="1:65" x14ac:dyDescent="0.25">
      <c r="A125" s="7">
        <f t="shared" ref="A125:E125" si="104">A64</f>
        <v>-2</v>
      </c>
      <c r="B125" s="7">
        <f t="shared" si="104"/>
        <v>-1</v>
      </c>
      <c r="C125" s="7">
        <f t="shared" si="104"/>
        <v>0</v>
      </c>
      <c r="D125" s="7">
        <f t="shared" si="104"/>
        <v>2</v>
      </c>
      <c r="E125" s="7">
        <f t="shared" si="104"/>
        <v>1</v>
      </c>
      <c r="F125" s="195">
        <v>3</v>
      </c>
      <c r="G125" s="7">
        <v>0</v>
      </c>
      <c r="H125" s="179"/>
      <c r="K125" s="39">
        <f t="shared" si="95"/>
        <v>-0.8581405556165369</v>
      </c>
      <c r="L125" s="39">
        <f t="shared" si="95"/>
        <v>-1.6892392676657133</v>
      </c>
      <c r="M125" s="39">
        <f t="shared" si="95"/>
        <v>0.60529036217884269</v>
      </c>
      <c r="N125" s="39">
        <f t="shared" si="95"/>
        <v>1.557036698731983</v>
      </c>
      <c r="O125" s="39">
        <f t="shared" si="95"/>
        <v>-2.5061636136559042</v>
      </c>
      <c r="P125" s="39">
        <f t="shared" si="95"/>
        <v>2.9973908719295905</v>
      </c>
      <c r="Q125" s="39">
        <f t="shared" si="95"/>
        <v>-1.8283461092690148</v>
      </c>
      <c r="R125" s="39">
        <f t="shared" si="95"/>
        <v>2.7709364779249013</v>
      </c>
      <c r="S125" s="39">
        <f t="shared" si="95"/>
        <v>1.6009504677519164</v>
      </c>
      <c r="T125" s="39">
        <f t="shared" si="95"/>
        <v>-0.80506977697561832</v>
      </c>
      <c r="U125" s="39">
        <f t="shared" si="96"/>
        <v>0.18524651293928543</v>
      </c>
      <c r="V125" s="39">
        <f t="shared" si="96"/>
        <v>2.9717208227273799</v>
      </c>
      <c r="W125" s="39">
        <f t="shared" si="96"/>
        <v>2.4565007292840009</v>
      </c>
      <c r="X125" s="39">
        <f t="shared" si="96"/>
        <v>2.4248809664578808</v>
      </c>
      <c r="Y125" s="39">
        <f t="shared" si="96"/>
        <v>-2.6574329278097704</v>
      </c>
      <c r="Z125" s="39">
        <f t="shared" si="96"/>
        <v>2.9271436276229754</v>
      </c>
      <c r="AA125" s="39">
        <f t="shared" si="96"/>
        <v>-2.954535073686829</v>
      </c>
      <c r="AB125" s="39">
        <f t="shared" si="96"/>
        <v>1.5298083163750593</v>
      </c>
      <c r="AC125" s="39">
        <f t="shared" si="96"/>
        <v>0.98487264080399506</v>
      </c>
      <c r="AD125" s="39">
        <f t="shared" si="96"/>
        <v>2.6275910253313861</v>
      </c>
      <c r="AE125" s="39">
        <f t="shared" si="97"/>
        <v>2.3003264226497944</v>
      </c>
      <c r="AF125" s="39">
        <f t="shared" si="97"/>
        <v>-2.5992391311898211</v>
      </c>
      <c r="AG125" s="39">
        <f t="shared" si="97"/>
        <v>0.63189766245717149</v>
      </c>
      <c r="AH125" s="39">
        <f t="shared" si="97"/>
        <v>-0.2337365854706111</v>
      </c>
      <c r="AI125" s="39">
        <f t="shared" si="97"/>
        <v>2.8458620200193145</v>
      </c>
      <c r="AJ125" s="39">
        <f t="shared" si="97"/>
        <v>2.356731629617391</v>
      </c>
      <c r="AK125" s="39">
        <f t="shared" si="97"/>
        <v>2.1866284998950558</v>
      </c>
      <c r="AL125" s="39">
        <f t="shared" si="97"/>
        <v>1.0551324049814952</v>
      </c>
      <c r="AM125" s="39">
        <f t="shared" si="97"/>
        <v>-2.299347421741043</v>
      </c>
      <c r="AN125" s="39">
        <f t="shared" si="97"/>
        <v>2.4599814629881949</v>
      </c>
      <c r="AO125" s="39">
        <f t="shared" si="98"/>
        <v>2.862289862902387</v>
      </c>
      <c r="AP125" s="39">
        <f t="shared" si="98"/>
        <v>1.138680729739167</v>
      </c>
      <c r="AQ125" s="39">
        <f t="shared" si="98"/>
        <v>-2.7130477477233876</v>
      </c>
      <c r="AR125" s="39">
        <f t="shared" si="98"/>
        <v>-2.7578836259230552</v>
      </c>
      <c r="AS125" s="39">
        <f t="shared" si="98"/>
        <v>-1.1001282120936846</v>
      </c>
      <c r="AT125" s="39">
        <f t="shared" si="98"/>
        <v>-2.9972595160794708</v>
      </c>
      <c r="AU125" s="39">
        <f t="shared" si="98"/>
        <v>-0.49386677977017274</v>
      </c>
      <c r="AV125" s="39">
        <f t="shared" si="98"/>
        <v>1.3927611361301047</v>
      </c>
      <c r="AW125" s="39">
        <f t="shared" si="98"/>
        <v>1.0424614257745954</v>
      </c>
      <c r="AX125" s="39">
        <f t="shared" si="98"/>
        <v>0.68322429141468677</v>
      </c>
      <c r="AY125" s="39">
        <f t="shared" si="99"/>
        <v>0.26439797185131031</v>
      </c>
      <c r="AZ125" s="39">
        <f t="shared" si="99"/>
        <v>-0.5295277002193447</v>
      </c>
      <c r="BA125" s="39">
        <f t="shared" si="99"/>
        <v>0.89879806502513038</v>
      </c>
      <c r="BB125" s="39">
        <f t="shared" si="99"/>
        <v>0.15242246583489949</v>
      </c>
      <c r="BC125" s="39">
        <f t="shared" si="99"/>
        <v>-0.3423306147496234</v>
      </c>
      <c r="BD125" s="39">
        <f t="shared" si="99"/>
        <v>0.83245882390547243</v>
      </c>
      <c r="BE125" s="39">
        <f t="shared" si="99"/>
        <v>-1.9810253230901904</v>
      </c>
      <c r="BF125" s="39">
        <f t="shared" si="99"/>
        <v>-2.0215377048019398</v>
      </c>
      <c r="BG125" s="39">
        <f t="shared" si="99"/>
        <v>-2.0613857905367592</v>
      </c>
      <c r="BH125" s="39">
        <f t="shared" si="99"/>
        <v>-2.1005564858520582</v>
      </c>
      <c r="BI125" s="39">
        <f t="shared" si="99"/>
        <v>-2.1390369188886864</v>
      </c>
      <c r="BJ125" s="39">
        <f t="shared" si="99"/>
        <v>-2.1768144446250903</v>
      </c>
      <c r="BK125" s="39">
        <f t="shared" si="99"/>
        <v>-2.2138766490160551</v>
      </c>
      <c r="BL125" s="39">
        <f t="shared" si="99"/>
        <v>-2.250211353078666</v>
      </c>
      <c r="BM125" s="39">
        <f t="shared" si="99"/>
        <v>2.192248390539592</v>
      </c>
    </row>
    <row r="126" spans="1:65" x14ac:dyDescent="0.25">
      <c r="A126" s="7">
        <f t="shared" ref="A126:E126" si="105">A65</f>
        <v>-2</v>
      </c>
      <c r="B126" s="7">
        <f t="shared" si="105"/>
        <v>0</v>
      </c>
      <c r="C126" s="7">
        <f t="shared" si="105"/>
        <v>0</v>
      </c>
      <c r="D126" s="7">
        <f t="shared" si="105"/>
        <v>0</v>
      </c>
      <c r="E126" s="7">
        <f t="shared" si="105"/>
        <v>1</v>
      </c>
      <c r="F126" s="195">
        <v>3</v>
      </c>
      <c r="G126" s="7">
        <v>0</v>
      </c>
      <c r="H126" s="179"/>
      <c r="K126" s="39">
        <f t="shared" si="95"/>
        <v>2.3291311411788898</v>
      </c>
      <c r="L126" s="39">
        <f t="shared" si="95"/>
        <v>0.14130622044198074</v>
      </c>
      <c r="M126" s="39">
        <f t="shared" si="95"/>
        <v>-1.0582789093064369</v>
      </c>
      <c r="N126" s="39">
        <f t="shared" si="95"/>
        <v>-2.9999915479773875</v>
      </c>
      <c r="O126" s="39">
        <f t="shared" si="95"/>
        <v>0.46705579759918325</v>
      </c>
      <c r="P126" s="39">
        <f t="shared" si="95"/>
        <v>-2.9871721155136486</v>
      </c>
      <c r="Q126" s="39">
        <f t="shared" si="95"/>
        <v>-2.860653895829425</v>
      </c>
      <c r="R126" s="39">
        <f t="shared" si="95"/>
        <v>-1.8597420017568824</v>
      </c>
      <c r="S126" s="39">
        <f t="shared" si="95"/>
        <v>-0.23582516996330882</v>
      </c>
      <c r="T126" s="39">
        <f t="shared" si="95"/>
        <v>1.580398828846227</v>
      </c>
      <c r="U126" s="39">
        <f t="shared" si="96"/>
        <v>2.7571168087350193</v>
      </c>
      <c r="V126" s="39">
        <f t="shared" si="96"/>
        <v>-0.15310961510073845</v>
      </c>
      <c r="W126" s="39">
        <f t="shared" si="96"/>
        <v>2.770614130656865</v>
      </c>
      <c r="X126" s="39">
        <f t="shared" si="96"/>
        <v>2.046549034912581</v>
      </c>
      <c r="Y126" s="39">
        <f t="shared" si="96"/>
        <v>2.5398210385354476</v>
      </c>
      <c r="Z126" s="39">
        <f t="shared" si="96"/>
        <v>0.5934516744145355</v>
      </c>
      <c r="AA126" s="39">
        <f t="shared" si="96"/>
        <v>-2.907747503225075</v>
      </c>
      <c r="AB126" s="39">
        <f t="shared" si="96"/>
        <v>-1.6311578516646543</v>
      </c>
      <c r="AC126" s="39">
        <f t="shared" si="96"/>
        <v>-0.38267183905390362</v>
      </c>
      <c r="AD126" s="39">
        <f t="shared" si="96"/>
        <v>2.0568569033921307</v>
      </c>
      <c r="AE126" s="39">
        <f t="shared" si="97"/>
        <v>1.0950094588820383</v>
      </c>
      <c r="AF126" s="39">
        <f t="shared" si="97"/>
        <v>2.7295386848870851</v>
      </c>
      <c r="AG126" s="39">
        <f t="shared" si="97"/>
        <v>-0.44026776639560267</v>
      </c>
      <c r="AH126" s="39">
        <f t="shared" si="97"/>
        <v>1.7882081874062141</v>
      </c>
      <c r="AI126" s="39">
        <f t="shared" si="97"/>
        <v>-2.681012066159187</v>
      </c>
      <c r="AJ126" s="39">
        <f t="shared" si="97"/>
        <v>-2.2604977765869365</v>
      </c>
      <c r="AK126" s="39">
        <f t="shared" si="97"/>
        <v>-2.4750158772277389</v>
      </c>
      <c r="AL126" s="39">
        <f t="shared" si="97"/>
        <v>2.961125448811325</v>
      </c>
      <c r="AM126" s="39">
        <f t="shared" si="97"/>
        <v>-1.8970403499665314</v>
      </c>
      <c r="AN126" s="39">
        <f t="shared" si="97"/>
        <v>1.3138012835409805</v>
      </c>
      <c r="AO126" s="39">
        <f t="shared" si="98"/>
        <v>2.1395556318230406</v>
      </c>
      <c r="AP126" s="39">
        <f t="shared" si="98"/>
        <v>2.7430562454844321</v>
      </c>
      <c r="AQ126" s="39">
        <f t="shared" si="98"/>
        <v>-2.863616424204507</v>
      </c>
      <c r="AR126" s="39">
        <f t="shared" si="98"/>
        <v>1.2370884301170535</v>
      </c>
      <c r="AS126" s="39">
        <f t="shared" si="98"/>
        <v>0.64039891406974614</v>
      </c>
      <c r="AT126" s="39">
        <f t="shared" si="98"/>
        <v>0.73319935909217193</v>
      </c>
      <c r="AU126" s="39">
        <f t="shared" si="98"/>
        <v>-2.8473382333131938</v>
      </c>
      <c r="AV126" s="39">
        <f t="shared" si="98"/>
        <v>2.001362150180376</v>
      </c>
      <c r="AW126" s="39">
        <f t="shared" si="98"/>
        <v>-1.6881490516032858</v>
      </c>
      <c r="AX126" s="39">
        <f t="shared" si="98"/>
        <v>1.1678277431161761</v>
      </c>
      <c r="AY126" s="39">
        <f t="shared" si="99"/>
        <v>-1.6623934992486236</v>
      </c>
      <c r="AZ126" s="39">
        <f t="shared" si="99"/>
        <v>-1.5794577557518594</v>
      </c>
      <c r="BA126" s="39">
        <f t="shared" si="99"/>
        <v>0.52560232165506826</v>
      </c>
      <c r="BB126" s="39">
        <f t="shared" si="99"/>
        <v>-2.8241621260888117</v>
      </c>
      <c r="BC126" s="39">
        <f t="shared" si="99"/>
        <v>1.5964391603445685</v>
      </c>
      <c r="BD126" s="39">
        <f t="shared" si="99"/>
        <v>-2.1780064466105027</v>
      </c>
      <c r="BE126" s="39">
        <f t="shared" si="99"/>
        <v>-2.1139727085715836</v>
      </c>
      <c r="BF126" s="39">
        <f t="shared" si="99"/>
        <v>-2.8051521137090241</v>
      </c>
      <c r="BG126" s="39">
        <f t="shared" si="99"/>
        <v>-2.9938451632238472</v>
      </c>
      <c r="BH126" s="39">
        <f t="shared" si="99"/>
        <v>-2.6462513076496443</v>
      </c>
      <c r="BI126" s="39">
        <f t="shared" si="99"/>
        <v>-1.8246349671124058</v>
      </c>
      <c r="BJ126" s="39">
        <f t="shared" si="99"/>
        <v>-0.67617211779601472</v>
      </c>
      <c r="BK126" s="39">
        <f t="shared" si="99"/>
        <v>0.59341331221147231</v>
      </c>
      <c r="BL126" s="39">
        <f t="shared" si="99"/>
        <v>1.756700730368018</v>
      </c>
      <c r="BM126" s="39">
        <f t="shared" si="99"/>
        <v>-2.3606622408041744</v>
      </c>
    </row>
    <row r="127" spans="1:65" x14ac:dyDescent="0.25">
      <c r="A127" s="7">
        <f t="shared" ref="A127:E127" si="106">A66</f>
        <v>0</v>
      </c>
      <c r="B127" s="7">
        <f t="shared" si="106"/>
        <v>0</v>
      </c>
      <c r="C127" s="7">
        <f t="shared" si="106"/>
        <v>2</v>
      </c>
      <c r="D127" s="7">
        <f t="shared" si="106"/>
        <v>2</v>
      </c>
      <c r="E127" s="7">
        <f t="shared" si="106"/>
        <v>1</v>
      </c>
      <c r="F127" s="195">
        <v>3</v>
      </c>
      <c r="G127" s="7">
        <v>0</v>
      </c>
      <c r="H127" s="179"/>
      <c r="K127" s="39">
        <f t="shared" si="95"/>
        <v>2.7409753057746524</v>
      </c>
      <c r="L127" s="39">
        <f t="shared" si="95"/>
        <v>1.0498287413257497</v>
      </c>
      <c r="M127" s="39">
        <f t="shared" si="95"/>
        <v>-2.24637095811643</v>
      </c>
      <c r="N127" s="39">
        <f t="shared" si="95"/>
        <v>-0.5056762316209148</v>
      </c>
      <c r="O127" s="39">
        <f t="shared" si="95"/>
        <v>-2.8452573870104154</v>
      </c>
      <c r="P127" s="39">
        <f t="shared" si="95"/>
        <v>-2.3113683376002143</v>
      </c>
      <c r="Q127" s="39">
        <f t="shared" si="95"/>
        <v>-0.67181109060852662</v>
      </c>
      <c r="R127" s="39">
        <f t="shared" si="95"/>
        <v>0.95057178445949686</v>
      </c>
      <c r="S127" s="39">
        <f t="shared" si="95"/>
        <v>-2.9999881237326669</v>
      </c>
      <c r="T127" s="39">
        <f t="shared" si="95"/>
        <v>0.39106073084833359</v>
      </c>
      <c r="U127" s="39">
        <f t="shared" si="96"/>
        <v>-2.9982652586121232</v>
      </c>
      <c r="V127" s="39">
        <f t="shared" si="96"/>
        <v>2.9031129097001824</v>
      </c>
      <c r="W127" s="39">
        <f t="shared" si="96"/>
        <v>0.81618234766882414</v>
      </c>
      <c r="X127" s="39">
        <f t="shared" si="96"/>
        <v>2.7878360461442058</v>
      </c>
      <c r="Y127" s="39">
        <f t="shared" si="96"/>
        <v>2.7283914459298106</v>
      </c>
      <c r="Z127" s="39">
        <f t="shared" si="96"/>
        <v>-2.7915374103859247</v>
      </c>
      <c r="AA127" s="39">
        <f t="shared" si="96"/>
        <v>2.9428314301836256</v>
      </c>
      <c r="AB127" s="39">
        <f t="shared" si="96"/>
        <v>-2.6020413922388119</v>
      </c>
      <c r="AC127" s="39">
        <f t="shared" si="96"/>
        <v>2.4076491906453654</v>
      </c>
      <c r="AD127" s="39">
        <f t="shared" si="96"/>
        <v>2.9908317591777722</v>
      </c>
      <c r="AE127" s="39">
        <f t="shared" si="97"/>
        <v>-0.47970056312500087</v>
      </c>
      <c r="AF127" s="39">
        <f t="shared" si="97"/>
        <v>1.3623245910409532</v>
      </c>
      <c r="AG127" s="39">
        <f t="shared" si="97"/>
        <v>-2.8944110820441908</v>
      </c>
      <c r="AH127" s="39">
        <f t="shared" si="97"/>
        <v>2.999382220883442</v>
      </c>
      <c r="AI127" s="39">
        <f t="shared" si="97"/>
        <v>0.28948210642281258</v>
      </c>
      <c r="AJ127" s="39">
        <f t="shared" si="97"/>
        <v>-0.26838397132214176</v>
      </c>
      <c r="AK127" s="39">
        <f t="shared" si="97"/>
        <v>-0.27453273485127655</v>
      </c>
      <c r="AL127" s="39">
        <f t="shared" si="97"/>
        <v>0.69957995017547114</v>
      </c>
      <c r="AM127" s="39">
        <f t="shared" si="97"/>
        <v>1.9703627964273247</v>
      </c>
      <c r="AN127" s="39">
        <f t="shared" si="97"/>
        <v>-2.9535247848327408</v>
      </c>
      <c r="AO127" s="39">
        <f t="shared" si="98"/>
        <v>-2.5041828117607472</v>
      </c>
      <c r="AP127" s="39">
        <f t="shared" si="98"/>
        <v>2.8498859391575881</v>
      </c>
      <c r="AQ127" s="39">
        <f t="shared" si="98"/>
        <v>1.2676970222889008</v>
      </c>
      <c r="AR127" s="39">
        <f t="shared" si="98"/>
        <v>1.459600274723478</v>
      </c>
      <c r="AS127" s="39">
        <f t="shared" si="98"/>
        <v>2.020108634779096</v>
      </c>
      <c r="AT127" s="39">
        <f t="shared" si="98"/>
        <v>-2.8420206612421768</v>
      </c>
      <c r="AU127" s="39">
        <f t="shared" si="98"/>
        <v>-2.4013411725251257</v>
      </c>
      <c r="AV127" s="39">
        <f t="shared" si="98"/>
        <v>-1.0192612777031331</v>
      </c>
      <c r="AW127" s="39">
        <f t="shared" si="98"/>
        <v>-1.5239978026021972</v>
      </c>
      <c r="AX127" s="39">
        <f t="shared" si="98"/>
        <v>-1.6415127758431125</v>
      </c>
      <c r="AY127" s="39">
        <f t="shared" si="99"/>
        <v>-2.9793908528100381</v>
      </c>
      <c r="AZ127" s="39">
        <f t="shared" si="99"/>
        <v>-2.1848603455579543</v>
      </c>
      <c r="BA127" s="39">
        <f t="shared" si="99"/>
        <v>-2.9197335995697342</v>
      </c>
      <c r="BB127" s="39">
        <f t="shared" si="99"/>
        <v>0.78645355147257434</v>
      </c>
      <c r="BC127" s="39">
        <f t="shared" si="99"/>
        <v>-2.9035685161310987</v>
      </c>
      <c r="BD127" s="39">
        <f t="shared" si="99"/>
        <v>1.7328966130572767</v>
      </c>
      <c r="BE127" s="39">
        <f t="shared" si="99"/>
        <v>2.9997942891574869</v>
      </c>
      <c r="BF127" s="39">
        <f t="shared" si="99"/>
        <v>1.8525595005240636</v>
      </c>
      <c r="BG127" s="39">
        <f t="shared" si="99"/>
        <v>-0.74609440233162161</v>
      </c>
      <c r="BH127" s="39">
        <f t="shared" si="99"/>
        <v>-2.7602080103940558</v>
      </c>
      <c r="BI127" s="39">
        <f t="shared" si="99"/>
        <v>-2.6117899079313478</v>
      </c>
      <c r="BJ127" s="39">
        <f t="shared" si="99"/>
        <v>-0.41712077081682364</v>
      </c>
      <c r="BK127" s="39">
        <f t="shared" si="99"/>
        <v>2.1043486982390509</v>
      </c>
      <c r="BL127" s="39">
        <f t="shared" si="99"/>
        <v>2.9771305420066692</v>
      </c>
      <c r="BM127" s="39">
        <f t="shared" si="99"/>
        <v>-0.68462948888675523</v>
      </c>
    </row>
    <row r="128" spans="1:65" x14ac:dyDescent="0.25">
      <c r="A128" s="7">
        <f t="shared" ref="A128:E128" si="107">A67</f>
        <v>-2</v>
      </c>
      <c r="B128" s="7">
        <f t="shared" si="107"/>
        <v>0</v>
      </c>
      <c r="C128" s="7">
        <f t="shared" si="107"/>
        <v>2</v>
      </c>
      <c r="D128" s="7">
        <f t="shared" si="107"/>
        <v>0</v>
      </c>
      <c r="E128" s="7">
        <f t="shared" si="107"/>
        <v>1</v>
      </c>
      <c r="F128" s="195"/>
      <c r="G128" s="7">
        <v>0</v>
      </c>
      <c r="H128" s="179"/>
      <c r="K128" s="39">
        <f t="shared" si="95"/>
        <v>0</v>
      </c>
      <c r="L128" s="39">
        <f t="shared" si="95"/>
        <v>0</v>
      </c>
      <c r="M128" s="39">
        <f t="shared" si="95"/>
        <v>0</v>
      </c>
      <c r="N128" s="39">
        <f t="shared" si="95"/>
        <v>0</v>
      </c>
      <c r="O128" s="39">
        <f t="shared" si="95"/>
        <v>0</v>
      </c>
      <c r="P128" s="39">
        <f t="shared" si="95"/>
        <v>0</v>
      </c>
      <c r="Q128" s="39">
        <f t="shared" si="95"/>
        <v>0</v>
      </c>
      <c r="R128" s="39">
        <f t="shared" si="95"/>
        <v>0</v>
      </c>
      <c r="S128" s="39">
        <f t="shared" si="95"/>
        <v>0</v>
      </c>
      <c r="T128" s="39">
        <f t="shared" si="95"/>
        <v>0</v>
      </c>
      <c r="U128" s="39">
        <f t="shared" si="96"/>
        <v>0</v>
      </c>
      <c r="V128" s="39">
        <f t="shared" si="96"/>
        <v>0</v>
      </c>
      <c r="W128" s="39">
        <f t="shared" si="96"/>
        <v>0</v>
      </c>
      <c r="X128" s="39">
        <f t="shared" si="96"/>
        <v>0</v>
      </c>
      <c r="Y128" s="39">
        <f t="shared" si="96"/>
        <v>0</v>
      </c>
      <c r="Z128" s="39">
        <f t="shared" si="96"/>
        <v>0</v>
      </c>
      <c r="AA128" s="39">
        <f t="shared" si="96"/>
        <v>0</v>
      </c>
      <c r="AB128" s="39">
        <f t="shared" si="96"/>
        <v>0</v>
      </c>
      <c r="AC128" s="39">
        <f t="shared" si="96"/>
        <v>0</v>
      </c>
      <c r="AD128" s="39">
        <f t="shared" si="96"/>
        <v>0</v>
      </c>
      <c r="AE128" s="39">
        <f t="shared" si="97"/>
        <v>0</v>
      </c>
      <c r="AF128" s="39">
        <f t="shared" si="97"/>
        <v>0</v>
      </c>
      <c r="AG128" s="39">
        <f t="shared" si="97"/>
        <v>0</v>
      </c>
      <c r="AH128" s="39">
        <f t="shared" si="97"/>
        <v>0</v>
      </c>
      <c r="AI128" s="39">
        <f t="shared" si="97"/>
        <v>0</v>
      </c>
      <c r="AJ128" s="39">
        <f t="shared" si="97"/>
        <v>0</v>
      </c>
      <c r="AK128" s="39">
        <f t="shared" si="97"/>
        <v>0</v>
      </c>
      <c r="AL128" s="39">
        <f t="shared" si="97"/>
        <v>0</v>
      </c>
      <c r="AM128" s="39">
        <f t="shared" si="97"/>
        <v>0</v>
      </c>
      <c r="AN128" s="39">
        <f t="shared" si="97"/>
        <v>0</v>
      </c>
      <c r="AO128" s="39">
        <f t="shared" si="98"/>
        <v>0</v>
      </c>
      <c r="AP128" s="39">
        <f t="shared" si="98"/>
        <v>0</v>
      </c>
      <c r="AQ128" s="39">
        <f t="shared" si="98"/>
        <v>0</v>
      </c>
      <c r="AR128" s="39">
        <f t="shared" si="98"/>
        <v>0</v>
      </c>
      <c r="AS128" s="39">
        <f t="shared" si="98"/>
        <v>0</v>
      </c>
      <c r="AT128" s="39">
        <f t="shared" si="98"/>
        <v>0</v>
      </c>
      <c r="AU128" s="39">
        <f t="shared" si="98"/>
        <v>0</v>
      </c>
      <c r="AV128" s="39">
        <f t="shared" si="98"/>
        <v>0</v>
      </c>
      <c r="AW128" s="39">
        <f t="shared" si="98"/>
        <v>0</v>
      </c>
      <c r="AX128" s="39">
        <f t="shared" si="98"/>
        <v>0</v>
      </c>
      <c r="AY128" s="39">
        <f t="shared" si="99"/>
        <v>0</v>
      </c>
      <c r="AZ128" s="39">
        <f t="shared" si="99"/>
        <v>0</v>
      </c>
      <c r="BA128" s="39">
        <f t="shared" si="99"/>
        <v>0</v>
      </c>
      <c r="BB128" s="39">
        <f t="shared" si="99"/>
        <v>0</v>
      </c>
      <c r="BC128" s="39">
        <f t="shared" si="99"/>
        <v>0</v>
      </c>
      <c r="BD128" s="39">
        <f t="shared" si="99"/>
        <v>0</v>
      </c>
      <c r="BE128" s="39">
        <f t="shared" si="99"/>
        <v>0</v>
      </c>
      <c r="BF128" s="39">
        <f t="shared" si="99"/>
        <v>0</v>
      </c>
      <c r="BG128" s="39">
        <f t="shared" si="99"/>
        <v>0</v>
      </c>
      <c r="BH128" s="39">
        <f t="shared" si="99"/>
        <v>0</v>
      </c>
      <c r="BI128" s="39">
        <f t="shared" si="99"/>
        <v>0</v>
      </c>
      <c r="BJ128" s="39">
        <f t="shared" si="99"/>
        <v>0</v>
      </c>
      <c r="BK128" s="39">
        <f t="shared" si="99"/>
        <v>0</v>
      </c>
      <c r="BL128" s="39">
        <f t="shared" si="99"/>
        <v>0</v>
      </c>
      <c r="BM128" s="39">
        <f t="shared" si="99"/>
        <v>0</v>
      </c>
    </row>
    <row r="129" spans="1:65" x14ac:dyDescent="0.25">
      <c r="A129" s="7">
        <f t="shared" ref="A129:E129" si="108">A68</f>
        <v>-2</v>
      </c>
      <c r="B129" s="7">
        <f t="shared" si="108"/>
        <v>1</v>
      </c>
      <c r="C129" s="7">
        <f t="shared" si="108"/>
        <v>0</v>
      </c>
      <c r="D129" s="7">
        <f t="shared" si="108"/>
        <v>2</v>
      </c>
      <c r="E129" s="7">
        <f t="shared" si="108"/>
        <v>1</v>
      </c>
      <c r="F129" s="195"/>
      <c r="G129" s="7">
        <v>0</v>
      </c>
      <c r="H129" s="179"/>
      <c r="K129" s="39">
        <f t="shared" si="95"/>
        <v>0</v>
      </c>
      <c r="L129" s="39">
        <f t="shared" si="95"/>
        <v>0</v>
      </c>
      <c r="M129" s="39">
        <f t="shared" si="95"/>
        <v>0</v>
      </c>
      <c r="N129" s="39">
        <f t="shared" si="95"/>
        <v>0</v>
      </c>
      <c r="O129" s="39">
        <f t="shared" si="95"/>
        <v>0</v>
      </c>
      <c r="P129" s="39">
        <f t="shared" si="95"/>
        <v>0</v>
      </c>
      <c r="Q129" s="39">
        <f t="shared" si="95"/>
        <v>0</v>
      </c>
      <c r="R129" s="39">
        <f t="shared" si="95"/>
        <v>0</v>
      </c>
      <c r="S129" s="39">
        <f t="shared" si="95"/>
        <v>0</v>
      </c>
      <c r="T129" s="39">
        <f t="shared" si="95"/>
        <v>0</v>
      </c>
      <c r="U129" s="39">
        <f t="shared" si="96"/>
        <v>0</v>
      </c>
      <c r="V129" s="39">
        <f t="shared" si="96"/>
        <v>0</v>
      </c>
      <c r="W129" s="39">
        <f t="shared" si="96"/>
        <v>0</v>
      </c>
      <c r="X129" s="39">
        <f t="shared" si="96"/>
        <v>0</v>
      </c>
      <c r="Y129" s="39">
        <f t="shared" si="96"/>
        <v>0</v>
      </c>
      <c r="Z129" s="39">
        <f t="shared" si="96"/>
        <v>0</v>
      </c>
      <c r="AA129" s="39">
        <f t="shared" si="96"/>
        <v>0</v>
      </c>
      <c r="AB129" s="39">
        <f t="shared" si="96"/>
        <v>0</v>
      </c>
      <c r="AC129" s="39">
        <f t="shared" si="96"/>
        <v>0</v>
      </c>
      <c r="AD129" s="39">
        <f t="shared" si="96"/>
        <v>0</v>
      </c>
      <c r="AE129" s="39">
        <f t="shared" si="97"/>
        <v>0</v>
      </c>
      <c r="AF129" s="39">
        <f t="shared" si="97"/>
        <v>0</v>
      </c>
      <c r="AG129" s="39">
        <f t="shared" si="97"/>
        <v>0</v>
      </c>
      <c r="AH129" s="39">
        <f t="shared" si="97"/>
        <v>0</v>
      </c>
      <c r="AI129" s="39">
        <f t="shared" si="97"/>
        <v>0</v>
      </c>
      <c r="AJ129" s="39">
        <f t="shared" si="97"/>
        <v>0</v>
      </c>
      <c r="AK129" s="39">
        <f t="shared" si="97"/>
        <v>0</v>
      </c>
      <c r="AL129" s="39">
        <f t="shared" si="97"/>
        <v>0</v>
      </c>
      <c r="AM129" s="39">
        <f t="shared" si="97"/>
        <v>0</v>
      </c>
      <c r="AN129" s="39">
        <f t="shared" si="97"/>
        <v>0</v>
      </c>
      <c r="AO129" s="39">
        <f t="shared" si="98"/>
        <v>0</v>
      </c>
      <c r="AP129" s="39">
        <f t="shared" si="98"/>
        <v>0</v>
      </c>
      <c r="AQ129" s="39">
        <f t="shared" si="98"/>
        <v>0</v>
      </c>
      <c r="AR129" s="39">
        <f t="shared" si="98"/>
        <v>0</v>
      </c>
      <c r="AS129" s="39">
        <f t="shared" si="98"/>
        <v>0</v>
      </c>
      <c r="AT129" s="39">
        <f t="shared" si="98"/>
        <v>0</v>
      </c>
      <c r="AU129" s="39">
        <f t="shared" si="98"/>
        <v>0</v>
      </c>
      <c r="AV129" s="39">
        <f t="shared" si="98"/>
        <v>0</v>
      </c>
      <c r="AW129" s="39">
        <f t="shared" si="98"/>
        <v>0</v>
      </c>
      <c r="AX129" s="39">
        <f t="shared" si="98"/>
        <v>0</v>
      </c>
      <c r="AY129" s="39">
        <f t="shared" si="99"/>
        <v>0</v>
      </c>
      <c r="AZ129" s="39">
        <f t="shared" si="99"/>
        <v>0</v>
      </c>
      <c r="BA129" s="39">
        <f t="shared" si="99"/>
        <v>0</v>
      </c>
      <c r="BB129" s="39">
        <f t="shared" si="99"/>
        <v>0</v>
      </c>
      <c r="BC129" s="39">
        <f t="shared" si="99"/>
        <v>0</v>
      </c>
      <c r="BD129" s="39">
        <f t="shared" si="99"/>
        <v>0</v>
      </c>
      <c r="BE129" s="39">
        <f t="shared" si="99"/>
        <v>0</v>
      </c>
      <c r="BF129" s="39">
        <f t="shared" si="99"/>
        <v>0</v>
      </c>
      <c r="BG129" s="39">
        <f t="shared" si="99"/>
        <v>0</v>
      </c>
      <c r="BH129" s="39">
        <f t="shared" si="99"/>
        <v>0</v>
      </c>
      <c r="BI129" s="39">
        <f t="shared" si="99"/>
        <v>0</v>
      </c>
      <c r="BJ129" s="39">
        <f t="shared" si="99"/>
        <v>0</v>
      </c>
      <c r="BK129" s="39">
        <f t="shared" si="99"/>
        <v>0</v>
      </c>
      <c r="BL129" s="39">
        <f t="shared" si="99"/>
        <v>0</v>
      </c>
      <c r="BM129" s="39">
        <f t="shared" si="99"/>
        <v>0</v>
      </c>
    </row>
    <row r="130" spans="1:65" x14ac:dyDescent="0.25">
      <c r="A130" s="7">
        <f t="shared" ref="A130:E130" si="109">A69</f>
        <v>0</v>
      </c>
      <c r="B130" s="7">
        <f t="shared" si="109"/>
        <v>0</v>
      </c>
      <c r="C130" s="7">
        <f t="shared" si="109"/>
        <v>1</v>
      </c>
      <c r="D130" s="7">
        <f t="shared" si="109"/>
        <v>-2</v>
      </c>
      <c r="E130" s="7">
        <f t="shared" si="109"/>
        <v>0</v>
      </c>
      <c r="F130" s="195"/>
      <c r="G130" s="7">
        <v>0</v>
      </c>
      <c r="H130" s="179"/>
      <c r="K130" s="39">
        <f t="shared" ref="K130:T138" si="110">($F130+$G130*K$4)*COS(($A130*K$5+$B130*K$6+$C130*K$7+$D130*K$8+$E130*K$9)*Deg2Rad)</f>
        <v>0</v>
      </c>
      <c r="L130" s="39">
        <f t="shared" si="110"/>
        <v>0</v>
      </c>
      <c r="M130" s="39">
        <f t="shared" si="110"/>
        <v>0</v>
      </c>
      <c r="N130" s="39">
        <f t="shared" si="110"/>
        <v>0</v>
      </c>
      <c r="O130" s="39">
        <f t="shared" si="110"/>
        <v>0</v>
      </c>
      <c r="P130" s="39">
        <f t="shared" si="110"/>
        <v>0</v>
      </c>
      <c r="Q130" s="39">
        <f t="shared" si="110"/>
        <v>0</v>
      </c>
      <c r="R130" s="39">
        <f t="shared" si="110"/>
        <v>0</v>
      </c>
      <c r="S130" s="39">
        <f t="shared" si="110"/>
        <v>0</v>
      </c>
      <c r="T130" s="39">
        <f t="shared" si="110"/>
        <v>0</v>
      </c>
      <c r="U130" s="39">
        <f t="shared" ref="U130:AD138" si="111">($F130+$G130*U$4)*COS(($A130*U$5+$B130*U$6+$C130*U$7+$D130*U$8+$E130*U$9)*Deg2Rad)</f>
        <v>0</v>
      </c>
      <c r="V130" s="39">
        <f t="shared" si="111"/>
        <v>0</v>
      </c>
      <c r="W130" s="39">
        <f t="shared" si="111"/>
        <v>0</v>
      </c>
      <c r="X130" s="39">
        <f t="shared" si="111"/>
        <v>0</v>
      </c>
      <c r="Y130" s="39">
        <f t="shared" si="111"/>
        <v>0</v>
      </c>
      <c r="Z130" s="39">
        <f t="shared" si="111"/>
        <v>0</v>
      </c>
      <c r="AA130" s="39">
        <f t="shared" si="111"/>
        <v>0</v>
      </c>
      <c r="AB130" s="39">
        <f t="shared" si="111"/>
        <v>0</v>
      </c>
      <c r="AC130" s="39">
        <f t="shared" si="111"/>
        <v>0</v>
      </c>
      <c r="AD130" s="39">
        <f t="shared" si="111"/>
        <v>0</v>
      </c>
      <c r="AE130" s="39">
        <f t="shared" ref="AE130:AN138" si="112">($F130+$G130*AE$4)*COS(($A130*AE$5+$B130*AE$6+$C130*AE$7+$D130*AE$8+$E130*AE$9)*Deg2Rad)</f>
        <v>0</v>
      </c>
      <c r="AF130" s="39">
        <f t="shared" si="112"/>
        <v>0</v>
      </c>
      <c r="AG130" s="39">
        <f t="shared" si="112"/>
        <v>0</v>
      </c>
      <c r="AH130" s="39">
        <f t="shared" si="112"/>
        <v>0</v>
      </c>
      <c r="AI130" s="39">
        <f t="shared" si="112"/>
        <v>0</v>
      </c>
      <c r="AJ130" s="39">
        <f t="shared" si="112"/>
        <v>0</v>
      </c>
      <c r="AK130" s="39">
        <f t="shared" si="112"/>
        <v>0</v>
      </c>
      <c r="AL130" s="39">
        <f t="shared" si="112"/>
        <v>0</v>
      </c>
      <c r="AM130" s="39">
        <f t="shared" si="112"/>
        <v>0</v>
      </c>
      <c r="AN130" s="39">
        <f t="shared" si="112"/>
        <v>0</v>
      </c>
      <c r="AO130" s="39">
        <f t="shared" ref="AO130:AX138" si="113">($F130+$G130*AO$4)*COS(($A130*AO$5+$B130*AO$6+$C130*AO$7+$D130*AO$8+$E130*AO$9)*Deg2Rad)</f>
        <v>0</v>
      </c>
      <c r="AP130" s="39">
        <f t="shared" si="113"/>
        <v>0</v>
      </c>
      <c r="AQ130" s="39">
        <f t="shared" si="113"/>
        <v>0</v>
      </c>
      <c r="AR130" s="39">
        <f t="shared" si="113"/>
        <v>0</v>
      </c>
      <c r="AS130" s="39">
        <f t="shared" si="113"/>
        <v>0</v>
      </c>
      <c r="AT130" s="39">
        <f t="shared" si="113"/>
        <v>0</v>
      </c>
      <c r="AU130" s="39">
        <f t="shared" si="113"/>
        <v>0</v>
      </c>
      <c r="AV130" s="39">
        <f t="shared" si="113"/>
        <v>0</v>
      </c>
      <c r="AW130" s="39">
        <f t="shared" si="113"/>
        <v>0</v>
      </c>
      <c r="AX130" s="39">
        <f t="shared" si="113"/>
        <v>0</v>
      </c>
      <c r="AY130" s="39">
        <f t="shared" ref="AY130:BM138" si="114">($F130+$G130*AY$4)*COS(($A130*AY$5+$B130*AY$6+$C130*AY$7+$D130*AY$8+$E130*AY$9)*Deg2Rad)</f>
        <v>0</v>
      </c>
      <c r="AZ130" s="39">
        <f t="shared" si="114"/>
        <v>0</v>
      </c>
      <c r="BA130" s="39">
        <f t="shared" si="114"/>
        <v>0</v>
      </c>
      <c r="BB130" s="39">
        <f t="shared" si="114"/>
        <v>0</v>
      </c>
      <c r="BC130" s="39">
        <f t="shared" si="114"/>
        <v>0</v>
      </c>
      <c r="BD130" s="39">
        <f t="shared" si="114"/>
        <v>0</v>
      </c>
      <c r="BE130" s="39">
        <f t="shared" si="114"/>
        <v>0</v>
      </c>
      <c r="BF130" s="39">
        <f t="shared" si="114"/>
        <v>0</v>
      </c>
      <c r="BG130" s="39">
        <f t="shared" si="114"/>
        <v>0</v>
      </c>
      <c r="BH130" s="39">
        <f t="shared" si="114"/>
        <v>0</v>
      </c>
      <c r="BI130" s="39">
        <f t="shared" si="114"/>
        <v>0</v>
      </c>
      <c r="BJ130" s="39">
        <f t="shared" si="114"/>
        <v>0</v>
      </c>
      <c r="BK130" s="39">
        <f t="shared" si="114"/>
        <v>0</v>
      </c>
      <c r="BL130" s="39">
        <f t="shared" si="114"/>
        <v>0</v>
      </c>
      <c r="BM130" s="39">
        <f t="shared" si="114"/>
        <v>0</v>
      </c>
    </row>
    <row r="131" spans="1:65" x14ac:dyDescent="0.25">
      <c r="A131" s="7">
        <f t="shared" ref="A131:E131" si="115">A70</f>
        <v>0</v>
      </c>
      <c r="B131" s="7">
        <f t="shared" si="115"/>
        <v>0</v>
      </c>
      <c r="C131" s="7">
        <f t="shared" si="115"/>
        <v>1</v>
      </c>
      <c r="D131" s="7">
        <f t="shared" si="115"/>
        <v>2</v>
      </c>
      <c r="E131" s="7">
        <f t="shared" si="115"/>
        <v>0</v>
      </c>
      <c r="F131" s="195"/>
      <c r="G131" s="7">
        <v>0</v>
      </c>
      <c r="H131" s="179"/>
      <c r="K131" s="39">
        <f t="shared" si="110"/>
        <v>0</v>
      </c>
      <c r="L131" s="39">
        <f t="shared" si="110"/>
        <v>0</v>
      </c>
      <c r="M131" s="39">
        <f t="shared" si="110"/>
        <v>0</v>
      </c>
      <c r="N131" s="39">
        <f t="shared" si="110"/>
        <v>0</v>
      </c>
      <c r="O131" s="39">
        <f t="shared" si="110"/>
        <v>0</v>
      </c>
      <c r="P131" s="39">
        <f t="shared" si="110"/>
        <v>0</v>
      </c>
      <c r="Q131" s="39">
        <f t="shared" si="110"/>
        <v>0</v>
      </c>
      <c r="R131" s="39">
        <f t="shared" si="110"/>
        <v>0</v>
      </c>
      <c r="S131" s="39">
        <f t="shared" si="110"/>
        <v>0</v>
      </c>
      <c r="T131" s="39">
        <f t="shared" si="110"/>
        <v>0</v>
      </c>
      <c r="U131" s="39">
        <f t="shared" si="111"/>
        <v>0</v>
      </c>
      <c r="V131" s="39">
        <f t="shared" si="111"/>
        <v>0</v>
      </c>
      <c r="W131" s="39">
        <f t="shared" si="111"/>
        <v>0</v>
      </c>
      <c r="X131" s="39">
        <f t="shared" si="111"/>
        <v>0</v>
      </c>
      <c r="Y131" s="39">
        <f t="shared" si="111"/>
        <v>0</v>
      </c>
      <c r="Z131" s="39">
        <f t="shared" si="111"/>
        <v>0</v>
      </c>
      <c r="AA131" s="39">
        <f t="shared" si="111"/>
        <v>0</v>
      </c>
      <c r="AB131" s="39">
        <f t="shared" si="111"/>
        <v>0</v>
      </c>
      <c r="AC131" s="39">
        <f t="shared" si="111"/>
        <v>0</v>
      </c>
      <c r="AD131" s="39">
        <f t="shared" si="111"/>
        <v>0</v>
      </c>
      <c r="AE131" s="39">
        <f t="shared" si="112"/>
        <v>0</v>
      </c>
      <c r="AF131" s="39">
        <f t="shared" si="112"/>
        <v>0</v>
      </c>
      <c r="AG131" s="39">
        <f t="shared" si="112"/>
        <v>0</v>
      </c>
      <c r="AH131" s="39">
        <f t="shared" si="112"/>
        <v>0</v>
      </c>
      <c r="AI131" s="39">
        <f t="shared" si="112"/>
        <v>0</v>
      </c>
      <c r="AJ131" s="39">
        <f t="shared" si="112"/>
        <v>0</v>
      </c>
      <c r="AK131" s="39">
        <f t="shared" si="112"/>
        <v>0</v>
      </c>
      <c r="AL131" s="39">
        <f t="shared" si="112"/>
        <v>0</v>
      </c>
      <c r="AM131" s="39">
        <f t="shared" si="112"/>
        <v>0</v>
      </c>
      <c r="AN131" s="39">
        <f t="shared" si="112"/>
        <v>0</v>
      </c>
      <c r="AO131" s="39">
        <f t="shared" si="113"/>
        <v>0</v>
      </c>
      <c r="AP131" s="39">
        <f t="shared" si="113"/>
        <v>0</v>
      </c>
      <c r="AQ131" s="39">
        <f t="shared" si="113"/>
        <v>0</v>
      </c>
      <c r="AR131" s="39">
        <f t="shared" si="113"/>
        <v>0</v>
      </c>
      <c r="AS131" s="39">
        <f t="shared" si="113"/>
        <v>0</v>
      </c>
      <c r="AT131" s="39">
        <f t="shared" si="113"/>
        <v>0</v>
      </c>
      <c r="AU131" s="39">
        <f t="shared" si="113"/>
        <v>0</v>
      </c>
      <c r="AV131" s="39">
        <f t="shared" si="113"/>
        <v>0</v>
      </c>
      <c r="AW131" s="39">
        <f t="shared" si="113"/>
        <v>0</v>
      </c>
      <c r="AX131" s="39">
        <f t="shared" si="113"/>
        <v>0</v>
      </c>
      <c r="AY131" s="39">
        <f t="shared" si="114"/>
        <v>0</v>
      </c>
      <c r="AZ131" s="39">
        <f t="shared" si="114"/>
        <v>0</v>
      </c>
      <c r="BA131" s="39">
        <f t="shared" si="114"/>
        <v>0</v>
      </c>
      <c r="BB131" s="39">
        <f t="shared" si="114"/>
        <v>0</v>
      </c>
      <c r="BC131" s="39">
        <f t="shared" si="114"/>
        <v>0</v>
      </c>
      <c r="BD131" s="39">
        <f t="shared" si="114"/>
        <v>0</v>
      </c>
      <c r="BE131" s="39">
        <f t="shared" si="114"/>
        <v>0</v>
      </c>
      <c r="BF131" s="39">
        <f t="shared" si="114"/>
        <v>0</v>
      </c>
      <c r="BG131" s="39">
        <f t="shared" si="114"/>
        <v>0</v>
      </c>
      <c r="BH131" s="39">
        <f t="shared" si="114"/>
        <v>0</v>
      </c>
      <c r="BI131" s="39">
        <f t="shared" si="114"/>
        <v>0</v>
      </c>
      <c r="BJ131" s="39">
        <f t="shared" si="114"/>
        <v>0</v>
      </c>
      <c r="BK131" s="39">
        <f t="shared" si="114"/>
        <v>0</v>
      </c>
      <c r="BL131" s="39">
        <f t="shared" si="114"/>
        <v>0</v>
      </c>
      <c r="BM131" s="39">
        <f t="shared" si="114"/>
        <v>0</v>
      </c>
    </row>
    <row r="132" spans="1:65" x14ac:dyDescent="0.25">
      <c r="A132" s="7">
        <f t="shared" ref="A132:E132" si="116">A71</f>
        <v>0</v>
      </c>
      <c r="B132" s="7">
        <f t="shared" si="116"/>
        <v>0</v>
      </c>
      <c r="C132" s="7">
        <f t="shared" si="116"/>
        <v>-2</v>
      </c>
      <c r="D132" s="7">
        <f t="shared" si="116"/>
        <v>2</v>
      </c>
      <c r="E132" s="7">
        <f t="shared" si="116"/>
        <v>2</v>
      </c>
      <c r="F132" s="195"/>
      <c r="G132" s="7">
        <v>0</v>
      </c>
      <c r="H132" s="179"/>
      <c r="K132" s="39">
        <f t="shared" si="110"/>
        <v>0</v>
      </c>
      <c r="L132" s="39">
        <f t="shared" si="110"/>
        <v>0</v>
      </c>
      <c r="M132" s="39">
        <f t="shared" si="110"/>
        <v>0</v>
      </c>
      <c r="N132" s="39">
        <f t="shared" si="110"/>
        <v>0</v>
      </c>
      <c r="O132" s="39">
        <f t="shared" si="110"/>
        <v>0</v>
      </c>
      <c r="P132" s="39">
        <f t="shared" si="110"/>
        <v>0</v>
      </c>
      <c r="Q132" s="39">
        <f t="shared" si="110"/>
        <v>0</v>
      </c>
      <c r="R132" s="39">
        <f t="shared" si="110"/>
        <v>0</v>
      </c>
      <c r="S132" s="39">
        <f t="shared" si="110"/>
        <v>0</v>
      </c>
      <c r="T132" s="39">
        <f t="shared" si="110"/>
        <v>0</v>
      </c>
      <c r="U132" s="39">
        <f t="shared" si="111"/>
        <v>0</v>
      </c>
      <c r="V132" s="39">
        <f t="shared" si="111"/>
        <v>0</v>
      </c>
      <c r="W132" s="39">
        <f t="shared" si="111"/>
        <v>0</v>
      </c>
      <c r="X132" s="39">
        <f t="shared" si="111"/>
        <v>0</v>
      </c>
      <c r="Y132" s="39">
        <f t="shared" si="111"/>
        <v>0</v>
      </c>
      <c r="Z132" s="39">
        <f t="shared" si="111"/>
        <v>0</v>
      </c>
      <c r="AA132" s="39">
        <f t="shared" si="111"/>
        <v>0</v>
      </c>
      <c r="AB132" s="39">
        <f t="shared" si="111"/>
        <v>0</v>
      </c>
      <c r="AC132" s="39">
        <f t="shared" si="111"/>
        <v>0</v>
      </c>
      <c r="AD132" s="39">
        <f t="shared" si="111"/>
        <v>0</v>
      </c>
      <c r="AE132" s="39">
        <f t="shared" si="112"/>
        <v>0</v>
      </c>
      <c r="AF132" s="39">
        <f t="shared" si="112"/>
        <v>0</v>
      </c>
      <c r="AG132" s="39">
        <f t="shared" si="112"/>
        <v>0</v>
      </c>
      <c r="AH132" s="39">
        <f t="shared" si="112"/>
        <v>0</v>
      </c>
      <c r="AI132" s="39">
        <f t="shared" si="112"/>
        <v>0</v>
      </c>
      <c r="AJ132" s="39">
        <f t="shared" si="112"/>
        <v>0</v>
      </c>
      <c r="AK132" s="39">
        <f t="shared" si="112"/>
        <v>0</v>
      </c>
      <c r="AL132" s="39">
        <f t="shared" si="112"/>
        <v>0</v>
      </c>
      <c r="AM132" s="39">
        <f t="shared" si="112"/>
        <v>0</v>
      </c>
      <c r="AN132" s="39">
        <f t="shared" si="112"/>
        <v>0</v>
      </c>
      <c r="AO132" s="39">
        <f t="shared" si="113"/>
        <v>0</v>
      </c>
      <c r="AP132" s="39">
        <f t="shared" si="113"/>
        <v>0</v>
      </c>
      <c r="AQ132" s="39">
        <f t="shared" si="113"/>
        <v>0</v>
      </c>
      <c r="AR132" s="39">
        <f t="shared" si="113"/>
        <v>0</v>
      </c>
      <c r="AS132" s="39">
        <f t="shared" si="113"/>
        <v>0</v>
      </c>
      <c r="AT132" s="39">
        <f t="shared" si="113"/>
        <v>0</v>
      </c>
      <c r="AU132" s="39">
        <f t="shared" si="113"/>
        <v>0</v>
      </c>
      <c r="AV132" s="39">
        <f t="shared" si="113"/>
        <v>0</v>
      </c>
      <c r="AW132" s="39">
        <f t="shared" si="113"/>
        <v>0</v>
      </c>
      <c r="AX132" s="39">
        <f t="shared" si="113"/>
        <v>0</v>
      </c>
      <c r="AY132" s="39">
        <f t="shared" si="114"/>
        <v>0</v>
      </c>
      <c r="AZ132" s="39">
        <f t="shared" si="114"/>
        <v>0</v>
      </c>
      <c r="BA132" s="39">
        <f t="shared" si="114"/>
        <v>0</v>
      </c>
      <c r="BB132" s="39">
        <f t="shared" si="114"/>
        <v>0</v>
      </c>
      <c r="BC132" s="39">
        <f t="shared" si="114"/>
        <v>0</v>
      </c>
      <c r="BD132" s="39">
        <f t="shared" si="114"/>
        <v>0</v>
      </c>
      <c r="BE132" s="39">
        <f t="shared" si="114"/>
        <v>0</v>
      </c>
      <c r="BF132" s="39">
        <f t="shared" si="114"/>
        <v>0</v>
      </c>
      <c r="BG132" s="39">
        <f t="shared" si="114"/>
        <v>0</v>
      </c>
      <c r="BH132" s="39">
        <f t="shared" si="114"/>
        <v>0</v>
      </c>
      <c r="BI132" s="39">
        <f t="shared" si="114"/>
        <v>0</v>
      </c>
      <c r="BJ132" s="39">
        <f t="shared" si="114"/>
        <v>0</v>
      </c>
      <c r="BK132" s="39">
        <f t="shared" si="114"/>
        <v>0</v>
      </c>
      <c r="BL132" s="39">
        <f t="shared" si="114"/>
        <v>0</v>
      </c>
      <c r="BM132" s="39">
        <f t="shared" si="114"/>
        <v>0</v>
      </c>
    </row>
    <row r="133" spans="1:65" x14ac:dyDescent="0.25">
      <c r="A133" s="7">
        <f t="shared" ref="A133:E133" si="117">A72</f>
        <v>-1</v>
      </c>
      <c r="B133" s="7">
        <f t="shared" si="117"/>
        <v>-1</v>
      </c>
      <c r="C133" s="7">
        <f t="shared" si="117"/>
        <v>1</v>
      </c>
      <c r="D133" s="7">
        <f t="shared" si="117"/>
        <v>0</v>
      </c>
      <c r="E133" s="7">
        <f t="shared" si="117"/>
        <v>0</v>
      </c>
      <c r="F133" s="195"/>
      <c r="G133" s="7">
        <v>0</v>
      </c>
      <c r="H133" s="179"/>
      <c r="K133" s="39">
        <f t="shared" si="110"/>
        <v>0</v>
      </c>
      <c r="L133" s="39">
        <f t="shared" si="110"/>
        <v>0</v>
      </c>
      <c r="M133" s="39">
        <f t="shared" si="110"/>
        <v>0</v>
      </c>
      <c r="N133" s="39">
        <f t="shared" si="110"/>
        <v>0</v>
      </c>
      <c r="O133" s="39">
        <f t="shared" si="110"/>
        <v>0</v>
      </c>
      <c r="P133" s="39">
        <f t="shared" si="110"/>
        <v>0</v>
      </c>
      <c r="Q133" s="39">
        <f t="shared" si="110"/>
        <v>0</v>
      </c>
      <c r="R133" s="39">
        <f t="shared" si="110"/>
        <v>0</v>
      </c>
      <c r="S133" s="39">
        <f t="shared" si="110"/>
        <v>0</v>
      </c>
      <c r="T133" s="39">
        <f t="shared" si="110"/>
        <v>0</v>
      </c>
      <c r="U133" s="39">
        <f t="shared" si="111"/>
        <v>0</v>
      </c>
      <c r="V133" s="39">
        <f t="shared" si="111"/>
        <v>0</v>
      </c>
      <c r="W133" s="39">
        <f t="shared" si="111"/>
        <v>0</v>
      </c>
      <c r="X133" s="39">
        <f t="shared" si="111"/>
        <v>0</v>
      </c>
      <c r="Y133" s="39">
        <f t="shared" si="111"/>
        <v>0</v>
      </c>
      <c r="Z133" s="39">
        <f t="shared" si="111"/>
        <v>0</v>
      </c>
      <c r="AA133" s="39">
        <f t="shared" si="111"/>
        <v>0</v>
      </c>
      <c r="AB133" s="39">
        <f t="shared" si="111"/>
        <v>0</v>
      </c>
      <c r="AC133" s="39">
        <f t="shared" si="111"/>
        <v>0</v>
      </c>
      <c r="AD133" s="39">
        <f t="shared" si="111"/>
        <v>0</v>
      </c>
      <c r="AE133" s="39">
        <f t="shared" si="112"/>
        <v>0</v>
      </c>
      <c r="AF133" s="39">
        <f t="shared" si="112"/>
        <v>0</v>
      </c>
      <c r="AG133" s="39">
        <f t="shared" si="112"/>
        <v>0</v>
      </c>
      <c r="AH133" s="39">
        <f t="shared" si="112"/>
        <v>0</v>
      </c>
      <c r="AI133" s="39">
        <f t="shared" si="112"/>
        <v>0</v>
      </c>
      <c r="AJ133" s="39">
        <f t="shared" si="112"/>
        <v>0</v>
      </c>
      <c r="AK133" s="39">
        <f t="shared" si="112"/>
        <v>0</v>
      </c>
      <c r="AL133" s="39">
        <f t="shared" si="112"/>
        <v>0</v>
      </c>
      <c r="AM133" s="39">
        <f t="shared" si="112"/>
        <v>0</v>
      </c>
      <c r="AN133" s="39">
        <f t="shared" si="112"/>
        <v>0</v>
      </c>
      <c r="AO133" s="39">
        <f t="shared" si="113"/>
        <v>0</v>
      </c>
      <c r="AP133" s="39">
        <f t="shared" si="113"/>
        <v>0</v>
      </c>
      <c r="AQ133" s="39">
        <f t="shared" si="113"/>
        <v>0</v>
      </c>
      <c r="AR133" s="39">
        <f t="shared" si="113"/>
        <v>0</v>
      </c>
      <c r="AS133" s="39">
        <f t="shared" si="113"/>
        <v>0</v>
      </c>
      <c r="AT133" s="39">
        <f t="shared" si="113"/>
        <v>0</v>
      </c>
      <c r="AU133" s="39">
        <f t="shared" si="113"/>
        <v>0</v>
      </c>
      <c r="AV133" s="39">
        <f t="shared" si="113"/>
        <v>0</v>
      </c>
      <c r="AW133" s="39">
        <f t="shared" si="113"/>
        <v>0</v>
      </c>
      <c r="AX133" s="39">
        <f t="shared" si="113"/>
        <v>0</v>
      </c>
      <c r="AY133" s="39">
        <f t="shared" si="114"/>
        <v>0</v>
      </c>
      <c r="AZ133" s="39">
        <f t="shared" si="114"/>
        <v>0</v>
      </c>
      <c r="BA133" s="39">
        <f t="shared" si="114"/>
        <v>0</v>
      </c>
      <c r="BB133" s="39">
        <f t="shared" si="114"/>
        <v>0</v>
      </c>
      <c r="BC133" s="39">
        <f t="shared" si="114"/>
        <v>0</v>
      </c>
      <c r="BD133" s="39">
        <f t="shared" si="114"/>
        <v>0</v>
      </c>
      <c r="BE133" s="39">
        <f t="shared" si="114"/>
        <v>0</v>
      </c>
      <c r="BF133" s="39">
        <f t="shared" si="114"/>
        <v>0</v>
      </c>
      <c r="BG133" s="39">
        <f t="shared" si="114"/>
        <v>0</v>
      </c>
      <c r="BH133" s="39">
        <f t="shared" si="114"/>
        <v>0</v>
      </c>
      <c r="BI133" s="39">
        <f t="shared" si="114"/>
        <v>0</v>
      </c>
      <c r="BJ133" s="39">
        <f t="shared" si="114"/>
        <v>0</v>
      </c>
      <c r="BK133" s="39">
        <f t="shared" si="114"/>
        <v>0</v>
      </c>
      <c r="BL133" s="39">
        <f t="shared" si="114"/>
        <v>0</v>
      </c>
      <c r="BM133" s="39">
        <f t="shared" si="114"/>
        <v>0</v>
      </c>
    </row>
    <row r="134" spans="1:65" x14ac:dyDescent="0.25">
      <c r="A134" s="7">
        <f t="shared" ref="A134:E134" si="118">A73</f>
        <v>0</v>
      </c>
      <c r="B134" s="7">
        <f t="shared" si="118"/>
        <v>1</v>
      </c>
      <c r="C134" s="7">
        <f t="shared" si="118"/>
        <v>1</v>
      </c>
      <c r="D134" s="7">
        <f t="shared" si="118"/>
        <v>0</v>
      </c>
      <c r="E134" s="7">
        <f t="shared" si="118"/>
        <v>0</v>
      </c>
      <c r="F134" s="195"/>
      <c r="G134" s="7">
        <v>0</v>
      </c>
      <c r="H134" s="179"/>
      <c r="K134" s="39">
        <f t="shared" si="110"/>
        <v>0</v>
      </c>
      <c r="L134" s="39">
        <f t="shared" si="110"/>
        <v>0</v>
      </c>
      <c r="M134" s="39">
        <f t="shared" si="110"/>
        <v>0</v>
      </c>
      <c r="N134" s="39">
        <f t="shared" si="110"/>
        <v>0</v>
      </c>
      <c r="O134" s="39">
        <f t="shared" si="110"/>
        <v>0</v>
      </c>
      <c r="P134" s="39">
        <f t="shared" si="110"/>
        <v>0</v>
      </c>
      <c r="Q134" s="39">
        <f t="shared" si="110"/>
        <v>0</v>
      </c>
      <c r="R134" s="39">
        <f t="shared" si="110"/>
        <v>0</v>
      </c>
      <c r="S134" s="39">
        <f t="shared" si="110"/>
        <v>0</v>
      </c>
      <c r="T134" s="39">
        <f t="shared" si="110"/>
        <v>0</v>
      </c>
      <c r="U134" s="39">
        <f t="shared" si="111"/>
        <v>0</v>
      </c>
      <c r="V134" s="39">
        <f t="shared" si="111"/>
        <v>0</v>
      </c>
      <c r="W134" s="39">
        <f t="shared" si="111"/>
        <v>0</v>
      </c>
      <c r="X134" s="39">
        <f t="shared" si="111"/>
        <v>0</v>
      </c>
      <c r="Y134" s="39">
        <f t="shared" si="111"/>
        <v>0</v>
      </c>
      <c r="Z134" s="39">
        <f t="shared" si="111"/>
        <v>0</v>
      </c>
      <c r="AA134" s="39">
        <f t="shared" si="111"/>
        <v>0</v>
      </c>
      <c r="AB134" s="39">
        <f t="shared" si="111"/>
        <v>0</v>
      </c>
      <c r="AC134" s="39">
        <f t="shared" si="111"/>
        <v>0</v>
      </c>
      <c r="AD134" s="39">
        <f t="shared" si="111"/>
        <v>0</v>
      </c>
      <c r="AE134" s="39">
        <f t="shared" si="112"/>
        <v>0</v>
      </c>
      <c r="AF134" s="39">
        <f t="shared" si="112"/>
        <v>0</v>
      </c>
      <c r="AG134" s="39">
        <f t="shared" si="112"/>
        <v>0</v>
      </c>
      <c r="AH134" s="39">
        <f t="shared" si="112"/>
        <v>0</v>
      </c>
      <c r="AI134" s="39">
        <f t="shared" si="112"/>
        <v>0</v>
      </c>
      <c r="AJ134" s="39">
        <f t="shared" si="112"/>
        <v>0</v>
      </c>
      <c r="AK134" s="39">
        <f t="shared" si="112"/>
        <v>0</v>
      </c>
      <c r="AL134" s="39">
        <f t="shared" si="112"/>
        <v>0</v>
      </c>
      <c r="AM134" s="39">
        <f t="shared" si="112"/>
        <v>0</v>
      </c>
      <c r="AN134" s="39">
        <f t="shared" si="112"/>
        <v>0</v>
      </c>
      <c r="AO134" s="39">
        <f t="shared" si="113"/>
        <v>0</v>
      </c>
      <c r="AP134" s="39">
        <f t="shared" si="113"/>
        <v>0</v>
      </c>
      <c r="AQ134" s="39">
        <f t="shared" si="113"/>
        <v>0</v>
      </c>
      <c r="AR134" s="39">
        <f t="shared" si="113"/>
        <v>0</v>
      </c>
      <c r="AS134" s="39">
        <f t="shared" si="113"/>
        <v>0</v>
      </c>
      <c r="AT134" s="39">
        <f t="shared" si="113"/>
        <v>0</v>
      </c>
      <c r="AU134" s="39">
        <f t="shared" si="113"/>
        <v>0</v>
      </c>
      <c r="AV134" s="39">
        <f t="shared" si="113"/>
        <v>0</v>
      </c>
      <c r="AW134" s="39">
        <f t="shared" si="113"/>
        <v>0</v>
      </c>
      <c r="AX134" s="39">
        <f t="shared" si="113"/>
        <v>0</v>
      </c>
      <c r="AY134" s="39">
        <f t="shared" si="114"/>
        <v>0</v>
      </c>
      <c r="AZ134" s="39">
        <f t="shared" si="114"/>
        <v>0</v>
      </c>
      <c r="BA134" s="39">
        <f t="shared" si="114"/>
        <v>0</v>
      </c>
      <c r="BB134" s="39">
        <f t="shared" si="114"/>
        <v>0</v>
      </c>
      <c r="BC134" s="39">
        <f t="shared" si="114"/>
        <v>0</v>
      </c>
      <c r="BD134" s="39">
        <f t="shared" si="114"/>
        <v>0</v>
      </c>
      <c r="BE134" s="39">
        <f t="shared" si="114"/>
        <v>0</v>
      </c>
      <c r="BF134" s="39">
        <f t="shared" si="114"/>
        <v>0</v>
      </c>
      <c r="BG134" s="39">
        <f t="shared" si="114"/>
        <v>0</v>
      </c>
      <c r="BH134" s="39">
        <f t="shared" si="114"/>
        <v>0</v>
      </c>
      <c r="BI134" s="39">
        <f t="shared" si="114"/>
        <v>0</v>
      </c>
      <c r="BJ134" s="39">
        <f t="shared" si="114"/>
        <v>0</v>
      </c>
      <c r="BK134" s="39">
        <f t="shared" si="114"/>
        <v>0</v>
      </c>
      <c r="BL134" s="39">
        <f t="shared" si="114"/>
        <v>0</v>
      </c>
      <c r="BM134" s="39">
        <f t="shared" si="114"/>
        <v>0</v>
      </c>
    </row>
    <row r="135" spans="1:65" x14ac:dyDescent="0.25">
      <c r="A135" s="7">
        <f t="shared" ref="A135:E135" si="119">A74</f>
        <v>0</v>
      </c>
      <c r="B135" s="7">
        <f t="shared" si="119"/>
        <v>-1</v>
      </c>
      <c r="C135" s="7">
        <f t="shared" si="119"/>
        <v>1</v>
      </c>
      <c r="D135" s="7">
        <f t="shared" si="119"/>
        <v>2</v>
      </c>
      <c r="E135" s="7">
        <f t="shared" si="119"/>
        <v>2</v>
      </c>
      <c r="F135" s="195"/>
      <c r="G135" s="7">
        <v>0</v>
      </c>
      <c r="H135" s="179"/>
      <c r="K135" s="39">
        <f t="shared" si="110"/>
        <v>0</v>
      </c>
      <c r="L135" s="39">
        <f t="shared" si="110"/>
        <v>0</v>
      </c>
      <c r="M135" s="39">
        <f t="shared" si="110"/>
        <v>0</v>
      </c>
      <c r="N135" s="39">
        <f t="shared" si="110"/>
        <v>0</v>
      </c>
      <c r="O135" s="39">
        <f t="shared" si="110"/>
        <v>0</v>
      </c>
      <c r="P135" s="39">
        <f t="shared" si="110"/>
        <v>0</v>
      </c>
      <c r="Q135" s="39">
        <f t="shared" si="110"/>
        <v>0</v>
      </c>
      <c r="R135" s="39">
        <f t="shared" si="110"/>
        <v>0</v>
      </c>
      <c r="S135" s="39">
        <f t="shared" si="110"/>
        <v>0</v>
      </c>
      <c r="T135" s="39">
        <f t="shared" si="110"/>
        <v>0</v>
      </c>
      <c r="U135" s="39">
        <f t="shared" si="111"/>
        <v>0</v>
      </c>
      <c r="V135" s="39">
        <f t="shared" si="111"/>
        <v>0</v>
      </c>
      <c r="W135" s="39">
        <f t="shared" si="111"/>
        <v>0</v>
      </c>
      <c r="X135" s="39">
        <f t="shared" si="111"/>
        <v>0</v>
      </c>
      <c r="Y135" s="39">
        <f t="shared" si="111"/>
        <v>0</v>
      </c>
      <c r="Z135" s="39">
        <f t="shared" si="111"/>
        <v>0</v>
      </c>
      <c r="AA135" s="39">
        <f t="shared" si="111"/>
        <v>0</v>
      </c>
      <c r="AB135" s="39">
        <f t="shared" si="111"/>
        <v>0</v>
      </c>
      <c r="AC135" s="39">
        <f t="shared" si="111"/>
        <v>0</v>
      </c>
      <c r="AD135" s="39">
        <f t="shared" si="111"/>
        <v>0</v>
      </c>
      <c r="AE135" s="39">
        <f t="shared" si="112"/>
        <v>0</v>
      </c>
      <c r="AF135" s="39">
        <f t="shared" si="112"/>
        <v>0</v>
      </c>
      <c r="AG135" s="39">
        <f t="shared" si="112"/>
        <v>0</v>
      </c>
      <c r="AH135" s="39">
        <f t="shared" si="112"/>
        <v>0</v>
      </c>
      <c r="AI135" s="39">
        <f t="shared" si="112"/>
        <v>0</v>
      </c>
      <c r="AJ135" s="39">
        <f t="shared" si="112"/>
        <v>0</v>
      </c>
      <c r="AK135" s="39">
        <f t="shared" si="112"/>
        <v>0</v>
      </c>
      <c r="AL135" s="39">
        <f t="shared" si="112"/>
        <v>0</v>
      </c>
      <c r="AM135" s="39">
        <f t="shared" si="112"/>
        <v>0</v>
      </c>
      <c r="AN135" s="39">
        <f t="shared" si="112"/>
        <v>0</v>
      </c>
      <c r="AO135" s="39">
        <f t="shared" si="113"/>
        <v>0</v>
      </c>
      <c r="AP135" s="39">
        <f t="shared" si="113"/>
        <v>0</v>
      </c>
      <c r="AQ135" s="39">
        <f t="shared" si="113"/>
        <v>0</v>
      </c>
      <c r="AR135" s="39">
        <f t="shared" si="113"/>
        <v>0</v>
      </c>
      <c r="AS135" s="39">
        <f t="shared" si="113"/>
        <v>0</v>
      </c>
      <c r="AT135" s="39">
        <f t="shared" si="113"/>
        <v>0</v>
      </c>
      <c r="AU135" s="39">
        <f t="shared" si="113"/>
        <v>0</v>
      </c>
      <c r="AV135" s="39">
        <f t="shared" si="113"/>
        <v>0</v>
      </c>
      <c r="AW135" s="39">
        <f t="shared" si="113"/>
        <v>0</v>
      </c>
      <c r="AX135" s="39">
        <f t="shared" si="113"/>
        <v>0</v>
      </c>
      <c r="AY135" s="39">
        <f t="shared" si="114"/>
        <v>0</v>
      </c>
      <c r="AZ135" s="39">
        <f t="shared" si="114"/>
        <v>0</v>
      </c>
      <c r="BA135" s="39">
        <f t="shared" si="114"/>
        <v>0</v>
      </c>
      <c r="BB135" s="39">
        <f t="shared" si="114"/>
        <v>0</v>
      </c>
      <c r="BC135" s="39">
        <f t="shared" si="114"/>
        <v>0</v>
      </c>
      <c r="BD135" s="39">
        <f t="shared" si="114"/>
        <v>0</v>
      </c>
      <c r="BE135" s="39">
        <f t="shared" si="114"/>
        <v>0</v>
      </c>
      <c r="BF135" s="39">
        <f t="shared" si="114"/>
        <v>0</v>
      </c>
      <c r="BG135" s="39">
        <f t="shared" si="114"/>
        <v>0</v>
      </c>
      <c r="BH135" s="39">
        <f t="shared" si="114"/>
        <v>0</v>
      </c>
      <c r="BI135" s="39">
        <f t="shared" si="114"/>
        <v>0</v>
      </c>
      <c r="BJ135" s="39">
        <f t="shared" si="114"/>
        <v>0</v>
      </c>
      <c r="BK135" s="39">
        <f t="shared" si="114"/>
        <v>0</v>
      </c>
      <c r="BL135" s="39">
        <f t="shared" si="114"/>
        <v>0</v>
      </c>
      <c r="BM135" s="39">
        <f t="shared" si="114"/>
        <v>0</v>
      </c>
    </row>
    <row r="136" spans="1:65" x14ac:dyDescent="0.25">
      <c r="A136" s="7">
        <f t="shared" ref="A136:E136" si="120">A75</f>
        <v>2</v>
      </c>
      <c r="B136" s="7">
        <f t="shared" si="120"/>
        <v>-1</v>
      </c>
      <c r="C136" s="7">
        <f t="shared" si="120"/>
        <v>-1</v>
      </c>
      <c r="D136" s="7">
        <f t="shared" si="120"/>
        <v>2</v>
      </c>
      <c r="E136" s="7">
        <f t="shared" si="120"/>
        <v>2</v>
      </c>
      <c r="F136" s="195"/>
      <c r="G136" s="7">
        <v>0</v>
      </c>
      <c r="H136" s="179"/>
      <c r="K136" s="39">
        <f t="shared" si="110"/>
        <v>0</v>
      </c>
      <c r="L136" s="39">
        <f t="shared" si="110"/>
        <v>0</v>
      </c>
      <c r="M136" s="39">
        <f t="shared" si="110"/>
        <v>0</v>
      </c>
      <c r="N136" s="39">
        <f t="shared" si="110"/>
        <v>0</v>
      </c>
      <c r="O136" s="39">
        <f t="shared" si="110"/>
        <v>0</v>
      </c>
      <c r="P136" s="39">
        <f t="shared" si="110"/>
        <v>0</v>
      </c>
      <c r="Q136" s="39">
        <f t="shared" si="110"/>
        <v>0</v>
      </c>
      <c r="R136" s="39">
        <f t="shared" si="110"/>
        <v>0</v>
      </c>
      <c r="S136" s="39">
        <f t="shared" si="110"/>
        <v>0</v>
      </c>
      <c r="T136" s="39">
        <f t="shared" si="110"/>
        <v>0</v>
      </c>
      <c r="U136" s="39">
        <f t="shared" si="111"/>
        <v>0</v>
      </c>
      <c r="V136" s="39">
        <f t="shared" si="111"/>
        <v>0</v>
      </c>
      <c r="W136" s="39">
        <f t="shared" si="111"/>
        <v>0</v>
      </c>
      <c r="X136" s="39">
        <f t="shared" si="111"/>
        <v>0</v>
      </c>
      <c r="Y136" s="39">
        <f t="shared" si="111"/>
        <v>0</v>
      </c>
      <c r="Z136" s="39">
        <f t="shared" si="111"/>
        <v>0</v>
      </c>
      <c r="AA136" s="39">
        <f t="shared" si="111"/>
        <v>0</v>
      </c>
      <c r="AB136" s="39">
        <f t="shared" si="111"/>
        <v>0</v>
      </c>
      <c r="AC136" s="39">
        <f t="shared" si="111"/>
        <v>0</v>
      </c>
      <c r="AD136" s="39">
        <f t="shared" si="111"/>
        <v>0</v>
      </c>
      <c r="AE136" s="39">
        <f t="shared" si="112"/>
        <v>0</v>
      </c>
      <c r="AF136" s="39">
        <f t="shared" si="112"/>
        <v>0</v>
      </c>
      <c r="AG136" s="39">
        <f t="shared" si="112"/>
        <v>0</v>
      </c>
      <c r="AH136" s="39">
        <f t="shared" si="112"/>
        <v>0</v>
      </c>
      <c r="AI136" s="39">
        <f t="shared" si="112"/>
        <v>0</v>
      </c>
      <c r="AJ136" s="39">
        <f t="shared" si="112"/>
        <v>0</v>
      </c>
      <c r="AK136" s="39">
        <f t="shared" si="112"/>
        <v>0</v>
      </c>
      <c r="AL136" s="39">
        <f t="shared" si="112"/>
        <v>0</v>
      </c>
      <c r="AM136" s="39">
        <f t="shared" si="112"/>
        <v>0</v>
      </c>
      <c r="AN136" s="39">
        <f t="shared" si="112"/>
        <v>0</v>
      </c>
      <c r="AO136" s="39">
        <f t="shared" si="113"/>
        <v>0</v>
      </c>
      <c r="AP136" s="39">
        <f t="shared" si="113"/>
        <v>0</v>
      </c>
      <c r="AQ136" s="39">
        <f t="shared" si="113"/>
        <v>0</v>
      </c>
      <c r="AR136" s="39">
        <f t="shared" si="113"/>
        <v>0</v>
      </c>
      <c r="AS136" s="39">
        <f t="shared" si="113"/>
        <v>0</v>
      </c>
      <c r="AT136" s="39">
        <f t="shared" si="113"/>
        <v>0</v>
      </c>
      <c r="AU136" s="39">
        <f t="shared" si="113"/>
        <v>0</v>
      </c>
      <c r="AV136" s="39">
        <f t="shared" si="113"/>
        <v>0</v>
      </c>
      <c r="AW136" s="39">
        <f t="shared" si="113"/>
        <v>0</v>
      </c>
      <c r="AX136" s="39">
        <f t="shared" si="113"/>
        <v>0</v>
      </c>
      <c r="AY136" s="39">
        <f t="shared" si="114"/>
        <v>0</v>
      </c>
      <c r="AZ136" s="39">
        <f t="shared" si="114"/>
        <v>0</v>
      </c>
      <c r="BA136" s="39">
        <f t="shared" si="114"/>
        <v>0</v>
      </c>
      <c r="BB136" s="39">
        <f t="shared" si="114"/>
        <v>0</v>
      </c>
      <c r="BC136" s="39">
        <f t="shared" si="114"/>
        <v>0</v>
      </c>
      <c r="BD136" s="39">
        <f t="shared" si="114"/>
        <v>0</v>
      </c>
      <c r="BE136" s="39">
        <f t="shared" si="114"/>
        <v>0</v>
      </c>
      <c r="BF136" s="39">
        <f t="shared" si="114"/>
        <v>0</v>
      </c>
      <c r="BG136" s="39">
        <f t="shared" si="114"/>
        <v>0</v>
      </c>
      <c r="BH136" s="39">
        <f t="shared" si="114"/>
        <v>0</v>
      </c>
      <c r="BI136" s="39">
        <f t="shared" si="114"/>
        <v>0</v>
      </c>
      <c r="BJ136" s="39">
        <f t="shared" si="114"/>
        <v>0</v>
      </c>
      <c r="BK136" s="39">
        <f t="shared" si="114"/>
        <v>0</v>
      </c>
      <c r="BL136" s="39">
        <f t="shared" si="114"/>
        <v>0</v>
      </c>
      <c r="BM136" s="39">
        <f t="shared" si="114"/>
        <v>0</v>
      </c>
    </row>
    <row r="137" spans="1:65" x14ac:dyDescent="0.25">
      <c r="A137" s="7">
        <f t="shared" ref="A137:E137" si="121">A76</f>
        <v>0</v>
      </c>
      <c r="B137" s="7">
        <f t="shared" si="121"/>
        <v>0</v>
      </c>
      <c r="C137" s="7">
        <f t="shared" si="121"/>
        <v>3</v>
      </c>
      <c r="D137" s="7">
        <f t="shared" si="121"/>
        <v>2</v>
      </c>
      <c r="E137" s="7">
        <f t="shared" si="121"/>
        <v>2</v>
      </c>
      <c r="F137" s="195"/>
      <c r="G137" s="7">
        <v>0</v>
      </c>
      <c r="H137" s="179"/>
      <c r="K137" s="39">
        <f t="shared" si="110"/>
        <v>0</v>
      </c>
      <c r="L137" s="39">
        <f t="shared" si="110"/>
        <v>0</v>
      </c>
      <c r="M137" s="39">
        <f t="shared" si="110"/>
        <v>0</v>
      </c>
      <c r="N137" s="39">
        <f t="shared" si="110"/>
        <v>0</v>
      </c>
      <c r="O137" s="39">
        <f t="shared" si="110"/>
        <v>0</v>
      </c>
      <c r="P137" s="39">
        <f t="shared" si="110"/>
        <v>0</v>
      </c>
      <c r="Q137" s="39">
        <f t="shared" si="110"/>
        <v>0</v>
      </c>
      <c r="R137" s="39">
        <f t="shared" si="110"/>
        <v>0</v>
      </c>
      <c r="S137" s="39">
        <f t="shared" si="110"/>
        <v>0</v>
      </c>
      <c r="T137" s="39">
        <f t="shared" si="110"/>
        <v>0</v>
      </c>
      <c r="U137" s="39">
        <f t="shared" si="111"/>
        <v>0</v>
      </c>
      <c r="V137" s="39">
        <f t="shared" si="111"/>
        <v>0</v>
      </c>
      <c r="W137" s="39">
        <f t="shared" si="111"/>
        <v>0</v>
      </c>
      <c r="X137" s="39">
        <f t="shared" si="111"/>
        <v>0</v>
      </c>
      <c r="Y137" s="39">
        <f t="shared" si="111"/>
        <v>0</v>
      </c>
      <c r="Z137" s="39">
        <f t="shared" si="111"/>
        <v>0</v>
      </c>
      <c r="AA137" s="39">
        <f t="shared" si="111"/>
        <v>0</v>
      </c>
      <c r="AB137" s="39">
        <f t="shared" si="111"/>
        <v>0</v>
      </c>
      <c r="AC137" s="39">
        <f t="shared" si="111"/>
        <v>0</v>
      </c>
      <c r="AD137" s="39">
        <f t="shared" si="111"/>
        <v>0</v>
      </c>
      <c r="AE137" s="39">
        <f t="shared" si="112"/>
        <v>0</v>
      </c>
      <c r="AF137" s="39">
        <f t="shared" si="112"/>
        <v>0</v>
      </c>
      <c r="AG137" s="39">
        <f t="shared" si="112"/>
        <v>0</v>
      </c>
      <c r="AH137" s="39">
        <f t="shared" si="112"/>
        <v>0</v>
      </c>
      <c r="AI137" s="39">
        <f t="shared" si="112"/>
        <v>0</v>
      </c>
      <c r="AJ137" s="39">
        <f t="shared" si="112"/>
        <v>0</v>
      </c>
      <c r="AK137" s="39">
        <f t="shared" si="112"/>
        <v>0</v>
      </c>
      <c r="AL137" s="39">
        <f t="shared" si="112"/>
        <v>0</v>
      </c>
      <c r="AM137" s="39">
        <f t="shared" si="112"/>
        <v>0</v>
      </c>
      <c r="AN137" s="39">
        <f t="shared" si="112"/>
        <v>0</v>
      </c>
      <c r="AO137" s="39">
        <f t="shared" si="113"/>
        <v>0</v>
      </c>
      <c r="AP137" s="39">
        <f t="shared" si="113"/>
        <v>0</v>
      </c>
      <c r="AQ137" s="39">
        <f t="shared" si="113"/>
        <v>0</v>
      </c>
      <c r="AR137" s="39">
        <f t="shared" si="113"/>
        <v>0</v>
      </c>
      <c r="AS137" s="39">
        <f t="shared" si="113"/>
        <v>0</v>
      </c>
      <c r="AT137" s="39">
        <f t="shared" si="113"/>
        <v>0</v>
      </c>
      <c r="AU137" s="39">
        <f t="shared" si="113"/>
        <v>0</v>
      </c>
      <c r="AV137" s="39">
        <f t="shared" si="113"/>
        <v>0</v>
      </c>
      <c r="AW137" s="39">
        <f t="shared" si="113"/>
        <v>0</v>
      </c>
      <c r="AX137" s="39">
        <f t="shared" si="113"/>
        <v>0</v>
      </c>
      <c r="AY137" s="39">
        <f t="shared" si="114"/>
        <v>0</v>
      </c>
      <c r="AZ137" s="39">
        <f t="shared" si="114"/>
        <v>0</v>
      </c>
      <c r="BA137" s="39">
        <f t="shared" si="114"/>
        <v>0</v>
      </c>
      <c r="BB137" s="39">
        <f t="shared" si="114"/>
        <v>0</v>
      </c>
      <c r="BC137" s="39">
        <f t="shared" si="114"/>
        <v>0</v>
      </c>
      <c r="BD137" s="39">
        <f t="shared" si="114"/>
        <v>0</v>
      </c>
      <c r="BE137" s="39">
        <f t="shared" si="114"/>
        <v>0</v>
      </c>
      <c r="BF137" s="39">
        <f t="shared" si="114"/>
        <v>0</v>
      </c>
      <c r="BG137" s="39">
        <f t="shared" si="114"/>
        <v>0</v>
      </c>
      <c r="BH137" s="39">
        <f t="shared" si="114"/>
        <v>0</v>
      </c>
      <c r="BI137" s="39">
        <f t="shared" si="114"/>
        <v>0</v>
      </c>
      <c r="BJ137" s="39">
        <f t="shared" si="114"/>
        <v>0</v>
      </c>
      <c r="BK137" s="39">
        <f t="shared" si="114"/>
        <v>0</v>
      </c>
      <c r="BL137" s="39">
        <f t="shared" si="114"/>
        <v>0</v>
      </c>
      <c r="BM137" s="39">
        <f t="shared" si="114"/>
        <v>0</v>
      </c>
    </row>
    <row r="138" spans="1:65" x14ac:dyDescent="0.25">
      <c r="A138" s="7">
        <f t="shared" ref="A138:E138" si="122">A77</f>
        <v>2</v>
      </c>
      <c r="B138" s="7">
        <f t="shared" si="122"/>
        <v>-1</v>
      </c>
      <c r="C138" s="7">
        <f t="shared" si="122"/>
        <v>0</v>
      </c>
      <c r="D138" s="7">
        <f t="shared" si="122"/>
        <v>2</v>
      </c>
      <c r="E138" s="7">
        <f t="shared" si="122"/>
        <v>2</v>
      </c>
      <c r="F138" s="195"/>
      <c r="G138" s="7">
        <v>0</v>
      </c>
      <c r="H138" s="179"/>
      <c r="K138" s="39">
        <f t="shared" si="110"/>
        <v>0</v>
      </c>
      <c r="L138" s="39">
        <f t="shared" si="110"/>
        <v>0</v>
      </c>
      <c r="M138" s="39">
        <f t="shared" si="110"/>
        <v>0</v>
      </c>
      <c r="N138" s="39">
        <f t="shared" si="110"/>
        <v>0</v>
      </c>
      <c r="O138" s="39">
        <f t="shared" si="110"/>
        <v>0</v>
      </c>
      <c r="P138" s="39">
        <f t="shared" si="110"/>
        <v>0</v>
      </c>
      <c r="Q138" s="39">
        <f t="shared" si="110"/>
        <v>0</v>
      </c>
      <c r="R138" s="39">
        <f t="shared" si="110"/>
        <v>0</v>
      </c>
      <c r="S138" s="39">
        <f t="shared" si="110"/>
        <v>0</v>
      </c>
      <c r="T138" s="39">
        <f t="shared" si="110"/>
        <v>0</v>
      </c>
      <c r="U138" s="39">
        <f t="shared" si="111"/>
        <v>0</v>
      </c>
      <c r="V138" s="39">
        <f t="shared" si="111"/>
        <v>0</v>
      </c>
      <c r="W138" s="39">
        <f t="shared" si="111"/>
        <v>0</v>
      </c>
      <c r="X138" s="39">
        <f t="shared" si="111"/>
        <v>0</v>
      </c>
      <c r="Y138" s="39">
        <f t="shared" si="111"/>
        <v>0</v>
      </c>
      <c r="Z138" s="39">
        <f t="shared" si="111"/>
        <v>0</v>
      </c>
      <c r="AA138" s="39">
        <f t="shared" si="111"/>
        <v>0</v>
      </c>
      <c r="AB138" s="39">
        <f t="shared" si="111"/>
        <v>0</v>
      </c>
      <c r="AC138" s="39">
        <f t="shared" si="111"/>
        <v>0</v>
      </c>
      <c r="AD138" s="39">
        <f t="shared" si="111"/>
        <v>0</v>
      </c>
      <c r="AE138" s="39">
        <f t="shared" si="112"/>
        <v>0</v>
      </c>
      <c r="AF138" s="39">
        <f t="shared" si="112"/>
        <v>0</v>
      </c>
      <c r="AG138" s="39">
        <f t="shared" si="112"/>
        <v>0</v>
      </c>
      <c r="AH138" s="39">
        <f t="shared" si="112"/>
        <v>0</v>
      </c>
      <c r="AI138" s="39">
        <f t="shared" si="112"/>
        <v>0</v>
      </c>
      <c r="AJ138" s="39">
        <f t="shared" si="112"/>
        <v>0</v>
      </c>
      <c r="AK138" s="39">
        <f t="shared" si="112"/>
        <v>0</v>
      </c>
      <c r="AL138" s="39">
        <f t="shared" si="112"/>
        <v>0</v>
      </c>
      <c r="AM138" s="39">
        <f t="shared" si="112"/>
        <v>0</v>
      </c>
      <c r="AN138" s="39">
        <f t="shared" si="112"/>
        <v>0</v>
      </c>
      <c r="AO138" s="39">
        <f t="shared" si="113"/>
        <v>0</v>
      </c>
      <c r="AP138" s="39">
        <f t="shared" si="113"/>
        <v>0</v>
      </c>
      <c r="AQ138" s="39">
        <f t="shared" si="113"/>
        <v>0</v>
      </c>
      <c r="AR138" s="39">
        <f t="shared" si="113"/>
        <v>0</v>
      </c>
      <c r="AS138" s="39">
        <f t="shared" si="113"/>
        <v>0</v>
      </c>
      <c r="AT138" s="39">
        <f t="shared" si="113"/>
        <v>0</v>
      </c>
      <c r="AU138" s="39">
        <f t="shared" si="113"/>
        <v>0</v>
      </c>
      <c r="AV138" s="39">
        <f t="shared" si="113"/>
        <v>0</v>
      </c>
      <c r="AW138" s="39">
        <f t="shared" si="113"/>
        <v>0</v>
      </c>
      <c r="AX138" s="39">
        <f t="shared" si="113"/>
        <v>0</v>
      </c>
      <c r="AY138" s="39">
        <f t="shared" si="114"/>
        <v>0</v>
      </c>
      <c r="AZ138" s="39">
        <f t="shared" si="114"/>
        <v>0</v>
      </c>
      <c r="BA138" s="39">
        <f t="shared" si="114"/>
        <v>0</v>
      </c>
      <c r="BB138" s="39">
        <f t="shared" si="114"/>
        <v>0</v>
      </c>
      <c r="BC138" s="39">
        <f t="shared" si="114"/>
        <v>0</v>
      </c>
      <c r="BD138" s="39">
        <f t="shared" si="114"/>
        <v>0</v>
      </c>
      <c r="BE138" s="39">
        <f t="shared" si="114"/>
        <v>0</v>
      </c>
      <c r="BF138" s="39">
        <f t="shared" si="114"/>
        <v>0</v>
      </c>
      <c r="BG138" s="39">
        <f t="shared" si="114"/>
        <v>0</v>
      </c>
      <c r="BH138" s="39">
        <f t="shared" si="114"/>
        <v>0</v>
      </c>
      <c r="BI138" s="39">
        <f t="shared" si="114"/>
        <v>0</v>
      </c>
      <c r="BJ138" s="39">
        <f t="shared" si="114"/>
        <v>0</v>
      </c>
      <c r="BK138" s="39">
        <f t="shared" si="114"/>
        <v>0</v>
      </c>
      <c r="BL138" s="39">
        <f t="shared" si="114"/>
        <v>0</v>
      </c>
      <c r="BM138" s="39">
        <f t="shared" si="114"/>
        <v>0</v>
      </c>
    </row>
  </sheetData>
  <mergeCells count="8">
    <mergeCell ref="A17:E17"/>
    <mergeCell ref="F17:G17"/>
    <mergeCell ref="F78:G78"/>
    <mergeCell ref="A1:I1"/>
    <mergeCell ref="A15:E16"/>
    <mergeCell ref="F15:I16"/>
    <mergeCell ref="A78:E78"/>
    <mergeCell ref="F14:H1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EFC16-2F12-4259-9C4A-5C6625136084}">
  <dimension ref="A1:BG20"/>
  <sheetViews>
    <sheetView workbookViewId="0">
      <selection activeCell="F7" sqref="F7"/>
    </sheetView>
  </sheetViews>
  <sheetFormatPr defaultRowHeight="15" x14ac:dyDescent="0.25"/>
  <cols>
    <col min="1" max="1" width="5.7109375" bestFit="1" customWidth="1"/>
    <col min="2" max="2" width="3.140625" bestFit="1" customWidth="1"/>
    <col min="3" max="3" width="21.7109375" bestFit="1" customWidth="1"/>
    <col min="4" max="4" width="10" bestFit="1" customWidth="1"/>
    <col min="5" max="13" width="18.28515625" bestFit="1" customWidth="1"/>
    <col min="14" max="14" width="13.7109375" bestFit="1" customWidth="1"/>
    <col min="15" max="15" width="16" bestFit="1" customWidth="1"/>
    <col min="16" max="16" width="15.5703125" bestFit="1" customWidth="1"/>
    <col min="17" max="17" width="15.85546875" bestFit="1" customWidth="1"/>
    <col min="18" max="18" width="13.42578125" bestFit="1" customWidth="1"/>
    <col min="19" max="19" width="16.28515625" bestFit="1" customWidth="1"/>
    <col min="20" max="20" width="15.5703125" bestFit="1" customWidth="1"/>
    <col min="21" max="22" width="16.28515625" bestFit="1" customWidth="1"/>
    <col min="23" max="36" width="18.28515625" bestFit="1" customWidth="1"/>
    <col min="37" max="37" width="13.7109375" bestFit="1" customWidth="1"/>
    <col min="38" max="38" width="18.28515625" bestFit="1" customWidth="1"/>
    <col min="39" max="39" width="17.28515625" bestFit="1" customWidth="1"/>
    <col min="40" max="40" width="18.28515625" bestFit="1" customWidth="1"/>
    <col min="41" max="41" width="15.7109375" bestFit="1" customWidth="1"/>
    <col min="42" max="59" width="18.28515625" bestFit="1" customWidth="1"/>
  </cols>
  <sheetData>
    <row r="1" spans="1:59" ht="15.75" x14ac:dyDescent="0.25">
      <c r="A1" s="353" t="s">
        <v>584</v>
      </c>
      <c r="B1" s="338"/>
      <c r="C1" s="338"/>
      <c r="D1" s="338"/>
    </row>
    <row r="2" spans="1:59" x14ac:dyDescent="0.25">
      <c r="A2" s="8"/>
      <c r="B2" s="8"/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67" t="s">
        <v>291</v>
      </c>
      <c r="D3" s="68" t="s">
        <v>168</v>
      </c>
      <c r="E3" s="81">
        <f>Examples!E3</f>
        <v>21097.81</v>
      </c>
      <c r="F3" s="81" t="str">
        <f>Examples!F3</f>
        <v>0333-01-27 12:00:00</v>
      </c>
      <c r="G3" s="81">
        <f>Examples!G3</f>
        <v>36526.5</v>
      </c>
      <c r="H3" s="81">
        <f>Examples!H3</f>
        <v>36161</v>
      </c>
      <c r="I3" s="81">
        <f>Examples!I3</f>
        <v>31804</v>
      </c>
      <c r="J3" s="81">
        <f>Examples!J3</f>
        <v>31947.5</v>
      </c>
      <c r="K3" s="81">
        <f>Examples!K3</f>
        <v>32169</v>
      </c>
      <c r="L3" s="81">
        <f>Examples!L3</f>
        <v>32313.5</v>
      </c>
      <c r="M3" s="81">
        <f>Examples!M3</f>
        <v>1.000011574074074</v>
      </c>
      <c r="N3" s="81" t="str">
        <f>Examples!N3</f>
        <v>1600-01-01</v>
      </c>
      <c r="O3" s="81" t="str">
        <f>Examples!O3</f>
        <v>1600-12-31</v>
      </c>
      <c r="P3" s="81" t="str">
        <f>Examples!P3</f>
        <v>0837-04-10 07:12</v>
      </c>
      <c r="Q3" s="81" t="str">
        <f>Examples!Q3</f>
        <v>-0123-12-31</v>
      </c>
      <c r="R3" s="81" t="str">
        <f>Examples!R3</f>
        <v>-0122-01-01</v>
      </c>
      <c r="S3" s="81" t="str">
        <f>Examples!S3</f>
        <v>-1000-07-12 12:00</v>
      </c>
      <c r="T3" s="81" t="str">
        <f>Examples!T3</f>
        <v>-1000-02-29</v>
      </c>
      <c r="U3" s="81" t="str">
        <f>Examples!U3</f>
        <v>-1001-08-17 21:36</v>
      </c>
      <c r="V3" s="81" t="str">
        <f>Examples!V3</f>
        <v>-4712-01-01 12:00</v>
      </c>
      <c r="W3" s="81">
        <f>Examples!W3</f>
        <v>31877</v>
      </c>
      <c r="X3" s="81">
        <f>Examples!X3</f>
        <v>33706</v>
      </c>
      <c r="Y3" s="81">
        <f>Examples!Y3</f>
        <v>28171</v>
      </c>
      <c r="Z3" s="81">
        <f>Examples!Z3</f>
        <v>52597</v>
      </c>
      <c r="AA3" s="81">
        <f>Examples!AA3</f>
        <v>36526</v>
      </c>
      <c r="AB3" s="81">
        <f>Examples!AB3</f>
        <v>19905</v>
      </c>
      <c r="AC3" s="81">
        <f>Examples!AC3</f>
        <v>28808</v>
      </c>
      <c r="AD3" s="81">
        <f>Examples!AD3</f>
        <v>32255</v>
      </c>
      <c r="AE3" s="81">
        <f>Examples!AE3</f>
        <v>28174.151157407407</v>
      </c>
      <c r="AF3" s="81">
        <f>Examples!AF3</f>
        <v>33958</v>
      </c>
      <c r="AG3" s="81">
        <f>Examples!AG3</f>
        <v>33890</v>
      </c>
      <c r="AH3" s="81">
        <f>Examples!AH3</f>
        <v>33298</v>
      </c>
      <c r="AI3" s="81">
        <f>Examples!AI3</f>
        <v>33695</v>
      </c>
      <c r="AJ3" s="81">
        <f>Examples!AJ3</f>
        <v>34090</v>
      </c>
      <c r="AK3" s="81" t="str">
        <f>Examples!AK3</f>
        <v>1818-01-01</v>
      </c>
      <c r="AL3" s="81">
        <f>Examples!AL3</f>
        <v>33136</v>
      </c>
      <c r="AM3" s="81" t="str">
        <f>Examples!AM3</f>
        <v>0622-07-16</v>
      </c>
      <c r="AN3" s="81">
        <f>Examples!AN3</f>
        <v>36622</v>
      </c>
      <c r="AO3" s="81" t="str">
        <f>Examples!AO3</f>
        <v>0001-01-03</v>
      </c>
      <c r="AP3" s="81">
        <f>Examples!AP3</f>
        <v>44829.57916666667</v>
      </c>
      <c r="AQ3" s="81">
        <f>Examples!AQ3</f>
        <v>44836.634722222225</v>
      </c>
      <c r="AR3" s="81">
        <f>Examples!AR3</f>
        <v>44843.537499999999</v>
      </c>
      <c r="AS3" s="81">
        <f>Examples!AS3</f>
        <v>44851.34375</v>
      </c>
      <c r="AT3" s="81">
        <f>Examples!AT3</f>
        <v>44866</v>
      </c>
      <c r="AU3" s="81">
        <f>Examples!AU3</f>
        <v>26816</v>
      </c>
      <c r="AV3" s="81">
        <f>Examples!AV3</f>
        <v>35674</v>
      </c>
      <c r="AW3" s="81">
        <f>Examples!AW3</f>
        <v>12789</v>
      </c>
      <c r="AX3" s="81">
        <f>Examples!AX3</f>
        <v>20925</v>
      </c>
      <c r="AY3" s="81">
        <f>Examples!AY3</f>
        <v>44896</v>
      </c>
      <c r="AZ3" s="81">
        <f>Examples!AZ3</f>
        <v>44897</v>
      </c>
      <c r="BA3" s="81">
        <f>Examples!BA3</f>
        <v>44898</v>
      </c>
      <c r="BB3" s="81">
        <f>Examples!BB3</f>
        <v>44899</v>
      </c>
      <c r="BC3" s="81">
        <f>Examples!BC3</f>
        <v>44900</v>
      </c>
      <c r="BD3" s="81">
        <f>Examples!BD3</f>
        <v>44901</v>
      </c>
      <c r="BE3" s="81">
        <f>Examples!BE3</f>
        <v>44902</v>
      </c>
      <c r="BF3" s="81">
        <f>Examples!BF3</f>
        <v>44903</v>
      </c>
      <c r="BG3" s="81">
        <f>Examples!BG3</f>
        <v>28174</v>
      </c>
    </row>
    <row r="4" spans="1:59" x14ac:dyDescent="0.25">
      <c r="A4" s="7"/>
      <c r="B4" s="7"/>
      <c r="C4" s="67"/>
      <c r="D4" s="53" t="s">
        <v>3</v>
      </c>
      <c r="E4" s="153">
        <f>Examples!E4</f>
        <v>2436116.31</v>
      </c>
      <c r="F4" s="153">
        <f>Examples!F4</f>
        <v>1842713</v>
      </c>
      <c r="G4" s="153">
        <f>Examples!G4</f>
        <v>2451545</v>
      </c>
      <c r="H4" s="153">
        <f>Examples!H4</f>
        <v>2451179.5</v>
      </c>
      <c r="I4" s="153">
        <f>Examples!I4</f>
        <v>2446822.5</v>
      </c>
      <c r="J4" s="153">
        <f>Examples!J4</f>
        <v>2446966</v>
      </c>
      <c r="K4" s="153">
        <f>Examples!K4</f>
        <v>2447187.5</v>
      </c>
      <c r="L4" s="153">
        <f>Examples!L4</f>
        <v>2447332</v>
      </c>
      <c r="M4" s="153">
        <f>Examples!M4</f>
        <v>2415020.500011574</v>
      </c>
      <c r="N4" s="153">
        <f>Examples!N4</f>
        <v>2305447.5</v>
      </c>
      <c r="O4" s="153">
        <f>Examples!O4</f>
        <v>2305812.5</v>
      </c>
      <c r="P4" s="153">
        <f>Examples!P4</f>
        <v>2026871.8</v>
      </c>
      <c r="Q4" s="153">
        <f>Examples!Q4</f>
        <v>1676496.5</v>
      </c>
      <c r="R4" s="153">
        <f>Examples!R4</f>
        <v>1676497.5</v>
      </c>
      <c r="S4" s="153">
        <f>Examples!S4</f>
        <v>1356001</v>
      </c>
      <c r="T4" s="153">
        <f>Examples!T4</f>
        <v>1355866.5</v>
      </c>
      <c r="U4" s="153">
        <f>Examples!U4</f>
        <v>1355671.4</v>
      </c>
      <c r="V4" s="153">
        <f>Examples!V4</f>
        <v>0</v>
      </c>
      <c r="W4" s="153">
        <f>Examples!W4</f>
        <v>2446895.5</v>
      </c>
      <c r="X4" s="153">
        <f>Examples!X4</f>
        <v>2448724.5</v>
      </c>
      <c r="Y4" s="153">
        <f>Examples!Y4</f>
        <v>2443189.5</v>
      </c>
      <c r="Z4" s="153">
        <f>Examples!Z4</f>
        <v>2467615.5</v>
      </c>
      <c r="AA4" s="153">
        <f>Examples!AA4</f>
        <v>2451544.5</v>
      </c>
      <c r="AB4" s="153">
        <f>Examples!AB4</f>
        <v>2434923.5</v>
      </c>
      <c r="AC4" s="153">
        <f>Examples!AC4</f>
        <v>2443826.5</v>
      </c>
      <c r="AD4" s="153">
        <f>Examples!AD4</f>
        <v>2447273.5</v>
      </c>
      <c r="AE4" s="153">
        <f>Examples!AE4</f>
        <v>2443192.6511574076</v>
      </c>
      <c r="AF4" s="153">
        <f>Examples!AF4</f>
        <v>2448976.5</v>
      </c>
      <c r="AG4" s="153">
        <f>Examples!AG4</f>
        <v>2448908.5</v>
      </c>
      <c r="AH4" s="153">
        <f>Examples!AH4</f>
        <v>2448316.5</v>
      </c>
      <c r="AI4" s="153">
        <f>Examples!AI4</f>
        <v>2448713.5</v>
      </c>
      <c r="AJ4" s="153">
        <f>Examples!AJ4</f>
        <v>2449108.5</v>
      </c>
      <c r="AK4" s="153">
        <f>Examples!AK4</f>
        <v>2385070.5</v>
      </c>
      <c r="AL4" s="153">
        <f>Examples!AL4</f>
        <v>2448154.5</v>
      </c>
      <c r="AM4" s="153">
        <f>Examples!AM4</f>
        <v>1948439.5</v>
      </c>
      <c r="AN4" s="153">
        <f>Examples!AN4</f>
        <v>2451640.5</v>
      </c>
      <c r="AO4" s="153">
        <f>Examples!AO4</f>
        <v>1721425.5</v>
      </c>
      <c r="AP4" s="153">
        <f>Examples!AP4</f>
        <v>2459848.0791666666</v>
      </c>
      <c r="AQ4" s="153">
        <f>Examples!AQ4</f>
        <v>2459855.1347222221</v>
      </c>
      <c r="AR4" s="153">
        <f>Examples!AR4</f>
        <v>2459862.0375000001</v>
      </c>
      <c r="AS4" s="153">
        <f>Examples!AS4</f>
        <v>2459869.84375</v>
      </c>
      <c r="AT4" s="153">
        <f>Examples!AT4</f>
        <v>2459884.5</v>
      </c>
      <c r="AU4" s="153">
        <f>Examples!AU4</f>
        <v>2441834.5</v>
      </c>
      <c r="AV4" s="153">
        <f>Examples!AV4</f>
        <v>2450692.5</v>
      </c>
      <c r="AW4" s="153">
        <f>Examples!AW4</f>
        <v>2427807.5</v>
      </c>
      <c r="AX4" s="153">
        <f>Examples!AX4</f>
        <v>2435943.5</v>
      </c>
      <c r="AY4" s="153">
        <f>Examples!AY4</f>
        <v>2459914.5</v>
      </c>
      <c r="AZ4" s="153">
        <f>Examples!AZ4</f>
        <v>2459915.5</v>
      </c>
      <c r="BA4" s="153">
        <f>Examples!BA4</f>
        <v>2459916.5</v>
      </c>
      <c r="BB4" s="153">
        <f>Examples!BB4</f>
        <v>2459917.5</v>
      </c>
      <c r="BC4" s="153">
        <f>Examples!BC4</f>
        <v>2459918.5</v>
      </c>
      <c r="BD4" s="153">
        <f>Examples!BD4</f>
        <v>2459919.5</v>
      </c>
      <c r="BE4" s="153">
        <f>Examples!BE4</f>
        <v>2459920.5</v>
      </c>
      <c r="BF4" s="153">
        <f>Examples!BF4</f>
        <v>2459921.5</v>
      </c>
      <c r="BG4" s="153">
        <f>Examples!BG4</f>
        <v>2443192.5</v>
      </c>
    </row>
    <row r="5" spans="1:59" x14ac:dyDescent="0.25">
      <c r="A5" s="7"/>
      <c r="B5" s="7"/>
      <c r="C5" s="67" t="s">
        <v>609</v>
      </c>
      <c r="D5" s="68"/>
      <c r="E5" s="88">
        <f>E3-4/24</f>
        <v>21097.643333333333</v>
      </c>
      <c r="F5" s="88" t="e">
        <f t="shared" ref="F5:AM5" si="0">F3-4/24</f>
        <v>#VALUE!</v>
      </c>
      <c r="G5" s="88">
        <f t="shared" si="0"/>
        <v>36526.333333333336</v>
      </c>
      <c r="H5" s="88">
        <f t="shared" si="0"/>
        <v>36160.833333333336</v>
      </c>
      <c r="I5" s="88">
        <f t="shared" si="0"/>
        <v>31803.833333333332</v>
      </c>
      <c r="J5" s="88">
        <f t="shared" si="0"/>
        <v>31947.333333333332</v>
      </c>
      <c r="K5" s="88">
        <f t="shared" si="0"/>
        <v>32168.833333333332</v>
      </c>
      <c r="L5" s="88">
        <f t="shared" si="0"/>
        <v>32313.333333333332</v>
      </c>
      <c r="M5" s="88">
        <f t="shared" si="0"/>
        <v>0.83334490740740741</v>
      </c>
      <c r="N5" s="88" t="e">
        <f t="shared" si="0"/>
        <v>#VALUE!</v>
      </c>
      <c r="O5" s="88" t="e">
        <f t="shared" si="0"/>
        <v>#VALUE!</v>
      </c>
      <c r="P5" s="88" t="e">
        <f t="shared" si="0"/>
        <v>#VALUE!</v>
      </c>
      <c r="Q5" s="88" t="e">
        <f t="shared" si="0"/>
        <v>#VALUE!</v>
      </c>
      <c r="R5" s="88" t="e">
        <f t="shared" si="0"/>
        <v>#VALUE!</v>
      </c>
      <c r="S5" s="88" t="e">
        <f t="shared" si="0"/>
        <v>#VALUE!</v>
      </c>
      <c r="T5" s="88" t="e">
        <f t="shared" si="0"/>
        <v>#VALUE!</v>
      </c>
      <c r="U5" s="88" t="e">
        <f t="shared" si="0"/>
        <v>#VALUE!</v>
      </c>
      <c r="V5" s="88" t="e">
        <f t="shared" si="0"/>
        <v>#VALUE!</v>
      </c>
      <c r="W5" s="88">
        <f t="shared" si="0"/>
        <v>31876.833333333332</v>
      </c>
      <c r="X5" s="88">
        <f t="shared" si="0"/>
        <v>33705.833333333336</v>
      </c>
      <c r="Y5" s="88">
        <f t="shared" si="0"/>
        <v>28170.833333333332</v>
      </c>
      <c r="Z5" s="88">
        <f t="shared" si="0"/>
        <v>52596.833333333336</v>
      </c>
      <c r="AA5" s="88">
        <f t="shared" si="0"/>
        <v>36525.833333333336</v>
      </c>
      <c r="AB5" s="88">
        <f t="shared" si="0"/>
        <v>19904.833333333332</v>
      </c>
      <c r="AC5" s="88">
        <f t="shared" si="0"/>
        <v>28807.833333333332</v>
      </c>
      <c r="AD5" s="88">
        <f t="shared" si="0"/>
        <v>32254.833333333332</v>
      </c>
      <c r="AE5" s="88">
        <f t="shared" si="0"/>
        <v>28173.984490740739</v>
      </c>
      <c r="AF5" s="88">
        <f t="shared" si="0"/>
        <v>33957.833333333336</v>
      </c>
      <c r="AG5" s="88">
        <f t="shared" si="0"/>
        <v>33889.833333333336</v>
      </c>
      <c r="AH5" s="88">
        <f t="shared" si="0"/>
        <v>33297.833333333336</v>
      </c>
      <c r="AI5" s="88">
        <f t="shared" si="0"/>
        <v>33694.833333333336</v>
      </c>
      <c r="AJ5" s="88">
        <f t="shared" si="0"/>
        <v>34089.833333333336</v>
      </c>
      <c r="AK5" s="88" t="e">
        <f t="shared" si="0"/>
        <v>#VALUE!</v>
      </c>
      <c r="AL5" s="88">
        <f t="shared" si="0"/>
        <v>33135.833333333336</v>
      </c>
      <c r="AM5" s="88" t="e">
        <f t="shared" si="0"/>
        <v>#VALUE!</v>
      </c>
      <c r="AN5" s="88">
        <f t="shared" ref="AN5:BG5" si="1">AN3-4/24</f>
        <v>36621.833333333336</v>
      </c>
      <c r="AO5" s="88" t="e">
        <f t="shared" si="1"/>
        <v>#VALUE!</v>
      </c>
      <c r="AP5" s="88">
        <f t="shared" si="1"/>
        <v>44829.412500000006</v>
      </c>
      <c r="AQ5" s="88">
        <f t="shared" si="1"/>
        <v>44836.468055555561</v>
      </c>
      <c r="AR5" s="88">
        <f t="shared" si="1"/>
        <v>44843.370833333334</v>
      </c>
      <c r="AS5" s="88">
        <f t="shared" si="1"/>
        <v>44851.177083333336</v>
      </c>
      <c r="AT5" s="88">
        <f t="shared" si="1"/>
        <v>44865.833333333336</v>
      </c>
      <c r="AU5" s="88">
        <f t="shared" si="1"/>
        <v>26815.833333333332</v>
      </c>
      <c r="AV5" s="88">
        <f t="shared" si="1"/>
        <v>35673.833333333336</v>
      </c>
      <c r="AW5" s="88">
        <f t="shared" si="1"/>
        <v>12788.833333333334</v>
      </c>
      <c r="AX5" s="88">
        <f t="shared" si="1"/>
        <v>20924.833333333332</v>
      </c>
      <c r="AY5" s="88">
        <f t="shared" si="1"/>
        <v>44895.833333333336</v>
      </c>
      <c r="AZ5" s="88">
        <f t="shared" si="1"/>
        <v>44896.833333333336</v>
      </c>
      <c r="BA5" s="88">
        <f t="shared" si="1"/>
        <v>44897.833333333336</v>
      </c>
      <c r="BB5" s="88">
        <f t="shared" si="1"/>
        <v>44898.833333333336</v>
      </c>
      <c r="BC5" s="88">
        <f t="shared" si="1"/>
        <v>44899.833333333336</v>
      </c>
      <c r="BD5" s="88">
        <f t="shared" si="1"/>
        <v>44900.833333333336</v>
      </c>
      <c r="BE5" s="88">
        <f t="shared" si="1"/>
        <v>44901.833333333336</v>
      </c>
      <c r="BF5" s="88">
        <f t="shared" si="1"/>
        <v>44902.833333333336</v>
      </c>
      <c r="BG5" s="88">
        <f t="shared" si="1"/>
        <v>28173.833333333332</v>
      </c>
    </row>
    <row r="7" spans="1:59" x14ac:dyDescent="0.25">
      <c r="C7" t="s">
        <v>603</v>
      </c>
      <c r="D7" t="s">
        <v>604</v>
      </c>
      <c r="E7" s="39">
        <f>E4-Lookups!$N$11</f>
        <v>-15433.950254629366</v>
      </c>
      <c r="F7" s="39">
        <f>F4-Lookups!$N$11</f>
        <v>-608837.26025462942</v>
      </c>
      <c r="G7" s="39">
        <f>G4-Lookups!$N$11</f>
        <v>-5.2602546294219792</v>
      </c>
      <c r="H7" s="39">
        <f>H4-Lookups!$N$11</f>
        <v>-370.76025462942198</v>
      </c>
      <c r="I7" s="39">
        <f>I4-Lookups!$N$11</f>
        <v>-4727.760254629422</v>
      </c>
      <c r="J7" s="39">
        <f>J4-Lookups!$N$11</f>
        <v>-4584.260254629422</v>
      </c>
      <c r="K7" s="39">
        <f>K4-Lookups!$N$11</f>
        <v>-4362.760254629422</v>
      </c>
      <c r="L7" s="39">
        <f>L4-Lookups!$N$11</f>
        <v>-4218.260254629422</v>
      </c>
      <c r="M7" s="39">
        <f>M4-Lookups!$N$11</f>
        <v>-36529.760243055411</v>
      </c>
      <c r="N7" s="39">
        <f>N4-Lookups!$N$11</f>
        <v>-146102.76025462942</v>
      </c>
      <c r="O7" s="39">
        <f>O4-Lookups!$N$11</f>
        <v>-145737.76025462942</v>
      </c>
      <c r="P7" s="39">
        <f>P4-Lookups!$N$11</f>
        <v>-424678.46025462938</v>
      </c>
      <c r="Q7" s="39">
        <f>Q4-Lookups!$N$11</f>
        <v>-775053.76025462942</v>
      </c>
      <c r="R7" s="39">
        <f>R4-Lookups!$N$11</f>
        <v>-775052.76025462942</v>
      </c>
      <c r="S7" s="39">
        <f>S4-Lookups!$N$11</f>
        <v>-1095549.2602546294</v>
      </c>
      <c r="T7" s="39">
        <f>T4-Lookups!$N$11</f>
        <v>-1095683.7602546294</v>
      </c>
      <c r="U7" s="39">
        <f>U4-Lookups!$N$11</f>
        <v>-1095878.8602546295</v>
      </c>
      <c r="V7" s="39">
        <f>V4-Lookups!$N$11</f>
        <v>-2451550.2602546294</v>
      </c>
      <c r="W7" s="39">
        <f>W4-Lookups!$N$11</f>
        <v>-4654.760254629422</v>
      </c>
      <c r="X7" s="39">
        <f>X4-Lookups!$N$11</f>
        <v>-2825.760254629422</v>
      </c>
      <c r="Y7" s="39">
        <f>Y4-Lookups!$N$11</f>
        <v>-8360.760254629422</v>
      </c>
      <c r="Z7" s="39">
        <f>Z4-Lookups!$N$11</f>
        <v>16065.239745370578</v>
      </c>
      <c r="AA7" s="39">
        <f>AA4-Lookups!$N$11</f>
        <v>-5.7602546294219792</v>
      </c>
      <c r="AB7" s="39">
        <f>AB4-Lookups!$N$11</f>
        <v>-16626.760254629422</v>
      </c>
      <c r="AC7" s="39">
        <f>AC4-Lookups!$N$11</f>
        <v>-7723.760254629422</v>
      </c>
      <c r="AD7" s="39">
        <f>AD4-Lookups!$N$11</f>
        <v>-4276.760254629422</v>
      </c>
      <c r="AE7" s="39">
        <f>AE4-Lookups!$N$11</f>
        <v>-8357.6090972218663</v>
      </c>
      <c r="AF7" s="39">
        <f>AF4-Lookups!$N$11</f>
        <v>-2573.760254629422</v>
      </c>
      <c r="AG7" s="39">
        <f>AG4-Lookups!$N$11</f>
        <v>-2641.760254629422</v>
      </c>
      <c r="AH7" s="39">
        <f>AH4-Lookups!$N$11</f>
        <v>-3233.760254629422</v>
      </c>
      <c r="AI7" s="39">
        <f>AI4-Lookups!$N$11</f>
        <v>-2836.760254629422</v>
      </c>
      <c r="AJ7" s="39">
        <f>AJ4-Lookups!$N$11</f>
        <v>-2441.760254629422</v>
      </c>
      <c r="AK7" s="39">
        <f>AK4-Lookups!$N$11</f>
        <v>-66479.760254629422</v>
      </c>
      <c r="AL7" s="39">
        <f>AL4-Lookups!$N$11</f>
        <v>-3395.760254629422</v>
      </c>
      <c r="AM7" s="39">
        <f>AM4-Lookups!$N$11</f>
        <v>-503110.76025462942</v>
      </c>
      <c r="AN7" s="39">
        <f>AN4-Lookups!$N$11</f>
        <v>90.239745370578021</v>
      </c>
      <c r="AO7" s="39">
        <f>AO4-Lookups!$N$11</f>
        <v>-730124.76025462942</v>
      </c>
      <c r="AP7" s="39">
        <f>AP4-Lookups!$N$11</f>
        <v>8297.8189120371826</v>
      </c>
      <c r="AQ7" s="39">
        <f>AQ4-Lookups!$N$11</f>
        <v>8304.8744675926864</v>
      </c>
      <c r="AR7" s="39">
        <f>AR4-Lookups!$N$11</f>
        <v>8311.7772453706712</v>
      </c>
      <c r="AS7" s="39">
        <f>AS4-Lookups!$N$11</f>
        <v>8319.583495370578</v>
      </c>
      <c r="AT7" s="39">
        <f>AT4-Lookups!$N$11</f>
        <v>8334.239745370578</v>
      </c>
      <c r="AU7" s="39">
        <f>AU4-Lookups!$N$11</f>
        <v>-9715.760254629422</v>
      </c>
      <c r="AV7" s="39">
        <f>AV4-Lookups!$N$11</f>
        <v>-857.76025462942198</v>
      </c>
      <c r="AW7" s="39">
        <f>AW4-Lookups!$N$11</f>
        <v>-23742.760254629422</v>
      </c>
      <c r="AX7" s="39">
        <f>AX4-Lookups!$N$11</f>
        <v>-15606.760254629422</v>
      </c>
      <c r="AY7" s="39">
        <f>AY4-Lookups!$N$11</f>
        <v>8364.239745370578</v>
      </c>
      <c r="AZ7" s="39">
        <f>AZ4-Lookups!$N$11</f>
        <v>8365.239745370578</v>
      </c>
      <c r="BA7" s="39">
        <f>BA4-Lookups!$N$11</f>
        <v>8366.239745370578</v>
      </c>
      <c r="BB7" s="39">
        <f>BB4-Lookups!$N$11</f>
        <v>8367.239745370578</v>
      </c>
      <c r="BC7" s="39">
        <f>BC4-Lookups!$N$11</f>
        <v>8368.239745370578</v>
      </c>
      <c r="BD7" s="39">
        <f>BD4-Lookups!$N$11</f>
        <v>8369.239745370578</v>
      </c>
      <c r="BE7" s="39">
        <f>BE4-Lookups!$N$11</f>
        <v>8370.239745370578</v>
      </c>
      <c r="BF7" s="39">
        <f>BF4-Lookups!$N$11</f>
        <v>8371.239745370578</v>
      </c>
      <c r="BG7" s="39">
        <f>BG4-Lookups!$N$11</f>
        <v>-8357.760254629422</v>
      </c>
    </row>
    <row r="8" spans="1:59" x14ac:dyDescent="0.25">
      <c r="A8" s="148"/>
      <c r="C8" t="s">
        <v>591</v>
      </c>
      <c r="D8" t="s">
        <v>590</v>
      </c>
      <c r="E8">
        <f>E7*24*60*60</f>
        <v>-1333493301.9999771</v>
      </c>
      <c r="F8">
        <f t="shared" ref="F8:AM8" si="2">F7*24*60*60</f>
        <v>-52603539285.999985</v>
      </c>
      <c r="G8">
        <f t="shared" si="2"/>
        <v>-454485.999982059</v>
      </c>
      <c r="H8">
        <f t="shared" si="2"/>
        <v>-32033685.999982059</v>
      </c>
      <c r="I8">
        <f t="shared" si="2"/>
        <v>-408478485.99998206</v>
      </c>
      <c r="J8">
        <f t="shared" si="2"/>
        <v>-396080085.99998206</v>
      </c>
      <c r="K8">
        <f t="shared" si="2"/>
        <v>-376942485.99998206</v>
      </c>
      <c r="L8">
        <f t="shared" si="2"/>
        <v>-364457685.99998206</v>
      </c>
      <c r="M8">
        <f t="shared" si="2"/>
        <v>-3156171284.9999876</v>
      </c>
      <c r="N8">
        <f t="shared" si="2"/>
        <v>-12623278485.999981</v>
      </c>
      <c r="O8">
        <f t="shared" si="2"/>
        <v>-12591742485.999981</v>
      </c>
      <c r="P8">
        <f t="shared" si="2"/>
        <v>-36692218965.999977</v>
      </c>
      <c r="Q8">
        <f t="shared" si="2"/>
        <v>-66964644885.999985</v>
      </c>
      <c r="R8">
        <f t="shared" si="2"/>
        <v>-66964558485.999985</v>
      </c>
      <c r="S8">
        <f t="shared" si="2"/>
        <v>-94655456085.999985</v>
      </c>
      <c r="T8">
        <f t="shared" si="2"/>
        <v>-94667076885.999985</v>
      </c>
      <c r="U8">
        <f t="shared" si="2"/>
        <v>-94683933525.999985</v>
      </c>
      <c r="V8">
        <f t="shared" si="2"/>
        <v>-211813942486</v>
      </c>
      <c r="W8">
        <f t="shared" si="2"/>
        <v>-402171285.99998206</v>
      </c>
      <c r="X8">
        <f t="shared" si="2"/>
        <v>-244145685.99998206</v>
      </c>
      <c r="Y8">
        <f t="shared" si="2"/>
        <v>-722369685.99998212</v>
      </c>
      <c r="Z8">
        <f t="shared" si="2"/>
        <v>1388036714.0000179</v>
      </c>
      <c r="AA8">
        <f t="shared" si="2"/>
        <v>-497685.999982059</v>
      </c>
      <c r="AB8">
        <f t="shared" si="2"/>
        <v>-1436552085.9999821</v>
      </c>
      <c r="AC8">
        <f t="shared" si="2"/>
        <v>-667332885.99998212</v>
      </c>
      <c r="AD8">
        <f t="shared" si="2"/>
        <v>-369512085.99998206</v>
      </c>
      <c r="AE8">
        <f t="shared" si="2"/>
        <v>-722097425.99996924</v>
      </c>
      <c r="AF8">
        <f t="shared" si="2"/>
        <v>-222372885.99998206</v>
      </c>
      <c r="AG8">
        <f t="shared" si="2"/>
        <v>-228248085.99998206</v>
      </c>
      <c r="AH8">
        <f t="shared" si="2"/>
        <v>-279396885.99998206</v>
      </c>
      <c r="AI8">
        <f t="shared" si="2"/>
        <v>-245096085.99998206</v>
      </c>
      <c r="AJ8">
        <f t="shared" si="2"/>
        <v>-210968085.99998206</v>
      </c>
      <c r="AK8">
        <f t="shared" si="2"/>
        <v>-5743851285.9999819</v>
      </c>
      <c r="AL8">
        <f t="shared" si="2"/>
        <v>-293393685.99998206</v>
      </c>
      <c r="AM8">
        <f t="shared" si="2"/>
        <v>-43468769685.999985</v>
      </c>
      <c r="AN8">
        <f t="shared" ref="AN8" si="3">AN7*24*60*60</f>
        <v>7796714.000017941</v>
      </c>
      <c r="AO8">
        <f t="shared" ref="AO8" si="4">AO7*24*60*60</f>
        <v>-63082779285.999985</v>
      </c>
      <c r="AP8">
        <f t="shared" ref="AP8" si="5">AP7*24*60*60</f>
        <v>716931554.00001264</v>
      </c>
      <c r="AQ8">
        <f t="shared" ref="AQ8" si="6">AQ7*24*60*60</f>
        <v>717541154.00000811</v>
      </c>
      <c r="AR8">
        <f t="shared" ref="AR8" si="7">AR7*24*60*60</f>
        <v>718137554.00002599</v>
      </c>
      <c r="AS8">
        <f t="shared" ref="AS8" si="8">AS7*24*60*60</f>
        <v>718812014.00001788</v>
      </c>
      <c r="AT8">
        <f t="shared" ref="AT8" si="9">AT7*24*60*60</f>
        <v>720078314.00001788</v>
      </c>
      <c r="AU8">
        <f t="shared" ref="AU8" si="10">AU7*24*60*60</f>
        <v>-839441685.99998212</v>
      </c>
      <c r="AV8">
        <f t="shared" ref="AV8" si="11">AV7*24*60*60</f>
        <v>-74110485.999982059</v>
      </c>
      <c r="AW8">
        <f t="shared" ref="AW8" si="12">AW7*24*60*60</f>
        <v>-2051374485.9999821</v>
      </c>
      <c r="AX8">
        <f t="shared" ref="AX8" si="13">AX7*24*60*60</f>
        <v>-1348424085.9999821</v>
      </c>
      <c r="AY8">
        <f t="shared" ref="AY8" si="14">AY7*24*60*60</f>
        <v>722670314.00001788</v>
      </c>
      <c r="AZ8">
        <f t="shared" ref="AZ8" si="15">AZ7*24*60*60</f>
        <v>722756714.00001788</v>
      </c>
      <c r="BA8">
        <f t="shared" ref="BA8" si="16">BA7*24*60*60</f>
        <v>722843114.00001788</v>
      </c>
      <c r="BB8">
        <f t="shared" ref="BB8" si="17">BB7*24*60*60</f>
        <v>722929514.00001788</v>
      </c>
      <c r="BC8">
        <f t="shared" ref="BC8" si="18">BC7*24*60*60</f>
        <v>723015914.00001788</v>
      </c>
      <c r="BD8">
        <f t="shared" ref="BD8" si="19">BD7*24*60*60</f>
        <v>723102314.00001788</v>
      </c>
      <c r="BE8">
        <f t="shared" ref="BE8" si="20">BE7*24*60*60</f>
        <v>723188714.00001788</v>
      </c>
      <c r="BF8">
        <f t="shared" ref="BF8" si="21">BF7*24*60*60</f>
        <v>723275114.00001788</v>
      </c>
      <c r="BG8">
        <f t="shared" ref="BG8" si="22">BG7*24*60*60</f>
        <v>-722110485.99998212</v>
      </c>
    </row>
    <row r="9" spans="1:59" x14ac:dyDescent="0.25">
      <c r="C9" t="s">
        <v>605</v>
      </c>
      <c r="D9" t="s">
        <v>592</v>
      </c>
      <c r="E9" s="39">
        <f>MOD(E8,Lookups!$N$9)</f>
        <v>911270.77774110669</v>
      </c>
      <c r="F9" s="39">
        <f>MOD(F8,Lookups!$N$9)</f>
        <v>2107906.219889502</v>
      </c>
      <c r="G9" s="39">
        <f>MOD(G8,Lookups!$N$9)</f>
        <v>2096956.7777956049</v>
      </c>
      <c r="H9" s="39">
        <f>MOD(H8,Lookups!$N$9)</f>
        <v>1135070.1111275717</v>
      </c>
      <c r="I9" s="39">
        <f>MOD(I8,Lookups!$N$9)</f>
        <v>2303801.2222218285</v>
      </c>
      <c r="J9" s="39">
        <f>MOD(J8,Lookups!$N$9)</f>
        <v>1944987.333333509</v>
      </c>
      <c r="K9" s="39">
        <f>MOD(K8,Lookups!$N$9)</f>
        <v>671045.11111219786</v>
      </c>
      <c r="L9" s="39">
        <f>MOD(L8,Lookups!$N$9)</f>
        <v>398631.22222387837</v>
      </c>
      <c r="M9" s="39">
        <f>MOD(M8,Lookups!$N$9)</f>
        <v>2514873.8887603031</v>
      </c>
      <c r="N9" s="39">
        <f>MOD(N8,Lookups!$N$9)</f>
        <v>1260378.4439000394</v>
      </c>
      <c r="O9" s="39">
        <f>MOD(O8,Lookups!$N$9)</f>
        <v>2179065.1105680726</v>
      </c>
      <c r="P9" s="39">
        <f>MOD(P8,Lookups!$N$9)</f>
        <v>79621.220607401337</v>
      </c>
      <c r="Q9" s="39">
        <f>MOD(Q8,Lookups!$N$9)</f>
        <v>522259.55258191843</v>
      </c>
      <c r="R9" s="39">
        <f>MOD(R8,Lookups!$N$9)</f>
        <v>608659.55258191843</v>
      </c>
      <c r="S9" s="39">
        <f>MOD(S8,Lookups!$N$9)</f>
        <v>519526.77356820041</v>
      </c>
      <c r="T9" s="39">
        <f>MOD(T8,Lookups!$N$9)</f>
        <v>1655940.6624565199</v>
      </c>
      <c r="U9" s="39">
        <f>MOD(U8,Lookups!$N$9)</f>
        <v>107957.32912250329</v>
      </c>
      <c r="V9" s="39">
        <f>MOD(V8,Lookups!$N$9)</f>
        <v>1734039.5461014612</v>
      </c>
      <c r="W9" s="39">
        <f>MOD(W8,Lookups!$N$9)</f>
        <v>956672.88888883684</v>
      </c>
      <c r="X9" s="39">
        <f>MOD(X8,Lookups!$N$9)</f>
        <v>792820.66667367518</v>
      </c>
      <c r="Y9" s="39">
        <f>MOD(Y8,Lookups!$N$9)</f>
        <v>2240062.8888744283</v>
      </c>
      <c r="Z9" s="39">
        <f>MOD(Z8,Lookups!$N$9)</f>
        <v>51842.888968721032</v>
      </c>
      <c r="AA9" s="39">
        <f>MOD(AA8,Lookups!$N$9)</f>
        <v>2053756.7777956049</v>
      </c>
      <c r="AB9" s="39">
        <f>MOD(AB8,Lookups!$N$9)</f>
        <v>2461640.6666203197</v>
      </c>
      <c r="AC9" s="39">
        <f>MOD(AC8,Lookups!$N$9)</f>
        <v>1145121.7777658226</v>
      </c>
      <c r="AD9" s="39">
        <f>MOD(AD8,Lookups!$N$9)</f>
        <v>447116.77777920617</v>
      </c>
      <c r="AE9" s="39">
        <f>MOD(AE8,Lookups!$N$9)</f>
        <v>2512322.888887303</v>
      </c>
      <c r="AF9" s="39">
        <f>MOD(AF8,Lookups!$N$9)</f>
        <v>2154078.444452364</v>
      </c>
      <c r="AG9" s="39">
        <f>MOD(AG8,Lookups!$N$9)</f>
        <v>1381764.0000076918</v>
      </c>
      <c r="AH9" s="39">
        <f>MOD(AH8,Lookups!$N$9)</f>
        <v>1261819.5555609697</v>
      </c>
      <c r="AI9" s="39">
        <f>MOD(AI8,Lookups!$N$9)</f>
        <v>2393863.4444513391</v>
      </c>
      <c r="AJ9" s="39">
        <f>MOD(AJ8,Lookups!$N$9)</f>
        <v>801664.55556404451</v>
      </c>
      <c r="AK9" s="39">
        <f>MOD(AK8,Lookups!$N$9)</f>
        <v>1997849.5553172175</v>
      </c>
      <c r="AL9" s="39">
        <f>MOD(AL8,Lookups!$N$9)</f>
        <v>22233.444449289236</v>
      </c>
      <c r="AM9" s="39">
        <f>MOD(AM8,Lookups!$N$9)</f>
        <v>160918.9980750843</v>
      </c>
      <c r="AN9" s="39">
        <f>MOD(AN8,Lookups!$N$9)</f>
        <v>142385.6666849493</v>
      </c>
      <c r="AO9" s="39">
        <f>MOD(AO8,Lookups!$N$9)</f>
        <v>1643394.55275513</v>
      </c>
      <c r="AP9" s="39">
        <f>MOD(AP8,Lookups!$N$9)</f>
        <v>2527576.2222667448</v>
      </c>
      <c r="AQ9" s="39">
        <f>MOD(AQ8,Lookups!$N$9)</f>
        <v>585733.44448455097</v>
      </c>
      <c r="AR9" s="39">
        <f>MOD(AR8,Lookups!$N$9)</f>
        <v>1182133.4445024324</v>
      </c>
      <c r="AS9" s="39">
        <f>MOD(AS8,Lookups!$N$9)</f>
        <v>1856593.4444943261</v>
      </c>
      <c r="AT9" s="39">
        <f>MOD(AT8,Lookups!$N$9)</f>
        <v>571450.66671666224</v>
      </c>
      <c r="AU9" s="39">
        <f>MOD(AU8,Lookups!$N$9)</f>
        <v>2534430.6666469676</v>
      </c>
      <c r="AV9" s="39">
        <f>MOD(AV8,Lookups!$N$9)</f>
        <v>2432797.3333478579</v>
      </c>
      <c r="AW9" s="39">
        <f>MOD(AW8,Lookups!$N$9)</f>
        <v>2536950.1110373191</v>
      </c>
      <c r="AX9" s="39">
        <f>MOD(AX8,Lookups!$N$9)</f>
        <v>1289143.4444020833</v>
      </c>
      <c r="AY9" s="39">
        <f>MOD(AY8,Lookups!$N$9)</f>
        <v>612007.88893899834</v>
      </c>
      <c r="AZ9" s="39">
        <f>MOD(AZ8,Lookups!$N$9)</f>
        <v>698407.88893899834</v>
      </c>
      <c r="BA9" s="39">
        <f>MOD(BA8,Lookups!$N$9)</f>
        <v>784807.88893899834</v>
      </c>
      <c r="BB9" s="39">
        <f>MOD(BB8,Lookups!$N$9)</f>
        <v>871207.88893899834</v>
      </c>
      <c r="BC9" s="39">
        <f>MOD(BC8,Lookups!$N$9)</f>
        <v>957607.88893899834</v>
      </c>
      <c r="BD9" s="39">
        <f>MOD(BD8,Lookups!$N$9)</f>
        <v>1044007.8889389983</v>
      </c>
      <c r="BE9" s="39">
        <f>MOD(BE8,Lookups!$N$9)</f>
        <v>1130407.8889389983</v>
      </c>
      <c r="BF9" s="39">
        <f>MOD(BF8,Lookups!$N$9)</f>
        <v>1216807.8889389983</v>
      </c>
      <c r="BG9" s="39">
        <f>MOD(BG8,Lookups!$N$9)</f>
        <v>2499262.8888744283</v>
      </c>
    </row>
    <row r="11" spans="1:59" x14ac:dyDescent="0.25">
      <c r="C11" t="s">
        <v>608</v>
      </c>
      <c r="D11" t="s">
        <v>607</v>
      </c>
      <c r="E11">
        <f>E9/Lookups!$N$9</f>
        <v>0.35715901045401222</v>
      </c>
      <c r="F11">
        <f>F9/Lookups!$N$9</f>
        <v>0.82616245139760203</v>
      </c>
      <c r="G11">
        <f>G9/Lookups!$N$9</f>
        <v>0.82187098063084074</v>
      </c>
      <c r="H11">
        <f>H9/Lookups!$N$9</f>
        <v>0.44487382629691224</v>
      </c>
      <c r="I11">
        <f>I9/Lookups!$N$9</f>
        <v>0.90294058024239365</v>
      </c>
      <c r="J11">
        <f>J9/Lookups!$N$9</f>
        <v>0.76230882004244493</v>
      </c>
      <c r="K11">
        <f>K9/Lookups!$N$9</f>
        <v>0.26300613792196659</v>
      </c>
      <c r="L11">
        <f>L9/Lookups!$N$9</f>
        <v>0.15623757103072905</v>
      </c>
      <c r="M11">
        <f>M9/Lookups!$N$9</f>
        <v>0.98566736854305914</v>
      </c>
      <c r="N11">
        <f>N9/Lookups!$N$9</f>
        <v>0.49398656120277312</v>
      </c>
      <c r="O11">
        <f>O9/Lookups!$N$9</f>
        <v>0.854052118882346</v>
      </c>
      <c r="P11">
        <f>P9/Lookups!$N$9</f>
        <v>3.1206351677129259E-2</v>
      </c>
      <c r="Q11">
        <f>Q9/Lookups!$N$9</f>
        <v>0.20469185400928824</v>
      </c>
      <c r="R11">
        <f>R9/Lookups!$N$9</f>
        <v>0.2385550473179994</v>
      </c>
      <c r="S11">
        <f>S9/Lookups!$N$9</f>
        <v>0.20362078197211783</v>
      </c>
      <c r="T11">
        <f>T9/Lookups!$N$9</f>
        <v>0.64902128195046704</v>
      </c>
      <c r="U11">
        <f>U9/Lookups!$N$9</f>
        <v>4.2312267420919925E-2</v>
      </c>
      <c r="V11">
        <f>V9/Lookups!$N$9</f>
        <v>0.67963097632619829</v>
      </c>
      <c r="W11">
        <f>W9/Lookups!$N$9</f>
        <v>0.37495369177830828</v>
      </c>
      <c r="X11">
        <f>X9/Lookups!$N$9</f>
        <v>0.31073425341101757</v>
      </c>
      <c r="Y11">
        <f>Y9/Lookups!$N$9</f>
        <v>0.87795928969473069</v>
      </c>
      <c r="Z11">
        <f>Z9/Lookups!$N$9</f>
        <v>2.031904827349363E-2</v>
      </c>
      <c r="AA11">
        <f>AA9/Lookups!$N$9</f>
        <v>0.80493938397648512</v>
      </c>
      <c r="AB11">
        <f>AB9/Lookups!$N$9</f>
        <v>0.96480339988829267</v>
      </c>
      <c r="AC11">
        <f>AC9/Lookups!$N$9</f>
        <v>0.4488134273437388</v>
      </c>
      <c r="AD11">
        <f>AD9/Lookups!$N$9</f>
        <v>0.17524076247112624</v>
      </c>
      <c r="AE11">
        <f>AE9/Lookups!$N$9</f>
        <v>0.98466754213299079</v>
      </c>
      <c r="AF11">
        <f>AF9/Lookups!$N$9</f>
        <v>0.8442589672062295</v>
      </c>
      <c r="AG11">
        <f>AG9/Lookups!$N$9</f>
        <v>0.54156182221387072</v>
      </c>
      <c r="AH11">
        <f>AH9/Lookups!$N$9</f>
        <v>0.49455138345686478</v>
      </c>
      <c r="AI11">
        <f>AI9/Lookups!$N$9</f>
        <v>0.93823912701519485</v>
      </c>
      <c r="AJ11">
        <f>AJ9/Lookups!$N$9</f>
        <v>0.31420048395610251</v>
      </c>
      <c r="AK11">
        <f>AK9/Lookups!$N$9</f>
        <v>0.78302738071099032</v>
      </c>
      <c r="AL11">
        <f>AL9/Lookups!$N$9</f>
        <v>8.71406744565709E-3</v>
      </c>
      <c r="AM11">
        <f>AM9/Lookups!$N$9</f>
        <v>6.3069804847924751E-2</v>
      </c>
      <c r="AN11">
        <f>AN9/Lookups!$N$9</f>
        <v>5.5805941612756399E-2</v>
      </c>
      <c r="AO11">
        <f>AO9/Lookups!$N$9</f>
        <v>0.64410402109293852</v>
      </c>
      <c r="AP11">
        <f>AP9/Lookups!$N$9</f>
        <v>0.99064585899445212</v>
      </c>
      <c r="AQ11">
        <f>AQ9/Lookups!$N$9</f>
        <v>0.22956950067080539</v>
      </c>
      <c r="AR11">
        <f>AR9/Lookups!$N$9</f>
        <v>0.46331959893377828</v>
      </c>
      <c r="AS11">
        <f>AS9/Lookups!$N$9</f>
        <v>0.7276641516967276</v>
      </c>
      <c r="AT11">
        <f>AT9/Lookups!$N$9</f>
        <v>0.22397157862752554</v>
      </c>
      <c r="AU11">
        <f>AU9/Lookups!$N$9</f>
        <v>0.99333235639111062</v>
      </c>
      <c r="AV11">
        <f>AV9/Lookups!$N$9</f>
        <v>0.9534986849545779</v>
      </c>
      <c r="AW11">
        <f>AW9/Lookups!$N$9</f>
        <v>0.99431981509968714</v>
      </c>
      <c r="AX11">
        <f>AX9/Lookups!$N$9</f>
        <v>0.50526057477367459</v>
      </c>
      <c r="AY11">
        <f>AY9/Lookups!$N$9</f>
        <v>0.23986737788886031</v>
      </c>
      <c r="AZ11">
        <f>AZ9/Lookups!$N$9</f>
        <v>0.27373057119757149</v>
      </c>
      <c r="BA11">
        <f>BA9/Lookups!$N$9</f>
        <v>0.30759376450628262</v>
      </c>
      <c r="BB11">
        <f>BB9/Lookups!$N$9</f>
        <v>0.3414569578149938</v>
      </c>
      <c r="BC11">
        <f>BC9/Lookups!$N$9</f>
        <v>0.37532015112370493</v>
      </c>
      <c r="BD11">
        <f>BD9/Lookups!$N$9</f>
        <v>0.40918334443241611</v>
      </c>
      <c r="BE11">
        <f>BE9/Lookups!$N$9</f>
        <v>0.44304653774112723</v>
      </c>
      <c r="BF11">
        <f>BF9/Lookups!$N$9</f>
        <v>0.47690973104983841</v>
      </c>
      <c r="BG11">
        <f>BG9/Lookups!$N$9</f>
        <v>0.97954886962086418</v>
      </c>
    </row>
    <row r="12" spans="1:59" x14ac:dyDescent="0.25">
      <c r="C12" t="s">
        <v>610</v>
      </c>
      <c r="D12" t="s">
        <v>611</v>
      </c>
      <c r="E12">
        <f>E11*Lookups!$N$8</f>
        <v>10.547115483114659</v>
      </c>
      <c r="F12">
        <f>F11*Lookups!$N$8</f>
        <v>24.39706273020257</v>
      </c>
      <c r="G12">
        <f>G11*Lookups!$N$8</f>
        <v>24.270333076338019</v>
      </c>
      <c r="H12">
        <f>H11*Lookups!$N$8</f>
        <v>13.137385545458006</v>
      </c>
      <c r="I12">
        <f>I11*Lookups!$N$8</f>
        <v>26.664365997937828</v>
      </c>
      <c r="J12">
        <f>J11*Lookups!$N$8</f>
        <v>22.511427469137836</v>
      </c>
      <c r="K12">
        <f>K11*Lookups!$N$8</f>
        <v>7.7667258230578451</v>
      </c>
      <c r="L12">
        <f>L11*Lookups!$N$8</f>
        <v>4.6137872942578522</v>
      </c>
      <c r="M12">
        <f>M11*Lookups!$N$8</f>
        <v>29.10733667546647</v>
      </c>
      <c r="N12">
        <f>N11*Lookups!$N$8</f>
        <v>14.587713471065271</v>
      </c>
      <c r="O12">
        <f>O11*Lookups!$N$8</f>
        <v>25.220661001945285</v>
      </c>
      <c r="P12">
        <f>P11*Lookups!$N$8</f>
        <v>0.92154190517825618</v>
      </c>
      <c r="Q12">
        <f>Q11*Lookups!$N$8</f>
        <v>6.0446707474759078</v>
      </c>
      <c r="R12">
        <f>R11*Lookups!$N$8</f>
        <v>7.0446707474759078</v>
      </c>
      <c r="S12">
        <f>S11*Lookups!$N$8</f>
        <v>6.0130413607430597</v>
      </c>
      <c r="T12">
        <f>T11*Lookups!$N$8</f>
        <v>19.165979889543056</v>
      </c>
      <c r="U12">
        <f>U11*Lookups!$N$8</f>
        <v>1.2495061241030472</v>
      </c>
      <c r="V12">
        <f>V11*Lookups!$N$8</f>
        <v>20.069902153952096</v>
      </c>
      <c r="W12">
        <f>W11*Lookups!$N$8</f>
        <v>11.072602880657834</v>
      </c>
      <c r="X12">
        <f>X11*Lookups!$N$8</f>
        <v>9.176165123537908</v>
      </c>
      <c r="Y12">
        <f>Y11*Lookups!$N$8</f>
        <v>25.926653806416994</v>
      </c>
      <c r="Z12">
        <f>Z11*Lookups!$N$8</f>
        <v>0.60003343713797486</v>
      </c>
      <c r="AA12">
        <f>AA11*Lookups!$N$8</f>
        <v>23.770333076338019</v>
      </c>
      <c r="AB12">
        <f>AB11*Lookups!$N$8</f>
        <v>28.491211419216665</v>
      </c>
      <c r="AC12">
        <f>AC11*Lookups!$N$8</f>
        <v>13.253724279697021</v>
      </c>
      <c r="AD12">
        <f>AD11*Lookups!$N$8</f>
        <v>5.1749627057778484</v>
      </c>
      <c r="AE12">
        <f>AE11*Lookups!$N$8</f>
        <v>29.077811213973412</v>
      </c>
      <c r="AF12">
        <f>AF11*Lookups!$N$8</f>
        <v>24.931463477457914</v>
      </c>
      <c r="AG12">
        <f>AG11*Lookups!$N$8</f>
        <v>15.992638888977913</v>
      </c>
      <c r="AH12">
        <f>AH11*Lookups!$N$8</f>
        <v>14.60439300417789</v>
      </c>
      <c r="AI12">
        <f>AI11*Lookups!$N$8</f>
        <v>27.706752829297908</v>
      </c>
      <c r="AJ12">
        <f>AJ11*Lookups!$N$8</f>
        <v>9.2785249486579229</v>
      </c>
      <c r="AK12">
        <f>AK11*Lookups!$N$8</f>
        <v>23.123258742097423</v>
      </c>
      <c r="AL12">
        <f>AL11*Lookups!$N$8</f>
        <v>0.25733153297788469</v>
      </c>
      <c r="AM12">
        <f>AM11*Lookups!$N$8</f>
        <v>1.862488403646809</v>
      </c>
      <c r="AN12">
        <f>AN11*Lookups!$N$8</f>
        <v>1.6479822532980244</v>
      </c>
      <c r="AO12">
        <f>AO11*Lookups!$N$8</f>
        <v>19.02077028651771</v>
      </c>
      <c r="AP12">
        <f>AP11*Lookups!$N$8</f>
        <v>29.254354424383621</v>
      </c>
      <c r="AQ12">
        <f>AQ11*Lookups!$N$8</f>
        <v>6.7793222741267476</v>
      </c>
      <c r="AR12">
        <f>AR11*Lookups!$N$8</f>
        <v>13.682100052111487</v>
      </c>
      <c r="AS12">
        <f>AS11*Lookups!$N$8</f>
        <v>21.488350052017662</v>
      </c>
      <c r="AT12">
        <f>AT11*Lookups!$N$8</f>
        <v>6.6140123462576641</v>
      </c>
      <c r="AU12">
        <f>AU11*Lookups!$N$8</f>
        <v>29.333688271376939</v>
      </c>
      <c r="AV12">
        <f>AV11*Lookups!$N$8</f>
        <v>28.157376543377985</v>
      </c>
      <c r="AW12">
        <f>AW11*Lookups!$N$8</f>
        <v>29.362848507376377</v>
      </c>
      <c r="AX12">
        <f>AX11*Lookups!$N$8</f>
        <v>14.920641717616705</v>
      </c>
      <c r="AY12">
        <f>AY11*Lookups!$N$8</f>
        <v>7.0834246404976664</v>
      </c>
      <c r="AZ12">
        <f>AZ11*Lookups!$N$8</f>
        <v>8.0834246404976664</v>
      </c>
      <c r="BA12">
        <f>BA11*Lookups!$N$8</f>
        <v>9.0834246404976664</v>
      </c>
      <c r="BB12">
        <f>BB11*Lookups!$N$8</f>
        <v>10.083424640497666</v>
      </c>
      <c r="BC12">
        <f>BC11*Lookups!$N$8</f>
        <v>11.083424640497665</v>
      </c>
      <c r="BD12">
        <f>BD11*Lookups!$N$8</f>
        <v>12.083424640497666</v>
      </c>
      <c r="BE12">
        <f>BE11*Lookups!$N$8</f>
        <v>13.083424640497665</v>
      </c>
      <c r="BF12">
        <f>BF11*Lookups!$N$8</f>
        <v>14.083424640497666</v>
      </c>
      <c r="BG12">
        <f>BG11*Lookups!$N$8</f>
        <v>28.926653806416997</v>
      </c>
    </row>
    <row r="14" spans="1:59" x14ac:dyDescent="0.25">
      <c r="C14" t="s">
        <v>612</v>
      </c>
      <c r="D14" t="s">
        <v>612</v>
      </c>
      <c r="E14" s="7" t="str">
        <f>LOOKUP(E12,Lookups!$C$5:$C$13,Lookups!$B$5:$B$13)</f>
        <v>Waxing Gibbous</v>
      </c>
      <c r="F14" s="7" t="str">
        <f>LOOKUP(F12,Lookups!$C$5:$C$13,Lookups!$B$5:$B$13)</f>
        <v>Waning Crescent</v>
      </c>
      <c r="G14" s="7" t="str">
        <f>LOOKUP(G12,Lookups!$C$5:$C$13,Lookups!$B$5:$B$13)</f>
        <v>Waning Crescent</v>
      </c>
      <c r="H14" s="7" t="str">
        <f>LOOKUP(H12,Lookups!$C$5:$C$13,Lookups!$B$5:$B$13)</f>
        <v>Waxing Gibbous</v>
      </c>
      <c r="I14" s="7" t="str">
        <f>LOOKUP(I12,Lookups!$C$5:$C$13,Lookups!$B$5:$B$13)</f>
        <v>Waning Crescent</v>
      </c>
      <c r="J14" s="7" t="str">
        <f>LOOKUP(J12,Lookups!$C$5:$C$13,Lookups!$B$5:$B$13)</f>
        <v>Last Quarter</v>
      </c>
      <c r="K14" s="7" t="str">
        <f>LOOKUP(K12,Lookups!$C$5:$C$13,Lookups!$B$5:$B$13)</f>
        <v>First Quarter</v>
      </c>
      <c r="L14" s="7" t="str">
        <f>LOOKUP(L12,Lookups!$C$5:$C$13,Lookups!$B$5:$B$13)</f>
        <v>Waxing Crescent</v>
      </c>
      <c r="M14" s="7" t="str">
        <f>LOOKUP(M12,Lookups!$C$5:$C$13,Lookups!$B$5:$B$13)</f>
        <v>New</v>
      </c>
      <c r="N14" s="7" t="str">
        <f>LOOKUP(N12,Lookups!$C$5:$C$13,Lookups!$B$5:$B$13)</f>
        <v>Full</v>
      </c>
      <c r="O14" s="7" t="str">
        <f>LOOKUP(O12,Lookups!$C$5:$C$13,Lookups!$B$5:$B$13)</f>
        <v>Waning Crescent</v>
      </c>
      <c r="P14" s="7" t="str">
        <f>LOOKUP(P12,Lookups!$C$5:$C$13,Lookups!$B$5:$B$13)</f>
        <v>New</v>
      </c>
      <c r="Q14" s="7" t="str">
        <f>LOOKUP(Q12,Lookups!$C$5:$C$13,Lookups!$B$5:$B$13)</f>
        <v>Waxing Crescent</v>
      </c>
      <c r="R14" s="7" t="str">
        <f>LOOKUP(R12,Lookups!$C$5:$C$13,Lookups!$B$5:$B$13)</f>
        <v>First Quarter</v>
      </c>
      <c r="S14" s="7" t="str">
        <f>LOOKUP(S12,Lookups!$C$5:$C$13,Lookups!$B$5:$B$13)</f>
        <v>Waxing Crescent</v>
      </c>
      <c r="T14" s="7" t="str">
        <f>LOOKUP(T12,Lookups!$C$5:$C$13,Lookups!$B$5:$B$13)</f>
        <v>Waning Gibbous</v>
      </c>
      <c r="U14" s="7" t="str">
        <f>LOOKUP(U12,Lookups!$C$5:$C$13,Lookups!$B$5:$B$13)</f>
        <v>Waxing Crescent</v>
      </c>
      <c r="V14" s="7" t="str">
        <f>LOOKUP(V12,Lookups!$C$5:$C$13,Lookups!$B$5:$B$13)</f>
        <v>Waning Gibbous</v>
      </c>
      <c r="W14" s="7" t="str">
        <f>LOOKUP(W12,Lookups!$C$5:$C$13,Lookups!$B$5:$B$13)</f>
        <v>Waxing Gibbous</v>
      </c>
      <c r="X14" s="7" t="str">
        <f>LOOKUP(X12,Lookups!$C$5:$C$13,Lookups!$B$5:$B$13)</f>
        <v>Waxing Gibbous</v>
      </c>
      <c r="Y14" s="7" t="str">
        <f>LOOKUP(Y12,Lookups!$C$5:$C$13,Lookups!$B$5:$B$13)</f>
        <v>Waning Crescent</v>
      </c>
      <c r="Z14" s="7" t="str">
        <f>LOOKUP(Z12,Lookups!$C$5:$C$13,Lookups!$B$5:$B$13)</f>
        <v>New</v>
      </c>
      <c r="AA14" s="7" t="str">
        <f>LOOKUP(AA12,Lookups!$C$5:$C$13,Lookups!$B$5:$B$13)</f>
        <v>Waning Crescent</v>
      </c>
      <c r="AB14" s="7" t="str">
        <f>LOOKUP(AB12,Lookups!$C$5:$C$13,Lookups!$B$5:$B$13)</f>
        <v>Waning Crescent</v>
      </c>
      <c r="AC14" s="7" t="str">
        <f>LOOKUP(AC12,Lookups!$C$5:$C$13,Lookups!$B$5:$B$13)</f>
        <v>Waxing Gibbous</v>
      </c>
      <c r="AD14" s="7" t="str">
        <f>LOOKUP(AD12,Lookups!$C$5:$C$13,Lookups!$B$5:$B$13)</f>
        <v>Waxing Crescent</v>
      </c>
      <c r="AE14" s="7" t="str">
        <f>LOOKUP(AE12,Lookups!$C$5:$C$13,Lookups!$B$5:$B$13)</f>
        <v>New</v>
      </c>
      <c r="AF14" s="7" t="str">
        <f>LOOKUP(AF12,Lookups!$C$5:$C$13,Lookups!$B$5:$B$13)</f>
        <v>Waning Crescent</v>
      </c>
      <c r="AG14" s="7" t="str">
        <f>LOOKUP(AG12,Lookups!$C$5:$C$13,Lookups!$B$5:$B$13)</f>
        <v>Waning Gibbous</v>
      </c>
      <c r="AH14" s="7" t="str">
        <f>LOOKUP(AH12,Lookups!$C$5:$C$13,Lookups!$B$5:$B$13)</f>
        <v>Full</v>
      </c>
      <c r="AI14" s="7" t="str">
        <f>LOOKUP(AI12,Lookups!$C$5:$C$13,Lookups!$B$5:$B$13)</f>
        <v>Waning Crescent</v>
      </c>
      <c r="AJ14" s="7" t="str">
        <f>LOOKUP(AJ12,Lookups!$C$5:$C$13,Lookups!$B$5:$B$13)</f>
        <v>Waxing Gibbous</v>
      </c>
      <c r="AK14" s="7" t="str">
        <f>LOOKUP(AK12,Lookups!$C$5:$C$13,Lookups!$B$5:$B$13)</f>
        <v>Last Quarter</v>
      </c>
      <c r="AL14" s="7" t="str">
        <f>LOOKUP(AL12,Lookups!$C$5:$C$13,Lookups!$B$5:$B$13)</f>
        <v>New</v>
      </c>
      <c r="AM14" s="7" t="str">
        <f>LOOKUP(AM12,Lookups!$C$5:$C$13,Lookups!$B$5:$B$13)</f>
        <v>Waxing Crescent</v>
      </c>
      <c r="AN14" s="7" t="str">
        <f>LOOKUP(AN12,Lookups!$C$5:$C$13,Lookups!$B$5:$B$13)</f>
        <v>Waxing Crescent</v>
      </c>
      <c r="AO14" s="7" t="str">
        <f>LOOKUP(AO12,Lookups!$C$5:$C$13,Lookups!$B$5:$B$13)</f>
        <v>Waning Gibbous</v>
      </c>
      <c r="AP14" s="7" t="str">
        <f>LOOKUP(AP12,Lookups!$C$5:$C$13,Lookups!$B$5:$B$13)</f>
        <v>New</v>
      </c>
      <c r="AQ14" s="7" t="str">
        <f>LOOKUP(AQ12,Lookups!$C$5:$C$13,Lookups!$B$5:$B$13)</f>
        <v>First Quarter</v>
      </c>
      <c r="AR14" s="7" t="str">
        <f>LOOKUP(AR12,Lookups!$C$5:$C$13,Lookups!$B$5:$B$13)</f>
        <v>Waxing Gibbous</v>
      </c>
      <c r="AS14" s="7" t="str">
        <f>LOOKUP(AS12,Lookups!$C$5:$C$13,Lookups!$B$5:$B$13)</f>
        <v>Last Quarter</v>
      </c>
      <c r="AT14" s="7" t="str">
        <f>LOOKUP(AT12,Lookups!$C$5:$C$13,Lookups!$B$5:$B$13)</f>
        <v>First Quarter</v>
      </c>
      <c r="AU14" s="7" t="str">
        <f>LOOKUP(AU12,Lookups!$C$5:$C$13,Lookups!$B$5:$B$13)</f>
        <v>New</v>
      </c>
      <c r="AV14" s="7" t="str">
        <f>LOOKUP(AV12,Lookups!$C$5:$C$13,Lookups!$B$5:$B$13)</f>
        <v>Waning Crescent</v>
      </c>
      <c r="AW14" s="7" t="str">
        <f>LOOKUP(AW12,Lookups!$C$5:$C$13,Lookups!$B$5:$B$13)</f>
        <v>New</v>
      </c>
      <c r="AX14" s="7" t="str">
        <f>LOOKUP(AX12,Lookups!$C$5:$C$13,Lookups!$B$5:$B$13)</f>
        <v>Full</v>
      </c>
      <c r="AY14" s="7" t="str">
        <f>LOOKUP(AY12,Lookups!$C$5:$C$13,Lookups!$B$5:$B$13)</f>
        <v>First Quarter</v>
      </c>
      <c r="AZ14" s="7" t="str">
        <f>LOOKUP(AZ12,Lookups!$C$5:$C$13,Lookups!$B$5:$B$13)</f>
        <v>First Quarter</v>
      </c>
      <c r="BA14" s="7" t="str">
        <f>LOOKUP(BA12,Lookups!$C$5:$C$13,Lookups!$B$5:$B$13)</f>
        <v>Waxing Gibbous</v>
      </c>
      <c r="BB14" s="7" t="str">
        <f>LOOKUP(BB12,Lookups!$C$5:$C$13,Lookups!$B$5:$B$13)</f>
        <v>Waxing Gibbous</v>
      </c>
      <c r="BC14" s="7" t="str">
        <f>LOOKUP(BC12,Lookups!$C$5:$C$13,Lookups!$B$5:$B$13)</f>
        <v>Waxing Gibbous</v>
      </c>
      <c r="BD14" s="7" t="str">
        <f>LOOKUP(BD12,Lookups!$C$5:$C$13,Lookups!$B$5:$B$13)</f>
        <v>Waxing Gibbous</v>
      </c>
      <c r="BE14" s="7" t="str">
        <f>LOOKUP(BE12,Lookups!$C$5:$C$13,Lookups!$B$5:$B$13)</f>
        <v>Waxing Gibbous</v>
      </c>
      <c r="BF14" s="7" t="str">
        <f>LOOKUP(BF12,Lookups!$C$5:$C$13,Lookups!$B$5:$B$13)</f>
        <v>Full</v>
      </c>
      <c r="BG14" s="7" t="str">
        <f>LOOKUP(BG12,Lookups!$C$5:$C$13,Lookups!$B$5:$B$13)</f>
        <v>New</v>
      </c>
    </row>
    <row r="15" spans="1:59" x14ac:dyDescent="0.25">
      <c r="C15" s="5" t="s">
        <v>613</v>
      </c>
      <c r="E15" s="149">
        <f>E11</f>
        <v>0.35715901045401222</v>
      </c>
      <c r="F15" s="149">
        <f t="shared" ref="F15:AM15" si="23">F11</f>
        <v>0.82616245139760203</v>
      </c>
      <c r="G15" s="149">
        <f t="shared" si="23"/>
        <v>0.82187098063084074</v>
      </c>
      <c r="H15" s="149">
        <f t="shared" si="23"/>
        <v>0.44487382629691224</v>
      </c>
      <c r="I15" s="149">
        <f t="shared" si="23"/>
        <v>0.90294058024239365</v>
      </c>
      <c r="J15" s="149">
        <f t="shared" si="23"/>
        <v>0.76230882004244493</v>
      </c>
      <c r="K15" s="149">
        <f t="shared" si="23"/>
        <v>0.26300613792196659</v>
      </c>
      <c r="L15" s="149">
        <f t="shared" si="23"/>
        <v>0.15623757103072905</v>
      </c>
      <c r="M15" s="149">
        <f t="shared" si="23"/>
        <v>0.98566736854305914</v>
      </c>
      <c r="N15" s="149">
        <f t="shared" si="23"/>
        <v>0.49398656120277312</v>
      </c>
      <c r="O15" s="149">
        <f t="shared" si="23"/>
        <v>0.854052118882346</v>
      </c>
      <c r="P15" s="149">
        <f t="shared" si="23"/>
        <v>3.1206351677129259E-2</v>
      </c>
      <c r="Q15" s="149">
        <f t="shared" si="23"/>
        <v>0.20469185400928824</v>
      </c>
      <c r="R15" s="149">
        <f t="shared" si="23"/>
        <v>0.2385550473179994</v>
      </c>
      <c r="S15" s="149">
        <f t="shared" si="23"/>
        <v>0.20362078197211783</v>
      </c>
      <c r="T15" s="149">
        <f t="shared" si="23"/>
        <v>0.64902128195046704</v>
      </c>
      <c r="U15" s="149">
        <f t="shared" si="23"/>
        <v>4.2312267420919925E-2</v>
      </c>
      <c r="V15" s="149">
        <f t="shared" si="23"/>
        <v>0.67963097632619829</v>
      </c>
      <c r="W15" s="149">
        <f t="shared" si="23"/>
        <v>0.37495369177830828</v>
      </c>
      <c r="X15" s="149">
        <f t="shared" si="23"/>
        <v>0.31073425341101757</v>
      </c>
      <c r="Y15" s="149">
        <f t="shared" si="23"/>
        <v>0.87795928969473069</v>
      </c>
      <c r="Z15" s="149">
        <f t="shared" si="23"/>
        <v>2.031904827349363E-2</v>
      </c>
      <c r="AA15" s="149">
        <f t="shared" si="23"/>
        <v>0.80493938397648512</v>
      </c>
      <c r="AB15" s="149">
        <f t="shared" si="23"/>
        <v>0.96480339988829267</v>
      </c>
      <c r="AC15" s="149">
        <f t="shared" si="23"/>
        <v>0.4488134273437388</v>
      </c>
      <c r="AD15" s="149">
        <f t="shared" si="23"/>
        <v>0.17524076247112624</v>
      </c>
      <c r="AE15" s="149">
        <f t="shared" si="23"/>
        <v>0.98466754213299079</v>
      </c>
      <c r="AF15" s="149">
        <f t="shared" si="23"/>
        <v>0.8442589672062295</v>
      </c>
      <c r="AG15" s="149">
        <f t="shared" si="23"/>
        <v>0.54156182221387072</v>
      </c>
      <c r="AH15" s="149">
        <f t="shared" si="23"/>
        <v>0.49455138345686478</v>
      </c>
      <c r="AI15" s="149">
        <f t="shared" si="23"/>
        <v>0.93823912701519485</v>
      </c>
      <c r="AJ15" s="149">
        <f t="shared" si="23"/>
        <v>0.31420048395610251</v>
      </c>
      <c r="AK15" s="149">
        <f t="shared" si="23"/>
        <v>0.78302738071099032</v>
      </c>
      <c r="AL15" s="149">
        <f t="shared" si="23"/>
        <v>8.71406744565709E-3</v>
      </c>
      <c r="AM15" s="149">
        <f t="shared" si="23"/>
        <v>6.3069804847924751E-2</v>
      </c>
      <c r="AN15" s="149">
        <f t="shared" ref="AN15:BG15" si="24">AN11</f>
        <v>5.5805941612756399E-2</v>
      </c>
      <c r="AO15" s="149">
        <f t="shared" si="24"/>
        <v>0.64410402109293852</v>
      </c>
      <c r="AP15" s="149">
        <f t="shared" si="24"/>
        <v>0.99064585899445212</v>
      </c>
      <c r="AQ15" s="149">
        <f t="shared" si="24"/>
        <v>0.22956950067080539</v>
      </c>
      <c r="AR15" s="149">
        <f t="shared" si="24"/>
        <v>0.46331959893377828</v>
      </c>
      <c r="AS15" s="149">
        <f t="shared" si="24"/>
        <v>0.7276641516967276</v>
      </c>
      <c r="AT15" s="149">
        <f t="shared" si="24"/>
        <v>0.22397157862752554</v>
      </c>
      <c r="AU15" s="149">
        <f t="shared" si="24"/>
        <v>0.99333235639111062</v>
      </c>
      <c r="AV15" s="149">
        <f t="shared" si="24"/>
        <v>0.9534986849545779</v>
      </c>
      <c r="AW15" s="149">
        <f t="shared" si="24"/>
        <v>0.99431981509968714</v>
      </c>
      <c r="AX15" s="149">
        <f t="shared" si="24"/>
        <v>0.50526057477367459</v>
      </c>
      <c r="AY15" s="149">
        <f t="shared" si="24"/>
        <v>0.23986737788886031</v>
      </c>
      <c r="AZ15" s="149">
        <f t="shared" si="24"/>
        <v>0.27373057119757149</v>
      </c>
      <c r="BA15" s="149">
        <f t="shared" si="24"/>
        <v>0.30759376450628262</v>
      </c>
      <c r="BB15" s="149">
        <f t="shared" si="24"/>
        <v>0.3414569578149938</v>
      </c>
      <c r="BC15" s="149">
        <f t="shared" si="24"/>
        <v>0.37532015112370493</v>
      </c>
      <c r="BD15" s="149">
        <f t="shared" si="24"/>
        <v>0.40918334443241611</v>
      </c>
      <c r="BE15" s="149">
        <f t="shared" si="24"/>
        <v>0.44304653774112723</v>
      </c>
      <c r="BF15" s="149">
        <f t="shared" si="24"/>
        <v>0.47690973104983841</v>
      </c>
      <c r="BG15" s="149">
        <f t="shared" si="24"/>
        <v>0.97954886962086418</v>
      </c>
    </row>
    <row r="17" spans="3:59" x14ac:dyDescent="0.25">
      <c r="C17" t="s">
        <v>614</v>
      </c>
      <c r="E17">
        <f>ROUND(E12,3)</f>
        <v>10.547000000000001</v>
      </c>
      <c r="F17">
        <f t="shared" ref="F17:AM17" si="25">ROUND(F12,3)</f>
        <v>24.396999999999998</v>
      </c>
      <c r="G17">
        <f t="shared" si="25"/>
        <v>24.27</v>
      </c>
      <c r="H17">
        <f t="shared" si="25"/>
        <v>13.137</v>
      </c>
      <c r="I17">
        <f t="shared" si="25"/>
        <v>26.664000000000001</v>
      </c>
      <c r="J17">
        <f t="shared" si="25"/>
        <v>22.510999999999999</v>
      </c>
      <c r="K17">
        <f t="shared" si="25"/>
        <v>7.7670000000000003</v>
      </c>
      <c r="L17">
        <f t="shared" si="25"/>
        <v>4.6139999999999999</v>
      </c>
      <c r="M17">
        <f t="shared" si="25"/>
        <v>29.106999999999999</v>
      </c>
      <c r="N17">
        <f t="shared" si="25"/>
        <v>14.587999999999999</v>
      </c>
      <c r="O17">
        <f t="shared" si="25"/>
        <v>25.221</v>
      </c>
      <c r="P17">
        <f t="shared" si="25"/>
        <v>0.92200000000000004</v>
      </c>
      <c r="Q17">
        <f t="shared" si="25"/>
        <v>6.0449999999999999</v>
      </c>
      <c r="R17">
        <f t="shared" si="25"/>
        <v>7.0449999999999999</v>
      </c>
      <c r="S17">
        <f t="shared" si="25"/>
        <v>6.0129999999999999</v>
      </c>
      <c r="T17">
        <f t="shared" si="25"/>
        <v>19.166</v>
      </c>
      <c r="U17">
        <f t="shared" si="25"/>
        <v>1.25</v>
      </c>
      <c r="V17">
        <f t="shared" si="25"/>
        <v>20.07</v>
      </c>
      <c r="W17">
        <f t="shared" si="25"/>
        <v>11.073</v>
      </c>
      <c r="X17">
        <f t="shared" si="25"/>
        <v>9.1760000000000002</v>
      </c>
      <c r="Y17">
        <f t="shared" si="25"/>
        <v>25.927</v>
      </c>
      <c r="Z17">
        <f t="shared" si="25"/>
        <v>0.6</v>
      </c>
      <c r="AA17">
        <f t="shared" si="25"/>
        <v>23.77</v>
      </c>
      <c r="AB17">
        <f t="shared" si="25"/>
        <v>28.491</v>
      </c>
      <c r="AC17">
        <f t="shared" si="25"/>
        <v>13.254</v>
      </c>
      <c r="AD17">
        <f t="shared" si="25"/>
        <v>5.1749999999999998</v>
      </c>
      <c r="AE17">
        <f t="shared" si="25"/>
        <v>29.077999999999999</v>
      </c>
      <c r="AF17">
        <f t="shared" si="25"/>
        <v>24.931000000000001</v>
      </c>
      <c r="AG17">
        <f t="shared" si="25"/>
        <v>15.993</v>
      </c>
      <c r="AH17">
        <f t="shared" si="25"/>
        <v>14.603999999999999</v>
      </c>
      <c r="AI17">
        <f t="shared" si="25"/>
        <v>27.707000000000001</v>
      </c>
      <c r="AJ17">
        <f t="shared" si="25"/>
        <v>9.2789999999999999</v>
      </c>
      <c r="AK17">
        <f t="shared" si="25"/>
        <v>23.123000000000001</v>
      </c>
      <c r="AL17">
        <f t="shared" si="25"/>
        <v>0.25700000000000001</v>
      </c>
      <c r="AM17">
        <f t="shared" si="25"/>
        <v>1.8620000000000001</v>
      </c>
      <c r="AN17">
        <f t="shared" ref="AN17:BG17" si="26">ROUND(AN12,3)</f>
        <v>1.6479999999999999</v>
      </c>
      <c r="AO17">
        <f t="shared" si="26"/>
        <v>19.021000000000001</v>
      </c>
      <c r="AP17">
        <f t="shared" si="26"/>
        <v>29.254000000000001</v>
      </c>
      <c r="AQ17">
        <f t="shared" si="26"/>
        <v>6.7789999999999999</v>
      </c>
      <c r="AR17">
        <f t="shared" si="26"/>
        <v>13.682</v>
      </c>
      <c r="AS17">
        <f t="shared" si="26"/>
        <v>21.488</v>
      </c>
      <c r="AT17">
        <f t="shared" si="26"/>
        <v>6.6139999999999999</v>
      </c>
      <c r="AU17">
        <f t="shared" si="26"/>
        <v>29.334</v>
      </c>
      <c r="AV17">
        <f t="shared" si="26"/>
        <v>28.157</v>
      </c>
      <c r="AW17">
        <f t="shared" si="26"/>
        <v>29.363</v>
      </c>
      <c r="AX17">
        <f t="shared" si="26"/>
        <v>14.920999999999999</v>
      </c>
      <c r="AY17">
        <f t="shared" si="26"/>
        <v>7.0830000000000002</v>
      </c>
      <c r="AZ17">
        <f t="shared" si="26"/>
        <v>8.0830000000000002</v>
      </c>
      <c r="BA17">
        <f t="shared" si="26"/>
        <v>9.0830000000000002</v>
      </c>
      <c r="BB17">
        <f t="shared" si="26"/>
        <v>10.083</v>
      </c>
      <c r="BC17">
        <f t="shared" si="26"/>
        <v>11.083</v>
      </c>
      <c r="BD17">
        <f t="shared" si="26"/>
        <v>12.083</v>
      </c>
      <c r="BE17">
        <f t="shared" si="26"/>
        <v>13.083</v>
      </c>
      <c r="BF17">
        <f t="shared" si="26"/>
        <v>14.083</v>
      </c>
      <c r="BG17">
        <f t="shared" si="26"/>
        <v>28.927</v>
      </c>
    </row>
    <row r="20" spans="3:59" x14ac:dyDescent="0.25"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</row>
  </sheetData>
  <mergeCells count="1">
    <mergeCell ref="A1:D1"/>
  </mergeCells>
  <hyperlinks>
    <hyperlink ref="A1" r:id="rId1" xr:uid="{1C0B119E-AE1A-478B-95F9-313DEC62E797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C6B9-446A-4888-BE66-A7284AB02947}">
  <dimension ref="A1:AI55"/>
  <sheetViews>
    <sheetView tabSelected="1" workbookViewId="0">
      <selection activeCell="M19" sqref="M19"/>
    </sheetView>
  </sheetViews>
  <sheetFormatPr defaultRowHeight="15" x14ac:dyDescent="0.25"/>
  <cols>
    <col min="1" max="1" width="15.85546875" bestFit="1" customWidth="1"/>
    <col min="2" max="2" width="16" bestFit="1" customWidth="1"/>
    <col min="3" max="4" width="15.85546875" bestFit="1" customWidth="1"/>
    <col min="5" max="5" width="15.7109375" bestFit="1" customWidth="1"/>
    <col min="6" max="7" width="10.140625" bestFit="1" customWidth="1"/>
    <col min="9" max="9" width="13.28515625" bestFit="1" customWidth="1"/>
    <col min="12" max="12" width="3.28515625" bestFit="1" customWidth="1"/>
    <col min="13" max="13" width="23.5703125" bestFit="1" customWidth="1"/>
    <col min="14" max="14" width="22" bestFit="1" customWidth="1"/>
    <col min="15" max="15" width="10" bestFit="1" customWidth="1"/>
    <col min="17" max="17" width="9" bestFit="1" customWidth="1"/>
    <col min="18" max="18" width="12" bestFit="1" customWidth="1"/>
    <col min="19" max="19" width="3" bestFit="1" customWidth="1"/>
    <col min="20" max="20" width="3.28515625" bestFit="1" customWidth="1"/>
    <col min="21" max="21" width="9" bestFit="1" customWidth="1"/>
    <col min="23" max="23" width="3.28515625" bestFit="1" customWidth="1"/>
    <col min="24" max="24" width="12" bestFit="1" customWidth="1"/>
    <col min="25" max="25" width="14.85546875" bestFit="1" customWidth="1"/>
    <col min="26" max="26" width="19.7109375" bestFit="1" customWidth="1"/>
    <col min="28" max="28" width="3.28515625" bestFit="1" customWidth="1"/>
    <col min="29" max="29" width="10" bestFit="1" customWidth="1"/>
    <col min="30" max="30" width="20.42578125" bestFit="1" customWidth="1"/>
    <col min="31" max="31" width="23.140625" bestFit="1" customWidth="1"/>
    <col min="33" max="33" width="38" bestFit="1" customWidth="1"/>
    <col min="34" max="34" width="4" bestFit="1" customWidth="1"/>
    <col min="35" max="35" width="13.28515625" bestFit="1" customWidth="1"/>
  </cols>
  <sheetData>
    <row r="1" spans="2:35" ht="16.5" thickBot="1" x14ac:dyDescent="0.3">
      <c r="M1" s="338" t="s">
        <v>1039</v>
      </c>
      <c r="N1" s="338"/>
      <c r="O1" s="338"/>
    </row>
    <row r="2" spans="2:35" x14ac:dyDescent="0.25">
      <c r="B2" s="339" t="s">
        <v>584</v>
      </c>
      <c r="C2" s="339"/>
      <c r="D2" s="339"/>
      <c r="E2" s="339"/>
      <c r="F2" s="339"/>
      <c r="M2" s="293" t="s">
        <v>89</v>
      </c>
      <c r="N2" s="294">
        <f>PI()/180</f>
        <v>1.7453292519943295E-2</v>
      </c>
      <c r="O2" s="292" t="s">
        <v>280</v>
      </c>
      <c r="Q2" s="217" t="s">
        <v>692</v>
      </c>
      <c r="R2" s="218" t="s">
        <v>677</v>
      </c>
      <c r="S2" s="165" t="s">
        <v>674</v>
      </c>
      <c r="T2" s="165" t="s">
        <v>675</v>
      </c>
      <c r="U2" s="166" t="s">
        <v>676</v>
      </c>
      <c r="W2" s="354" t="s">
        <v>771</v>
      </c>
      <c r="X2" s="355"/>
      <c r="Y2" s="355"/>
      <c r="Z2" s="356"/>
      <c r="AB2" s="354" t="s">
        <v>772</v>
      </c>
      <c r="AC2" s="355"/>
      <c r="AD2" s="355"/>
      <c r="AE2" s="356"/>
      <c r="AG2" s="354" t="s">
        <v>606</v>
      </c>
      <c r="AH2" s="355"/>
      <c r="AI2" s="356"/>
    </row>
    <row r="3" spans="2:35" x14ac:dyDescent="0.25">
      <c r="M3" t="s">
        <v>90</v>
      </c>
      <c r="N3" s="295">
        <f>180/PI()</f>
        <v>57.295779513082323</v>
      </c>
      <c r="Q3" s="219" t="s">
        <v>687</v>
      </c>
      <c r="R3" s="195">
        <f t="shared" ref="R3:R11" si="0">S3+T3/60+U3/3600</f>
        <v>23.43929111111111</v>
      </c>
      <c r="S3">
        <v>23</v>
      </c>
      <c r="T3">
        <v>26</v>
      </c>
      <c r="U3" s="155">
        <v>21.448</v>
      </c>
      <c r="W3" s="156"/>
      <c r="X3" s="19" t="s">
        <v>674</v>
      </c>
      <c r="Y3" s="207" t="s">
        <v>675</v>
      </c>
      <c r="Z3" s="230" t="s">
        <v>676</v>
      </c>
      <c r="AB3" s="156"/>
      <c r="AC3" t="s">
        <v>765</v>
      </c>
      <c r="AD3" t="s">
        <v>767</v>
      </c>
      <c r="AE3" s="155" t="s">
        <v>768</v>
      </c>
      <c r="AG3" s="154" t="s">
        <v>292</v>
      </c>
      <c r="AH3" s="7"/>
      <c r="AI3" s="155"/>
    </row>
    <row r="4" spans="2:35" ht="15.75" thickBot="1" x14ac:dyDescent="0.3">
      <c r="B4" s="151" t="s">
        <v>593</v>
      </c>
      <c r="C4" s="151" t="s">
        <v>594</v>
      </c>
      <c r="D4" s="151" t="s">
        <v>595</v>
      </c>
      <c r="E4" s="151" t="s">
        <v>599</v>
      </c>
      <c r="F4" s="151" t="s">
        <v>600</v>
      </c>
      <c r="M4" s="293" t="s">
        <v>824</v>
      </c>
      <c r="N4" s="293">
        <v>149597870.69100001</v>
      </c>
      <c r="O4" s="293" t="s">
        <v>825</v>
      </c>
      <c r="Q4" s="219">
        <v>22.3</v>
      </c>
      <c r="R4" s="212">
        <f t="shared" si="0"/>
        <v>1.3002583333333335</v>
      </c>
      <c r="U4" s="155">
        <v>4680.93</v>
      </c>
      <c r="W4" s="231" t="s">
        <v>677</v>
      </c>
      <c r="X4" s="213" t="s">
        <v>679</v>
      </c>
      <c r="Y4" s="213" t="s">
        <v>681</v>
      </c>
      <c r="Z4" s="223" t="s">
        <v>680</v>
      </c>
      <c r="AB4" s="231" t="s">
        <v>677</v>
      </c>
      <c r="AC4" s="213" t="s">
        <v>766</v>
      </c>
      <c r="AD4" s="213" t="s">
        <v>769</v>
      </c>
      <c r="AE4" s="223" t="s">
        <v>770</v>
      </c>
      <c r="AG4" s="156" t="s">
        <v>98</v>
      </c>
      <c r="AH4" s="7" t="s">
        <v>108</v>
      </c>
      <c r="AI4" s="157">
        <f>YEAR(Lookups!$N$10)</f>
        <v>2000</v>
      </c>
    </row>
    <row r="5" spans="2:35" x14ac:dyDescent="0.25">
      <c r="B5" s="151" t="s">
        <v>29</v>
      </c>
      <c r="C5" s="151">
        <v>0</v>
      </c>
      <c r="D5" s="151">
        <v>1</v>
      </c>
      <c r="E5" s="152">
        <v>0</v>
      </c>
      <c r="F5" s="152">
        <v>3.3863193308711001E-2</v>
      </c>
      <c r="M5" t="s">
        <v>826</v>
      </c>
      <c r="N5" s="296">
        <f>1/N4</f>
        <v>6.6845871226705985E-9</v>
      </c>
      <c r="O5" t="s">
        <v>827</v>
      </c>
      <c r="Q5" s="219">
        <v>22.2</v>
      </c>
      <c r="R5" s="195">
        <f t="shared" si="0"/>
        <v>1.3004166666666666E-2</v>
      </c>
      <c r="U5" s="155">
        <v>46.814999999999998</v>
      </c>
      <c r="AG5" s="156" t="s">
        <v>99</v>
      </c>
      <c r="AH5" s="7" t="s">
        <v>109</v>
      </c>
      <c r="AI5" s="157">
        <f>MONTH(Lookups!$N$10)</f>
        <v>1</v>
      </c>
    </row>
    <row r="6" spans="2:35" x14ac:dyDescent="0.25">
      <c r="B6" s="151" t="s">
        <v>184</v>
      </c>
      <c r="C6" s="151">
        <v>1</v>
      </c>
      <c r="D6" s="151">
        <v>6.3826469264400103</v>
      </c>
      <c r="E6" s="152">
        <v>3.3863193308711001E-2</v>
      </c>
      <c r="F6" s="152">
        <v>0.21613680669128901</v>
      </c>
      <c r="M6" s="293" t="s">
        <v>941</v>
      </c>
      <c r="N6" s="293">
        <v>1721425.5</v>
      </c>
      <c r="O6" s="293" t="s">
        <v>956</v>
      </c>
      <c r="Q6" s="219">
        <v>22.2</v>
      </c>
      <c r="R6" s="212">
        <f t="shared" si="0"/>
        <v>1.6388888888888891E-7</v>
      </c>
      <c r="U6" s="155">
        <v>5.9000000000000003E-4</v>
      </c>
      <c r="X6" s="19" t="s">
        <v>674</v>
      </c>
      <c r="Y6" s="207" t="s">
        <v>675</v>
      </c>
      <c r="Z6" s="19" t="s">
        <v>676</v>
      </c>
      <c r="AG6" s="156" t="s">
        <v>100</v>
      </c>
      <c r="AH6" s="7" t="s">
        <v>293</v>
      </c>
      <c r="AI6" s="157">
        <f>DAY(Lookups!$N$10)</f>
        <v>6</v>
      </c>
    </row>
    <row r="7" spans="2:35" x14ac:dyDescent="0.25">
      <c r="B7" s="151" t="s">
        <v>596</v>
      </c>
      <c r="C7" s="151">
        <v>6.3826469264400103</v>
      </c>
      <c r="D7" s="151">
        <v>8.3826469264399996</v>
      </c>
      <c r="E7" s="152">
        <v>0.21613680669128901</v>
      </c>
      <c r="F7" s="152">
        <v>0.28386319330871101</v>
      </c>
      <c r="M7" s="4" t="s">
        <v>1025</v>
      </c>
      <c r="N7">
        <v>2451545</v>
      </c>
      <c r="O7" t="s">
        <v>1024</v>
      </c>
      <c r="Q7" s="219">
        <v>22.2</v>
      </c>
      <c r="R7" s="212">
        <f t="shared" si="0"/>
        <v>5.0361111111111114E-7</v>
      </c>
      <c r="U7" s="155">
        <v>1.8129999999999999E-3</v>
      </c>
      <c r="X7">
        <v>1</v>
      </c>
      <c r="Y7">
        <v>60</v>
      </c>
      <c r="Z7">
        <v>3600</v>
      </c>
      <c r="AG7" s="156" t="s">
        <v>92</v>
      </c>
      <c r="AH7" s="7" t="s">
        <v>166</v>
      </c>
      <c r="AI7" s="157">
        <f>HOUR(Lookups!$N$10)</f>
        <v>18</v>
      </c>
    </row>
    <row r="8" spans="2:35" x14ac:dyDescent="0.25">
      <c r="B8" s="151" t="s">
        <v>186</v>
      </c>
      <c r="C8" s="151">
        <v>8.3826469264399996</v>
      </c>
      <c r="D8" s="151">
        <v>13.765293852879999</v>
      </c>
      <c r="E8" s="152">
        <v>0.28386319330871101</v>
      </c>
      <c r="F8" s="152">
        <v>0.46613680669128899</v>
      </c>
      <c r="M8" s="293" t="s">
        <v>587</v>
      </c>
      <c r="N8" s="293">
        <v>29.530587705759999</v>
      </c>
      <c r="O8" s="293" t="s">
        <v>585</v>
      </c>
      <c r="Q8" s="220" t="s">
        <v>654</v>
      </c>
      <c r="R8" s="212">
        <f t="shared" si="0"/>
        <v>4.7777777777777775E-3</v>
      </c>
      <c r="U8" s="155">
        <v>17.2</v>
      </c>
      <c r="X8">
        <f>1/60</f>
        <v>1.6666666666666666E-2</v>
      </c>
      <c r="Y8">
        <v>1</v>
      </c>
      <c r="AG8" s="156" t="s">
        <v>93</v>
      </c>
      <c r="AH8" s="7" t="s">
        <v>294</v>
      </c>
      <c r="AI8" s="157">
        <f>MINUTE(Lookups!$N$10)</f>
        <v>14</v>
      </c>
    </row>
    <row r="9" spans="2:35" x14ac:dyDescent="0.25">
      <c r="B9" s="151" t="s">
        <v>30</v>
      </c>
      <c r="C9" s="151">
        <v>13.765293852879999</v>
      </c>
      <c r="D9" s="151">
        <v>15.765293852879999</v>
      </c>
      <c r="E9" s="152">
        <v>0.46613680669128899</v>
      </c>
      <c r="F9" s="152">
        <v>0.53386319330871101</v>
      </c>
      <c r="M9" t="s">
        <v>588</v>
      </c>
      <c r="N9">
        <f>N8*24*60*60</f>
        <v>2551442.7777776639</v>
      </c>
      <c r="O9" t="s">
        <v>586</v>
      </c>
      <c r="Q9" s="220" t="s">
        <v>654</v>
      </c>
      <c r="R9" s="212">
        <f t="shared" si="0"/>
        <v>3.6666666666666667E-4</v>
      </c>
      <c r="U9" s="155">
        <v>1.32</v>
      </c>
      <c r="X9">
        <f>1/3600</f>
        <v>2.7777777777777778E-4</v>
      </c>
      <c r="Z9">
        <v>1</v>
      </c>
      <c r="AG9" s="156" t="s">
        <v>94</v>
      </c>
      <c r="AH9" s="7" t="s">
        <v>295</v>
      </c>
      <c r="AI9" s="158">
        <f>SECOND(Lookups!$N$10)</f>
        <v>46</v>
      </c>
    </row>
    <row r="10" spans="2:35" x14ac:dyDescent="0.25">
      <c r="B10" s="151" t="s">
        <v>187</v>
      </c>
      <c r="C10" s="151">
        <v>15.765293852879999</v>
      </c>
      <c r="D10" s="151">
        <v>21.147940779319999</v>
      </c>
      <c r="E10" s="152">
        <v>0.53386319330871101</v>
      </c>
      <c r="F10" s="152">
        <v>0.71613680669128899</v>
      </c>
      <c r="M10" s="293" t="s">
        <v>589</v>
      </c>
      <c r="N10" s="297">
        <v>36531.760254629633</v>
      </c>
      <c r="O10" s="293" t="s">
        <v>602</v>
      </c>
      <c r="Q10" s="220" t="s">
        <v>654</v>
      </c>
      <c r="R10" s="212">
        <f t="shared" si="0"/>
        <v>6.3888888888888895E-5</v>
      </c>
      <c r="U10" s="155">
        <v>0.23</v>
      </c>
      <c r="AG10" s="156" t="s">
        <v>95</v>
      </c>
      <c r="AH10" s="7" t="s">
        <v>296</v>
      </c>
      <c r="AI10" s="159" t="str">
        <f>RIGHT(TEXT(Lookups!$N$10, "hh:mm:ss.000"),3)</f>
        <v>000</v>
      </c>
    </row>
    <row r="11" spans="2:35" ht="15.75" thickBot="1" x14ac:dyDescent="0.3">
      <c r="B11" s="151" t="s">
        <v>597</v>
      </c>
      <c r="C11" s="151">
        <v>21.147940779319999</v>
      </c>
      <c r="D11" s="151">
        <v>23.147940779319999</v>
      </c>
      <c r="E11" s="152">
        <v>0.71613680669128899</v>
      </c>
      <c r="F11" s="152">
        <v>0.78386319330871101</v>
      </c>
      <c r="M11" t="s">
        <v>589</v>
      </c>
      <c r="N11" s="298">
        <f>Lookups!AI24</f>
        <v>2451550.2602546294</v>
      </c>
      <c r="O11" t="s">
        <v>601</v>
      </c>
      <c r="Q11" s="221" t="s">
        <v>654</v>
      </c>
      <c r="R11" s="222">
        <f t="shared" si="0"/>
        <v>5.8333333333333333E-5</v>
      </c>
      <c r="S11" s="213"/>
      <c r="T11" s="213"/>
      <c r="U11" s="223">
        <v>0.21</v>
      </c>
      <c r="AG11" s="156" t="s">
        <v>107</v>
      </c>
      <c r="AH11" s="7" t="s">
        <v>297</v>
      </c>
      <c r="AI11" s="160">
        <f>((((((AI10/1000)+AI9)/60)+AI8)/60)+AI7)/24</f>
        <v>0.76025462962962964</v>
      </c>
    </row>
    <row r="12" spans="2:35" x14ac:dyDescent="0.25">
      <c r="B12" s="151" t="s">
        <v>598</v>
      </c>
      <c r="C12" s="151">
        <v>23.147940779319999</v>
      </c>
      <c r="D12" s="151">
        <v>28.530587705759999</v>
      </c>
      <c r="E12" s="152">
        <v>0.78386319330871101</v>
      </c>
      <c r="F12" s="152">
        <v>0.96613680669128899</v>
      </c>
      <c r="M12" t="s">
        <v>824</v>
      </c>
      <c r="N12" s="112">
        <f>N13*60</f>
        <v>499.00478380613401</v>
      </c>
      <c r="O12" s="293" t="s">
        <v>1205</v>
      </c>
      <c r="AG12" s="156" t="s">
        <v>96</v>
      </c>
      <c r="AH12" s="7"/>
      <c r="AI12" s="157"/>
    </row>
    <row r="13" spans="2:35" x14ac:dyDescent="0.25">
      <c r="B13" s="151" t="s">
        <v>29</v>
      </c>
      <c r="C13" s="151">
        <v>28.530587705759999</v>
      </c>
      <c r="D13" s="151">
        <v>29.530587705759999</v>
      </c>
      <c r="E13" s="152">
        <v>0.96613680669128899</v>
      </c>
      <c r="F13" s="152">
        <v>1</v>
      </c>
      <c r="M13" t="s">
        <v>824</v>
      </c>
      <c r="N13" s="39">
        <v>8.3167463967689006</v>
      </c>
      <c r="O13" t="s">
        <v>1206</v>
      </c>
      <c r="AG13" s="156" t="s">
        <v>328</v>
      </c>
      <c r="AH13" s="7"/>
      <c r="AI13" s="161">
        <f>AI6+AI11</f>
        <v>6.76025462962963</v>
      </c>
    </row>
    <row r="14" spans="2:35" x14ac:dyDescent="0.25">
      <c r="M14" t="s">
        <v>824</v>
      </c>
      <c r="N14" s="64">
        <f>N13/60/24</f>
        <v>5.7755183310895138E-3</v>
      </c>
      <c r="O14" s="293" t="s">
        <v>1207</v>
      </c>
      <c r="AG14" s="156" t="s">
        <v>97</v>
      </c>
      <c r="AH14" s="7"/>
      <c r="AI14" s="157"/>
    </row>
    <row r="15" spans="2:35" x14ac:dyDescent="0.25">
      <c r="B15">
        <v>1.3571590104540123</v>
      </c>
      <c r="C15" t="str">
        <f>LOOKUP(B15,$C$5:$C$13,$B$5:$B$13)</f>
        <v>Waxing Crescent</v>
      </c>
      <c r="M15" s="19"/>
      <c r="N15" s="207"/>
      <c r="O15" s="19"/>
      <c r="AG15" s="156" t="s">
        <v>101</v>
      </c>
      <c r="AH15" s="7" t="s">
        <v>323</v>
      </c>
      <c r="AI15" s="157">
        <f>IF(AI5&lt;3,AI4-1,AI4)</f>
        <v>1999</v>
      </c>
    </row>
    <row r="16" spans="2:35" x14ac:dyDescent="0.25">
      <c r="B16">
        <v>0.35715901045401222</v>
      </c>
      <c r="C16" t="str">
        <f>LOOKUP(B16,$C$5:$C$13,$B$5:$B$13)</f>
        <v>New</v>
      </c>
      <c r="AG16" s="156" t="s">
        <v>102</v>
      </c>
      <c r="AH16" s="7" t="s">
        <v>5</v>
      </c>
      <c r="AI16" s="157">
        <f>IF(AI5&lt;3,AI5+12,AI5)</f>
        <v>13</v>
      </c>
    </row>
    <row r="17" spans="2:35" x14ac:dyDescent="0.25">
      <c r="B17">
        <v>10.547115483114659</v>
      </c>
      <c r="AG17" s="156" t="s">
        <v>103</v>
      </c>
      <c r="AH17" s="7" t="s">
        <v>110</v>
      </c>
      <c r="AI17" s="157">
        <f>_xlfn.FLOOR.MATH(AI15/100)</f>
        <v>19</v>
      </c>
    </row>
    <row r="18" spans="2:35" x14ac:dyDescent="0.25">
      <c r="B18">
        <v>40.077703188874665</v>
      </c>
      <c r="C18" t="str">
        <f>LOOKUP(B18,$C$5:$C$13,$B$5:$B$13)</f>
        <v>New</v>
      </c>
      <c r="AG18" s="156" t="s">
        <v>104</v>
      </c>
      <c r="AH18" s="7" t="s">
        <v>324</v>
      </c>
      <c r="AI18" s="157">
        <f>2-AI17+_xlfn.FLOOR.MATH(AI17/4)</f>
        <v>-13</v>
      </c>
    </row>
    <row r="19" spans="2:35" x14ac:dyDescent="0.25">
      <c r="AG19" s="156" t="s">
        <v>105</v>
      </c>
      <c r="AH19" s="7"/>
      <c r="AI19" s="155"/>
    </row>
    <row r="20" spans="2:35" x14ac:dyDescent="0.25">
      <c r="B20" t="s">
        <v>190</v>
      </c>
      <c r="C20" t="s">
        <v>184</v>
      </c>
      <c r="AG20" s="156" t="s">
        <v>325</v>
      </c>
      <c r="AH20" s="7" t="s">
        <v>111</v>
      </c>
      <c r="AI20" s="155">
        <f>IF(AI4&lt;1582,0,AI18)</f>
        <v>-13</v>
      </c>
    </row>
    <row r="21" spans="2:35" x14ac:dyDescent="0.25">
      <c r="B21" s="29">
        <v>0.5</v>
      </c>
      <c r="C21" t="s">
        <v>185</v>
      </c>
      <c r="AG21" s="156" t="s">
        <v>326</v>
      </c>
      <c r="AH21" s="7"/>
      <c r="AI21" s="155"/>
    </row>
    <row r="22" spans="2:35" x14ac:dyDescent="0.25">
      <c r="B22" t="s">
        <v>191</v>
      </c>
      <c r="C22" t="s">
        <v>186</v>
      </c>
      <c r="AG22" s="156" t="s">
        <v>327</v>
      </c>
      <c r="AH22" s="7"/>
      <c r="AI22" s="155"/>
    </row>
    <row r="23" spans="2:35" x14ac:dyDescent="0.25">
      <c r="B23" s="29">
        <v>1</v>
      </c>
      <c r="C23" t="s">
        <v>30</v>
      </c>
      <c r="AG23" s="156" t="s">
        <v>106</v>
      </c>
      <c r="AH23" s="7"/>
      <c r="AI23" s="155"/>
    </row>
    <row r="24" spans="2:35" ht="15.75" thickBot="1" x14ac:dyDescent="0.3">
      <c r="B24" t="s">
        <v>192</v>
      </c>
      <c r="C24" t="s">
        <v>187</v>
      </c>
      <c r="AG24" s="162"/>
      <c r="AH24" s="163" t="s">
        <v>298</v>
      </c>
      <c r="AI24" s="164">
        <f>_xlfn.FLOOR.MATH(365.25*(AI15+4716))+_xlfn.FLOOR.MATH(30.6001*(AI16+1))+AI13+AI20-1524.5</f>
        <v>2451550.2602546294</v>
      </c>
    </row>
    <row r="25" spans="2:35" x14ac:dyDescent="0.25">
      <c r="B25" s="29">
        <v>0.5</v>
      </c>
      <c r="C25" t="s">
        <v>188</v>
      </c>
    </row>
    <row r="26" spans="2:35" x14ac:dyDescent="0.25">
      <c r="B26" t="s">
        <v>193</v>
      </c>
      <c r="C26" t="s">
        <v>189</v>
      </c>
    </row>
    <row r="28" spans="2:35" x14ac:dyDescent="0.25">
      <c r="B28" t="s">
        <v>190</v>
      </c>
      <c r="C28" t="s">
        <v>184</v>
      </c>
      <c r="D28" s="7" t="s">
        <v>193</v>
      </c>
      <c r="E28" t="s">
        <v>189</v>
      </c>
    </row>
    <row r="29" spans="2:35" x14ac:dyDescent="0.25">
      <c r="B29" s="29">
        <v>0.5</v>
      </c>
      <c r="C29" t="s">
        <v>185</v>
      </c>
      <c r="D29" s="233">
        <v>0.5</v>
      </c>
      <c r="E29" t="s">
        <v>188</v>
      </c>
    </row>
    <row r="30" spans="2:35" x14ac:dyDescent="0.25">
      <c r="B30" t="s">
        <v>191</v>
      </c>
      <c r="C30" t="s">
        <v>186</v>
      </c>
      <c r="D30" s="7" t="s">
        <v>192</v>
      </c>
      <c r="E30" t="s">
        <v>187</v>
      </c>
    </row>
    <row r="31" spans="2:35" x14ac:dyDescent="0.25">
      <c r="B31" s="29">
        <v>1</v>
      </c>
      <c r="C31" t="s">
        <v>30</v>
      </c>
      <c r="D31" s="7"/>
    </row>
    <row r="33" spans="1:18" x14ac:dyDescent="0.25">
      <c r="B33" t="s">
        <v>901</v>
      </c>
      <c r="C33" t="s">
        <v>902</v>
      </c>
      <c r="R33" s="8"/>
    </row>
    <row r="34" spans="1:18" x14ac:dyDescent="0.25">
      <c r="B34" t="s">
        <v>903</v>
      </c>
      <c r="C34" t="s">
        <v>913</v>
      </c>
    </row>
    <row r="35" spans="1:18" x14ac:dyDescent="0.25">
      <c r="B35" t="s">
        <v>185</v>
      </c>
      <c r="C35" t="s">
        <v>912</v>
      </c>
    </row>
    <row r="36" spans="1:18" x14ac:dyDescent="0.25">
      <c r="B36" t="s">
        <v>904</v>
      </c>
      <c r="C36" t="s">
        <v>905</v>
      </c>
    </row>
    <row r="37" spans="1:18" x14ac:dyDescent="0.25">
      <c r="B37" t="s">
        <v>171</v>
      </c>
      <c r="C37" t="s">
        <v>906</v>
      </c>
    </row>
    <row r="38" spans="1:18" x14ac:dyDescent="0.25">
      <c r="B38" t="s">
        <v>900</v>
      </c>
      <c r="C38" t="s">
        <v>907</v>
      </c>
    </row>
    <row r="39" spans="1:18" x14ac:dyDescent="0.25">
      <c r="B39" t="s">
        <v>908</v>
      </c>
      <c r="C39" t="s">
        <v>909</v>
      </c>
    </row>
    <row r="40" spans="1:18" x14ac:dyDescent="0.25">
      <c r="B40" t="s">
        <v>910</v>
      </c>
      <c r="C40" t="s">
        <v>911</v>
      </c>
    </row>
    <row r="41" spans="1:18" x14ac:dyDescent="0.25">
      <c r="A41" s="8" t="s">
        <v>1038</v>
      </c>
    </row>
    <row r="42" spans="1:18" x14ac:dyDescent="0.25">
      <c r="A42" t="s">
        <v>901</v>
      </c>
      <c r="B42" t="s">
        <v>914</v>
      </c>
      <c r="C42" t="s">
        <v>171</v>
      </c>
      <c r="D42" t="s">
        <v>915</v>
      </c>
    </row>
    <row r="43" spans="1:18" x14ac:dyDescent="0.25">
      <c r="A43" s="30">
        <v>44829.57916666667</v>
      </c>
      <c r="B43" s="30">
        <v>44836.634722222225</v>
      </c>
      <c r="C43" s="30">
        <v>44843.537499999999</v>
      </c>
      <c r="D43" s="30">
        <v>44851.34375</v>
      </c>
    </row>
    <row r="44" spans="1:18" x14ac:dyDescent="0.25">
      <c r="A44" s="30">
        <v>44859.074999999997</v>
      </c>
      <c r="B44" s="30">
        <v>44865.900694444441</v>
      </c>
      <c r="C44" s="30">
        <v>44873.043055555558</v>
      </c>
      <c r="D44" s="30">
        <v>44881.143750000003</v>
      </c>
    </row>
    <row r="45" spans="1:18" x14ac:dyDescent="0.25">
      <c r="A45" s="30">
        <v>44888.581250000003</v>
      </c>
      <c r="B45" s="30">
        <v>44895.191666666666</v>
      </c>
      <c r="C45" s="30">
        <v>44902.755555555559</v>
      </c>
      <c r="D45" s="30">
        <v>44910.955555555556</v>
      </c>
    </row>
    <row r="47" spans="1:18" x14ac:dyDescent="0.25">
      <c r="A47" s="30">
        <v>200</v>
      </c>
    </row>
    <row r="49" spans="1:3" x14ac:dyDescent="0.25">
      <c r="A49" s="359" t="s">
        <v>924</v>
      </c>
      <c r="B49" s="360"/>
      <c r="C49" s="361"/>
    </row>
    <row r="50" spans="1:3" x14ac:dyDescent="0.25">
      <c r="A50" s="357" t="s">
        <v>1</v>
      </c>
      <c r="B50" s="339"/>
      <c r="C50" s="358"/>
    </row>
    <row r="51" spans="1:3" x14ac:dyDescent="0.25">
      <c r="A51" s="273">
        <v>0</v>
      </c>
      <c r="B51" s="270">
        <v>3.0000000000000001E-3</v>
      </c>
      <c r="C51" s="274" t="s">
        <v>29</v>
      </c>
    </row>
    <row r="52" spans="1:3" x14ac:dyDescent="0.25">
      <c r="A52" s="273">
        <f>B51+0.01%</f>
        <v>3.0999999999999999E-3</v>
      </c>
      <c r="B52" s="270">
        <v>0.45250000000000001</v>
      </c>
      <c r="C52" s="274" t="s">
        <v>892</v>
      </c>
    </row>
    <row r="53" spans="1:3" x14ac:dyDescent="0.25">
      <c r="A53" s="273">
        <f t="shared" ref="A53:A55" si="1">B52+0.01%</f>
        <v>0.4526</v>
      </c>
      <c r="B53" s="270">
        <v>0.54249999999999998</v>
      </c>
      <c r="C53" s="274" t="s">
        <v>893</v>
      </c>
    </row>
    <row r="54" spans="1:3" x14ac:dyDescent="0.25">
      <c r="A54" s="273">
        <f t="shared" si="1"/>
        <v>0.54259999999999997</v>
      </c>
      <c r="B54" s="275">
        <v>0.98750000000000004</v>
      </c>
      <c r="C54" s="274" t="s">
        <v>894</v>
      </c>
    </row>
    <row r="55" spans="1:3" x14ac:dyDescent="0.25">
      <c r="A55" s="276">
        <f t="shared" si="1"/>
        <v>0.98760000000000003</v>
      </c>
      <c r="B55" s="277">
        <v>1</v>
      </c>
      <c r="C55" s="278" t="s">
        <v>30</v>
      </c>
    </row>
  </sheetData>
  <mergeCells count="7">
    <mergeCell ref="M1:O1"/>
    <mergeCell ref="B2:F2"/>
    <mergeCell ref="AG2:AI2"/>
    <mergeCell ref="AB2:AE2"/>
    <mergeCell ref="W2:Z2"/>
    <mergeCell ref="A50:C50"/>
    <mergeCell ref="A49:C4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Examples</vt:lpstr>
      <vt:lpstr>07JD</vt:lpstr>
      <vt:lpstr>10deltaT</vt:lpstr>
      <vt:lpstr>13Coords</vt:lpstr>
      <vt:lpstr>22Nutation</vt:lpstr>
      <vt:lpstr>25SolarCoords</vt:lpstr>
      <vt:lpstr>AppIII</vt:lpstr>
      <vt:lpstr>47MoonPos</vt:lpstr>
      <vt:lpstr>47a47b</vt:lpstr>
      <vt:lpstr>48Illumination</vt:lpstr>
      <vt:lpstr>49Phases</vt:lpstr>
      <vt:lpstr>54LunarEclipse</vt:lpstr>
      <vt:lpstr>10a</vt:lpstr>
      <vt:lpstr>22a</vt:lpstr>
      <vt:lpstr>Minkutel</vt:lpstr>
      <vt:lpstr>Lookups</vt:lpstr>
      <vt:lpstr>AU2Km</vt:lpstr>
      <vt:lpstr>Deg2Rad</vt:lpstr>
      <vt:lpstr>Km2AU</vt:lpstr>
      <vt:lpstr>Rad2Deg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Charles</dc:creator>
  <cp:lastModifiedBy>Moore, Charles</cp:lastModifiedBy>
  <cp:lastPrinted>2022-10-25T18:21:01Z</cp:lastPrinted>
  <dcterms:created xsi:type="dcterms:W3CDTF">2022-10-21T15:16:38Z</dcterms:created>
  <dcterms:modified xsi:type="dcterms:W3CDTF">2022-11-11T21:01:16Z</dcterms:modified>
</cp:coreProperties>
</file>